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75" yWindow="-75" windowWidth="14265" windowHeight="12765" firstSheet="12" activeTab="15"/>
  </bookViews>
  <sheets>
    <sheet name="Assumptions" sheetId="1" r:id="rId1"/>
    <sheet name="checks" sheetId="23" r:id="rId2"/>
    <sheet name="salarieswages" sheetId="14" r:id="rId3"/>
    <sheet name="operatingdata" sheetId="3" r:id="rId4"/>
    <sheet name="capitalrevdata" sheetId="12" r:id="rId5"/>
    <sheet name="capitalexpdata" sheetId="13" r:id="rId6"/>
    <sheet name="loans" sheetId="10" r:id="rId7"/>
    <sheet name="newloans" sheetId="25" r:id="rId8"/>
    <sheet name="interest" sheetId="18" r:id="rId9"/>
    <sheet name="reservessummary" sheetId="11" r:id="rId10"/>
    <sheet name="reservecalc-internal" sheetId="16" r:id="rId11"/>
    <sheet name="reservecalc-external" sheetId="17" r:id="rId12"/>
    <sheet name="income" sheetId="4" r:id="rId13"/>
    <sheet name="fundingstat" sheetId="6" r:id="rId14"/>
    <sheet name="cashflow" sheetId="7" r:id="rId15"/>
    <sheet name="indicators generalfund" sheetId="8" r:id="rId16"/>
    <sheet name="Indicators consolidated" sheetId="9" r:id="rId17"/>
    <sheet name="maintenance funding" sheetId="22" r:id="rId18"/>
  </sheets>
  <externalReferences>
    <externalReference r:id="rId19"/>
    <externalReference r:id="rId20"/>
  </externalReferences>
  <definedNames>
    <definedName name="_xlnm.Print_Titles" localSheetId="5">capitalexpdata!$1:$4</definedName>
    <definedName name="_xlnm.Print_Titles" localSheetId="11">'reservecalc-external'!$1:$5</definedName>
    <definedName name="_xlnm.Print_Titles" localSheetId="9">reservessummary!$1:$5</definedName>
  </definedNames>
  <calcPr calcId="145621"/>
</workbook>
</file>

<file path=xl/calcChain.xml><?xml version="1.0" encoding="utf-8"?>
<calcChain xmlns="http://schemas.openxmlformats.org/spreadsheetml/2006/main">
  <c r="M85" i="8" l="1"/>
  <c r="L85" i="8"/>
  <c r="K85" i="8"/>
  <c r="J85" i="8"/>
  <c r="I85" i="8"/>
  <c r="H85" i="8"/>
  <c r="G85" i="8"/>
  <c r="F85" i="8"/>
  <c r="E85" i="8"/>
  <c r="S31" i="25" l="1"/>
  <c r="S29" i="25"/>
  <c r="S27" i="25"/>
  <c r="S25" i="25"/>
  <c r="S23" i="25"/>
  <c r="S21" i="25"/>
  <c r="S19" i="25"/>
  <c r="S17" i="25"/>
  <c r="S15" i="25"/>
  <c r="M86" i="8" l="1"/>
  <c r="L86" i="8"/>
  <c r="K86" i="8"/>
  <c r="J86" i="8"/>
  <c r="I86" i="8"/>
  <c r="H86" i="8"/>
  <c r="G86" i="8"/>
  <c r="F86" i="8"/>
  <c r="E86" i="8"/>
  <c r="D86" i="8"/>
  <c r="C86" i="8"/>
  <c r="B86" i="8"/>
  <c r="M87" i="8"/>
  <c r="M82" i="8" s="1"/>
  <c r="M89" i="8" s="1"/>
  <c r="L87" i="8"/>
  <c r="L82" i="8" s="1"/>
  <c r="L89" i="8" s="1"/>
  <c r="K87" i="8"/>
  <c r="K82" i="8" s="1"/>
  <c r="K89" i="8" s="1"/>
  <c r="J87" i="8"/>
  <c r="J82" i="8" s="1"/>
  <c r="J89" i="8" s="1"/>
  <c r="I87" i="8"/>
  <c r="I82" i="8" s="1"/>
  <c r="I89" i="8" s="1"/>
  <c r="H87" i="8"/>
  <c r="H82" i="8" s="1"/>
  <c r="H89" i="8" s="1"/>
  <c r="G87" i="8"/>
  <c r="G82" i="8" s="1"/>
  <c r="G89" i="8" s="1"/>
  <c r="F87" i="8"/>
  <c r="F82" i="8" s="1"/>
  <c r="F89" i="8" s="1"/>
  <c r="E87" i="8"/>
  <c r="E82" i="8" s="1"/>
  <c r="E89" i="8" s="1"/>
  <c r="D87" i="8"/>
  <c r="D82" i="8" s="1"/>
  <c r="D89" i="8" s="1"/>
  <c r="C87" i="8"/>
  <c r="C82" i="8" s="1"/>
  <c r="C89" i="8" s="1"/>
  <c r="B87" i="8"/>
  <c r="B82" i="8" s="1"/>
  <c r="B89" i="8" s="1"/>
  <c r="C75" i="8"/>
  <c r="C77" i="8" s="1"/>
  <c r="B75" i="8"/>
  <c r="C83" i="8"/>
  <c r="B83" i="8"/>
  <c r="M75" i="8"/>
  <c r="L75" i="8"/>
  <c r="K75" i="8"/>
  <c r="J75" i="8"/>
  <c r="J77" i="8" s="1"/>
  <c r="I75" i="8"/>
  <c r="H75" i="8"/>
  <c r="G75" i="8"/>
  <c r="F75" i="8"/>
  <c r="F77" i="8" s="1"/>
  <c r="E75" i="8"/>
  <c r="M74" i="8"/>
  <c r="L74" i="8"/>
  <c r="K74" i="8"/>
  <c r="K77" i="8" s="1"/>
  <c r="J74" i="8"/>
  <c r="I74" i="8"/>
  <c r="I77" i="8" s="1"/>
  <c r="H74" i="8"/>
  <c r="H77" i="8" s="1"/>
  <c r="G74" i="8"/>
  <c r="G77" i="8" s="1"/>
  <c r="F74" i="8"/>
  <c r="E74" i="8"/>
  <c r="E77" i="8" s="1"/>
  <c r="M77" i="8"/>
  <c r="L77" i="8"/>
  <c r="B77" i="8"/>
  <c r="D74" i="8"/>
  <c r="D75" i="8"/>
  <c r="C68" i="8"/>
  <c r="B68" i="8"/>
  <c r="C66" i="8"/>
  <c r="B66" i="8"/>
  <c r="D77" i="8" l="1"/>
  <c r="M922" i="3"/>
  <c r="N922" i="3"/>
  <c r="L922" i="3"/>
  <c r="K922" i="3"/>
  <c r="J922" i="3"/>
  <c r="I922" i="3"/>
  <c r="H922" i="3"/>
  <c r="G922" i="3"/>
  <c r="F145" i="3"/>
  <c r="M22" i="22" l="1"/>
  <c r="L22" i="22"/>
  <c r="K22" i="22"/>
  <c r="J22" i="22"/>
  <c r="I22" i="22"/>
  <c r="H22" i="22"/>
  <c r="G22" i="22"/>
  <c r="F22" i="22"/>
  <c r="E22" i="22"/>
  <c r="D25" i="22"/>
  <c r="D22" i="22"/>
  <c r="D26" i="22"/>
  <c r="D27" i="22"/>
  <c r="D24" i="22"/>
  <c r="D23" i="22"/>
  <c r="E85" i="7"/>
  <c r="D85" i="7"/>
  <c r="C85" i="7"/>
  <c r="B1559" i="16"/>
  <c r="C1554" i="16" s="1"/>
  <c r="E1513" i="16" s="1"/>
  <c r="E1495" i="16"/>
  <c r="D1495" i="16"/>
  <c r="C1495" i="16"/>
  <c r="B1495" i="16"/>
  <c r="K51" i="6"/>
  <c r="J51" i="6"/>
  <c r="I51" i="6"/>
  <c r="H51" i="6"/>
  <c r="G51" i="6"/>
  <c r="F51" i="6"/>
  <c r="E51" i="6"/>
  <c r="D51" i="6"/>
  <c r="J65" i="23"/>
  <c r="K65" i="23"/>
  <c r="L65" i="23"/>
  <c r="M65" i="23"/>
  <c r="N65" i="23"/>
  <c r="I65" i="23"/>
  <c r="H65" i="23"/>
  <c r="G65" i="23"/>
  <c r="F65" i="23"/>
  <c r="F2035" i="3"/>
  <c r="G2035" i="3" s="1"/>
  <c r="H2035" i="3" s="1"/>
  <c r="I2035" i="3" s="1"/>
  <c r="J2035" i="3" s="1"/>
  <c r="K2035" i="3" s="1"/>
  <c r="L2035" i="3" s="1"/>
  <c r="M2035" i="3" s="1"/>
  <c r="N2035" i="3" s="1"/>
  <c r="F1926" i="3"/>
  <c r="G1926" i="3" s="1"/>
  <c r="H1926" i="3" s="1"/>
  <c r="I1926" i="3" s="1"/>
  <c r="J1926" i="3" s="1"/>
  <c r="K1926" i="3" s="1"/>
  <c r="L1926" i="3" s="1"/>
  <c r="M1926" i="3" s="1"/>
  <c r="N1926" i="3" s="1"/>
  <c r="F1826" i="3"/>
  <c r="G1826" i="3" s="1"/>
  <c r="H1826" i="3" s="1"/>
  <c r="I1826" i="3" s="1"/>
  <c r="J1826" i="3" s="1"/>
  <c r="K1826" i="3" s="1"/>
  <c r="L1826" i="3" s="1"/>
  <c r="M1826" i="3" s="1"/>
  <c r="N1826" i="3" s="1"/>
  <c r="F1825" i="3"/>
  <c r="G1825" i="3" s="1"/>
  <c r="H1825" i="3" s="1"/>
  <c r="I1825" i="3" s="1"/>
  <c r="J1825" i="3" s="1"/>
  <c r="K1825" i="3" s="1"/>
  <c r="L1825" i="3" s="1"/>
  <c r="M1825" i="3" s="1"/>
  <c r="N1825" i="3" s="1"/>
  <c r="F1650" i="3"/>
  <c r="G1650" i="3" s="1"/>
  <c r="H1650" i="3" s="1"/>
  <c r="I1650" i="3" s="1"/>
  <c r="J1650" i="3" s="1"/>
  <c r="K1650" i="3" s="1"/>
  <c r="L1650" i="3" s="1"/>
  <c r="M1650" i="3" s="1"/>
  <c r="N1650" i="3" s="1"/>
  <c r="F1593" i="3"/>
  <c r="G1593" i="3" s="1"/>
  <c r="H1593" i="3" s="1"/>
  <c r="I1593" i="3" s="1"/>
  <c r="J1593" i="3" s="1"/>
  <c r="K1593" i="3" s="1"/>
  <c r="L1593" i="3" s="1"/>
  <c r="M1593" i="3" s="1"/>
  <c r="N1593" i="3" s="1"/>
  <c r="F1550" i="3"/>
  <c r="G1550" i="3" s="1"/>
  <c r="H1550" i="3" s="1"/>
  <c r="I1550" i="3" s="1"/>
  <c r="J1550" i="3" s="1"/>
  <c r="K1550" i="3" s="1"/>
  <c r="L1550" i="3" s="1"/>
  <c r="M1550" i="3" s="1"/>
  <c r="N1550" i="3" s="1"/>
  <c r="F1489" i="3"/>
  <c r="G1489" i="3" s="1"/>
  <c r="H1489" i="3" s="1"/>
  <c r="I1489" i="3" s="1"/>
  <c r="J1489" i="3" s="1"/>
  <c r="K1489" i="3" s="1"/>
  <c r="L1489" i="3" s="1"/>
  <c r="M1489" i="3" s="1"/>
  <c r="N1489" i="3" s="1"/>
  <c r="F1488" i="3"/>
  <c r="G1488" i="3" s="1"/>
  <c r="H1488" i="3" s="1"/>
  <c r="I1488" i="3" s="1"/>
  <c r="J1488" i="3" s="1"/>
  <c r="K1488" i="3" s="1"/>
  <c r="L1488" i="3" s="1"/>
  <c r="M1488" i="3" s="1"/>
  <c r="N1488" i="3" s="1"/>
  <c r="F1487" i="3"/>
  <c r="G1487" i="3" s="1"/>
  <c r="H1487" i="3" s="1"/>
  <c r="I1487" i="3" s="1"/>
  <c r="J1487" i="3" s="1"/>
  <c r="K1487" i="3" s="1"/>
  <c r="L1487" i="3" s="1"/>
  <c r="M1487" i="3" s="1"/>
  <c r="N1487" i="3" s="1"/>
  <c r="F1486" i="3"/>
  <c r="G1486" i="3" s="1"/>
  <c r="H1486" i="3" s="1"/>
  <c r="I1486" i="3" s="1"/>
  <c r="J1486" i="3" s="1"/>
  <c r="K1486" i="3" s="1"/>
  <c r="L1486" i="3" s="1"/>
  <c r="M1486" i="3" s="1"/>
  <c r="N1486" i="3" s="1"/>
  <c r="F1399" i="3"/>
  <c r="G1399" i="3" s="1"/>
  <c r="H1399" i="3" s="1"/>
  <c r="I1399" i="3" s="1"/>
  <c r="J1399" i="3" s="1"/>
  <c r="K1399" i="3" s="1"/>
  <c r="L1399" i="3" s="1"/>
  <c r="M1399" i="3" s="1"/>
  <c r="N1399" i="3" s="1"/>
  <c r="F1307" i="3"/>
  <c r="G1307" i="3" s="1"/>
  <c r="H1307" i="3" s="1"/>
  <c r="I1307" i="3" s="1"/>
  <c r="J1307" i="3" s="1"/>
  <c r="K1307" i="3" s="1"/>
  <c r="L1307" i="3" s="1"/>
  <c r="M1307" i="3" s="1"/>
  <c r="N1307" i="3" s="1"/>
  <c r="F1240" i="3"/>
  <c r="G1240" i="3" s="1"/>
  <c r="H1240" i="3" s="1"/>
  <c r="I1240" i="3" s="1"/>
  <c r="J1240" i="3" s="1"/>
  <c r="K1240" i="3" s="1"/>
  <c r="L1240" i="3" s="1"/>
  <c r="M1240" i="3" s="1"/>
  <c r="N1240" i="3" s="1"/>
  <c r="F1119" i="3"/>
  <c r="G1119" i="3" s="1"/>
  <c r="H1119" i="3" s="1"/>
  <c r="I1119" i="3" s="1"/>
  <c r="J1119" i="3" s="1"/>
  <c r="K1119" i="3" s="1"/>
  <c r="L1119" i="3" s="1"/>
  <c r="M1119" i="3" s="1"/>
  <c r="N1119" i="3" s="1"/>
  <c r="F1118" i="3"/>
  <c r="G1118" i="3" s="1"/>
  <c r="H1118" i="3" s="1"/>
  <c r="I1118" i="3" s="1"/>
  <c r="J1118" i="3" s="1"/>
  <c r="K1118" i="3" s="1"/>
  <c r="L1118" i="3" s="1"/>
  <c r="M1118" i="3" s="1"/>
  <c r="N1118" i="3" s="1"/>
  <c r="F1117" i="3"/>
  <c r="G1117" i="3" s="1"/>
  <c r="H1117" i="3" s="1"/>
  <c r="I1117" i="3" s="1"/>
  <c r="J1117" i="3" s="1"/>
  <c r="K1117" i="3" s="1"/>
  <c r="L1117" i="3" s="1"/>
  <c r="M1117" i="3" s="1"/>
  <c r="N1117" i="3" s="1"/>
  <c r="F1116" i="3"/>
  <c r="G1116" i="3" s="1"/>
  <c r="H1116" i="3" s="1"/>
  <c r="I1116" i="3" s="1"/>
  <c r="J1116" i="3" s="1"/>
  <c r="K1116" i="3" s="1"/>
  <c r="L1116" i="3" s="1"/>
  <c r="M1116" i="3" s="1"/>
  <c r="N1116" i="3" s="1"/>
  <c r="F921" i="3"/>
  <c r="G921" i="3" s="1"/>
  <c r="H921" i="3" s="1"/>
  <c r="I921" i="3" s="1"/>
  <c r="J921" i="3" s="1"/>
  <c r="K921" i="3" s="1"/>
  <c r="L921" i="3" s="1"/>
  <c r="M921" i="3" s="1"/>
  <c r="N921" i="3" s="1"/>
  <c r="F920" i="3"/>
  <c r="G920" i="3" s="1"/>
  <c r="H920" i="3" s="1"/>
  <c r="I920" i="3" s="1"/>
  <c r="J920" i="3" s="1"/>
  <c r="K920" i="3" s="1"/>
  <c r="L920" i="3" s="1"/>
  <c r="M920" i="3" s="1"/>
  <c r="N920" i="3" s="1"/>
  <c r="F919" i="3"/>
  <c r="G919" i="3" s="1"/>
  <c r="H919" i="3" s="1"/>
  <c r="I919" i="3" s="1"/>
  <c r="J919" i="3" s="1"/>
  <c r="K919" i="3" s="1"/>
  <c r="L919" i="3" s="1"/>
  <c r="M919" i="3" s="1"/>
  <c r="N919" i="3" s="1"/>
  <c r="F918" i="3"/>
  <c r="G918" i="3" s="1"/>
  <c r="H918" i="3" s="1"/>
  <c r="I918" i="3" s="1"/>
  <c r="J918" i="3" s="1"/>
  <c r="K918" i="3" s="1"/>
  <c r="L918" i="3" s="1"/>
  <c r="M918" i="3" s="1"/>
  <c r="N918" i="3" s="1"/>
  <c r="F917" i="3"/>
  <c r="G917" i="3" s="1"/>
  <c r="H917" i="3" s="1"/>
  <c r="I917" i="3" s="1"/>
  <c r="J917" i="3" s="1"/>
  <c r="K917" i="3" s="1"/>
  <c r="L917" i="3" s="1"/>
  <c r="M917" i="3" s="1"/>
  <c r="N917" i="3" s="1"/>
  <c r="F916" i="3"/>
  <c r="G916" i="3" s="1"/>
  <c r="H916" i="3" s="1"/>
  <c r="I916" i="3" s="1"/>
  <c r="J916" i="3" s="1"/>
  <c r="K916" i="3" s="1"/>
  <c r="L916" i="3" s="1"/>
  <c r="M916" i="3" s="1"/>
  <c r="N916" i="3" s="1"/>
  <c r="F915" i="3"/>
  <c r="G915" i="3" s="1"/>
  <c r="H915" i="3" s="1"/>
  <c r="I915" i="3" s="1"/>
  <c r="J915" i="3" s="1"/>
  <c r="K915" i="3" s="1"/>
  <c r="L915" i="3" s="1"/>
  <c r="M915" i="3" s="1"/>
  <c r="N915" i="3" s="1"/>
  <c r="F914" i="3"/>
  <c r="G914" i="3" s="1"/>
  <c r="H914" i="3" s="1"/>
  <c r="I914" i="3" s="1"/>
  <c r="J914" i="3" s="1"/>
  <c r="K914" i="3" s="1"/>
  <c r="L914" i="3" s="1"/>
  <c r="M914" i="3" s="1"/>
  <c r="N914" i="3" s="1"/>
  <c r="F913" i="3"/>
  <c r="G913" i="3" s="1"/>
  <c r="H913" i="3" s="1"/>
  <c r="I913" i="3" s="1"/>
  <c r="J913" i="3" s="1"/>
  <c r="K913" i="3" s="1"/>
  <c r="L913" i="3" s="1"/>
  <c r="M913" i="3" s="1"/>
  <c r="N913" i="3" s="1"/>
  <c r="F912" i="3"/>
  <c r="G912" i="3" s="1"/>
  <c r="H912" i="3" s="1"/>
  <c r="I912" i="3" s="1"/>
  <c r="J912" i="3" s="1"/>
  <c r="K912" i="3" s="1"/>
  <c r="L912" i="3" s="1"/>
  <c r="M912" i="3" s="1"/>
  <c r="N912" i="3" s="1"/>
  <c r="F792" i="3"/>
  <c r="G792" i="3" s="1"/>
  <c r="H792" i="3" s="1"/>
  <c r="I792" i="3" s="1"/>
  <c r="J792" i="3" s="1"/>
  <c r="K792" i="3" s="1"/>
  <c r="L792" i="3" s="1"/>
  <c r="M792" i="3" s="1"/>
  <c r="N792" i="3" s="1"/>
  <c r="F791" i="3"/>
  <c r="G791" i="3" s="1"/>
  <c r="H791" i="3" s="1"/>
  <c r="I791" i="3" s="1"/>
  <c r="J791" i="3" s="1"/>
  <c r="K791" i="3" s="1"/>
  <c r="L791" i="3" s="1"/>
  <c r="M791" i="3" s="1"/>
  <c r="N791" i="3" s="1"/>
  <c r="F742" i="3"/>
  <c r="G742" i="3" s="1"/>
  <c r="H742" i="3" s="1"/>
  <c r="I742" i="3" s="1"/>
  <c r="J742" i="3" s="1"/>
  <c r="K742" i="3" s="1"/>
  <c r="L742" i="3" s="1"/>
  <c r="M742" i="3" s="1"/>
  <c r="N742" i="3" s="1"/>
  <c r="F741" i="3"/>
  <c r="G741" i="3" s="1"/>
  <c r="H741" i="3" s="1"/>
  <c r="I741" i="3" s="1"/>
  <c r="J741" i="3" s="1"/>
  <c r="K741" i="3" s="1"/>
  <c r="L741" i="3" s="1"/>
  <c r="M741" i="3" s="1"/>
  <c r="N741" i="3" s="1"/>
  <c r="F584" i="3"/>
  <c r="G584" i="3" s="1"/>
  <c r="H584" i="3" s="1"/>
  <c r="I584" i="3" s="1"/>
  <c r="J584" i="3" s="1"/>
  <c r="K584" i="3" s="1"/>
  <c r="L584" i="3" s="1"/>
  <c r="M584" i="3" s="1"/>
  <c r="N584" i="3" s="1"/>
  <c r="F469" i="3"/>
  <c r="G469" i="3" s="1"/>
  <c r="H469" i="3" s="1"/>
  <c r="I469" i="3" s="1"/>
  <c r="J469" i="3" s="1"/>
  <c r="K469" i="3" s="1"/>
  <c r="L469" i="3" s="1"/>
  <c r="M469" i="3" s="1"/>
  <c r="N469" i="3" s="1"/>
  <c r="F1495" i="16" l="1"/>
  <c r="E1520" i="16"/>
  <c r="E1527" i="16" s="1"/>
  <c r="H1495" i="16"/>
  <c r="G1513" i="16"/>
  <c r="F1513" i="16"/>
  <c r="B1513" i="16"/>
  <c r="C1513" i="16"/>
  <c r="D1513" i="16"/>
  <c r="C1555" i="16"/>
  <c r="G1514" i="16" s="1"/>
  <c r="C1556" i="16"/>
  <c r="C1553" i="16"/>
  <c r="G1512" i="16" s="1"/>
  <c r="C1557" i="16"/>
  <c r="G1516" i="16" s="1"/>
  <c r="G1495" i="16"/>
  <c r="G1523" i="16" l="1"/>
  <c r="K1121" i="3" s="1"/>
  <c r="G1519" i="16"/>
  <c r="B1520" i="16"/>
  <c r="B1527" i="16" s="1"/>
  <c r="E1514" i="16"/>
  <c r="D1514" i="16"/>
  <c r="B1514" i="16"/>
  <c r="C1514" i="16"/>
  <c r="F1514" i="16"/>
  <c r="C1520" i="16"/>
  <c r="C1527" i="16" s="1"/>
  <c r="E1516" i="16"/>
  <c r="D1516" i="16"/>
  <c r="C1516" i="16"/>
  <c r="F1516" i="16"/>
  <c r="B1516" i="16"/>
  <c r="G1520" i="16"/>
  <c r="G1527" i="16" s="1"/>
  <c r="H1516" i="16"/>
  <c r="H1515" i="16"/>
  <c r="H1514" i="16"/>
  <c r="H1513" i="16"/>
  <c r="H1512" i="16"/>
  <c r="G1521" i="16"/>
  <c r="G1528" i="16" s="1"/>
  <c r="E1512" i="16"/>
  <c r="D1512" i="16"/>
  <c r="C1512" i="16"/>
  <c r="F1512" i="16"/>
  <c r="B1512" i="16"/>
  <c r="E1515" i="16"/>
  <c r="B1515" i="16"/>
  <c r="D1515" i="16"/>
  <c r="C1515" i="16"/>
  <c r="F1515" i="16"/>
  <c r="D1520" i="16"/>
  <c r="D1527" i="16" s="1"/>
  <c r="F1520" i="16"/>
  <c r="F1527" i="16" s="1"/>
  <c r="G1515" i="16"/>
  <c r="C1559" i="16"/>
  <c r="G1530" i="16" l="1"/>
  <c r="L496" i="13" s="1"/>
  <c r="G1526" i="16"/>
  <c r="L414" i="13" s="1"/>
  <c r="K924" i="3"/>
  <c r="J23" i="22" s="1"/>
  <c r="J25" i="22"/>
  <c r="J24" i="22"/>
  <c r="C1522" i="16"/>
  <c r="G1491" i="3" s="1"/>
  <c r="I1516" i="16"/>
  <c r="I1515" i="16"/>
  <c r="I1514" i="16"/>
  <c r="I1513" i="16"/>
  <c r="I1512" i="16"/>
  <c r="D1519" i="16"/>
  <c r="D1538" i="16"/>
  <c r="D1540" i="16" s="1"/>
  <c r="I56" i="11" s="1"/>
  <c r="H1519" i="16"/>
  <c r="H1538" i="16"/>
  <c r="H1540" i="16" s="1"/>
  <c r="U56" i="11" s="1"/>
  <c r="H1523" i="16"/>
  <c r="F1523" i="16"/>
  <c r="J1121" i="3" s="1"/>
  <c r="B1521" i="16"/>
  <c r="B1528" i="16" s="1"/>
  <c r="B1538" i="16"/>
  <c r="B1540" i="16" s="1"/>
  <c r="C56" i="11" s="1"/>
  <c r="D56" i="11" s="1"/>
  <c r="E56" i="11" s="1"/>
  <c r="B1519" i="16"/>
  <c r="D1522" i="16"/>
  <c r="H1491" i="3" s="1"/>
  <c r="H1520" i="16"/>
  <c r="H1527" i="16" s="1"/>
  <c r="D1521" i="16"/>
  <c r="D1528" i="16" s="1"/>
  <c r="G1522" i="16"/>
  <c r="K1491" i="3" s="1"/>
  <c r="B1522" i="16"/>
  <c r="D1523" i="16"/>
  <c r="H1121" i="3" s="1"/>
  <c r="F1521" i="16"/>
  <c r="F1528" i="16" s="1"/>
  <c r="E1521" i="16"/>
  <c r="E1528" i="16" s="1"/>
  <c r="E1538" i="16"/>
  <c r="E1540" i="16" s="1"/>
  <c r="L56" i="11" s="1"/>
  <c r="E1519" i="16"/>
  <c r="E1526" i="16" s="1"/>
  <c r="C1523" i="16"/>
  <c r="I1495" i="16"/>
  <c r="F1538" i="16"/>
  <c r="F1540" i="16" s="1"/>
  <c r="O56" i="11" s="1"/>
  <c r="F1519" i="16"/>
  <c r="H1521" i="16"/>
  <c r="H1528" i="16" s="1"/>
  <c r="F1522" i="16"/>
  <c r="E1522" i="16"/>
  <c r="C1519" i="16"/>
  <c r="C1526" i="16" s="1"/>
  <c r="C1538" i="16"/>
  <c r="C1540" i="16" s="1"/>
  <c r="F56" i="11" s="1"/>
  <c r="H1522" i="16"/>
  <c r="B1523" i="16"/>
  <c r="F1121" i="3" s="1"/>
  <c r="E1523" i="16"/>
  <c r="I1121" i="3" s="1"/>
  <c r="C1521" i="16"/>
  <c r="C1528" i="16" s="1"/>
  <c r="G1538" i="16"/>
  <c r="G1540" i="16" s="1"/>
  <c r="R56" i="11" s="1"/>
  <c r="D1529" i="16" l="1"/>
  <c r="I624" i="13" s="1"/>
  <c r="C1529" i="16"/>
  <c r="H624" i="13" s="1"/>
  <c r="E1530" i="16"/>
  <c r="J496" i="13" s="1"/>
  <c r="H414" i="13"/>
  <c r="J414" i="13"/>
  <c r="D1530" i="16"/>
  <c r="I496" i="13" s="1"/>
  <c r="G56" i="11"/>
  <c r="H56" i="11" s="1"/>
  <c r="J56" i="11" s="1"/>
  <c r="K56" i="11" s="1"/>
  <c r="M56" i="11" s="1"/>
  <c r="N56" i="11" s="1"/>
  <c r="P56" i="11" s="1"/>
  <c r="Q56" i="11" s="1"/>
  <c r="S56" i="11" s="1"/>
  <c r="T56" i="11" s="1"/>
  <c r="V56" i="11" s="1"/>
  <c r="W56" i="11" s="1"/>
  <c r="H1530" i="16"/>
  <c r="M496" i="13" s="1"/>
  <c r="L1121" i="3"/>
  <c r="D1526" i="16"/>
  <c r="I414" i="13" s="1"/>
  <c r="H924" i="3"/>
  <c r="G23" i="22" s="1"/>
  <c r="F1529" i="16"/>
  <c r="K624" i="13" s="1"/>
  <c r="J1491" i="3"/>
  <c r="B1530" i="16"/>
  <c r="G496" i="13" s="1"/>
  <c r="G924" i="3"/>
  <c r="F23" i="22" s="1"/>
  <c r="C1530" i="16"/>
  <c r="H496" i="13" s="1"/>
  <c r="G1121" i="3"/>
  <c r="B1529" i="16"/>
  <c r="G624" i="13" s="1"/>
  <c r="F1491" i="3"/>
  <c r="I25" i="22"/>
  <c r="I24" i="22"/>
  <c r="H1526" i="16"/>
  <c r="M414" i="13" s="1"/>
  <c r="L924" i="3"/>
  <c r="K23" i="22" s="1"/>
  <c r="E25" i="22"/>
  <c r="E24" i="22"/>
  <c r="G25" i="22"/>
  <c r="G24" i="22"/>
  <c r="H24" i="22"/>
  <c r="H25" i="22"/>
  <c r="H1529" i="16"/>
  <c r="M624" i="13" s="1"/>
  <c r="L1491" i="3"/>
  <c r="E1529" i="16"/>
  <c r="J624" i="13" s="1"/>
  <c r="I1491" i="3"/>
  <c r="F1526" i="16"/>
  <c r="K414" i="13" s="1"/>
  <c r="J924" i="3"/>
  <c r="I23" i="22" s="1"/>
  <c r="I924" i="3"/>
  <c r="H23" i="22" s="1"/>
  <c r="G1529" i="16"/>
  <c r="B1526" i="16"/>
  <c r="G414" i="13" s="1"/>
  <c r="F924" i="3"/>
  <c r="E23" i="22" s="1"/>
  <c r="F1530" i="16"/>
  <c r="K496" i="13" s="1"/>
  <c r="I1522" i="16"/>
  <c r="I1538" i="16"/>
  <c r="I1540" i="16" s="1"/>
  <c r="X56" i="11" s="1"/>
  <c r="I1519" i="16"/>
  <c r="I1523" i="16"/>
  <c r="M1121" i="3" s="1"/>
  <c r="J1495" i="16"/>
  <c r="J1516" i="16"/>
  <c r="J1515" i="16"/>
  <c r="J1514" i="16"/>
  <c r="J1513" i="16"/>
  <c r="J1512" i="16"/>
  <c r="H1541" i="16"/>
  <c r="I1520" i="16"/>
  <c r="I1527" i="16" s="1"/>
  <c r="I1521" i="16"/>
  <c r="I1528" i="16" s="1"/>
  <c r="F1541" i="16" l="1"/>
  <c r="D1541" i="16"/>
  <c r="C1541" i="16"/>
  <c r="E1541" i="16"/>
  <c r="B1541" i="16"/>
  <c r="L24" i="22"/>
  <c r="L25" i="22"/>
  <c r="L624" i="13"/>
  <c r="G1541" i="16"/>
  <c r="F25" i="22"/>
  <c r="F24" i="22"/>
  <c r="K25" i="22"/>
  <c r="K24" i="22"/>
  <c r="I1530" i="16"/>
  <c r="N496" i="13" s="1"/>
  <c r="I1526" i="16"/>
  <c r="N414" i="13" s="1"/>
  <c r="M924" i="3"/>
  <c r="L23" i="22" s="1"/>
  <c r="I1529" i="16"/>
  <c r="N624" i="13" s="1"/>
  <c r="M1491" i="3"/>
  <c r="J1521" i="16"/>
  <c r="J1528" i="16" s="1"/>
  <c r="Y56" i="11"/>
  <c r="Z56" i="11" s="1"/>
  <c r="J1522" i="16"/>
  <c r="J1538" i="16"/>
  <c r="J1540" i="16" s="1"/>
  <c r="AA56" i="11" s="1"/>
  <c r="J1519" i="16"/>
  <c r="J1523" i="16"/>
  <c r="N1121" i="3" s="1"/>
  <c r="J1520" i="16"/>
  <c r="J1527" i="16" s="1"/>
  <c r="N924" i="3" l="1"/>
  <c r="M23" i="22" s="1"/>
  <c r="M25" i="22"/>
  <c r="M24" i="22"/>
  <c r="I1541" i="16"/>
  <c r="J1529" i="16"/>
  <c r="O624" i="13" s="1"/>
  <c r="N1491" i="3"/>
  <c r="J1526" i="16"/>
  <c r="O414" i="13" s="1"/>
  <c r="AB56" i="11"/>
  <c r="J1530" i="16"/>
  <c r="J1541" i="16" l="1"/>
  <c r="O496" i="13"/>
  <c r="AG38" i="10" l="1"/>
  <c r="AK38" i="10"/>
  <c r="AO38" i="10"/>
  <c r="AS38" i="10"/>
  <c r="AW38" i="10"/>
  <c r="BA38" i="10"/>
  <c r="AZ38" i="10"/>
  <c r="AV38" i="10"/>
  <c r="AR38" i="10"/>
  <c r="AN38" i="10"/>
  <c r="AJ38" i="10"/>
  <c r="AF38" i="10"/>
  <c r="AC38" i="10"/>
  <c r="AB38" i="10"/>
  <c r="BA37" i="10"/>
  <c r="AZ37" i="10"/>
  <c r="AW37" i="10"/>
  <c r="AV37" i="10"/>
  <c r="AS37" i="10"/>
  <c r="AR37" i="10"/>
  <c r="AO37" i="10"/>
  <c r="AN37" i="10"/>
  <c r="AK37" i="10"/>
  <c r="AJ37" i="10"/>
  <c r="AG37" i="10"/>
  <c r="AF37" i="10"/>
  <c r="AC37" i="10"/>
  <c r="AB37" i="10"/>
  <c r="Y37" i="10" l="1"/>
  <c r="X37" i="10"/>
  <c r="AS36" i="10"/>
  <c r="AW36" i="10"/>
  <c r="BA36" i="10"/>
  <c r="AZ36" i="10"/>
  <c r="BB36" i="10" s="1"/>
  <c r="AV36" i="10"/>
  <c r="AR36" i="10"/>
  <c r="AT36" i="10" s="1"/>
  <c r="AO36" i="10"/>
  <c r="AN36" i="10"/>
  <c r="AK36" i="10"/>
  <c r="AJ36" i="10"/>
  <c r="AG36" i="10"/>
  <c r="AF36" i="10"/>
  <c r="BB38" i="10"/>
  <c r="BB37" i="10"/>
  <c r="AX38" i="10"/>
  <c r="AX37" i="10"/>
  <c r="AX36" i="10"/>
  <c r="AT38" i="10"/>
  <c r="AT37" i="10"/>
  <c r="AP38" i="10"/>
  <c r="AP37" i="10"/>
  <c r="AP36" i="10"/>
  <c r="AL38" i="10"/>
  <c r="AL37" i="10"/>
  <c r="AL36" i="10"/>
  <c r="AH38" i="10"/>
  <c r="AH37" i="10"/>
  <c r="AD38" i="10"/>
  <c r="AD37" i="10"/>
  <c r="Z37" i="10"/>
  <c r="AD36" i="10"/>
  <c r="AC36" i="10"/>
  <c r="AB36" i="10"/>
  <c r="Z36" i="10"/>
  <c r="Y36" i="10"/>
  <c r="X36" i="10"/>
  <c r="V36" i="10"/>
  <c r="U36" i="10"/>
  <c r="T36" i="10"/>
  <c r="P67" i="25"/>
  <c r="P66" i="25"/>
  <c r="P65" i="25"/>
  <c r="P64" i="25"/>
  <c r="P63" i="25"/>
  <c r="P62" i="25"/>
  <c r="P61" i="25"/>
  <c r="P60" i="25"/>
  <c r="P59" i="25"/>
  <c r="P58" i="25"/>
  <c r="P57" i="25"/>
  <c r="P56" i="25"/>
  <c r="P55" i="25"/>
  <c r="P54" i="25"/>
  <c r="P53" i="25"/>
  <c r="P52" i="25"/>
  <c r="P51" i="25"/>
  <c r="P50" i="25"/>
  <c r="P49" i="25"/>
  <c r="P48" i="25"/>
  <c r="P47" i="25"/>
  <c r="P46" i="25"/>
  <c r="P45" i="25"/>
  <c r="P44" i="25"/>
  <c r="P43" i="25"/>
  <c r="P42" i="25"/>
  <c r="P41" i="25"/>
  <c r="P40" i="25"/>
  <c r="P39" i="25"/>
  <c r="P38" i="25"/>
  <c r="P37" i="25"/>
  <c r="P36" i="25"/>
  <c r="P35" i="25"/>
  <c r="P34" i="25"/>
  <c r="P33" i="25"/>
  <c r="P32" i="25"/>
  <c r="P31" i="25"/>
  <c r="P30" i="25"/>
  <c r="P29" i="25"/>
  <c r="P28" i="25"/>
  <c r="P27" i="25"/>
  <c r="P26" i="25"/>
  <c r="P25" i="25"/>
  <c r="P24" i="25"/>
  <c r="P23" i="25"/>
  <c r="P22" i="25"/>
  <c r="P21" i="25"/>
  <c r="P20" i="25"/>
  <c r="P69" i="25" s="1"/>
  <c r="P19" i="25"/>
  <c r="P18"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AH36" i="10" l="1"/>
  <c r="O7" i="25"/>
  <c r="O8" i="25" s="1"/>
  <c r="O11" i="25"/>
  <c r="I7" i="25"/>
  <c r="I8" i="25" s="1"/>
  <c r="I16" i="25" s="1"/>
  <c r="C7" i="25"/>
  <c r="C8" i="25" s="1"/>
  <c r="I11" i="25"/>
  <c r="C11" i="25"/>
  <c r="C12" i="25" l="1"/>
  <c r="I12" i="25"/>
  <c r="O12" i="25"/>
  <c r="O18" i="25"/>
  <c r="D63" i="25"/>
  <c r="D59" i="25"/>
  <c r="D55" i="25"/>
  <c r="D51" i="25"/>
  <c r="D47" i="25"/>
  <c r="D43" i="25"/>
  <c r="D39" i="25"/>
  <c r="D35" i="25"/>
  <c r="D31" i="25"/>
  <c r="D27" i="25"/>
  <c r="D23" i="25"/>
  <c r="D19" i="25"/>
  <c r="D15" i="25"/>
  <c r="D14" i="25"/>
  <c r="D62" i="25"/>
  <c r="D58" i="25"/>
  <c r="D54" i="25"/>
  <c r="D50" i="25"/>
  <c r="D46" i="25"/>
  <c r="D42" i="25"/>
  <c r="D38" i="25"/>
  <c r="D34" i="25"/>
  <c r="D30" i="25"/>
  <c r="D26" i="25"/>
  <c r="D22" i="25"/>
  <c r="D18" i="25"/>
  <c r="D48" i="25"/>
  <c r="D40" i="25"/>
  <c r="D32" i="25"/>
  <c r="D20" i="25"/>
  <c r="D61" i="25"/>
  <c r="D57" i="25"/>
  <c r="D53" i="25"/>
  <c r="D49" i="25"/>
  <c r="D45" i="25"/>
  <c r="D41" i="25"/>
  <c r="D37" i="25"/>
  <c r="D33" i="25"/>
  <c r="D29" i="25"/>
  <c r="D25" i="25"/>
  <c r="D21" i="25"/>
  <c r="D17" i="25"/>
  <c r="D60" i="25"/>
  <c r="D56" i="25"/>
  <c r="D52" i="25"/>
  <c r="D44" i="25"/>
  <c r="D36" i="25"/>
  <c r="D28" i="25"/>
  <c r="D24" i="25"/>
  <c r="D16" i="25"/>
  <c r="C14" i="25"/>
  <c r="M36" i="22"/>
  <c r="L36" i="22"/>
  <c r="K36" i="22"/>
  <c r="J36" i="22"/>
  <c r="I36" i="22"/>
  <c r="H36" i="22"/>
  <c r="G36" i="22"/>
  <c r="F36" i="22"/>
  <c r="E36" i="22"/>
  <c r="M35" i="22"/>
  <c r="L35" i="22"/>
  <c r="K35" i="22"/>
  <c r="J35" i="22"/>
  <c r="I35" i="22"/>
  <c r="H35" i="22"/>
  <c r="G35" i="22"/>
  <c r="E35" i="22"/>
  <c r="M34" i="22"/>
  <c r="L34" i="22"/>
  <c r="K34" i="22"/>
  <c r="J34" i="22"/>
  <c r="I34" i="22"/>
  <c r="H34" i="22"/>
  <c r="G34" i="22"/>
  <c r="F34" i="22"/>
  <c r="E34" i="22"/>
  <c r="D36" i="22"/>
  <c r="D35" i="22"/>
  <c r="D34" i="22"/>
  <c r="H16" i="25" l="1"/>
  <c r="N18" i="25"/>
  <c r="J67" i="25"/>
  <c r="K16" i="25"/>
  <c r="I17" i="25" s="1"/>
  <c r="D65" i="25"/>
  <c r="B14" i="25"/>
  <c r="E14" i="25" s="1"/>
  <c r="C15" i="25" s="1"/>
  <c r="B15" i="25" s="1"/>
  <c r="B72" i="7"/>
  <c r="B60" i="6"/>
  <c r="B26" i="6"/>
  <c r="B88" i="6"/>
  <c r="B118" i="6"/>
  <c r="B56" i="6"/>
  <c r="E21" i="17"/>
  <c r="D21" i="17"/>
  <c r="C21" i="17"/>
  <c r="B21" i="17"/>
  <c r="I176" i="12"/>
  <c r="B52" i="11"/>
  <c r="N74" i="12"/>
  <c r="M74" i="12"/>
  <c r="L74" i="12"/>
  <c r="K74" i="12"/>
  <c r="J74" i="12"/>
  <c r="I74" i="12"/>
  <c r="H74" i="12"/>
  <c r="G74" i="12"/>
  <c r="N73" i="12"/>
  <c r="M73" i="12"/>
  <c r="L73" i="12"/>
  <c r="K73" i="12"/>
  <c r="J73" i="12"/>
  <c r="I73" i="12"/>
  <c r="H73" i="12"/>
  <c r="G73" i="12"/>
  <c r="N72" i="12"/>
  <c r="M72" i="12"/>
  <c r="L72" i="12"/>
  <c r="K72" i="12"/>
  <c r="J72" i="12"/>
  <c r="I72" i="12"/>
  <c r="H72" i="12"/>
  <c r="G72" i="12"/>
  <c r="N71" i="12"/>
  <c r="M71" i="12"/>
  <c r="L71" i="12"/>
  <c r="K71" i="12"/>
  <c r="J71" i="12"/>
  <c r="I71" i="12"/>
  <c r="H71" i="12"/>
  <c r="G71" i="12"/>
  <c r="N70" i="12"/>
  <c r="M70" i="12"/>
  <c r="L70" i="12"/>
  <c r="K70" i="12"/>
  <c r="J70" i="12"/>
  <c r="I70" i="12"/>
  <c r="H70" i="12"/>
  <c r="G70" i="12"/>
  <c r="N69" i="12"/>
  <c r="M69" i="12"/>
  <c r="L69" i="12"/>
  <c r="K69" i="12"/>
  <c r="J69" i="12"/>
  <c r="I69" i="12"/>
  <c r="H69" i="12"/>
  <c r="G69" i="12"/>
  <c r="N68" i="12"/>
  <c r="M68" i="12"/>
  <c r="L68" i="12"/>
  <c r="K68" i="12"/>
  <c r="J68" i="12"/>
  <c r="I68" i="12"/>
  <c r="H68" i="12"/>
  <c r="G68" i="12"/>
  <c r="N67" i="12"/>
  <c r="M67" i="12"/>
  <c r="L67" i="12"/>
  <c r="K67" i="12"/>
  <c r="J67" i="12"/>
  <c r="I67" i="12"/>
  <c r="H67" i="12"/>
  <c r="G67" i="12"/>
  <c r="N65" i="12"/>
  <c r="M65" i="12"/>
  <c r="L65" i="12"/>
  <c r="K65" i="12"/>
  <c r="J65" i="12"/>
  <c r="I65" i="12"/>
  <c r="H65" i="12"/>
  <c r="G65" i="12"/>
  <c r="N63" i="12"/>
  <c r="M63" i="12"/>
  <c r="L63" i="12"/>
  <c r="K63" i="12"/>
  <c r="J63" i="12"/>
  <c r="I63" i="12"/>
  <c r="H63" i="12"/>
  <c r="G63" i="12"/>
  <c r="N61" i="12"/>
  <c r="M61" i="12"/>
  <c r="L61" i="12"/>
  <c r="K61" i="12"/>
  <c r="J61" i="12"/>
  <c r="I61" i="12"/>
  <c r="H61" i="12"/>
  <c r="G61" i="12"/>
  <c r="N60" i="12"/>
  <c r="M60" i="12"/>
  <c r="L60" i="12"/>
  <c r="K60" i="12"/>
  <c r="J60" i="12"/>
  <c r="I60" i="12"/>
  <c r="H60" i="12"/>
  <c r="G60" i="12"/>
  <c r="N59" i="12"/>
  <c r="M59" i="12"/>
  <c r="L59" i="12"/>
  <c r="K59" i="12"/>
  <c r="J59" i="12"/>
  <c r="I59" i="12"/>
  <c r="H59" i="12"/>
  <c r="G59" i="12"/>
  <c r="N58" i="12"/>
  <c r="M58" i="12"/>
  <c r="L58" i="12"/>
  <c r="K58" i="12"/>
  <c r="J58" i="12"/>
  <c r="I58" i="12"/>
  <c r="H58" i="12"/>
  <c r="G58" i="12"/>
  <c r="N57" i="12"/>
  <c r="M57" i="12"/>
  <c r="L57" i="12"/>
  <c r="K57" i="12"/>
  <c r="J57" i="12"/>
  <c r="I57" i="12"/>
  <c r="H57" i="12"/>
  <c r="G57" i="12"/>
  <c r="N56" i="12"/>
  <c r="M56" i="12"/>
  <c r="L56" i="12"/>
  <c r="K56" i="12"/>
  <c r="J56" i="12"/>
  <c r="I56" i="12"/>
  <c r="H56" i="12"/>
  <c r="G56" i="12"/>
  <c r="N55" i="12"/>
  <c r="M55" i="12"/>
  <c r="L55" i="12"/>
  <c r="K55" i="12"/>
  <c r="J55" i="12"/>
  <c r="I55" i="12"/>
  <c r="H55" i="12"/>
  <c r="G55" i="12"/>
  <c r="N53" i="12"/>
  <c r="M53" i="12"/>
  <c r="L53" i="12"/>
  <c r="K53" i="12"/>
  <c r="J53" i="12"/>
  <c r="I53" i="12"/>
  <c r="H53" i="12"/>
  <c r="G53" i="12"/>
  <c r="N52" i="12"/>
  <c r="M52" i="12"/>
  <c r="L52" i="12"/>
  <c r="K52" i="12"/>
  <c r="J52" i="12"/>
  <c r="I52" i="12"/>
  <c r="H52" i="12"/>
  <c r="G52" i="12"/>
  <c r="N51" i="12"/>
  <c r="M51" i="12"/>
  <c r="L51" i="12"/>
  <c r="K51" i="12"/>
  <c r="J51" i="12"/>
  <c r="I51" i="12"/>
  <c r="H51" i="12"/>
  <c r="G51" i="12"/>
  <c r="N50" i="12"/>
  <c r="M50" i="12"/>
  <c r="L50" i="12"/>
  <c r="K50" i="12"/>
  <c r="J50" i="12"/>
  <c r="I50" i="12"/>
  <c r="H50" i="12"/>
  <c r="G50" i="12"/>
  <c r="N48" i="12"/>
  <c r="M48" i="12"/>
  <c r="L48" i="12"/>
  <c r="K48" i="12"/>
  <c r="J48" i="12"/>
  <c r="I48" i="12"/>
  <c r="H48" i="12"/>
  <c r="G48" i="12"/>
  <c r="N47" i="12"/>
  <c r="M47" i="12"/>
  <c r="L47" i="12"/>
  <c r="K47" i="12"/>
  <c r="J47" i="12"/>
  <c r="I47" i="12"/>
  <c r="H47" i="12"/>
  <c r="G47" i="12"/>
  <c r="N46" i="12"/>
  <c r="M46" i="12"/>
  <c r="L46" i="12"/>
  <c r="K46" i="12"/>
  <c r="J46" i="12"/>
  <c r="I46" i="12"/>
  <c r="H46" i="12"/>
  <c r="G46" i="12"/>
  <c r="N45" i="12"/>
  <c r="M45" i="12"/>
  <c r="L45" i="12"/>
  <c r="K45" i="12"/>
  <c r="J45" i="12"/>
  <c r="I45" i="12"/>
  <c r="H45" i="12"/>
  <c r="G45" i="12"/>
  <c r="N44" i="12"/>
  <c r="M44" i="12"/>
  <c r="L44" i="12"/>
  <c r="K44" i="12"/>
  <c r="J44" i="12"/>
  <c r="I44" i="12"/>
  <c r="H44" i="12"/>
  <c r="G44" i="12"/>
  <c r="N43" i="12"/>
  <c r="M43" i="12"/>
  <c r="L43" i="12"/>
  <c r="K43" i="12"/>
  <c r="J43" i="12"/>
  <c r="I43" i="12"/>
  <c r="H43" i="12"/>
  <c r="G43" i="12"/>
  <c r="N42" i="12"/>
  <c r="M42" i="12"/>
  <c r="L42" i="12"/>
  <c r="K42" i="12"/>
  <c r="J42" i="12"/>
  <c r="I42" i="12"/>
  <c r="H42" i="12"/>
  <c r="G42" i="12"/>
  <c r="N41" i="12"/>
  <c r="M41" i="12"/>
  <c r="L41" i="12"/>
  <c r="K41" i="12"/>
  <c r="J41" i="12"/>
  <c r="I41" i="12"/>
  <c r="H41" i="12"/>
  <c r="G41" i="12"/>
  <c r="N40" i="12"/>
  <c r="M40" i="12"/>
  <c r="L40" i="12"/>
  <c r="K40" i="12"/>
  <c r="J40" i="12"/>
  <c r="I40" i="12"/>
  <c r="H40" i="12"/>
  <c r="G40" i="12"/>
  <c r="N39" i="12"/>
  <c r="M39" i="12"/>
  <c r="L39" i="12"/>
  <c r="K39" i="12"/>
  <c r="J39" i="12"/>
  <c r="I39" i="12"/>
  <c r="H39" i="12"/>
  <c r="G39" i="12"/>
  <c r="N38" i="12"/>
  <c r="M38" i="12"/>
  <c r="L38" i="12"/>
  <c r="K38" i="12"/>
  <c r="J38" i="12"/>
  <c r="I38" i="12"/>
  <c r="H38" i="12"/>
  <c r="G38" i="12"/>
  <c r="N37" i="12"/>
  <c r="M37" i="12"/>
  <c r="L37" i="12"/>
  <c r="K37" i="12"/>
  <c r="J37" i="12"/>
  <c r="I37" i="12"/>
  <c r="H37" i="12"/>
  <c r="G37" i="12"/>
  <c r="N36" i="12"/>
  <c r="M36" i="12"/>
  <c r="L36" i="12"/>
  <c r="K36" i="12"/>
  <c r="J36" i="12"/>
  <c r="I36" i="12"/>
  <c r="H36" i="12"/>
  <c r="G36" i="12"/>
  <c r="N34" i="12"/>
  <c r="M34" i="12"/>
  <c r="L34" i="12"/>
  <c r="K34" i="12"/>
  <c r="J34" i="12"/>
  <c r="I34" i="12"/>
  <c r="H34" i="12"/>
  <c r="G34" i="12"/>
  <c r="N33" i="12"/>
  <c r="M33" i="12"/>
  <c r="L33" i="12"/>
  <c r="K33" i="12"/>
  <c r="J33" i="12"/>
  <c r="I33" i="12"/>
  <c r="H33" i="12"/>
  <c r="G33" i="12"/>
  <c r="N32" i="12"/>
  <c r="M32" i="12"/>
  <c r="L32" i="12"/>
  <c r="K32" i="12"/>
  <c r="J32" i="12"/>
  <c r="I32" i="12"/>
  <c r="H32" i="12"/>
  <c r="G32" i="12"/>
  <c r="N31" i="12"/>
  <c r="M31" i="12"/>
  <c r="L31" i="12"/>
  <c r="K31" i="12"/>
  <c r="J31" i="12"/>
  <c r="I31" i="12"/>
  <c r="H31" i="12"/>
  <c r="G31" i="12"/>
  <c r="N30" i="12"/>
  <c r="M30" i="12"/>
  <c r="L30" i="12"/>
  <c r="K30" i="12"/>
  <c r="J30" i="12"/>
  <c r="I30" i="12"/>
  <c r="H30" i="12"/>
  <c r="G30" i="12"/>
  <c r="N29" i="12"/>
  <c r="M29" i="12"/>
  <c r="L29" i="12"/>
  <c r="K29" i="12"/>
  <c r="J29" i="12"/>
  <c r="I29" i="12"/>
  <c r="H29" i="12"/>
  <c r="G29" i="12"/>
  <c r="N28" i="12"/>
  <c r="M28" i="12"/>
  <c r="L28" i="12"/>
  <c r="K28" i="12"/>
  <c r="J28" i="12"/>
  <c r="I28" i="12"/>
  <c r="H28" i="12"/>
  <c r="G28" i="12"/>
  <c r="N27" i="12"/>
  <c r="M27" i="12"/>
  <c r="L27" i="12"/>
  <c r="K27" i="12"/>
  <c r="J27" i="12"/>
  <c r="I27" i="12"/>
  <c r="H27" i="12"/>
  <c r="G27" i="12"/>
  <c r="N25" i="12"/>
  <c r="M25" i="12"/>
  <c r="L25" i="12"/>
  <c r="K25" i="12"/>
  <c r="J25" i="12"/>
  <c r="I25" i="12"/>
  <c r="H25" i="12"/>
  <c r="G25" i="12"/>
  <c r="N24" i="12"/>
  <c r="M24" i="12"/>
  <c r="L24" i="12"/>
  <c r="K24" i="12"/>
  <c r="J24" i="12"/>
  <c r="I24" i="12"/>
  <c r="H24" i="12"/>
  <c r="G24" i="12"/>
  <c r="N23" i="12"/>
  <c r="M23" i="12"/>
  <c r="L23" i="12"/>
  <c r="K23" i="12"/>
  <c r="J23" i="12"/>
  <c r="I23" i="12"/>
  <c r="H23" i="12"/>
  <c r="G23" i="12"/>
  <c r="N22" i="12"/>
  <c r="M22" i="12"/>
  <c r="L22" i="12"/>
  <c r="K22" i="12"/>
  <c r="J22" i="12"/>
  <c r="I22" i="12"/>
  <c r="H22" i="12"/>
  <c r="G22" i="12"/>
  <c r="N21" i="12"/>
  <c r="M21" i="12"/>
  <c r="L21" i="12"/>
  <c r="K21" i="12"/>
  <c r="J21" i="12"/>
  <c r="I21" i="12"/>
  <c r="H21" i="12"/>
  <c r="G21" i="12"/>
  <c r="N20" i="12"/>
  <c r="M20" i="12"/>
  <c r="L20" i="12"/>
  <c r="K20" i="12"/>
  <c r="J20" i="12"/>
  <c r="I20" i="12"/>
  <c r="H20" i="12"/>
  <c r="G20" i="12"/>
  <c r="N19" i="12"/>
  <c r="M19" i="12"/>
  <c r="L19" i="12"/>
  <c r="K19" i="12"/>
  <c r="J19" i="12"/>
  <c r="I19" i="12"/>
  <c r="H19" i="12"/>
  <c r="G19" i="12"/>
  <c r="N18" i="12"/>
  <c r="M18" i="12"/>
  <c r="L18" i="12"/>
  <c r="K18" i="12"/>
  <c r="J18" i="12"/>
  <c r="I18" i="12"/>
  <c r="H18" i="12"/>
  <c r="G18" i="12"/>
  <c r="N17" i="12"/>
  <c r="M17" i="12"/>
  <c r="L17" i="12"/>
  <c r="K17" i="12"/>
  <c r="J17" i="12"/>
  <c r="I17" i="12"/>
  <c r="H17" i="12"/>
  <c r="G17" i="12"/>
  <c r="N15" i="12"/>
  <c r="M15" i="12"/>
  <c r="L15" i="12"/>
  <c r="K15" i="12"/>
  <c r="J15" i="12"/>
  <c r="I15" i="12"/>
  <c r="H15" i="12"/>
  <c r="G15" i="12"/>
  <c r="N14" i="12"/>
  <c r="M14" i="12"/>
  <c r="L14" i="12"/>
  <c r="K14" i="12"/>
  <c r="J14" i="12"/>
  <c r="I14" i="12"/>
  <c r="H14" i="12"/>
  <c r="G14" i="12"/>
  <c r="N13" i="12"/>
  <c r="M13" i="12"/>
  <c r="L13" i="12"/>
  <c r="K13" i="12"/>
  <c r="J13" i="12"/>
  <c r="I13" i="12"/>
  <c r="H13" i="12"/>
  <c r="G13" i="12"/>
  <c r="N12" i="12"/>
  <c r="M12" i="12"/>
  <c r="L12" i="12"/>
  <c r="K12" i="12"/>
  <c r="J12" i="12"/>
  <c r="I12" i="12"/>
  <c r="H12" i="12"/>
  <c r="G12" i="12"/>
  <c r="N11" i="12"/>
  <c r="M11" i="12"/>
  <c r="L11" i="12"/>
  <c r="K11" i="12"/>
  <c r="J11" i="12"/>
  <c r="I11" i="12"/>
  <c r="H11" i="12"/>
  <c r="G11" i="12"/>
  <c r="N10" i="12"/>
  <c r="M10" i="12"/>
  <c r="L10" i="12"/>
  <c r="K10" i="12"/>
  <c r="J10" i="12"/>
  <c r="I10" i="12"/>
  <c r="H10" i="12"/>
  <c r="G10" i="12"/>
  <c r="N9" i="12"/>
  <c r="M9" i="12"/>
  <c r="L9" i="12"/>
  <c r="K9" i="12"/>
  <c r="J9" i="12"/>
  <c r="I9" i="12"/>
  <c r="H9" i="12"/>
  <c r="G9" i="12"/>
  <c r="N8" i="12"/>
  <c r="M8" i="12"/>
  <c r="L8" i="12"/>
  <c r="K8" i="12"/>
  <c r="J8" i="12"/>
  <c r="I8" i="12"/>
  <c r="H8" i="12"/>
  <c r="G8" i="12"/>
  <c r="F74" i="12"/>
  <c r="F73" i="12"/>
  <c r="F72" i="12"/>
  <c r="F71" i="12"/>
  <c r="F70" i="12"/>
  <c r="F69" i="12"/>
  <c r="F68" i="12"/>
  <c r="F67" i="12"/>
  <c r="F65" i="12"/>
  <c r="F63" i="12"/>
  <c r="F61" i="12"/>
  <c r="F60" i="12"/>
  <c r="F59" i="12"/>
  <c r="F58" i="12"/>
  <c r="F57" i="12"/>
  <c r="F56" i="12"/>
  <c r="F55" i="12"/>
  <c r="F53" i="12"/>
  <c r="F52" i="12"/>
  <c r="F51" i="12"/>
  <c r="F50" i="12"/>
  <c r="F48" i="12"/>
  <c r="F47" i="12"/>
  <c r="F46" i="12"/>
  <c r="F45" i="12"/>
  <c r="F44" i="12"/>
  <c r="F43" i="12"/>
  <c r="F42" i="12"/>
  <c r="F41" i="12"/>
  <c r="F40" i="12"/>
  <c r="F39" i="12"/>
  <c r="F38" i="12"/>
  <c r="F37" i="12"/>
  <c r="F36" i="12"/>
  <c r="F34" i="12"/>
  <c r="F33" i="12"/>
  <c r="F32" i="12"/>
  <c r="F31" i="12"/>
  <c r="F30" i="12"/>
  <c r="F29" i="12"/>
  <c r="F28" i="12"/>
  <c r="F27" i="12"/>
  <c r="F25" i="12"/>
  <c r="F24" i="12"/>
  <c r="F23" i="12"/>
  <c r="F22" i="12"/>
  <c r="F21" i="12"/>
  <c r="F20" i="12"/>
  <c r="F19" i="12"/>
  <c r="F18" i="12"/>
  <c r="F17" i="12"/>
  <c r="F15" i="12"/>
  <c r="F14" i="12"/>
  <c r="F13" i="12"/>
  <c r="F12" i="12"/>
  <c r="F11" i="12"/>
  <c r="F10" i="12"/>
  <c r="F9" i="12"/>
  <c r="F8"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B181" i="17"/>
  <c r="B180" i="17"/>
  <c r="F178" i="12"/>
  <c r="G185" i="12"/>
  <c r="F185" i="12"/>
  <c r="G184" i="12"/>
  <c r="F184" i="12"/>
  <c r="G183" i="12"/>
  <c r="F183" i="12"/>
  <c r="B273" i="17"/>
  <c r="B304" i="17"/>
  <c r="H190" i="12"/>
  <c r="Q18" i="25" l="1"/>
  <c r="E15" i="25"/>
  <c r="C16" i="25" s="1"/>
  <c r="B45" i="7"/>
  <c r="I392" i="13"/>
  <c r="D1060" i="16" s="1"/>
  <c r="J1060" i="16"/>
  <c r="I1060" i="16"/>
  <c r="H1060" i="16"/>
  <c r="G1060" i="16"/>
  <c r="F1060" i="16"/>
  <c r="E1060" i="16"/>
  <c r="C1060" i="16"/>
  <c r="C1059" i="16"/>
  <c r="C1058" i="16"/>
  <c r="B1057" i="16"/>
  <c r="J1056" i="16"/>
  <c r="I1056" i="16"/>
  <c r="H1056" i="16"/>
  <c r="G1056" i="16"/>
  <c r="F1056" i="16"/>
  <c r="E1056" i="16"/>
  <c r="D1056" i="16"/>
  <c r="C1056" i="16"/>
  <c r="B1056" i="16"/>
  <c r="B1079" i="17"/>
  <c r="B1055" i="16"/>
  <c r="F110" i="12"/>
  <c r="J520" i="16"/>
  <c r="I520" i="16"/>
  <c r="H520" i="16"/>
  <c r="G520" i="16"/>
  <c r="F520" i="16"/>
  <c r="E520" i="16"/>
  <c r="D520" i="16"/>
  <c r="C520" i="16"/>
  <c r="B520" i="16"/>
  <c r="B1054" i="16"/>
  <c r="D1053" i="16"/>
  <c r="C1053" i="16"/>
  <c r="B1053" i="16"/>
  <c r="B1052" i="16"/>
  <c r="J127" i="12"/>
  <c r="I126" i="12"/>
  <c r="I125" i="12"/>
  <c r="G106" i="12"/>
  <c r="B1050" i="16"/>
  <c r="O19" i="25" l="1"/>
  <c r="H17" i="25"/>
  <c r="B16" i="25"/>
  <c r="J934" i="3"/>
  <c r="K934" i="3" s="1"/>
  <c r="L934" i="3" s="1"/>
  <c r="M934" i="3" s="1"/>
  <c r="N934" i="3" s="1"/>
  <c r="H934" i="3"/>
  <c r="G934" i="3"/>
  <c r="N19" i="25" l="1"/>
  <c r="K17" i="25"/>
  <c r="I18" i="25" s="1"/>
  <c r="E16" i="25"/>
  <c r="N168" i="12"/>
  <c r="M168" i="12"/>
  <c r="L168" i="12"/>
  <c r="K168" i="12"/>
  <c r="J168" i="12"/>
  <c r="I168" i="12"/>
  <c r="H168" i="12"/>
  <c r="G168" i="12"/>
  <c r="F168" i="12"/>
  <c r="O564" i="13"/>
  <c r="N564" i="13"/>
  <c r="M564" i="13"/>
  <c r="L564" i="13"/>
  <c r="K564" i="13"/>
  <c r="J564" i="13"/>
  <c r="I564" i="13"/>
  <c r="H564" i="13"/>
  <c r="G564" i="13"/>
  <c r="J115" i="16"/>
  <c r="I115" i="16"/>
  <c r="H115" i="16"/>
  <c r="G115" i="16"/>
  <c r="F115" i="16"/>
  <c r="E115" i="16"/>
  <c r="C115" i="16"/>
  <c r="J52" i="16"/>
  <c r="I52" i="16"/>
  <c r="H52" i="16"/>
  <c r="G52" i="16"/>
  <c r="F52" i="16"/>
  <c r="E52" i="16"/>
  <c r="D52" i="16"/>
  <c r="C52" i="16"/>
  <c r="B52" i="16"/>
  <c r="J147" i="16"/>
  <c r="I147" i="16"/>
  <c r="H147" i="16"/>
  <c r="G147" i="16"/>
  <c r="F147" i="16"/>
  <c r="E147" i="16"/>
  <c r="D147" i="16"/>
  <c r="C147" i="16"/>
  <c r="B147" i="16"/>
  <c r="D21" i="22"/>
  <c r="D20" i="22"/>
  <c r="D19" i="22"/>
  <c r="D18" i="22"/>
  <c r="D17" i="22"/>
  <c r="D16" i="22"/>
  <c r="D15" i="22"/>
  <c r="D14" i="22"/>
  <c r="D13" i="22"/>
  <c r="D12" i="22"/>
  <c r="D11" i="22"/>
  <c r="D10" i="22"/>
  <c r="D9" i="22"/>
  <c r="D8" i="22"/>
  <c r="D7" i="22"/>
  <c r="E41" i="9"/>
  <c r="F41" i="9" s="1"/>
  <c r="G41" i="9" s="1"/>
  <c r="H41" i="9" s="1"/>
  <c r="I41" i="9" s="1"/>
  <c r="J41" i="9" s="1"/>
  <c r="K41" i="9" s="1"/>
  <c r="L41" i="9" s="1"/>
  <c r="M41" i="9" s="1"/>
  <c r="D41" i="9"/>
  <c r="D41" i="8"/>
  <c r="E41" i="8" s="1"/>
  <c r="F41" i="8" s="1"/>
  <c r="G41" i="8" s="1"/>
  <c r="H41" i="8" s="1"/>
  <c r="I41" i="8" s="1"/>
  <c r="J41" i="8" s="1"/>
  <c r="K41" i="8" s="1"/>
  <c r="L41" i="8" s="1"/>
  <c r="M41" i="8" s="1"/>
  <c r="B33" i="8"/>
  <c r="B32" i="8"/>
  <c r="D30" i="22" l="1"/>
  <c r="Q19" i="25"/>
  <c r="O20" i="25" s="1"/>
  <c r="C17" i="25"/>
  <c r="D40" i="8" l="1"/>
  <c r="D40" i="9"/>
  <c r="N20" i="25"/>
  <c r="H18" i="25"/>
  <c r="B17" i="25"/>
  <c r="C59" i="8"/>
  <c r="B59" i="8"/>
  <c r="C51" i="8"/>
  <c r="B51" i="8"/>
  <c r="C43" i="8"/>
  <c r="B43" i="8"/>
  <c r="C33" i="8"/>
  <c r="C32" i="8"/>
  <c r="C27" i="8"/>
  <c r="B27" i="8"/>
  <c r="C19" i="8"/>
  <c r="B19" i="8"/>
  <c r="C11" i="8"/>
  <c r="B11" i="8"/>
  <c r="Q20" i="25" l="1"/>
  <c r="O21" i="25" s="1"/>
  <c r="K18" i="25"/>
  <c r="I19" i="25" s="1"/>
  <c r="E17" i="25"/>
  <c r="C18" i="25" s="1"/>
  <c r="C35" i="8"/>
  <c r="B35" i="8"/>
  <c r="N21" i="25" l="1"/>
  <c r="B18" i="25"/>
  <c r="C59" i="9"/>
  <c r="B59" i="9"/>
  <c r="Q21" i="25" l="1"/>
  <c r="O22" i="25" s="1"/>
  <c r="H19" i="25"/>
  <c r="E18" i="25"/>
  <c r="C19" i="25" s="1"/>
  <c r="N22" i="25" l="1"/>
  <c r="K19" i="25"/>
  <c r="I20" i="25" s="1"/>
  <c r="B19" i="25"/>
  <c r="Q22" i="25" l="1"/>
  <c r="O23" i="25" s="1"/>
  <c r="N23" i="25" s="1"/>
  <c r="Q23" i="25" s="1"/>
  <c r="O24" i="25" s="1"/>
  <c r="N24" i="25" s="1"/>
  <c r="Q24" i="25" s="1"/>
  <c r="O25" i="25" s="1"/>
  <c r="N25" i="25" s="1"/>
  <c r="Q25" i="25" s="1"/>
  <c r="O26" i="25" s="1"/>
  <c r="N26" i="25" s="1"/>
  <c r="Q26" i="25" s="1"/>
  <c r="O27" i="25" s="1"/>
  <c r="N27" i="25" s="1"/>
  <c r="Q27" i="25" s="1"/>
  <c r="O28" i="25" s="1"/>
  <c r="N28" i="25" s="1"/>
  <c r="Q28" i="25" s="1"/>
  <c r="O29" i="25" s="1"/>
  <c r="N29" i="25" s="1"/>
  <c r="Q29" i="25" s="1"/>
  <c r="E19" i="25"/>
  <c r="C20" i="25" s="1"/>
  <c r="O30" i="25" l="1"/>
  <c r="N30" i="25" s="1"/>
  <c r="Q30" i="25" s="1"/>
  <c r="H20" i="25"/>
  <c r="B20" i="25"/>
  <c r="E20" i="25" s="1"/>
  <c r="C21" i="25" s="1"/>
  <c r="B21" i="25" s="1"/>
  <c r="E21" i="25" s="1"/>
  <c r="C22" i="25" s="1"/>
  <c r="B22" i="25" s="1"/>
  <c r="E22" i="25" s="1"/>
  <c r="C23" i="25" s="1"/>
  <c r="B23" i="25" s="1"/>
  <c r="E23" i="25" s="1"/>
  <c r="C24" i="25" s="1"/>
  <c r="B24" i="25" s="1"/>
  <c r="E24" i="25" s="1"/>
  <c r="C25" i="25" s="1"/>
  <c r="B25" i="25" s="1"/>
  <c r="E25" i="25" s="1"/>
  <c r="C26" i="25" s="1"/>
  <c r="B26" i="25" s="1"/>
  <c r="E26" i="25" s="1"/>
  <c r="C27" i="25" s="1"/>
  <c r="B27" i="25" s="1"/>
  <c r="E27" i="25" s="1"/>
  <c r="C28" i="25" s="1"/>
  <c r="B28" i="25" s="1"/>
  <c r="E28" i="25" s="1"/>
  <c r="O31" i="25" l="1"/>
  <c r="N31" i="25" s="1"/>
  <c r="Q31" i="25" s="1"/>
  <c r="K20" i="25"/>
  <c r="I21" i="25" s="1"/>
  <c r="C29" i="25"/>
  <c r="B29" i="25" s="1"/>
  <c r="E29" i="25" s="1"/>
  <c r="O32" i="25" l="1"/>
  <c r="N32" i="25" s="1"/>
  <c r="Q32" i="25" s="1"/>
  <c r="H21" i="25"/>
  <c r="K21" i="25" s="1"/>
  <c r="I22" i="25" s="1"/>
  <c r="C30" i="25"/>
  <c r="B30" i="25" s="1"/>
  <c r="E30" i="25" s="1"/>
  <c r="O33" i="25" l="1"/>
  <c r="N33" i="25" s="1"/>
  <c r="Q33" i="25" s="1"/>
  <c r="H22" i="25"/>
  <c r="K22" i="25" s="1"/>
  <c r="I23" i="25" s="1"/>
  <c r="C31" i="25"/>
  <c r="B31" i="25" s="1"/>
  <c r="E31" i="25" s="1"/>
  <c r="G210" i="3"/>
  <c r="H210" i="3" s="1"/>
  <c r="I210" i="3" s="1"/>
  <c r="J210" i="3" s="1"/>
  <c r="K210" i="3" s="1"/>
  <c r="L210" i="3" s="1"/>
  <c r="M210" i="3" s="1"/>
  <c r="N210" i="3" s="1"/>
  <c r="G209" i="3"/>
  <c r="H209" i="3" s="1"/>
  <c r="I209" i="3" s="1"/>
  <c r="J209" i="3" s="1"/>
  <c r="K209" i="3" s="1"/>
  <c r="L209" i="3" s="1"/>
  <c r="M209" i="3" s="1"/>
  <c r="N209" i="3" s="1"/>
  <c r="G208" i="3"/>
  <c r="H208" i="3" s="1"/>
  <c r="I208" i="3" s="1"/>
  <c r="J208" i="3" s="1"/>
  <c r="K208" i="3" s="1"/>
  <c r="L208" i="3" s="1"/>
  <c r="M208" i="3" s="1"/>
  <c r="N208" i="3" s="1"/>
  <c r="F210" i="3"/>
  <c r="F209" i="3"/>
  <c r="F208" i="3"/>
  <c r="G1676" i="3"/>
  <c r="H1676" i="3" s="1"/>
  <c r="I1676" i="3" s="1"/>
  <c r="J1676" i="3" s="1"/>
  <c r="K1676" i="3" s="1"/>
  <c r="L1676" i="3" s="1"/>
  <c r="M1676" i="3" s="1"/>
  <c r="N1676" i="3" s="1"/>
  <c r="F1676" i="3"/>
  <c r="G1675" i="3"/>
  <c r="H1675" i="3" s="1"/>
  <c r="I1675" i="3" s="1"/>
  <c r="J1675" i="3" s="1"/>
  <c r="K1675" i="3" s="1"/>
  <c r="L1675" i="3" s="1"/>
  <c r="M1675" i="3" s="1"/>
  <c r="N1675" i="3" s="1"/>
  <c r="F1675" i="3"/>
  <c r="H1674" i="3"/>
  <c r="I1674" i="3" s="1"/>
  <c r="J1674" i="3" s="1"/>
  <c r="K1674" i="3" s="1"/>
  <c r="L1674" i="3" s="1"/>
  <c r="M1674" i="3" s="1"/>
  <c r="N1674" i="3" s="1"/>
  <c r="G1674" i="3"/>
  <c r="F1674" i="3"/>
  <c r="F1673" i="3"/>
  <c r="G1673" i="3" s="1"/>
  <c r="H1673" i="3" s="1"/>
  <c r="I1673" i="3" s="1"/>
  <c r="J1673" i="3" s="1"/>
  <c r="K1673" i="3" s="1"/>
  <c r="L1673" i="3" s="1"/>
  <c r="M1673" i="3" s="1"/>
  <c r="N1673" i="3" s="1"/>
  <c r="F1671" i="3"/>
  <c r="G1671" i="3" s="1"/>
  <c r="H1671" i="3" s="1"/>
  <c r="I1671" i="3" s="1"/>
  <c r="J1671" i="3" s="1"/>
  <c r="K1671" i="3" s="1"/>
  <c r="L1671" i="3" s="1"/>
  <c r="M1671" i="3" s="1"/>
  <c r="N1671" i="3" s="1"/>
  <c r="F1670" i="3"/>
  <c r="G1670" i="3" s="1"/>
  <c r="H1670" i="3" s="1"/>
  <c r="I1670" i="3" s="1"/>
  <c r="J1670" i="3" s="1"/>
  <c r="K1670" i="3" s="1"/>
  <c r="L1670" i="3" s="1"/>
  <c r="M1670" i="3" s="1"/>
  <c r="N1670" i="3" s="1"/>
  <c r="F1669" i="3"/>
  <c r="G1669" i="3" s="1"/>
  <c r="H1669" i="3" s="1"/>
  <c r="I1669" i="3" s="1"/>
  <c r="J1669" i="3" s="1"/>
  <c r="K1669" i="3" s="1"/>
  <c r="L1669" i="3" s="1"/>
  <c r="M1669" i="3" s="1"/>
  <c r="N1669" i="3" s="1"/>
  <c r="H1662" i="3"/>
  <c r="I1662" i="3" s="1"/>
  <c r="J1662" i="3" s="1"/>
  <c r="K1662" i="3" s="1"/>
  <c r="L1662" i="3" s="1"/>
  <c r="M1662" i="3" s="1"/>
  <c r="N1662" i="3" s="1"/>
  <c r="G1662" i="3"/>
  <c r="F1662" i="3"/>
  <c r="H1776" i="3"/>
  <c r="I1776" i="3" s="1"/>
  <c r="J1776" i="3" s="1"/>
  <c r="K1776" i="3" s="1"/>
  <c r="L1776" i="3" s="1"/>
  <c r="M1776" i="3" s="1"/>
  <c r="N1776" i="3" s="1"/>
  <c r="G1776" i="3"/>
  <c r="H1775" i="3"/>
  <c r="I1775" i="3" s="1"/>
  <c r="J1775" i="3" s="1"/>
  <c r="K1775" i="3" s="1"/>
  <c r="L1775" i="3" s="1"/>
  <c r="M1775" i="3" s="1"/>
  <c r="N1775" i="3" s="1"/>
  <c r="G1775" i="3"/>
  <c r="F1776" i="3"/>
  <c r="F1775" i="3"/>
  <c r="O780" i="13"/>
  <c r="N780" i="13"/>
  <c r="M780" i="13"/>
  <c r="L780" i="13"/>
  <c r="K780" i="13"/>
  <c r="J780" i="13"/>
  <c r="I780" i="13"/>
  <c r="H780" i="13"/>
  <c r="G780" i="13"/>
  <c r="O779" i="13"/>
  <c r="N779" i="13"/>
  <c r="M779" i="13"/>
  <c r="L779" i="13"/>
  <c r="K779" i="13"/>
  <c r="J779" i="13"/>
  <c r="I779" i="13"/>
  <c r="H779" i="13"/>
  <c r="G779" i="13"/>
  <c r="F779" i="13"/>
  <c r="F780" i="13"/>
  <c r="O778" i="13"/>
  <c r="N778" i="13"/>
  <c r="M778" i="13"/>
  <c r="L778" i="13"/>
  <c r="K778" i="13"/>
  <c r="J778" i="13"/>
  <c r="I778" i="13"/>
  <c r="H778" i="13"/>
  <c r="G778" i="13"/>
  <c r="F778" i="13"/>
  <c r="F792" i="13"/>
  <c r="F785" i="13"/>
  <c r="H786" i="13"/>
  <c r="G786" i="13"/>
  <c r="O787" i="13"/>
  <c r="N787" i="13"/>
  <c r="M787" i="13"/>
  <c r="L787" i="13"/>
  <c r="K787" i="13"/>
  <c r="J787" i="13"/>
  <c r="I787" i="13"/>
  <c r="H787" i="13"/>
  <c r="G787" i="13"/>
  <c r="O786" i="13"/>
  <c r="N786" i="13"/>
  <c r="M786" i="13"/>
  <c r="M789" i="13" s="1"/>
  <c r="L786" i="13"/>
  <c r="K786" i="13"/>
  <c r="J786" i="13"/>
  <c r="I786" i="13"/>
  <c r="I789" i="13" s="1"/>
  <c r="O785" i="13"/>
  <c r="N785" i="13"/>
  <c r="N789" i="13" s="1"/>
  <c r="M785" i="13"/>
  <c r="L785" i="13"/>
  <c r="K785" i="13"/>
  <c r="K789" i="13" s="1"/>
  <c r="J785" i="13"/>
  <c r="J789" i="13" s="1"/>
  <c r="I785" i="13"/>
  <c r="H785" i="13"/>
  <c r="H789" i="13" s="1"/>
  <c r="G785" i="13"/>
  <c r="O794" i="13"/>
  <c r="N794" i="13"/>
  <c r="M794" i="13"/>
  <c r="L794" i="13"/>
  <c r="K794" i="13"/>
  <c r="J794" i="13"/>
  <c r="I794" i="13"/>
  <c r="H794" i="13"/>
  <c r="O793" i="13"/>
  <c r="N793" i="13"/>
  <c r="M793" i="13"/>
  <c r="L793" i="13"/>
  <c r="K793" i="13"/>
  <c r="J793" i="13"/>
  <c r="I793" i="13"/>
  <c r="H793" i="13"/>
  <c r="O792" i="13"/>
  <c r="O796" i="13" s="1"/>
  <c r="N792" i="13"/>
  <c r="N796" i="13" s="1"/>
  <c r="M792" i="13"/>
  <c r="M796" i="13" s="1"/>
  <c r="L792" i="13"/>
  <c r="L796" i="13" s="1"/>
  <c r="K792" i="13"/>
  <c r="J792" i="13"/>
  <c r="J796" i="13" s="1"/>
  <c r="I792" i="13"/>
  <c r="I796" i="13" s="1"/>
  <c r="H792" i="13"/>
  <c r="H796" i="13" s="1"/>
  <c r="G794" i="13"/>
  <c r="G793" i="13"/>
  <c r="G792" i="13"/>
  <c r="K796" i="13"/>
  <c r="G789" i="13"/>
  <c r="H82" i="12"/>
  <c r="I82" i="12" s="1"/>
  <c r="J82" i="12" s="1"/>
  <c r="K82" i="12" s="1"/>
  <c r="L82" i="12" s="1"/>
  <c r="M82" i="12" s="1"/>
  <c r="N82" i="12" s="1"/>
  <c r="G82" i="12"/>
  <c r="F82" i="12"/>
  <c r="C51" i="9"/>
  <c r="B51" i="9"/>
  <c r="C43" i="9"/>
  <c r="B43" i="9"/>
  <c r="O34" i="25" l="1"/>
  <c r="N34" i="25" s="1"/>
  <c r="Q34" i="25" s="1"/>
  <c r="H23" i="25"/>
  <c r="K23" i="25" s="1"/>
  <c r="I24" i="25" s="1"/>
  <c r="C32" i="25"/>
  <c r="B32" i="25" s="1"/>
  <c r="E32" i="25" s="1"/>
  <c r="L782" i="13"/>
  <c r="L799" i="13" s="1"/>
  <c r="J782" i="13"/>
  <c r="J799" i="13" s="1"/>
  <c r="K782" i="13"/>
  <c r="K799" i="13" s="1"/>
  <c r="O782" i="13"/>
  <c r="O799" i="13" s="1"/>
  <c r="I782" i="13"/>
  <c r="I799" i="13" s="1"/>
  <c r="M782" i="13"/>
  <c r="M799" i="13" s="1"/>
  <c r="L48" i="8"/>
  <c r="L48" i="9"/>
  <c r="E48" i="8"/>
  <c r="E48" i="9"/>
  <c r="I48" i="8"/>
  <c r="I48" i="9"/>
  <c r="M48" i="8"/>
  <c r="M48" i="9"/>
  <c r="H782" i="13"/>
  <c r="H799" i="13" s="1"/>
  <c r="H48" i="8"/>
  <c r="H48" i="9"/>
  <c r="F48" i="8"/>
  <c r="F48" i="9"/>
  <c r="J48" i="8"/>
  <c r="J48" i="9"/>
  <c r="D48" i="8"/>
  <c r="D48" i="9"/>
  <c r="N782" i="13"/>
  <c r="N799" i="13" s="1"/>
  <c r="G48" i="8"/>
  <c r="G48" i="9"/>
  <c r="K48" i="8"/>
  <c r="K48" i="9"/>
  <c r="G782" i="13"/>
  <c r="G799" i="13" s="1"/>
  <c r="F782" i="13"/>
  <c r="F799" i="13" s="1"/>
  <c r="O789" i="13"/>
  <c r="G796" i="13"/>
  <c r="L789" i="13"/>
  <c r="D43" i="9" l="1"/>
  <c r="D43" i="8"/>
  <c r="O35" i="25"/>
  <c r="N35" i="25" s="1"/>
  <c r="Q35" i="25" s="1"/>
  <c r="H24" i="25"/>
  <c r="K24" i="25" s="1"/>
  <c r="I25" i="25" s="1"/>
  <c r="C33" i="25"/>
  <c r="B33" i="25" s="1"/>
  <c r="E33" i="25" s="1"/>
  <c r="C35" i="9"/>
  <c r="B35" i="9"/>
  <c r="C33" i="9"/>
  <c r="C32" i="9"/>
  <c r="B33" i="9"/>
  <c r="B32" i="9"/>
  <c r="O36" i="25" l="1"/>
  <c r="N36" i="25" s="1"/>
  <c r="Q36" i="25" s="1"/>
  <c r="H25" i="25"/>
  <c r="K25" i="25" s="1"/>
  <c r="I26" i="25" s="1"/>
  <c r="C34" i="25"/>
  <c r="B34" i="25" s="1"/>
  <c r="E34" i="25" s="1"/>
  <c r="C27" i="9"/>
  <c r="B27" i="9"/>
  <c r="C19" i="9"/>
  <c r="B19" i="9"/>
  <c r="C11" i="9"/>
  <c r="B11" i="9"/>
  <c r="O37" i="25" l="1"/>
  <c r="N37" i="25" s="1"/>
  <c r="Q37" i="25" s="1"/>
  <c r="H26" i="25"/>
  <c r="K26" i="25" s="1"/>
  <c r="I27" i="25" s="1"/>
  <c r="C35" i="25"/>
  <c r="B35" i="25" s="1"/>
  <c r="E35" i="25" s="1"/>
  <c r="N167" i="3"/>
  <c r="J110" i="17" s="1"/>
  <c r="M167" i="3"/>
  <c r="I1009" i="17" s="1"/>
  <c r="L167" i="3"/>
  <c r="H1009" i="17" s="1"/>
  <c r="K167" i="3"/>
  <c r="G1009" i="17" s="1"/>
  <c r="J167" i="3"/>
  <c r="F110" i="17" s="1"/>
  <c r="I167" i="3"/>
  <c r="E1009" i="17" s="1"/>
  <c r="H167" i="3"/>
  <c r="D1009" i="17" s="1"/>
  <c r="G167" i="3"/>
  <c r="C1009" i="17" s="1"/>
  <c r="F167" i="3"/>
  <c r="B110" i="17" s="1"/>
  <c r="G164" i="3"/>
  <c r="H164" i="3" s="1"/>
  <c r="I164" i="3" s="1"/>
  <c r="J164" i="3" s="1"/>
  <c r="K164" i="3" s="1"/>
  <c r="L164" i="3" s="1"/>
  <c r="M164" i="3" s="1"/>
  <c r="N164" i="3" s="1"/>
  <c r="F164" i="3"/>
  <c r="N2068" i="3"/>
  <c r="M2068" i="3"/>
  <c r="L2068" i="3"/>
  <c r="K2068" i="3"/>
  <c r="J2068" i="3"/>
  <c r="I2068" i="3"/>
  <c r="H2068" i="3"/>
  <c r="G2068" i="3"/>
  <c r="F2068" i="3"/>
  <c r="N1959" i="3"/>
  <c r="M1959" i="3"/>
  <c r="L1959" i="3"/>
  <c r="K1959" i="3"/>
  <c r="J1959" i="3"/>
  <c r="I1959" i="3"/>
  <c r="H1959" i="3"/>
  <c r="G1959" i="3"/>
  <c r="F1959" i="3"/>
  <c r="C110" i="17" l="1"/>
  <c r="G110" i="17"/>
  <c r="B1009" i="17"/>
  <c r="F1009" i="17"/>
  <c r="J1009" i="17"/>
  <c r="D110" i="17"/>
  <c r="H110" i="17"/>
  <c r="E110" i="17"/>
  <c r="I110" i="17"/>
  <c r="O38" i="25"/>
  <c r="N38" i="25" s="1"/>
  <c r="Q38" i="25" s="1"/>
  <c r="H27" i="25"/>
  <c r="K27" i="25" s="1"/>
  <c r="I28" i="25" s="1"/>
  <c r="C36" i="25"/>
  <c r="B36" i="25" s="1"/>
  <c r="E36" i="25" s="1"/>
  <c r="J2017" i="17"/>
  <c r="I2017" i="17"/>
  <c r="H2017" i="17"/>
  <c r="G2017" i="17"/>
  <c r="F2017" i="17"/>
  <c r="E2017" i="17"/>
  <c r="D2017" i="17"/>
  <c r="C2017" i="17"/>
  <c r="B2017" i="17"/>
  <c r="J1987" i="17"/>
  <c r="I1987" i="17"/>
  <c r="H1987" i="17"/>
  <c r="G1987" i="17"/>
  <c r="F1987" i="17"/>
  <c r="E1987" i="17"/>
  <c r="D1987" i="17"/>
  <c r="C1987" i="17"/>
  <c r="B1987" i="17"/>
  <c r="J2086" i="17"/>
  <c r="I2086" i="17"/>
  <c r="H2086" i="17"/>
  <c r="G2086" i="17"/>
  <c r="F2086" i="17"/>
  <c r="E2086" i="17"/>
  <c r="D2086" i="17"/>
  <c r="C2086" i="17"/>
  <c r="B2086" i="17"/>
  <c r="J2056" i="17"/>
  <c r="I2056" i="17"/>
  <c r="H2056" i="17"/>
  <c r="G2056" i="17"/>
  <c r="F2056" i="17"/>
  <c r="E2056" i="17"/>
  <c r="D2056" i="17"/>
  <c r="C2056" i="17"/>
  <c r="B2056" i="17"/>
  <c r="C46" i="18"/>
  <c r="C44" i="18"/>
  <c r="C48" i="18" s="1"/>
  <c r="C64" i="18"/>
  <c r="C62" i="18"/>
  <c r="C53" i="18"/>
  <c r="C55" i="18"/>
  <c r="AB13" i="18"/>
  <c r="Y13" i="18"/>
  <c r="V13" i="18"/>
  <c r="S13" i="18"/>
  <c r="P13" i="18"/>
  <c r="M13" i="18"/>
  <c r="J13" i="18"/>
  <c r="G13" i="18"/>
  <c r="D13" i="18"/>
  <c r="D6" i="18"/>
  <c r="L1927" i="17"/>
  <c r="L1925" i="17"/>
  <c r="L1924" i="17"/>
  <c r="L1923" i="17"/>
  <c r="L1922" i="17"/>
  <c r="L1921" i="17"/>
  <c r="L1920" i="17"/>
  <c r="L1919" i="17"/>
  <c r="L1918" i="17"/>
  <c r="L1917" i="17"/>
  <c r="L1916" i="17"/>
  <c r="L1915" i="17"/>
  <c r="L1914" i="17"/>
  <c r="L1913" i="17"/>
  <c r="L1910" i="17"/>
  <c r="L1909" i="17"/>
  <c r="L1908" i="17"/>
  <c r="L1907" i="17"/>
  <c r="L1906" i="17"/>
  <c r="L1904" i="17"/>
  <c r="L1903" i="17"/>
  <c r="L1902" i="17"/>
  <c r="L1901" i="17"/>
  <c r="L1900" i="17"/>
  <c r="L1899" i="17"/>
  <c r="L1898" i="17"/>
  <c r="L1896" i="17"/>
  <c r="L1894" i="17"/>
  <c r="L1893" i="17"/>
  <c r="L1892" i="17"/>
  <c r="L1891" i="17"/>
  <c r="L1890" i="17"/>
  <c r="L1889" i="17"/>
  <c r="L1888" i="17"/>
  <c r="L1887" i="17"/>
  <c r="L1886" i="17"/>
  <c r="L1885" i="17"/>
  <c r="L1884" i="17"/>
  <c r="L1883" i="17"/>
  <c r="L1882" i="17"/>
  <c r="L1881" i="17"/>
  <c r="L1879" i="17"/>
  <c r="L1878" i="17"/>
  <c r="L1877" i="17"/>
  <c r="L1876" i="17"/>
  <c r="L1875" i="17"/>
  <c r="L1873" i="17"/>
  <c r="L1872" i="17"/>
  <c r="L1871" i="17"/>
  <c r="L1870" i="17"/>
  <c r="L1869" i="17"/>
  <c r="L1868" i="17"/>
  <c r="L1867" i="17"/>
  <c r="L1865" i="17"/>
  <c r="L1863" i="17"/>
  <c r="L1862" i="17"/>
  <c r="L1861" i="17"/>
  <c r="L1860" i="17"/>
  <c r="L1859" i="17"/>
  <c r="L1858" i="17"/>
  <c r="L1857" i="17"/>
  <c r="L1856" i="17"/>
  <c r="L1855" i="17"/>
  <c r="L1854" i="17"/>
  <c r="L1853" i="17"/>
  <c r="L1852" i="17"/>
  <c r="L1851" i="17"/>
  <c r="L1850" i="17"/>
  <c r="L1848" i="17"/>
  <c r="L1847" i="17"/>
  <c r="L1846" i="17"/>
  <c r="L1845" i="17"/>
  <c r="L1844" i="17"/>
  <c r="L1842" i="17"/>
  <c r="L1841" i="17"/>
  <c r="L1840" i="17"/>
  <c r="L1839" i="17"/>
  <c r="L1838" i="17"/>
  <c r="L1837" i="17"/>
  <c r="L1836" i="17"/>
  <c r="L1834" i="17"/>
  <c r="L1832" i="17"/>
  <c r="L1831" i="17"/>
  <c r="L1830" i="17"/>
  <c r="L1829" i="17"/>
  <c r="L1828" i="17"/>
  <c r="L1827" i="17"/>
  <c r="L1826" i="17"/>
  <c r="L1825" i="17"/>
  <c r="L1824" i="17"/>
  <c r="L1823" i="17"/>
  <c r="L1822" i="17"/>
  <c r="L1821" i="17"/>
  <c r="L1820" i="17"/>
  <c r="L1819" i="17"/>
  <c r="L1817" i="17"/>
  <c r="L1816" i="17"/>
  <c r="L1815" i="17"/>
  <c r="L1814" i="17"/>
  <c r="L1813" i="17"/>
  <c r="L1811" i="17"/>
  <c r="L1810" i="17"/>
  <c r="L1809" i="17"/>
  <c r="L1808" i="17"/>
  <c r="L1807" i="17"/>
  <c r="L1806" i="17"/>
  <c r="L1805" i="17"/>
  <c r="L1803" i="17"/>
  <c r="L1801" i="17"/>
  <c r="L1800" i="17"/>
  <c r="L1799" i="17"/>
  <c r="L1798" i="17"/>
  <c r="L1797" i="17"/>
  <c r="L1796" i="17"/>
  <c r="L1795" i="17"/>
  <c r="L1794" i="17"/>
  <c r="L1793" i="17"/>
  <c r="L1792" i="17"/>
  <c r="L1791" i="17"/>
  <c r="L1790" i="17"/>
  <c r="L1789" i="17"/>
  <c r="L1788" i="17"/>
  <c r="L1786" i="17"/>
  <c r="L1785" i="17"/>
  <c r="L1784" i="17"/>
  <c r="L1783" i="17"/>
  <c r="L1782" i="17"/>
  <c r="L1780" i="17"/>
  <c r="L1779" i="17"/>
  <c r="L1778" i="17"/>
  <c r="L1777" i="17"/>
  <c r="L1776" i="17"/>
  <c r="L1775" i="17"/>
  <c r="L1774" i="17"/>
  <c r="L1772" i="17"/>
  <c r="L1770" i="17"/>
  <c r="L1769" i="17"/>
  <c r="L1768" i="17"/>
  <c r="L1767" i="17"/>
  <c r="L1766" i="17"/>
  <c r="L1765" i="17"/>
  <c r="L1764" i="17"/>
  <c r="L1763" i="17"/>
  <c r="L1762" i="17"/>
  <c r="L1761" i="17"/>
  <c r="L1760" i="17"/>
  <c r="L1759" i="17"/>
  <c r="L1758" i="17"/>
  <c r="L1757" i="17"/>
  <c r="L1755" i="17"/>
  <c r="L1754" i="17"/>
  <c r="L1753" i="17"/>
  <c r="L1752" i="17"/>
  <c r="L1751" i="17"/>
  <c r="L1749" i="17"/>
  <c r="L1748" i="17"/>
  <c r="L1747" i="17"/>
  <c r="L1746" i="17"/>
  <c r="L1745" i="17"/>
  <c r="L1744" i="17"/>
  <c r="L1743" i="17"/>
  <c r="L1741" i="17"/>
  <c r="L1739" i="17"/>
  <c r="L1738" i="17"/>
  <c r="L1737" i="17"/>
  <c r="L1736" i="17"/>
  <c r="L1735" i="17"/>
  <c r="L1734" i="17"/>
  <c r="L1733" i="17"/>
  <c r="L1732" i="17"/>
  <c r="L1731" i="17"/>
  <c r="L1730" i="17"/>
  <c r="L1729" i="17"/>
  <c r="L1728" i="17"/>
  <c r="L1727" i="17"/>
  <c r="L1726" i="17"/>
  <c r="L1724" i="17"/>
  <c r="L1723" i="17"/>
  <c r="L1722" i="17"/>
  <c r="L1721" i="17"/>
  <c r="L1720" i="17"/>
  <c r="L1718" i="17"/>
  <c r="L1717" i="17"/>
  <c r="L1716" i="17"/>
  <c r="L1715" i="17"/>
  <c r="L1714" i="17"/>
  <c r="L1713" i="17"/>
  <c r="L1712" i="17"/>
  <c r="L1710" i="17"/>
  <c r="L1708" i="17"/>
  <c r="L1707" i="17"/>
  <c r="L1706" i="17"/>
  <c r="L1705" i="17"/>
  <c r="L1704" i="17"/>
  <c r="L1703" i="17"/>
  <c r="L1702" i="17"/>
  <c r="L1701" i="17"/>
  <c r="L1700" i="17"/>
  <c r="L1699" i="17"/>
  <c r="L1698" i="17"/>
  <c r="L1697" i="17"/>
  <c r="L1696" i="17"/>
  <c r="L1695" i="17"/>
  <c r="L1693" i="17"/>
  <c r="L1692" i="17"/>
  <c r="L1691" i="17"/>
  <c r="L1690" i="17"/>
  <c r="L1689" i="17"/>
  <c r="L1687" i="17"/>
  <c r="L1686" i="17"/>
  <c r="L1685" i="17"/>
  <c r="L1684" i="17"/>
  <c r="L1683" i="17"/>
  <c r="L1682" i="17"/>
  <c r="L1681" i="17"/>
  <c r="L1679" i="17"/>
  <c r="L1677" i="17"/>
  <c r="L1676" i="17"/>
  <c r="L1675" i="17"/>
  <c r="L1674" i="17"/>
  <c r="L1673" i="17"/>
  <c r="L1672" i="17"/>
  <c r="L1671" i="17"/>
  <c r="L1670" i="17"/>
  <c r="L1669" i="17"/>
  <c r="L1668" i="17"/>
  <c r="L1667" i="17"/>
  <c r="L1666" i="17"/>
  <c r="L1665" i="17"/>
  <c r="L1664" i="17"/>
  <c r="L1662" i="17"/>
  <c r="L1661" i="17"/>
  <c r="L1660" i="17"/>
  <c r="L1659" i="17"/>
  <c r="L1658" i="17"/>
  <c r="L1656" i="17"/>
  <c r="L1655" i="17"/>
  <c r="L1654" i="17"/>
  <c r="L1653" i="17"/>
  <c r="L1652" i="17"/>
  <c r="L1651" i="17"/>
  <c r="L1650" i="17"/>
  <c r="L1648" i="17"/>
  <c r="L1646" i="17"/>
  <c r="L1645" i="17"/>
  <c r="L1644" i="17"/>
  <c r="L1643" i="17"/>
  <c r="L1642" i="17"/>
  <c r="L1641" i="17"/>
  <c r="L1640" i="17"/>
  <c r="L1639" i="17"/>
  <c r="L1638" i="17"/>
  <c r="L1637" i="17"/>
  <c r="L1636" i="17"/>
  <c r="L1635" i="17"/>
  <c r="L1634" i="17"/>
  <c r="L1633" i="17"/>
  <c r="L1631" i="17"/>
  <c r="L1630" i="17"/>
  <c r="L1629" i="17"/>
  <c r="L1628" i="17"/>
  <c r="L1627" i="17"/>
  <c r="L1625" i="17"/>
  <c r="L1624" i="17"/>
  <c r="L1623" i="17"/>
  <c r="L1622" i="17"/>
  <c r="L1621" i="17"/>
  <c r="L1620" i="17"/>
  <c r="L1619" i="17"/>
  <c r="L1617" i="17"/>
  <c r="L1615" i="17"/>
  <c r="L1614" i="17"/>
  <c r="L1613" i="17"/>
  <c r="L1612" i="17"/>
  <c r="L1611" i="17"/>
  <c r="L1610" i="17"/>
  <c r="L1609" i="17"/>
  <c r="L1608" i="17"/>
  <c r="L1607" i="17"/>
  <c r="L1606" i="17"/>
  <c r="L1605" i="17"/>
  <c r="L1604" i="17"/>
  <c r="L1603" i="17"/>
  <c r="L1602" i="17"/>
  <c r="L1600" i="17"/>
  <c r="L1599" i="17"/>
  <c r="L1598" i="17"/>
  <c r="L1597" i="17"/>
  <c r="L1596" i="17"/>
  <c r="L1594" i="17"/>
  <c r="L1593" i="17"/>
  <c r="L1592" i="17"/>
  <c r="L1591" i="17"/>
  <c r="L1590" i="17"/>
  <c r="L1589" i="17"/>
  <c r="L1588" i="17"/>
  <c r="L1586" i="17"/>
  <c r="L1584" i="17"/>
  <c r="L1583" i="17"/>
  <c r="L1582" i="17"/>
  <c r="L1581" i="17"/>
  <c r="L1580" i="17"/>
  <c r="L1579" i="17"/>
  <c r="L1578" i="17"/>
  <c r="L1577" i="17"/>
  <c r="L1576" i="17"/>
  <c r="L1575" i="17"/>
  <c r="L1574" i="17"/>
  <c r="L1573" i="17"/>
  <c r="L1572" i="17"/>
  <c r="L1571" i="17"/>
  <c r="L1569" i="17"/>
  <c r="L1568" i="17"/>
  <c r="L1567" i="17"/>
  <c r="L1566" i="17"/>
  <c r="L1565" i="17"/>
  <c r="L1563" i="17"/>
  <c r="L1562" i="17"/>
  <c r="L1561" i="17"/>
  <c r="L1560" i="17"/>
  <c r="L1559" i="17"/>
  <c r="L1558" i="17"/>
  <c r="L1557" i="17"/>
  <c r="L1555" i="17"/>
  <c r="L1553" i="17"/>
  <c r="L1552" i="17"/>
  <c r="L1551" i="17"/>
  <c r="L1550" i="17"/>
  <c r="L1549" i="17"/>
  <c r="L1548" i="17"/>
  <c r="L1547" i="17"/>
  <c r="L1546" i="17"/>
  <c r="L1545" i="17"/>
  <c r="L1544" i="17"/>
  <c r="L1543" i="17"/>
  <c r="L1542" i="17"/>
  <c r="L1541" i="17"/>
  <c r="L1540" i="17"/>
  <c r="L1538" i="17"/>
  <c r="L1537" i="17"/>
  <c r="L1536" i="17"/>
  <c r="L1535" i="17"/>
  <c r="L1534" i="17"/>
  <c r="L1532" i="17"/>
  <c r="L1531" i="17"/>
  <c r="L1530" i="17"/>
  <c r="L1529" i="17"/>
  <c r="L1528" i="17"/>
  <c r="L1527" i="17"/>
  <c r="L1526" i="17"/>
  <c r="L1524" i="17"/>
  <c r="L1522" i="17"/>
  <c r="L1521" i="17"/>
  <c r="L1520" i="17"/>
  <c r="L1519" i="17"/>
  <c r="L1518" i="17"/>
  <c r="L1517" i="17"/>
  <c r="L1516" i="17"/>
  <c r="L1515" i="17"/>
  <c r="L1514" i="17"/>
  <c r="L1513" i="17"/>
  <c r="L1512" i="17"/>
  <c r="L1511" i="17"/>
  <c r="L1510" i="17"/>
  <c r="L1509" i="17"/>
  <c r="L1507" i="17"/>
  <c r="L1506" i="17"/>
  <c r="L1505" i="17"/>
  <c r="L1504" i="17"/>
  <c r="L1503" i="17"/>
  <c r="L1501" i="17"/>
  <c r="L1500" i="17"/>
  <c r="L1499" i="17"/>
  <c r="L1498" i="17"/>
  <c r="L1497" i="17"/>
  <c r="L1496" i="17"/>
  <c r="L1495" i="17"/>
  <c r="L1493" i="17"/>
  <c r="L1491" i="17"/>
  <c r="L1490" i="17"/>
  <c r="L1489" i="17"/>
  <c r="L1488" i="17"/>
  <c r="L1487" i="17"/>
  <c r="L1486" i="17"/>
  <c r="L1485" i="17"/>
  <c r="L1484" i="17"/>
  <c r="L1483" i="17"/>
  <c r="L1482" i="17"/>
  <c r="L1481" i="17"/>
  <c r="L1480" i="17"/>
  <c r="L1479" i="17"/>
  <c r="L1478" i="17"/>
  <c r="L1476" i="17"/>
  <c r="L1475" i="17"/>
  <c r="L1474" i="17"/>
  <c r="L1473" i="17"/>
  <c r="L1472" i="17"/>
  <c r="L1470" i="17"/>
  <c r="L1469" i="17"/>
  <c r="L1468" i="17"/>
  <c r="L1467" i="17"/>
  <c r="L1466" i="17"/>
  <c r="L1465" i="17"/>
  <c r="L1464" i="17"/>
  <c r="L1462" i="17"/>
  <c r="L1460" i="17"/>
  <c r="L1459" i="17"/>
  <c r="L1458" i="17"/>
  <c r="L1457" i="17"/>
  <c r="L1456" i="17"/>
  <c r="L1455" i="17"/>
  <c r="L1454" i="17"/>
  <c r="L1453" i="17"/>
  <c r="L1452" i="17"/>
  <c r="L1451" i="17"/>
  <c r="L1450" i="17"/>
  <c r="L1449" i="17"/>
  <c r="L1448" i="17"/>
  <c r="L1447" i="17"/>
  <c r="L1445" i="17"/>
  <c r="L1444" i="17"/>
  <c r="L1443" i="17"/>
  <c r="L1442" i="17"/>
  <c r="L1441" i="17"/>
  <c r="L1439" i="17"/>
  <c r="L1438" i="17"/>
  <c r="L1437" i="17"/>
  <c r="L1436" i="17"/>
  <c r="L1435" i="17"/>
  <c r="L1434" i="17"/>
  <c r="L1433" i="17"/>
  <c r="L1431" i="17"/>
  <c r="L1429" i="17"/>
  <c r="L1428" i="17"/>
  <c r="L1427" i="17"/>
  <c r="L1426" i="17"/>
  <c r="L1425" i="17"/>
  <c r="L1424" i="17"/>
  <c r="L1423" i="17"/>
  <c r="L1422" i="17"/>
  <c r="L1421" i="17"/>
  <c r="L1420" i="17"/>
  <c r="L1419" i="17"/>
  <c r="L1418" i="17"/>
  <c r="L1417" i="17"/>
  <c r="L1416" i="17"/>
  <c r="L1414" i="17"/>
  <c r="L1413" i="17"/>
  <c r="L1412" i="17"/>
  <c r="L1411" i="17"/>
  <c r="L1410" i="17"/>
  <c r="L1408" i="17"/>
  <c r="L1407" i="17"/>
  <c r="L1406" i="17"/>
  <c r="L1405" i="17"/>
  <c r="L1404" i="17"/>
  <c r="L1403" i="17"/>
  <c r="L1402" i="17"/>
  <c r="L1400" i="17"/>
  <c r="L1398" i="17"/>
  <c r="L1397" i="17"/>
  <c r="L1396" i="17"/>
  <c r="L1395" i="17"/>
  <c r="L1394" i="17"/>
  <c r="L1393" i="17"/>
  <c r="L1392" i="17"/>
  <c r="L1391" i="17"/>
  <c r="L1390" i="17"/>
  <c r="L1389" i="17"/>
  <c r="L1388" i="17"/>
  <c r="L1387" i="17"/>
  <c r="L1386" i="17"/>
  <c r="L1385" i="17"/>
  <c r="L1383" i="17"/>
  <c r="L1382" i="17"/>
  <c r="L1381" i="17"/>
  <c r="L1380" i="17"/>
  <c r="L1379" i="17"/>
  <c r="L1377" i="17"/>
  <c r="L1376" i="17"/>
  <c r="L1375" i="17"/>
  <c r="L1374" i="17"/>
  <c r="L1373" i="17"/>
  <c r="L1372" i="17"/>
  <c r="L1371" i="17"/>
  <c r="L1369" i="17"/>
  <c r="L1367" i="17"/>
  <c r="L1366" i="17"/>
  <c r="L1365" i="17"/>
  <c r="L1364" i="17"/>
  <c r="L1363" i="17"/>
  <c r="L1362" i="17"/>
  <c r="L1361" i="17"/>
  <c r="L1360" i="17"/>
  <c r="L1359" i="17"/>
  <c r="L1358" i="17"/>
  <c r="L1357" i="17"/>
  <c r="L1356" i="17"/>
  <c r="L1355" i="17"/>
  <c r="L1354" i="17"/>
  <c r="L1352" i="17"/>
  <c r="L1351" i="17"/>
  <c r="L1350" i="17"/>
  <c r="L1349" i="17"/>
  <c r="L1348" i="17"/>
  <c r="L1346" i="17"/>
  <c r="L1345" i="17"/>
  <c r="L1344" i="17"/>
  <c r="L1343" i="17"/>
  <c r="L1342" i="17"/>
  <c r="L1341" i="17"/>
  <c r="L1340" i="17"/>
  <c r="L1338" i="17"/>
  <c r="L1336" i="17"/>
  <c r="L1335" i="17"/>
  <c r="L1334" i="17"/>
  <c r="L1333" i="17"/>
  <c r="L1332" i="17"/>
  <c r="L1331" i="17"/>
  <c r="L1330" i="17"/>
  <c r="L1329" i="17"/>
  <c r="L1328" i="17"/>
  <c r="L1327" i="17"/>
  <c r="L1326" i="17"/>
  <c r="L1325" i="17"/>
  <c r="L1324" i="17"/>
  <c r="L1323" i="17"/>
  <c r="L1321" i="17"/>
  <c r="L1320" i="17"/>
  <c r="L1319" i="17"/>
  <c r="L1318" i="17"/>
  <c r="L1317" i="17"/>
  <c r="L1315" i="17"/>
  <c r="L1314" i="17"/>
  <c r="L1313" i="17"/>
  <c r="L1312" i="17"/>
  <c r="L1311" i="17"/>
  <c r="L1310" i="17"/>
  <c r="L1309" i="17"/>
  <c r="L1307" i="17"/>
  <c r="L1305" i="17"/>
  <c r="L1304" i="17"/>
  <c r="L1303" i="17"/>
  <c r="L1302" i="17"/>
  <c r="L1301" i="17"/>
  <c r="L1300" i="17"/>
  <c r="L1299" i="17"/>
  <c r="L1298" i="17"/>
  <c r="L1297" i="17"/>
  <c r="L1296" i="17"/>
  <c r="L1295" i="17"/>
  <c r="L1294" i="17"/>
  <c r="L1293" i="17"/>
  <c r="L1292" i="17"/>
  <c r="L1290" i="17"/>
  <c r="L1289" i="17"/>
  <c r="L1288" i="17"/>
  <c r="L1287" i="17"/>
  <c r="L1286" i="17"/>
  <c r="L1284" i="17"/>
  <c r="L1283" i="17"/>
  <c r="L1282" i="17"/>
  <c r="L1281" i="17"/>
  <c r="L1280" i="17"/>
  <c r="L1279" i="17"/>
  <c r="L1278" i="17"/>
  <c r="L1276" i="17"/>
  <c r="L1274" i="17"/>
  <c r="L1273" i="17"/>
  <c r="L1272" i="17"/>
  <c r="L1271" i="17"/>
  <c r="L1270" i="17"/>
  <c r="L1269" i="17"/>
  <c r="L1268" i="17"/>
  <c r="L1267" i="17"/>
  <c r="L1266" i="17"/>
  <c r="L1265" i="17"/>
  <c r="L1264" i="17"/>
  <c r="L1263" i="17"/>
  <c r="L1262" i="17"/>
  <c r="L1261" i="17"/>
  <c r="L1259" i="17"/>
  <c r="L1258" i="17"/>
  <c r="L1257" i="17"/>
  <c r="L1256" i="17"/>
  <c r="L1255" i="17"/>
  <c r="L1253" i="17"/>
  <c r="L1252" i="17"/>
  <c r="L1251" i="17"/>
  <c r="L1250" i="17"/>
  <c r="L1249" i="17"/>
  <c r="L1248" i="17"/>
  <c r="L1247" i="17"/>
  <c r="L1245" i="17"/>
  <c r="L1243" i="17"/>
  <c r="L1242" i="17"/>
  <c r="L1241" i="17"/>
  <c r="L1240" i="17"/>
  <c r="L1239" i="17"/>
  <c r="L1238" i="17"/>
  <c r="L1237" i="17"/>
  <c r="L1236" i="17"/>
  <c r="L1235" i="17"/>
  <c r="L1234" i="17"/>
  <c r="L1233" i="17"/>
  <c r="L1232" i="17"/>
  <c r="L1231" i="17"/>
  <c r="L1230" i="17"/>
  <c r="L1228" i="17"/>
  <c r="L1227" i="17"/>
  <c r="L1226" i="17"/>
  <c r="L1225" i="17"/>
  <c r="L1224" i="17"/>
  <c r="L1222" i="17"/>
  <c r="L1221" i="17"/>
  <c r="L1220" i="17"/>
  <c r="L1219" i="17"/>
  <c r="L1218" i="17"/>
  <c r="L1217" i="17"/>
  <c r="L1216" i="17"/>
  <c r="L1214" i="17"/>
  <c r="L1212" i="17"/>
  <c r="L1211" i="17"/>
  <c r="L1210" i="17"/>
  <c r="L1209" i="17"/>
  <c r="L1208" i="17"/>
  <c r="L1207" i="17"/>
  <c r="L1206" i="17"/>
  <c r="L1205" i="17"/>
  <c r="L1204" i="17"/>
  <c r="L1203" i="17"/>
  <c r="L1202" i="17"/>
  <c r="L1201" i="17"/>
  <c r="L1200" i="17"/>
  <c r="L1199" i="17"/>
  <c r="L1197" i="17"/>
  <c r="L1196" i="17"/>
  <c r="L1195" i="17"/>
  <c r="L1194" i="17"/>
  <c r="L1193" i="17"/>
  <c r="L1191" i="17"/>
  <c r="L1190" i="17"/>
  <c r="L1189" i="17"/>
  <c r="L1188" i="17"/>
  <c r="L1187" i="17"/>
  <c r="L1186" i="17"/>
  <c r="L1185" i="17"/>
  <c r="L1183" i="17"/>
  <c r="L1181" i="17"/>
  <c r="L1180" i="17"/>
  <c r="L1179" i="17"/>
  <c r="L1178" i="17"/>
  <c r="L1177" i="17"/>
  <c r="L1176" i="17"/>
  <c r="L1175" i="17"/>
  <c r="L1174" i="17"/>
  <c r="L1173" i="17"/>
  <c r="L1172" i="17"/>
  <c r="L1171" i="17"/>
  <c r="L1170" i="17"/>
  <c r="L1169" i="17"/>
  <c r="L1168" i="17"/>
  <c r="L1166" i="17"/>
  <c r="L1165" i="17"/>
  <c r="L1164" i="17"/>
  <c r="L1163" i="17"/>
  <c r="L1162" i="17"/>
  <c r="L1160" i="17"/>
  <c r="L1159" i="17"/>
  <c r="L1158" i="17"/>
  <c r="L1157" i="17"/>
  <c r="L1156" i="17"/>
  <c r="L1155" i="17"/>
  <c r="L1154" i="17"/>
  <c r="L1152" i="17"/>
  <c r="L1150" i="17"/>
  <c r="L1149" i="17"/>
  <c r="L1148" i="17"/>
  <c r="L1147" i="17"/>
  <c r="L1146" i="17"/>
  <c r="L1145" i="17"/>
  <c r="L1144" i="17"/>
  <c r="L1143" i="17"/>
  <c r="L1142" i="17"/>
  <c r="L1141" i="17"/>
  <c r="L1140" i="17"/>
  <c r="L1139" i="17"/>
  <c r="L1138" i="17"/>
  <c r="L1137" i="17"/>
  <c r="L1135" i="17"/>
  <c r="L1134" i="17"/>
  <c r="L1133" i="17"/>
  <c r="L1132" i="17"/>
  <c r="L1131" i="17"/>
  <c r="L1129" i="17"/>
  <c r="L1128" i="17"/>
  <c r="L1127" i="17"/>
  <c r="L1126" i="17"/>
  <c r="L1125" i="17"/>
  <c r="L1124" i="17"/>
  <c r="L1123" i="17"/>
  <c r="L1121" i="17"/>
  <c r="L1119" i="17"/>
  <c r="L1118" i="17"/>
  <c r="L1117" i="17"/>
  <c r="L1116" i="17"/>
  <c r="L1115" i="17"/>
  <c r="L1114" i="17"/>
  <c r="L1113" i="17"/>
  <c r="L1112" i="17"/>
  <c r="L1111" i="17"/>
  <c r="L1110" i="17"/>
  <c r="L1109" i="17"/>
  <c r="L1108" i="17"/>
  <c r="L1107" i="17"/>
  <c r="L1106" i="17"/>
  <c r="L1104" i="17"/>
  <c r="L1103" i="17"/>
  <c r="L1102" i="17"/>
  <c r="L1101" i="17"/>
  <c r="L1100" i="17"/>
  <c r="L1098" i="17"/>
  <c r="L1097" i="17"/>
  <c r="L1096" i="17"/>
  <c r="L1095" i="17"/>
  <c r="L1094" i="17"/>
  <c r="L1093" i="17"/>
  <c r="L1092" i="17"/>
  <c r="L1090" i="17"/>
  <c r="L1088" i="17"/>
  <c r="L1087" i="17"/>
  <c r="L1086" i="17"/>
  <c r="L1085" i="17"/>
  <c r="L1084" i="17"/>
  <c r="L1083" i="17"/>
  <c r="L1082" i="17"/>
  <c r="L1081" i="17"/>
  <c r="L1080" i="17"/>
  <c r="L1079" i="17"/>
  <c r="L1078" i="17"/>
  <c r="L1077" i="17"/>
  <c r="L1076" i="17"/>
  <c r="L1075" i="17"/>
  <c r="L1073" i="17"/>
  <c r="L1072" i="17"/>
  <c r="L1071" i="17"/>
  <c r="L1070" i="17"/>
  <c r="L1069" i="17"/>
  <c r="L1067" i="17"/>
  <c r="L1066" i="17"/>
  <c r="L1065" i="17"/>
  <c r="L1064" i="17"/>
  <c r="L1063" i="17"/>
  <c r="L1062" i="17"/>
  <c r="L1061" i="17"/>
  <c r="L1059" i="17"/>
  <c r="L1057" i="17"/>
  <c r="L1056" i="17"/>
  <c r="L1055" i="17"/>
  <c r="L1054" i="17"/>
  <c r="L1053" i="17"/>
  <c r="L1052" i="17"/>
  <c r="L1051" i="17"/>
  <c r="L1050" i="17"/>
  <c r="L1049" i="17"/>
  <c r="L1048" i="17"/>
  <c r="L1047" i="17"/>
  <c r="L1046" i="17"/>
  <c r="L1045" i="17"/>
  <c r="L1044" i="17"/>
  <c r="L1042" i="17"/>
  <c r="L1041" i="17"/>
  <c r="L1040" i="17"/>
  <c r="L1039" i="17"/>
  <c r="L1038" i="17"/>
  <c r="L1036" i="17"/>
  <c r="L1035" i="17"/>
  <c r="L1034" i="17"/>
  <c r="L1033" i="17"/>
  <c r="L1032" i="17"/>
  <c r="L1031" i="17"/>
  <c r="L1030" i="17"/>
  <c r="L1028" i="17"/>
  <c r="L1026" i="17"/>
  <c r="L1025" i="17"/>
  <c r="L1024" i="17"/>
  <c r="L1023" i="17"/>
  <c r="L1022" i="17"/>
  <c r="L1021" i="17"/>
  <c r="L1020" i="17"/>
  <c r="L1019" i="17"/>
  <c r="L1018" i="17"/>
  <c r="L1017" i="17"/>
  <c r="L1016" i="17"/>
  <c r="L1015" i="17"/>
  <c r="L1014" i="17"/>
  <c r="L1013" i="17"/>
  <c r="L1011" i="17"/>
  <c r="L1010" i="17"/>
  <c r="L1009" i="17"/>
  <c r="L1008" i="17"/>
  <c r="L1007" i="17"/>
  <c r="L1005" i="17"/>
  <c r="L1004" i="17"/>
  <c r="L1003" i="17"/>
  <c r="L1002" i="17"/>
  <c r="L1001" i="17"/>
  <c r="L1000" i="17"/>
  <c r="L999" i="17"/>
  <c r="L997" i="17"/>
  <c r="L995" i="17"/>
  <c r="L994" i="17"/>
  <c r="L993" i="17"/>
  <c r="L992" i="17"/>
  <c r="L991" i="17"/>
  <c r="L990" i="17"/>
  <c r="L989" i="17"/>
  <c r="L988" i="17"/>
  <c r="L987" i="17"/>
  <c r="L986" i="17"/>
  <c r="L985" i="17"/>
  <c r="L984" i="17"/>
  <c r="L983" i="17"/>
  <c r="L982" i="17"/>
  <c r="L980" i="17"/>
  <c r="L979" i="17"/>
  <c r="L978" i="17"/>
  <c r="L977" i="17"/>
  <c r="L976" i="17"/>
  <c r="L974" i="17"/>
  <c r="L973" i="17"/>
  <c r="L972" i="17"/>
  <c r="L971" i="17"/>
  <c r="L970" i="17"/>
  <c r="L969" i="17"/>
  <c r="L968" i="17"/>
  <c r="L966" i="17"/>
  <c r="L964" i="17"/>
  <c r="L963" i="17"/>
  <c r="L962" i="17"/>
  <c r="L961" i="17"/>
  <c r="L960" i="17"/>
  <c r="L959" i="17"/>
  <c r="L958" i="17"/>
  <c r="L957" i="17"/>
  <c r="L956" i="17"/>
  <c r="L955" i="17"/>
  <c r="L954" i="17"/>
  <c r="L953" i="17"/>
  <c r="L952" i="17"/>
  <c r="L951" i="17"/>
  <c r="L949" i="17"/>
  <c r="L948" i="17"/>
  <c r="L947" i="17"/>
  <c r="L946" i="17"/>
  <c r="L945" i="17"/>
  <c r="L943" i="17"/>
  <c r="L942" i="17"/>
  <c r="L941" i="17"/>
  <c r="L940" i="17"/>
  <c r="L939" i="17"/>
  <c r="L938" i="17"/>
  <c r="L937" i="17"/>
  <c r="L935" i="17"/>
  <c r="L933" i="17"/>
  <c r="L932" i="17"/>
  <c r="L931" i="17"/>
  <c r="L930" i="17"/>
  <c r="L929" i="17"/>
  <c r="L928" i="17"/>
  <c r="L927" i="17"/>
  <c r="L926" i="17"/>
  <c r="L925" i="17"/>
  <c r="L924" i="17"/>
  <c r="L923" i="17"/>
  <c r="L922" i="17"/>
  <c r="L921" i="17"/>
  <c r="L920" i="17"/>
  <c r="L918" i="17"/>
  <c r="L917" i="17"/>
  <c r="L916" i="17"/>
  <c r="L915" i="17"/>
  <c r="L914" i="17"/>
  <c r="L912" i="17"/>
  <c r="L911" i="17"/>
  <c r="L910" i="17"/>
  <c r="L909" i="17"/>
  <c r="L908" i="17"/>
  <c r="L907" i="17"/>
  <c r="L906" i="17"/>
  <c r="L904" i="17"/>
  <c r="L902" i="17"/>
  <c r="L901" i="17"/>
  <c r="L900" i="17"/>
  <c r="L899" i="17"/>
  <c r="L898" i="17"/>
  <c r="L897" i="17"/>
  <c r="L896" i="17"/>
  <c r="L895" i="17"/>
  <c r="L894" i="17"/>
  <c r="L893" i="17"/>
  <c r="L892" i="17"/>
  <c r="L891" i="17"/>
  <c r="L890" i="17"/>
  <c r="L889" i="17"/>
  <c r="L887" i="17"/>
  <c r="L886" i="17"/>
  <c r="L885" i="17"/>
  <c r="L884" i="17"/>
  <c r="L883" i="17"/>
  <c r="L881" i="17"/>
  <c r="L880" i="17"/>
  <c r="L879" i="17"/>
  <c r="L878" i="17"/>
  <c r="L877" i="17"/>
  <c r="L876" i="17"/>
  <c r="L875" i="17"/>
  <c r="L873" i="17"/>
  <c r="L871" i="17"/>
  <c r="L870" i="17"/>
  <c r="L869" i="17"/>
  <c r="L868" i="17"/>
  <c r="L867" i="17"/>
  <c r="L866" i="17"/>
  <c r="L865" i="17"/>
  <c r="L864" i="17"/>
  <c r="L863" i="17"/>
  <c r="L862" i="17"/>
  <c r="L861" i="17"/>
  <c r="L860" i="17"/>
  <c r="L859" i="17"/>
  <c r="L858" i="17"/>
  <c r="L856" i="17"/>
  <c r="L855" i="17"/>
  <c r="L854" i="17"/>
  <c r="L853" i="17"/>
  <c r="L852" i="17"/>
  <c r="L850" i="17"/>
  <c r="L849" i="17"/>
  <c r="L848" i="17"/>
  <c r="L847" i="17"/>
  <c r="L846" i="17"/>
  <c r="L845" i="17"/>
  <c r="L844" i="17"/>
  <c r="L842" i="17"/>
  <c r="L840" i="17"/>
  <c r="L839" i="17"/>
  <c r="L838" i="17"/>
  <c r="L837" i="17"/>
  <c r="L836" i="17"/>
  <c r="L835" i="17"/>
  <c r="L834" i="17"/>
  <c r="L833" i="17"/>
  <c r="L832" i="17"/>
  <c r="L831" i="17"/>
  <c r="L830" i="17"/>
  <c r="L829" i="17"/>
  <c r="L828" i="17"/>
  <c r="L827" i="17"/>
  <c r="L825" i="17"/>
  <c r="L824" i="17"/>
  <c r="L823" i="17"/>
  <c r="L822" i="17"/>
  <c r="L821" i="17"/>
  <c r="L819" i="17"/>
  <c r="L818" i="17"/>
  <c r="L817" i="17"/>
  <c r="L816" i="17"/>
  <c r="L815" i="17"/>
  <c r="L814" i="17"/>
  <c r="L813" i="17"/>
  <c r="L811" i="17"/>
  <c r="L809" i="17"/>
  <c r="L808" i="17"/>
  <c r="L807" i="17"/>
  <c r="L806" i="17"/>
  <c r="L805" i="17"/>
  <c r="L804" i="17"/>
  <c r="L803" i="17"/>
  <c r="L802" i="17"/>
  <c r="L801" i="17"/>
  <c r="L800" i="17"/>
  <c r="L799" i="17"/>
  <c r="L798" i="17"/>
  <c r="L797" i="17"/>
  <c r="L796" i="17"/>
  <c r="L794" i="17"/>
  <c r="L793" i="17"/>
  <c r="L792" i="17"/>
  <c r="L791" i="17"/>
  <c r="L790" i="17"/>
  <c r="L788" i="17"/>
  <c r="L787" i="17"/>
  <c r="L786" i="17"/>
  <c r="L785" i="17"/>
  <c r="L784" i="17"/>
  <c r="L783" i="17"/>
  <c r="L782" i="17"/>
  <c r="L780" i="17"/>
  <c r="L778" i="17"/>
  <c r="L777" i="17"/>
  <c r="L776" i="17"/>
  <c r="L775" i="17"/>
  <c r="L774" i="17"/>
  <c r="L773" i="17"/>
  <c r="L772" i="17"/>
  <c r="L771" i="17"/>
  <c r="L770" i="17"/>
  <c r="L769" i="17"/>
  <c r="L768" i="17"/>
  <c r="L767" i="17"/>
  <c r="L766" i="17"/>
  <c r="L765" i="17"/>
  <c r="L763" i="17"/>
  <c r="L762" i="17"/>
  <c r="L761" i="17"/>
  <c r="L760" i="17"/>
  <c r="L759" i="17"/>
  <c r="L757" i="17"/>
  <c r="L756" i="17"/>
  <c r="L755" i="17"/>
  <c r="L754" i="17"/>
  <c r="L753" i="17"/>
  <c r="L752" i="17"/>
  <c r="L751" i="17"/>
  <c r="L749" i="17"/>
  <c r="L747" i="17"/>
  <c r="L746" i="17"/>
  <c r="L745" i="17"/>
  <c r="L744" i="17"/>
  <c r="L743" i="17"/>
  <c r="L742" i="17"/>
  <c r="L741" i="17"/>
  <c r="L740" i="17"/>
  <c r="L739" i="17"/>
  <c r="L738" i="17"/>
  <c r="L737" i="17"/>
  <c r="L736" i="17"/>
  <c r="L735" i="17"/>
  <c r="L734" i="17"/>
  <c r="L732" i="17"/>
  <c r="L731" i="17"/>
  <c r="L730" i="17"/>
  <c r="L729" i="17"/>
  <c r="L728" i="17"/>
  <c r="L726" i="17"/>
  <c r="L725" i="17"/>
  <c r="L724" i="17"/>
  <c r="L723" i="17"/>
  <c r="L722" i="17"/>
  <c r="L721" i="17"/>
  <c r="L720" i="17"/>
  <c r="L718" i="17"/>
  <c r="L716" i="17"/>
  <c r="L715" i="17"/>
  <c r="L714" i="17"/>
  <c r="L713" i="17"/>
  <c r="L712" i="17"/>
  <c r="L711" i="17"/>
  <c r="L710" i="17"/>
  <c r="L709" i="17"/>
  <c r="L708" i="17"/>
  <c r="L707" i="17"/>
  <c r="L706" i="17"/>
  <c r="L705" i="17"/>
  <c r="L704" i="17"/>
  <c r="L703" i="17"/>
  <c r="L701" i="17"/>
  <c r="L700" i="17"/>
  <c r="L699" i="17"/>
  <c r="L698" i="17"/>
  <c r="L697" i="17"/>
  <c r="L695" i="17"/>
  <c r="L694" i="17"/>
  <c r="L693" i="17"/>
  <c r="L692" i="17"/>
  <c r="L691" i="17"/>
  <c r="L690" i="17"/>
  <c r="L689" i="17"/>
  <c r="L687" i="17"/>
  <c r="L685" i="17"/>
  <c r="L684" i="17"/>
  <c r="L683" i="17"/>
  <c r="L682" i="17"/>
  <c r="L681" i="17"/>
  <c r="L680" i="17"/>
  <c r="L679" i="17"/>
  <c r="L678" i="17"/>
  <c r="L677" i="17"/>
  <c r="L676" i="17"/>
  <c r="L675" i="17"/>
  <c r="L674" i="17"/>
  <c r="L673" i="17"/>
  <c r="L672" i="17"/>
  <c r="L670" i="17"/>
  <c r="L669" i="17"/>
  <c r="L668" i="17"/>
  <c r="L667" i="17"/>
  <c r="L666" i="17"/>
  <c r="L664" i="17"/>
  <c r="L663" i="17"/>
  <c r="L662" i="17"/>
  <c r="L661" i="17"/>
  <c r="L660" i="17"/>
  <c r="L659" i="17"/>
  <c r="L658" i="17"/>
  <c r="L656" i="17"/>
  <c r="L654" i="17"/>
  <c r="L653" i="17"/>
  <c r="L652" i="17"/>
  <c r="L651" i="17"/>
  <c r="L650" i="17"/>
  <c r="L649" i="17"/>
  <c r="L648" i="17"/>
  <c r="L647" i="17"/>
  <c r="L646" i="17"/>
  <c r="L645" i="17"/>
  <c r="L644" i="17"/>
  <c r="L643" i="17"/>
  <c r="L642" i="17"/>
  <c r="L641" i="17"/>
  <c r="L639" i="17"/>
  <c r="L638" i="17"/>
  <c r="L637" i="17"/>
  <c r="L636" i="17"/>
  <c r="L635" i="17"/>
  <c r="L633" i="17"/>
  <c r="L632" i="17"/>
  <c r="L631" i="17"/>
  <c r="L630" i="17"/>
  <c r="L629" i="17"/>
  <c r="L628" i="17"/>
  <c r="L627" i="17"/>
  <c r="L625" i="17"/>
  <c r="L623" i="17"/>
  <c r="L622" i="17"/>
  <c r="L621" i="17"/>
  <c r="L620" i="17"/>
  <c r="L619" i="17"/>
  <c r="L618" i="17"/>
  <c r="L617" i="17"/>
  <c r="L616" i="17"/>
  <c r="L615" i="17"/>
  <c r="L614" i="17"/>
  <c r="L613" i="17"/>
  <c r="L612" i="17"/>
  <c r="L611" i="17"/>
  <c r="L610" i="17"/>
  <c r="L608" i="17"/>
  <c r="L607" i="17"/>
  <c r="L606" i="17"/>
  <c r="L605" i="17"/>
  <c r="L604" i="17"/>
  <c r="L602" i="17"/>
  <c r="L601" i="17"/>
  <c r="L600" i="17"/>
  <c r="L599" i="17"/>
  <c r="L598" i="17"/>
  <c r="L597" i="17"/>
  <c r="L596" i="17"/>
  <c r="L594" i="17"/>
  <c r="L592" i="17"/>
  <c r="L591" i="17"/>
  <c r="L590" i="17"/>
  <c r="L589" i="17"/>
  <c r="L588" i="17"/>
  <c r="L587" i="17"/>
  <c r="L586" i="17"/>
  <c r="L585" i="17"/>
  <c r="L584" i="17"/>
  <c r="L583" i="17"/>
  <c r="L582" i="17"/>
  <c r="L581" i="17"/>
  <c r="L580" i="17"/>
  <c r="L579" i="17"/>
  <c r="L577" i="17"/>
  <c r="L576" i="17"/>
  <c r="L575" i="17"/>
  <c r="L574" i="17"/>
  <c r="L573" i="17"/>
  <c r="L571" i="17"/>
  <c r="L570" i="17"/>
  <c r="L569" i="17"/>
  <c r="L568" i="17"/>
  <c r="L567" i="17"/>
  <c r="L566" i="17"/>
  <c r="L565" i="17"/>
  <c r="L563" i="17"/>
  <c r="L561" i="17"/>
  <c r="L560" i="17"/>
  <c r="L559" i="17"/>
  <c r="L558" i="17"/>
  <c r="L557" i="17"/>
  <c r="L556" i="17"/>
  <c r="L555" i="17"/>
  <c r="L554" i="17"/>
  <c r="L553" i="17"/>
  <c r="L552" i="17"/>
  <c r="L551" i="17"/>
  <c r="L550" i="17"/>
  <c r="L549" i="17"/>
  <c r="L548" i="17"/>
  <c r="L546" i="17"/>
  <c r="L545" i="17"/>
  <c r="L544" i="17"/>
  <c r="L543" i="17"/>
  <c r="L542" i="17"/>
  <c r="L540" i="17"/>
  <c r="L539" i="17"/>
  <c r="L538" i="17"/>
  <c r="L537" i="17"/>
  <c r="L536" i="17"/>
  <c r="L535" i="17"/>
  <c r="L534" i="17"/>
  <c r="L532" i="17"/>
  <c r="L530" i="17"/>
  <c r="L529" i="17"/>
  <c r="L528" i="17"/>
  <c r="L527" i="17"/>
  <c r="L526" i="17"/>
  <c r="L525" i="17"/>
  <c r="L524" i="17"/>
  <c r="L523" i="17"/>
  <c r="L522" i="17"/>
  <c r="L521" i="17"/>
  <c r="L520" i="17"/>
  <c r="L519" i="17"/>
  <c r="L518" i="17"/>
  <c r="L517" i="17"/>
  <c r="L515" i="17"/>
  <c r="L514" i="17"/>
  <c r="L513" i="17"/>
  <c r="L512" i="17"/>
  <c r="L511" i="17"/>
  <c r="L509" i="17"/>
  <c r="L508" i="17"/>
  <c r="L507" i="17"/>
  <c r="L506" i="17"/>
  <c r="L505" i="17"/>
  <c r="L504" i="17"/>
  <c r="L503" i="17"/>
  <c r="L501" i="17"/>
  <c r="L499" i="17"/>
  <c r="L498" i="17"/>
  <c r="L497" i="17"/>
  <c r="L496" i="17"/>
  <c r="L495" i="17"/>
  <c r="L494" i="17"/>
  <c r="L493" i="17"/>
  <c r="L492" i="17"/>
  <c r="L491" i="17"/>
  <c r="L490" i="17"/>
  <c r="L489" i="17"/>
  <c r="L488" i="17"/>
  <c r="L487" i="17"/>
  <c r="L486" i="17"/>
  <c r="L484" i="17"/>
  <c r="L483" i="17"/>
  <c r="L482" i="17"/>
  <c r="L481" i="17"/>
  <c r="L480" i="17"/>
  <c r="L478" i="17"/>
  <c r="L477" i="17"/>
  <c r="L476" i="17"/>
  <c r="L475" i="17"/>
  <c r="L474" i="17"/>
  <c r="L473" i="17"/>
  <c r="L472" i="17"/>
  <c r="L470" i="17"/>
  <c r="L468" i="17"/>
  <c r="L467" i="17"/>
  <c r="L466" i="17"/>
  <c r="L465" i="17"/>
  <c r="L464" i="17"/>
  <c r="L463" i="17"/>
  <c r="L462" i="17"/>
  <c r="L461" i="17"/>
  <c r="L460" i="17"/>
  <c r="L459" i="17"/>
  <c r="L458" i="17"/>
  <c r="L457" i="17"/>
  <c r="L456" i="17"/>
  <c r="L455" i="17"/>
  <c r="L453" i="17"/>
  <c r="L452" i="17"/>
  <c r="L451" i="17"/>
  <c r="L450" i="17"/>
  <c r="L449" i="17"/>
  <c r="L447" i="17"/>
  <c r="L446" i="17"/>
  <c r="L445" i="17"/>
  <c r="L444" i="17"/>
  <c r="L443" i="17"/>
  <c r="L442" i="17"/>
  <c r="L441" i="17"/>
  <c r="L439" i="17"/>
  <c r="L437" i="17"/>
  <c r="L436" i="17"/>
  <c r="L435" i="17"/>
  <c r="L434" i="17"/>
  <c r="L433" i="17"/>
  <c r="L432" i="17"/>
  <c r="L431" i="17"/>
  <c r="L430" i="17"/>
  <c r="L429" i="17"/>
  <c r="L428" i="17"/>
  <c r="L427" i="17"/>
  <c r="L426" i="17"/>
  <c r="L425" i="17"/>
  <c r="L424" i="17"/>
  <c r="L422" i="17"/>
  <c r="L421" i="17"/>
  <c r="L420" i="17"/>
  <c r="L419" i="17"/>
  <c r="L418" i="17"/>
  <c r="L416" i="17"/>
  <c r="L415" i="17"/>
  <c r="L414" i="17"/>
  <c r="L413" i="17"/>
  <c r="L412" i="17"/>
  <c r="L411" i="17"/>
  <c r="L410" i="17"/>
  <c r="L408" i="17"/>
  <c r="L406" i="17"/>
  <c r="L405" i="17"/>
  <c r="L404" i="17"/>
  <c r="L403" i="17"/>
  <c r="L402" i="17"/>
  <c r="L401" i="17"/>
  <c r="L400" i="17"/>
  <c r="L399" i="17"/>
  <c r="L398" i="17"/>
  <c r="L397" i="17"/>
  <c r="L396" i="17"/>
  <c r="L395" i="17"/>
  <c r="L394" i="17"/>
  <c r="L393" i="17"/>
  <c r="L391" i="17"/>
  <c r="L390" i="17"/>
  <c r="L389" i="17"/>
  <c r="L388" i="17"/>
  <c r="L387" i="17"/>
  <c r="L385" i="17"/>
  <c r="L384" i="17"/>
  <c r="L383" i="17"/>
  <c r="L382" i="17"/>
  <c r="L381" i="17"/>
  <c r="L380" i="17"/>
  <c r="L379" i="17"/>
  <c r="L377" i="17"/>
  <c r="L375" i="17"/>
  <c r="L374" i="17"/>
  <c r="L373" i="17"/>
  <c r="L372" i="17"/>
  <c r="L371" i="17"/>
  <c r="L370" i="17"/>
  <c r="L369" i="17"/>
  <c r="L368" i="17"/>
  <c r="L367" i="17"/>
  <c r="L366" i="17"/>
  <c r="L365" i="17"/>
  <c r="L364" i="17"/>
  <c r="L363" i="17"/>
  <c r="L362" i="17"/>
  <c r="L360" i="17"/>
  <c r="L359" i="17"/>
  <c r="L358" i="17"/>
  <c r="L357" i="17"/>
  <c r="L356" i="17"/>
  <c r="L354" i="17"/>
  <c r="L353" i="17"/>
  <c r="L352" i="17"/>
  <c r="L351" i="17"/>
  <c r="L350" i="17"/>
  <c r="L349" i="17"/>
  <c r="L348" i="17"/>
  <c r="L346" i="17"/>
  <c r="L344" i="17"/>
  <c r="L343" i="17"/>
  <c r="L342" i="17"/>
  <c r="L341" i="17"/>
  <c r="L340" i="17"/>
  <c r="L339" i="17"/>
  <c r="L338" i="17"/>
  <c r="L337" i="17"/>
  <c r="L336" i="17"/>
  <c r="L335" i="17"/>
  <c r="L334" i="17"/>
  <c r="L333" i="17"/>
  <c r="L332" i="17"/>
  <c r="L331" i="17"/>
  <c r="L329" i="17"/>
  <c r="L328" i="17"/>
  <c r="L327" i="17"/>
  <c r="L326" i="17"/>
  <c r="L325" i="17"/>
  <c r="L323" i="17"/>
  <c r="L322" i="17"/>
  <c r="L321" i="17"/>
  <c r="L320" i="17"/>
  <c r="L319" i="17"/>
  <c r="L318" i="17"/>
  <c r="L317" i="17"/>
  <c r="L315" i="17"/>
  <c r="L313" i="17"/>
  <c r="L312" i="17"/>
  <c r="L311" i="17"/>
  <c r="L310" i="17"/>
  <c r="L309" i="17"/>
  <c r="L308" i="17"/>
  <c r="L307" i="17"/>
  <c r="L306" i="17"/>
  <c r="L305" i="17"/>
  <c r="L304" i="17"/>
  <c r="L303" i="17"/>
  <c r="L302" i="17"/>
  <c r="L301" i="17"/>
  <c r="L300" i="17"/>
  <c r="L298" i="17"/>
  <c r="L297" i="17"/>
  <c r="L296" i="17"/>
  <c r="L295" i="17"/>
  <c r="L294" i="17"/>
  <c r="L292" i="17"/>
  <c r="L291" i="17"/>
  <c r="L290" i="17"/>
  <c r="L289" i="17"/>
  <c r="L288" i="17"/>
  <c r="L287" i="17"/>
  <c r="L286" i="17"/>
  <c r="L284" i="17"/>
  <c r="L282" i="17"/>
  <c r="L281" i="17"/>
  <c r="L280" i="17"/>
  <c r="L279" i="17"/>
  <c r="L278" i="17"/>
  <c r="L277" i="17"/>
  <c r="L276" i="17"/>
  <c r="L275" i="17"/>
  <c r="L274" i="17"/>
  <c r="L273" i="17"/>
  <c r="L272" i="17"/>
  <c r="L271" i="17"/>
  <c r="L270" i="17"/>
  <c r="L269" i="17"/>
  <c r="L267" i="17"/>
  <c r="L266" i="17"/>
  <c r="L265" i="17"/>
  <c r="L264" i="17"/>
  <c r="L263" i="17"/>
  <c r="L261" i="17"/>
  <c r="L260" i="17"/>
  <c r="L259" i="17"/>
  <c r="L258" i="17"/>
  <c r="L257" i="17"/>
  <c r="L256" i="17"/>
  <c r="L255" i="17"/>
  <c r="L253" i="17"/>
  <c r="L251" i="17"/>
  <c r="L250" i="17"/>
  <c r="L249" i="17"/>
  <c r="L248" i="17"/>
  <c r="L247" i="17"/>
  <c r="L246" i="17"/>
  <c r="L245" i="17"/>
  <c r="L244" i="17"/>
  <c r="L243" i="17"/>
  <c r="L242" i="17"/>
  <c r="L241" i="17"/>
  <c r="L240" i="17"/>
  <c r="L239" i="17"/>
  <c r="L238" i="17"/>
  <c r="L236" i="17"/>
  <c r="L235" i="17"/>
  <c r="L234" i="17"/>
  <c r="L233" i="17"/>
  <c r="L232" i="17"/>
  <c r="L230" i="17"/>
  <c r="L229" i="17"/>
  <c r="L228" i="17"/>
  <c r="L227" i="17"/>
  <c r="L226" i="17"/>
  <c r="L225" i="17"/>
  <c r="L224" i="17"/>
  <c r="L222" i="17"/>
  <c r="L220" i="17"/>
  <c r="L219" i="17"/>
  <c r="L218" i="17"/>
  <c r="L217" i="17"/>
  <c r="L216" i="17"/>
  <c r="L215" i="17"/>
  <c r="L214" i="17"/>
  <c r="L213" i="17"/>
  <c r="L212" i="17"/>
  <c r="L211" i="17"/>
  <c r="L210" i="17"/>
  <c r="L209" i="17"/>
  <c r="L208" i="17"/>
  <c r="L207" i="17"/>
  <c r="L205" i="17"/>
  <c r="L204" i="17"/>
  <c r="L203" i="17"/>
  <c r="L202" i="17"/>
  <c r="L201" i="17"/>
  <c r="L199" i="17"/>
  <c r="L198" i="17"/>
  <c r="L197" i="17"/>
  <c r="L196" i="17"/>
  <c r="L195" i="17"/>
  <c r="L194" i="17"/>
  <c r="L193" i="17"/>
  <c r="L191" i="17"/>
  <c r="L189" i="17"/>
  <c r="L188" i="17"/>
  <c r="L187" i="17"/>
  <c r="L186" i="17"/>
  <c r="L185" i="17"/>
  <c r="L184" i="17"/>
  <c r="L183" i="17"/>
  <c r="L182" i="17"/>
  <c r="L181" i="17"/>
  <c r="L180" i="17"/>
  <c r="L179" i="17"/>
  <c r="L178" i="17"/>
  <c r="L177" i="17"/>
  <c r="L176" i="17"/>
  <c r="L174" i="17"/>
  <c r="L173" i="17"/>
  <c r="L172" i="17"/>
  <c r="L171" i="17"/>
  <c r="L170" i="17"/>
  <c r="L168" i="17"/>
  <c r="L167" i="17"/>
  <c r="L166" i="17"/>
  <c r="L165" i="17"/>
  <c r="L164" i="17"/>
  <c r="L163" i="17"/>
  <c r="L162" i="17"/>
  <c r="L160" i="17"/>
  <c r="L158" i="17"/>
  <c r="L157" i="17"/>
  <c r="L156" i="17"/>
  <c r="L155" i="17"/>
  <c r="L154" i="17"/>
  <c r="L153" i="17"/>
  <c r="L152" i="17"/>
  <c r="L151" i="17"/>
  <c r="L150" i="17"/>
  <c r="L149" i="17"/>
  <c r="L148" i="17"/>
  <c r="L147" i="17"/>
  <c r="L146" i="17"/>
  <c r="L145" i="17"/>
  <c r="L143" i="17"/>
  <c r="L142" i="17"/>
  <c r="L141" i="17"/>
  <c r="L140" i="17"/>
  <c r="L139" i="17"/>
  <c r="L137" i="17"/>
  <c r="L136" i="17"/>
  <c r="L135" i="17"/>
  <c r="L134" i="17"/>
  <c r="L133" i="17"/>
  <c r="L132" i="17"/>
  <c r="L131" i="17"/>
  <c r="L129" i="17"/>
  <c r="L127" i="17"/>
  <c r="L126" i="17"/>
  <c r="L125" i="17"/>
  <c r="L124" i="17"/>
  <c r="L123" i="17"/>
  <c r="L122" i="17"/>
  <c r="L121" i="17"/>
  <c r="L120" i="17"/>
  <c r="L119" i="17"/>
  <c r="L118" i="17"/>
  <c r="L117" i="17"/>
  <c r="L116" i="17"/>
  <c r="L115" i="17"/>
  <c r="L114" i="17"/>
  <c r="L112" i="17"/>
  <c r="L111" i="17"/>
  <c r="L110" i="17"/>
  <c r="L109" i="17"/>
  <c r="L108" i="17"/>
  <c r="D1626" i="17"/>
  <c r="D1378" i="17"/>
  <c r="H1285" i="17"/>
  <c r="D1285" i="17"/>
  <c r="D1192" i="17"/>
  <c r="D1161" i="17"/>
  <c r="H1130" i="17"/>
  <c r="D1130" i="17"/>
  <c r="D1099" i="17"/>
  <c r="H1037" i="17"/>
  <c r="D1037" i="17"/>
  <c r="H1006" i="17"/>
  <c r="D1006" i="17"/>
  <c r="J603" i="17"/>
  <c r="L603" i="17" s="1"/>
  <c r="I603" i="17"/>
  <c r="H603" i="17"/>
  <c r="G603" i="17"/>
  <c r="F603" i="17"/>
  <c r="E603" i="17"/>
  <c r="D603" i="17"/>
  <c r="C603" i="17"/>
  <c r="J572" i="17"/>
  <c r="L572" i="17" s="1"/>
  <c r="I572" i="17"/>
  <c r="H572" i="17"/>
  <c r="G572" i="17"/>
  <c r="F572" i="17"/>
  <c r="E572" i="17"/>
  <c r="D572" i="17"/>
  <c r="C572" i="17"/>
  <c r="J541" i="17"/>
  <c r="L541" i="17" s="1"/>
  <c r="I541" i="17"/>
  <c r="H541" i="17"/>
  <c r="G541" i="17"/>
  <c r="F541" i="17"/>
  <c r="E541" i="17"/>
  <c r="D541" i="17"/>
  <c r="C541" i="17"/>
  <c r="J510" i="17"/>
  <c r="L510" i="17" s="1"/>
  <c r="I510" i="17"/>
  <c r="H510" i="17"/>
  <c r="G510" i="17"/>
  <c r="F510" i="17"/>
  <c r="E510" i="17"/>
  <c r="D510" i="17"/>
  <c r="C510" i="17"/>
  <c r="J479" i="17"/>
  <c r="L479" i="17" s="1"/>
  <c r="I479" i="17"/>
  <c r="H479" i="17"/>
  <c r="G479" i="17"/>
  <c r="F479" i="17"/>
  <c r="E479" i="17"/>
  <c r="D479" i="17"/>
  <c r="C479" i="17"/>
  <c r="J448" i="17"/>
  <c r="L448" i="17" s="1"/>
  <c r="I448" i="17"/>
  <c r="H448" i="17"/>
  <c r="G448" i="17"/>
  <c r="F448" i="17"/>
  <c r="E448" i="17"/>
  <c r="D448" i="17"/>
  <c r="C448" i="17"/>
  <c r="J417" i="17"/>
  <c r="L417" i="17" s="1"/>
  <c r="I417" i="17"/>
  <c r="H417" i="17"/>
  <c r="G417" i="17"/>
  <c r="F417" i="17"/>
  <c r="E417" i="17"/>
  <c r="D417" i="17"/>
  <c r="C417" i="17"/>
  <c r="B634" i="17"/>
  <c r="B665" i="17"/>
  <c r="B696" i="17"/>
  <c r="B727" i="17"/>
  <c r="B1223" i="17"/>
  <c r="B1254" i="17"/>
  <c r="B1285" i="17"/>
  <c r="B1316" i="17"/>
  <c r="B1347" i="17"/>
  <c r="B1378" i="17"/>
  <c r="B1409" i="17"/>
  <c r="B1440" i="17"/>
  <c r="B1471" i="17"/>
  <c r="B1502" i="17"/>
  <c r="B1533" i="17"/>
  <c r="B1564" i="17"/>
  <c r="B1595" i="17"/>
  <c r="B1626" i="17"/>
  <c r="B1657" i="17"/>
  <c r="B1688" i="17"/>
  <c r="B1719" i="17"/>
  <c r="B1750" i="17"/>
  <c r="B1781" i="17"/>
  <c r="B1812" i="17"/>
  <c r="B1843" i="17"/>
  <c r="B1874" i="17"/>
  <c r="B1905" i="17"/>
  <c r="N932" i="3"/>
  <c r="M932" i="3"/>
  <c r="L932" i="3"/>
  <c r="K932" i="3"/>
  <c r="J932" i="3"/>
  <c r="I932" i="3"/>
  <c r="H932" i="3"/>
  <c r="G932" i="3"/>
  <c r="F932" i="3"/>
  <c r="E932" i="3"/>
  <c r="J1657" i="17"/>
  <c r="L1657" i="17" s="1"/>
  <c r="B1192" i="17"/>
  <c r="B1161" i="17"/>
  <c r="B1130" i="17"/>
  <c r="B1099" i="17"/>
  <c r="B1068" i="17"/>
  <c r="B1037" i="17"/>
  <c r="B1006" i="17"/>
  <c r="B975" i="17"/>
  <c r="B944" i="17"/>
  <c r="B913" i="17"/>
  <c r="B882" i="17"/>
  <c r="B851" i="17"/>
  <c r="B820" i="17"/>
  <c r="B789" i="17"/>
  <c r="B758" i="17"/>
  <c r="B355" i="17"/>
  <c r="B324" i="17"/>
  <c r="B293" i="17"/>
  <c r="B262" i="17"/>
  <c r="B231" i="17"/>
  <c r="B200" i="17"/>
  <c r="B169" i="17"/>
  <c r="B138" i="17"/>
  <c r="B107" i="17"/>
  <c r="B603" i="17"/>
  <c r="B572" i="17"/>
  <c r="B541" i="17"/>
  <c r="B510" i="17"/>
  <c r="B479" i="17"/>
  <c r="B448" i="17"/>
  <c r="B417" i="17"/>
  <c r="B386" i="17"/>
  <c r="J1874" i="17"/>
  <c r="L1874" i="17" s="1"/>
  <c r="C1843" i="17"/>
  <c r="J1781" i="17"/>
  <c r="L1781" i="17" s="1"/>
  <c r="G1750" i="17"/>
  <c r="C1750" i="17"/>
  <c r="D1719" i="17"/>
  <c r="C1719" i="17"/>
  <c r="J1688" i="17"/>
  <c r="C1905" i="17"/>
  <c r="C1595" i="17"/>
  <c r="E1564" i="17"/>
  <c r="F1502" i="17"/>
  <c r="C1502" i="17"/>
  <c r="C1471" i="17"/>
  <c r="J1409" i="17"/>
  <c r="L1409" i="17" s="1"/>
  <c r="C727" i="17"/>
  <c r="J696" i="17"/>
  <c r="L696" i="17" s="1"/>
  <c r="J665" i="17"/>
  <c r="L665" i="17" s="1"/>
  <c r="J634" i="17"/>
  <c r="L634" i="17" s="1"/>
  <c r="J1316" i="17"/>
  <c r="L1316" i="17" s="1"/>
  <c r="J1285" i="17"/>
  <c r="L1285" i="17" s="1"/>
  <c r="C1254" i="17"/>
  <c r="C1223" i="17"/>
  <c r="J1192" i="17"/>
  <c r="L1192" i="17" s="1"/>
  <c r="J1378" i="17"/>
  <c r="L1378" i="17" s="1"/>
  <c r="F1378" i="17"/>
  <c r="C1378" i="17"/>
  <c r="C1347" i="17"/>
  <c r="J1130" i="17"/>
  <c r="L1130" i="17" s="1"/>
  <c r="J1068" i="17"/>
  <c r="L1068" i="17" s="1"/>
  <c r="J1037" i="17"/>
  <c r="L1037" i="17" s="1"/>
  <c r="J1006" i="17"/>
  <c r="L1006" i="17" s="1"/>
  <c r="I35" i="12"/>
  <c r="J35" i="12" s="1"/>
  <c r="K35" i="12" s="1"/>
  <c r="L35" i="12" s="1"/>
  <c r="M35" i="12" s="1"/>
  <c r="N35" i="12" s="1"/>
  <c r="G35" i="12"/>
  <c r="H35" i="12" s="1"/>
  <c r="F35" i="12"/>
  <c r="J975" i="17"/>
  <c r="L975" i="17" s="1"/>
  <c r="J944" i="17"/>
  <c r="L944" i="17" s="1"/>
  <c r="J913" i="17"/>
  <c r="L913" i="17" s="1"/>
  <c r="J882" i="17"/>
  <c r="L882" i="17" s="1"/>
  <c r="J851" i="17"/>
  <c r="L851" i="17" s="1"/>
  <c r="J820" i="17"/>
  <c r="L820" i="17" s="1"/>
  <c r="C789" i="17"/>
  <c r="J758" i="17"/>
  <c r="L758" i="17" s="1"/>
  <c r="J355" i="17"/>
  <c r="L355" i="17" s="1"/>
  <c r="C324" i="17"/>
  <c r="J293" i="17"/>
  <c r="L293" i="17" s="1"/>
  <c r="J262" i="17"/>
  <c r="L262" i="17" s="1"/>
  <c r="J231" i="17"/>
  <c r="L231" i="17" s="1"/>
  <c r="C200" i="17"/>
  <c r="J138" i="17"/>
  <c r="L138" i="17" s="1"/>
  <c r="J169" i="17"/>
  <c r="L169" i="17" s="1"/>
  <c r="J107" i="17"/>
  <c r="L107" i="17" s="1"/>
  <c r="J386" i="17"/>
  <c r="L386" i="17" s="1"/>
  <c r="O39" i="25" l="1"/>
  <c r="N39" i="25" s="1"/>
  <c r="Q39" i="25" s="1"/>
  <c r="H28" i="25"/>
  <c r="K28" i="25" s="1"/>
  <c r="I29" i="25" s="1"/>
  <c r="C37" i="25"/>
  <c r="B37" i="25" s="1"/>
  <c r="E37" i="25" s="1"/>
  <c r="F1812" i="17"/>
  <c r="D1657" i="17"/>
  <c r="H1657" i="17"/>
  <c r="D1688" i="17"/>
  <c r="H1688" i="17"/>
  <c r="D1750" i="17"/>
  <c r="D1781" i="17"/>
  <c r="H1781" i="17"/>
  <c r="D1812" i="17"/>
  <c r="D1874" i="17"/>
  <c r="H1874" i="17"/>
  <c r="E1657" i="17"/>
  <c r="I1657" i="17"/>
  <c r="E1688" i="17"/>
  <c r="I1688" i="17"/>
  <c r="E1750" i="17"/>
  <c r="E1781" i="17"/>
  <c r="I1781" i="17"/>
  <c r="E1812" i="17"/>
  <c r="E1874" i="17"/>
  <c r="I1874" i="17"/>
  <c r="F1657" i="17"/>
  <c r="F1688" i="17"/>
  <c r="F1750" i="17"/>
  <c r="F1781" i="17"/>
  <c r="F1874" i="17"/>
  <c r="C1657" i="17"/>
  <c r="G1657" i="17"/>
  <c r="C1688" i="17"/>
  <c r="G1688" i="17"/>
  <c r="C1781" i="17"/>
  <c r="G1781" i="17"/>
  <c r="C1812" i="17"/>
  <c r="C1874" i="17"/>
  <c r="G1874" i="17"/>
  <c r="G1626" i="17"/>
  <c r="E1626" i="17"/>
  <c r="F1626" i="17"/>
  <c r="C1626" i="17"/>
  <c r="E1440" i="17"/>
  <c r="F1533" i="17"/>
  <c r="D1409" i="17"/>
  <c r="H1409" i="17"/>
  <c r="D1440" i="17"/>
  <c r="D1502" i="17"/>
  <c r="D1533" i="17"/>
  <c r="D1564" i="17"/>
  <c r="E1409" i="17"/>
  <c r="I1409" i="17"/>
  <c r="E1502" i="17"/>
  <c r="E1533" i="17"/>
  <c r="F1409" i="17"/>
  <c r="C1409" i="17"/>
  <c r="G1409" i="17"/>
  <c r="C1440" i="17"/>
  <c r="C1533" i="17"/>
  <c r="C1564" i="17"/>
  <c r="D634" i="17"/>
  <c r="H634" i="17"/>
  <c r="D665" i="17"/>
  <c r="H665" i="17"/>
  <c r="D696" i="17"/>
  <c r="H696" i="17"/>
  <c r="E634" i="17"/>
  <c r="I634" i="17"/>
  <c r="E665" i="17"/>
  <c r="I665" i="17"/>
  <c r="E696" i="17"/>
  <c r="I696" i="17"/>
  <c r="F634" i="17"/>
  <c r="F665" i="17"/>
  <c r="F696" i="17"/>
  <c r="C634" i="17"/>
  <c r="G634" i="17"/>
  <c r="C665" i="17"/>
  <c r="G665" i="17"/>
  <c r="C696" i="17"/>
  <c r="G696" i="17"/>
  <c r="E1099" i="17"/>
  <c r="F1161" i="17"/>
  <c r="H1068" i="17"/>
  <c r="H1192" i="17"/>
  <c r="H1378" i="17"/>
  <c r="E1006" i="17"/>
  <c r="I1006" i="17"/>
  <c r="E1037" i="17"/>
  <c r="I1037" i="17"/>
  <c r="E1068" i="17"/>
  <c r="I1068" i="17"/>
  <c r="E1130" i="17"/>
  <c r="I1130" i="17"/>
  <c r="E1161" i="17"/>
  <c r="E1192" i="17"/>
  <c r="I1192" i="17"/>
  <c r="E1285" i="17"/>
  <c r="I1285" i="17"/>
  <c r="E1316" i="17"/>
  <c r="I1316" i="17"/>
  <c r="E1378" i="17"/>
  <c r="I1378" i="17"/>
  <c r="H1316" i="17"/>
  <c r="F1006" i="17"/>
  <c r="F1037" i="17"/>
  <c r="F1068" i="17"/>
  <c r="F1130" i="17"/>
  <c r="F1192" i="17"/>
  <c r="F1285" i="17"/>
  <c r="F1316" i="17"/>
  <c r="D1068" i="17"/>
  <c r="D1316" i="17"/>
  <c r="C1006" i="17"/>
  <c r="G1006" i="17"/>
  <c r="C1037" i="17"/>
  <c r="G1037" i="17"/>
  <c r="C1068" i="17"/>
  <c r="G1068" i="17"/>
  <c r="C1099" i="17"/>
  <c r="C1130" i="17"/>
  <c r="G1130" i="17"/>
  <c r="C1161" i="17"/>
  <c r="C1192" i="17"/>
  <c r="G1192" i="17"/>
  <c r="C1285" i="17"/>
  <c r="G1285" i="17"/>
  <c r="C1316" i="17"/>
  <c r="G1316" i="17"/>
  <c r="G1378" i="17"/>
  <c r="D758" i="17"/>
  <c r="H758" i="17"/>
  <c r="D820" i="17"/>
  <c r="H820" i="17"/>
  <c r="D851" i="17"/>
  <c r="H851" i="17"/>
  <c r="D882" i="17"/>
  <c r="H882" i="17"/>
  <c r="D913" i="17"/>
  <c r="H913" i="17"/>
  <c r="D944" i="17"/>
  <c r="H944" i="17"/>
  <c r="D975" i="17"/>
  <c r="H975" i="17"/>
  <c r="E758" i="17"/>
  <c r="I758" i="17"/>
  <c r="E820" i="17"/>
  <c r="I820" i="17"/>
  <c r="E851" i="17"/>
  <c r="I851" i="17"/>
  <c r="E882" i="17"/>
  <c r="I882" i="17"/>
  <c r="E913" i="17"/>
  <c r="I913" i="17"/>
  <c r="E944" i="17"/>
  <c r="I944" i="17"/>
  <c r="E975" i="17"/>
  <c r="I975" i="17"/>
  <c r="F758" i="17"/>
  <c r="F820" i="17"/>
  <c r="F851" i="17"/>
  <c r="F882" i="17"/>
  <c r="F913" i="17"/>
  <c r="F944" i="17"/>
  <c r="F975" i="17"/>
  <c r="C758" i="17"/>
  <c r="G758" i="17"/>
  <c r="C820" i="17"/>
  <c r="G820" i="17"/>
  <c r="C851" i="17"/>
  <c r="G851" i="17"/>
  <c r="C882" i="17"/>
  <c r="G882" i="17"/>
  <c r="C913" i="17"/>
  <c r="G913" i="17"/>
  <c r="C944" i="17"/>
  <c r="G944" i="17"/>
  <c r="C975" i="17"/>
  <c r="G975" i="17"/>
  <c r="D107" i="17"/>
  <c r="H107" i="17"/>
  <c r="D138" i="17"/>
  <c r="H138" i="17"/>
  <c r="D169" i="17"/>
  <c r="H169" i="17"/>
  <c r="D231" i="17"/>
  <c r="H231" i="17"/>
  <c r="D262" i="17"/>
  <c r="H262" i="17"/>
  <c r="D293" i="17"/>
  <c r="H293" i="17"/>
  <c r="D355" i="17"/>
  <c r="H355" i="17"/>
  <c r="E107" i="17"/>
  <c r="I107" i="17"/>
  <c r="E138" i="17"/>
  <c r="I138" i="17"/>
  <c r="E169" i="17"/>
  <c r="I169" i="17"/>
  <c r="E231" i="17"/>
  <c r="I231" i="17"/>
  <c r="E262" i="17"/>
  <c r="I262" i="17"/>
  <c r="E293" i="17"/>
  <c r="I293" i="17"/>
  <c r="E355" i="17"/>
  <c r="I355" i="17"/>
  <c r="F107" i="17"/>
  <c r="F138" i="17"/>
  <c r="F169" i="17"/>
  <c r="F231" i="17"/>
  <c r="F262" i="17"/>
  <c r="F293" i="17"/>
  <c r="F355" i="17"/>
  <c r="C107" i="17"/>
  <c r="G107" i="17"/>
  <c r="C138" i="17"/>
  <c r="G138" i="17"/>
  <c r="C169" i="17"/>
  <c r="G169" i="17"/>
  <c r="C231" i="17"/>
  <c r="G231" i="17"/>
  <c r="C262" i="17"/>
  <c r="G262" i="17"/>
  <c r="C293" i="17"/>
  <c r="G293" i="17"/>
  <c r="C355" i="17"/>
  <c r="G355" i="17"/>
  <c r="D386" i="17"/>
  <c r="H386" i="17"/>
  <c r="E386" i="17"/>
  <c r="I386" i="17"/>
  <c r="F386" i="17"/>
  <c r="C386" i="17"/>
  <c r="G386" i="17"/>
  <c r="C57" i="18"/>
  <c r="C66" i="18"/>
  <c r="C93" i="17"/>
  <c r="D93" i="17" s="1"/>
  <c r="E93" i="17" s="1"/>
  <c r="F93" i="17" s="1"/>
  <c r="G93" i="17" s="1"/>
  <c r="H93" i="17" s="1"/>
  <c r="I93" i="17" s="1"/>
  <c r="J93" i="17" s="1"/>
  <c r="F2050" i="3"/>
  <c r="G2050" i="3" s="1"/>
  <c r="H2050" i="3" s="1"/>
  <c r="I2050" i="3" s="1"/>
  <c r="J2050" i="3" s="1"/>
  <c r="K2050" i="3" s="1"/>
  <c r="L2050" i="3" s="1"/>
  <c r="M2050" i="3" s="1"/>
  <c r="N2050" i="3" s="1"/>
  <c r="F2049" i="3"/>
  <c r="G2049" i="3" s="1"/>
  <c r="H2049" i="3" s="1"/>
  <c r="I2049" i="3" s="1"/>
  <c r="J2049" i="3" s="1"/>
  <c r="K2049" i="3" s="1"/>
  <c r="L2049" i="3" s="1"/>
  <c r="M2049" i="3" s="1"/>
  <c r="N2049" i="3" s="1"/>
  <c r="F2048" i="3"/>
  <c r="G2048" i="3" s="1"/>
  <c r="H2048" i="3" s="1"/>
  <c r="I2048" i="3" s="1"/>
  <c r="J2048" i="3" s="1"/>
  <c r="K2048" i="3" s="1"/>
  <c r="L2048" i="3" s="1"/>
  <c r="M2048" i="3" s="1"/>
  <c r="N2048" i="3" s="1"/>
  <c r="G2044" i="3"/>
  <c r="H2044" i="3" s="1"/>
  <c r="I2044" i="3" s="1"/>
  <c r="J2044" i="3" s="1"/>
  <c r="K2044" i="3" s="1"/>
  <c r="L2044" i="3" s="1"/>
  <c r="M2044" i="3" s="1"/>
  <c r="N2044" i="3" s="1"/>
  <c r="G2043" i="3"/>
  <c r="H2043" i="3" s="1"/>
  <c r="I2043" i="3" s="1"/>
  <c r="J2043" i="3" s="1"/>
  <c r="K2043" i="3" s="1"/>
  <c r="L2043" i="3" s="1"/>
  <c r="M2043" i="3" s="1"/>
  <c r="N2043" i="3" s="1"/>
  <c r="F2044" i="3"/>
  <c r="F2043" i="3"/>
  <c r="F1939" i="3"/>
  <c r="G1939" i="3" s="1"/>
  <c r="H1939" i="3" s="1"/>
  <c r="I1939" i="3" s="1"/>
  <c r="J1939" i="3" s="1"/>
  <c r="K1939" i="3" s="1"/>
  <c r="L1939" i="3" s="1"/>
  <c r="M1939" i="3" s="1"/>
  <c r="N1939" i="3" s="1"/>
  <c r="F1938" i="3"/>
  <c r="G1938" i="3" s="1"/>
  <c r="H1938" i="3" s="1"/>
  <c r="I1938" i="3" s="1"/>
  <c r="J1938" i="3" s="1"/>
  <c r="K1938" i="3" s="1"/>
  <c r="L1938" i="3" s="1"/>
  <c r="M1938" i="3" s="1"/>
  <c r="N1938" i="3" s="1"/>
  <c r="H1935" i="3"/>
  <c r="I1935" i="3" s="1"/>
  <c r="J1935" i="3" s="1"/>
  <c r="K1935" i="3" s="1"/>
  <c r="L1935" i="3" s="1"/>
  <c r="M1935" i="3" s="1"/>
  <c r="N1935" i="3" s="1"/>
  <c r="H1934" i="3"/>
  <c r="I1934" i="3" s="1"/>
  <c r="J1934" i="3" s="1"/>
  <c r="K1934" i="3" s="1"/>
  <c r="L1934" i="3" s="1"/>
  <c r="M1934" i="3" s="1"/>
  <c r="N1934" i="3" s="1"/>
  <c r="G1935" i="3"/>
  <c r="G1934" i="3"/>
  <c r="F1935" i="3"/>
  <c r="F1934" i="3"/>
  <c r="O40" i="25" l="1"/>
  <c r="N40" i="25" s="1"/>
  <c r="Q40" i="25" s="1"/>
  <c r="H29" i="25"/>
  <c r="K29" i="25" s="1"/>
  <c r="I30" i="25" s="1"/>
  <c r="C38" i="25"/>
  <c r="B38" i="25" s="1"/>
  <c r="E38" i="25" s="1"/>
  <c r="H1750" i="17"/>
  <c r="D1843" i="17"/>
  <c r="E1719" i="17"/>
  <c r="G1812" i="17"/>
  <c r="D1905" i="17"/>
  <c r="H1626" i="17"/>
  <c r="D1595" i="17"/>
  <c r="G1533" i="17"/>
  <c r="F1564" i="17"/>
  <c r="D1471" i="17"/>
  <c r="G1502" i="17"/>
  <c r="F1440" i="17"/>
  <c r="D727" i="17"/>
  <c r="D1254" i="17"/>
  <c r="D1347" i="17"/>
  <c r="D1223" i="17"/>
  <c r="G1161" i="17"/>
  <c r="F1099" i="17"/>
  <c r="D789" i="17"/>
  <c r="D324" i="17"/>
  <c r="D200" i="17"/>
  <c r="B122" i="11"/>
  <c r="B113" i="11"/>
  <c r="B63" i="11"/>
  <c r="B62" i="11"/>
  <c r="B61" i="11"/>
  <c r="B49" i="11"/>
  <c r="B48" i="11"/>
  <c r="B42" i="11"/>
  <c r="B26" i="11"/>
  <c r="B25" i="11"/>
  <c r="B24" i="11"/>
  <c r="B23" i="11"/>
  <c r="B21" i="11"/>
  <c r="B20" i="11"/>
  <c r="B19" i="11"/>
  <c r="B18" i="11"/>
  <c r="B17" i="11"/>
  <c r="B16" i="11"/>
  <c r="B15" i="11"/>
  <c r="B14" i="11"/>
  <c r="B13" i="11"/>
  <c r="B12" i="11"/>
  <c r="B10" i="11"/>
  <c r="B51" i="6"/>
  <c r="B83" i="6"/>
  <c r="B136" i="7" s="1"/>
  <c r="B155" i="11"/>
  <c r="B133" i="11"/>
  <c r="B140" i="11"/>
  <c r="J965" i="17"/>
  <c r="L965" i="17" s="1"/>
  <c r="I965" i="17"/>
  <c r="H965" i="17"/>
  <c r="G965" i="17"/>
  <c r="F965" i="17"/>
  <c r="E965" i="17"/>
  <c r="D965" i="17"/>
  <c r="C965" i="17"/>
  <c r="B965" i="17"/>
  <c r="J950" i="17"/>
  <c r="J967" i="17" s="1"/>
  <c r="AA91" i="11" s="1"/>
  <c r="I950" i="17"/>
  <c r="I967" i="17" s="1"/>
  <c r="X91" i="11" s="1"/>
  <c r="H950" i="17"/>
  <c r="H967" i="17" s="1"/>
  <c r="U91" i="11" s="1"/>
  <c r="G950" i="17"/>
  <c r="G967" i="17" s="1"/>
  <c r="R91" i="11" s="1"/>
  <c r="F950" i="17"/>
  <c r="F967" i="17" s="1"/>
  <c r="O91" i="11" s="1"/>
  <c r="E950" i="17"/>
  <c r="E967" i="17" s="1"/>
  <c r="L91" i="11" s="1"/>
  <c r="D950" i="17"/>
  <c r="D967" i="17" s="1"/>
  <c r="I91" i="11" s="1"/>
  <c r="C950" i="17"/>
  <c r="C967" i="17" s="1"/>
  <c r="F91" i="11" s="1"/>
  <c r="B950" i="17"/>
  <c r="B967" i="17" s="1"/>
  <c r="C91" i="11" s="1"/>
  <c r="H1865" i="3"/>
  <c r="I1865" i="3" s="1"/>
  <c r="J1865" i="3" s="1"/>
  <c r="K1865" i="3" s="1"/>
  <c r="L1865" i="3" s="1"/>
  <c r="M1865" i="3" s="1"/>
  <c r="N1865" i="3" s="1"/>
  <c r="B88" i="7" l="1"/>
  <c r="O41" i="25"/>
  <c r="N41" i="25" s="1"/>
  <c r="Q41" i="25" s="1"/>
  <c r="H30" i="25"/>
  <c r="K30" i="25" s="1"/>
  <c r="I31" i="25" s="1"/>
  <c r="C39" i="25"/>
  <c r="B39" i="25" s="1"/>
  <c r="E39" i="25" s="1"/>
  <c r="H1812" i="17"/>
  <c r="E1843" i="17"/>
  <c r="F1719" i="17"/>
  <c r="J1750" i="17"/>
  <c r="L1750" i="17" s="1"/>
  <c r="I1750" i="17"/>
  <c r="E1905" i="17"/>
  <c r="J1626" i="17"/>
  <c r="L1626" i="17" s="1"/>
  <c r="I1626" i="17"/>
  <c r="G1440" i="17"/>
  <c r="E1471" i="17"/>
  <c r="H1533" i="17"/>
  <c r="E1595" i="17"/>
  <c r="H1502" i="17"/>
  <c r="G1564" i="17"/>
  <c r="E727" i="17"/>
  <c r="H1161" i="17"/>
  <c r="E1347" i="17"/>
  <c r="G1099" i="17"/>
  <c r="E1223" i="17"/>
  <c r="E1254" i="17"/>
  <c r="E789" i="17"/>
  <c r="E200" i="17"/>
  <c r="E324" i="17"/>
  <c r="B75" i="6"/>
  <c r="B105" i="6"/>
  <c r="N2005" i="3"/>
  <c r="M2005" i="3"/>
  <c r="L2005" i="3"/>
  <c r="K2005" i="3"/>
  <c r="J2005" i="3"/>
  <c r="I2005" i="3"/>
  <c r="H2005" i="3"/>
  <c r="G2005" i="3"/>
  <c r="F2005" i="3"/>
  <c r="N1418" i="3"/>
  <c r="M1418" i="3"/>
  <c r="L1418" i="3"/>
  <c r="K1418" i="3"/>
  <c r="J1418" i="3"/>
  <c r="I1418" i="3"/>
  <c r="H1418" i="3"/>
  <c r="G1418" i="3"/>
  <c r="F1418" i="3"/>
  <c r="N1298" i="3"/>
  <c r="M1298" i="3"/>
  <c r="L1298" i="3"/>
  <c r="K1298" i="3"/>
  <c r="J1298" i="3"/>
  <c r="O42" i="25" l="1"/>
  <c r="N42" i="25" s="1"/>
  <c r="Q42" i="25" s="1"/>
  <c r="H31" i="25"/>
  <c r="K31" i="25" s="1"/>
  <c r="I32" i="25" s="1"/>
  <c r="C40" i="25"/>
  <c r="B40" i="25" s="1"/>
  <c r="E40" i="25" s="1"/>
  <c r="F1843" i="17"/>
  <c r="G1719" i="17"/>
  <c r="J1812" i="17"/>
  <c r="L1812" i="17" s="1"/>
  <c r="I1812" i="17"/>
  <c r="F1905" i="17"/>
  <c r="H1564" i="17"/>
  <c r="F1595" i="17"/>
  <c r="F1471" i="17"/>
  <c r="J1502" i="17"/>
  <c r="L1502" i="17" s="1"/>
  <c r="I1502" i="17"/>
  <c r="J1533" i="17"/>
  <c r="L1533" i="17" s="1"/>
  <c r="I1533" i="17"/>
  <c r="H1440" i="17"/>
  <c r="F727" i="17"/>
  <c r="F1223" i="17"/>
  <c r="F1347" i="17"/>
  <c r="F1254" i="17"/>
  <c r="H1099" i="17"/>
  <c r="J1161" i="17"/>
  <c r="L1161" i="17" s="1"/>
  <c r="I1161" i="17"/>
  <c r="F789" i="17"/>
  <c r="F324" i="17"/>
  <c r="F200" i="17"/>
  <c r="I1298" i="3"/>
  <c r="H1298" i="3"/>
  <c r="G1298" i="3"/>
  <c r="F1298" i="3"/>
  <c r="J1237" i="3"/>
  <c r="I1237" i="3"/>
  <c r="H1237" i="3"/>
  <c r="G1237" i="3"/>
  <c r="F1237" i="3"/>
  <c r="O43" i="25" l="1"/>
  <c r="N43" i="25" s="1"/>
  <c r="Q43" i="25" s="1"/>
  <c r="H32" i="25"/>
  <c r="K32" i="25" s="1"/>
  <c r="I33" i="25" s="1"/>
  <c r="C41" i="25"/>
  <c r="B41" i="25" s="1"/>
  <c r="E41" i="25" s="1"/>
  <c r="H1719" i="17"/>
  <c r="G1843" i="17"/>
  <c r="G1905" i="17"/>
  <c r="G1595" i="17"/>
  <c r="J1440" i="17"/>
  <c r="L1440" i="17" s="1"/>
  <c r="I1440" i="17"/>
  <c r="G1471" i="17"/>
  <c r="I1564" i="17"/>
  <c r="J1564" i="17"/>
  <c r="L1564" i="17" s="1"/>
  <c r="G727" i="17"/>
  <c r="J1099" i="17"/>
  <c r="L1099" i="17" s="1"/>
  <c r="I1099" i="17"/>
  <c r="G1347" i="17"/>
  <c r="G1254" i="17"/>
  <c r="G1223" i="17"/>
  <c r="G789" i="17"/>
  <c r="G200" i="17"/>
  <c r="G324" i="17"/>
  <c r="N1103" i="3"/>
  <c r="M1103" i="3"/>
  <c r="L1103" i="3"/>
  <c r="K1103" i="3"/>
  <c r="J1103" i="3"/>
  <c r="I1103" i="3"/>
  <c r="H1103" i="3"/>
  <c r="G1103" i="3"/>
  <c r="F1103" i="3"/>
  <c r="N581" i="3"/>
  <c r="M581" i="3"/>
  <c r="L581" i="3"/>
  <c r="K581" i="3"/>
  <c r="J581" i="3"/>
  <c r="I581" i="3"/>
  <c r="H581" i="3"/>
  <c r="G581" i="3"/>
  <c r="F581" i="3"/>
  <c r="H274" i="3"/>
  <c r="G274" i="3"/>
  <c r="F274" i="3"/>
  <c r="L197" i="3"/>
  <c r="K197" i="3"/>
  <c r="J197" i="3"/>
  <c r="I197" i="3"/>
  <c r="H197" i="3"/>
  <c r="G197" i="3"/>
  <c r="F197" i="3"/>
  <c r="B2091" i="17"/>
  <c r="K83" i="6"/>
  <c r="K136" i="7" s="1"/>
  <c r="J83" i="6"/>
  <c r="J136" i="7" s="1"/>
  <c r="I83" i="6"/>
  <c r="I136" i="7" s="1"/>
  <c r="H83" i="6"/>
  <c r="H136" i="7" s="1"/>
  <c r="G83" i="6"/>
  <c r="G136" i="7" s="1"/>
  <c r="F83" i="6"/>
  <c r="F136" i="7" s="1"/>
  <c r="E83" i="6"/>
  <c r="E136" i="7" s="1"/>
  <c r="D83" i="6"/>
  <c r="D136" i="7" s="1"/>
  <c r="C83" i="6"/>
  <c r="C136" i="7" s="1"/>
  <c r="J2091" i="17"/>
  <c r="I2091" i="17"/>
  <c r="H2091" i="17"/>
  <c r="G2091" i="17"/>
  <c r="F2091" i="17"/>
  <c r="E2091" i="17"/>
  <c r="D2091" i="17"/>
  <c r="C2091" i="17"/>
  <c r="H1436" i="16"/>
  <c r="D1436" i="16"/>
  <c r="N937" i="3"/>
  <c r="M937" i="3"/>
  <c r="L937" i="3"/>
  <c r="K937" i="3"/>
  <c r="J937" i="3"/>
  <c r="I937" i="3"/>
  <c r="H937" i="3"/>
  <c r="G937" i="3"/>
  <c r="F937" i="3"/>
  <c r="B509" i="16"/>
  <c r="F120" i="16"/>
  <c r="E120" i="16"/>
  <c r="D120" i="16"/>
  <c r="C120" i="16"/>
  <c r="B120" i="16"/>
  <c r="K113" i="6"/>
  <c r="J113" i="6"/>
  <c r="I113" i="6"/>
  <c r="H113" i="6"/>
  <c r="G113" i="6"/>
  <c r="F113" i="6"/>
  <c r="E113" i="6"/>
  <c r="D113" i="6"/>
  <c r="C113" i="6"/>
  <c r="E1552" i="3"/>
  <c r="E2071" i="3"/>
  <c r="E2037" i="3"/>
  <c r="E1962" i="3"/>
  <c r="E1928" i="3"/>
  <c r="E1868" i="3"/>
  <c r="E1829" i="3"/>
  <c r="E1780" i="3"/>
  <c r="E1766" i="3"/>
  <c r="E1712" i="3"/>
  <c r="E1706" i="3"/>
  <c r="E1682" i="3"/>
  <c r="E1652" i="3"/>
  <c r="E1613" i="3"/>
  <c r="E1595" i="3"/>
  <c r="E1564" i="3"/>
  <c r="E1520" i="3"/>
  <c r="E1493" i="3"/>
  <c r="E1372" i="3"/>
  <c r="E1357" i="3"/>
  <c r="E1336" i="3"/>
  <c r="E1309" i="3"/>
  <c r="E1270" i="3"/>
  <c r="E1242" i="3"/>
  <c r="F1177" i="3"/>
  <c r="E1177" i="3"/>
  <c r="E1171" i="3"/>
  <c r="E1158" i="3"/>
  <c r="E1123" i="3"/>
  <c r="E1008" i="3"/>
  <c r="E1002" i="3"/>
  <c r="E947" i="3"/>
  <c r="E927" i="3"/>
  <c r="E807" i="3"/>
  <c r="E794" i="3"/>
  <c r="E754" i="3"/>
  <c r="E744" i="3"/>
  <c r="E699" i="3"/>
  <c r="E666" i="3"/>
  <c r="E658" i="3"/>
  <c r="E592" i="3"/>
  <c r="E586" i="3"/>
  <c r="E565" i="3"/>
  <c r="E531" i="3"/>
  <c r="E487" i="3"/>
  <c r="E471" i="3"/>
  <c r="E435" i="3"/>
  <c r="E403" i="3"/>
  <c r="E288" i="3"/>
  <c r="E279" i="3"/>
  <c r="E213" i="3"/>
  <c r="E203" i="3"/>
  <c r="E169" i="3"/>
  <c r="E139" i="3"/>
  <c r="E92" i="3"/>
  <c r="E65" i="3"/>
  <c r="O44" i="25" l="1"/>
  <c r="N44" i="25" s="1"/>
  <c r="Q44" i="25" s="1"/>
  <c r="H33" i="25"/>
  <c r="K33" i="25" s="1"/>
  <c r="I34" i="25" s="1"/>
  <c r="C42" i="25"/>
  <c r="B42" i="25" s="1"/>
  <c r="E42" i="25" s="1"/>
  <c r="H1843" i="17"/>
  <c r="J1719" i="17"/>
  <c r="L1719" i="17" s="1"/>
  <c r="I1719" i="17"/>
  <c r="H1905" i="17"/>
  <c r="H1471" i="17"/>
  <c r="H1595" i="17"/>
  <c r="H727" i="17"/>
  <c r="H1347" i="17"/>
  <c r="H1223" i="17"/>
  <c r="H1254" i="17"/>
  <c r="H789" i="17"/>
  <c r="H324" i="17"/>
  <c r="H200" i="17"/>
  <c r="K75" i="6"/>
  <c r="J75" i="6"/>
  <c r="I75" i="6"/>
  <c r="H75" i="6"/>
  <c r="G75" i="6"/>
  <c r="F75" i="6"/>
  <c r="E75" i="6"/>
  <c r="D75" i="6"/>
  <c r="C75" i="6"/>
  <c r="K105" i="6"/>
  <c r="J105" i="6"/>
  <c r="I105" i="6"/>
  <c r="H105" i="6"/>
  <c r="G105" i="6"/>
  <c r="F105" i="6"/>
  <c r="E105" i="6"/>
  <c r="D105" i="6"/>
  <c r="C105" i="6"/>
  <c r="J2046" i="17"/>
  <c r="I2046" i="17"/>
  <c r="I2052" i="17" s="1"/>
  <c r="H2046" i="17"/>
  <c r="G2046" i="17"/>
  <c r="F2046" i="17"/>
  <c r="F2052" i="17" s="1"/>
  <c r="E2046" i="17"/>
  <c r="E2052" i="17" s="1"/>
  <c r="D2046" i="17"/>
  <c r="C2046" i="17"/>
  <c r="B2046" i="17"/>
  <c r="B2052" i="17" s="1"/>
  <c r="J1977" i="17"/>
  <c r="J1983" i="17" s="1"/>
  <c r="I1977" i="17"/>
  <c r="I1983" i="17" s="1"/>
  <c r="H1977" i="17"/>
  <c r="G1977" i="17"/>
  <c r="G1983" i="17" s="1"/>
  <c r="F1977" i="17"/>
  <c r="F1983" i="17" s="1"/>
  <c r="E1977" i="17"/>
  <c r="E1983" i="17" s="1"/>
  <c r="D1977" i="17"/>
  <c r="C1977" i="17"/>
  <c r="C1983" i="17" s="1"/>
  <c r="B1977" i="17"/>
  <c r="B1983" i="17" s="1"/>
  <c r="I313" i="12"/>
  <c r="J313" i="12" s="1"/>
  <c r="K313" i="12" s="1"/>
  <c r="L313" i="12" s="1"/>
  <c r="M313" i="12" s="1"/>
  <c r="N313" i="12" s="1"/>
  <c r="H313" i="12"/>
  <c r="G313" i="12"/>
  <c r="F313" i="12"/>
  <c r="N259" i="12"/>
  <c r="M259" i="12"/>
  <c r="L259" i="12"/>
  <c r="K259" i="12"/>
  <c r="J259" i="12"/>
  <c r="I259" i="12"/>
  <c r="H259" i="12"/>
  <c r="G259" i="12"/>
  <c r="F259" i="12"/>
  <c r="E259" i="12"/>
  <c r="B21" i="6"/>
  <c r="J2126" i="17"/>
  <c r="I2126" i="17"/>
  <c r="H2126" i="17"/>
  <c r="G2126" i="17"/>
  <c r="F2126" i="17"/>
  <c r="E2126" i="17"/>
  <c r="D2126" i="17"/>
  <c r="C2126" i="17"/>
  <c r="B2126" i="17"/>
  <c r="J2111" i="17"/>
  <c r="I2111" i="17"/>
  <c r="H2111" i="17"/>
  <c r="G2111" i="17"/>
  <c r="F2111" i="17"/>
  <c r="E2111" i="17"/>
  <c r="D2111" i="17"/>
  <c r="C2111" i="17"/>
  <c r="B2111" i="17"/>
  <c r="B2128" i="17" s="1"/>
  <c r="C142" i="11" s="1"/>
  <c r="J2067" i="17"/>
  <c r="I2067" i="17"/>
  <c r="H2067" i="17"/>
  <c r="G2067" i="17"/>
  <c r="F2067" i="17"/>
  <c r="E2067" i="17"/>
  <c r="D2067" i="17"/>
  <c r="C2067" i="17"/>
  <c r="B2067" i="17"/>
  <c r="J2052" i="17"/>
  <c r="H2052" i="17"/>
  <c r="G2052" i="17"/>
  <c r="D2052" i="17"/>
  <c r="C2052" i="17"/>
  <c r="J1998" i="17"/>
  <c r="I1998" i="17"/>
  <c r="H1998" i="17"/>
  <c r="G1998" i="17"/>
  <c r="F1998" i="17"/>
  <c r="E1998" i="17"/>
  <c r="D1998" i="17"/>
  <c r="C1998" i="17"/>
  <c r="B1998" i="17"/>
  <c r="H1983" i="17"/>
  <c r="D1983" i="17"/>
  <c r="J1957" i="17"/>
  <c r="I1957" i="17"/>
  <c r="H1957" i="17"/>
  <c r="G1957" i="17"/>
  <c r="F1957" i="17"/>
  <c r="E1957" i="17"/>
  <c r="D1957" i="17"/>
  <c r="C1957" i="17"/>
  <c r="B1957" i="17"/>
  <c r="J1942" i="17"/>
  <c r="I1942" i="17"/>
  <c r="H1942" i="17"/>
  <c r="G1942" i="17"/>
  <c r="F1942" i="17"/>
  <c r="E1942" i="17"/>
  <c r="D1942" i="17"/>
  <c r="C1942" i="17"/>
  <c r="B1942" i="17"/>
  <c r="J1926" i="17"/>
  <c r="L1926" i="17" s="1"/>
  <c r="I1926" i="17"/>
  <c r="H1926" i="17"/>
  <c r="G1926" i="17"/>
  <c r="F1926" i="17"/>
  <c r="E1926" i="17"/>
  <c r="D1926" i="17"/>
  <c r="C1926" i="17"/>
  <c r="B1926" i="17"/>
  <c r="H1911" i="17"/>
  <c r="G1911" i="17"/>
  <c r="F1911" i="17"/>
  <c r="E1911" i="17"/>
  <c r="D1911" i="17"/>
  <c r="C1911" i="17"/>
  <c r="B1911" i="17"/>
  <c r="J1895" i="17"/>
  <c r="L1895" i="17" s="1"/>
  <c r="I1895" i="17"/>
  <c r="H1895" i="17"/>
  <c r="G1895" i="17"/>
  <c r="F1895" i="17"/>
  <c r="E1895" i="17"/>
  <c r="D1895" i="17"/>
  <c r="C1895" i="17"/>
  <c r="B1895" i="17"/>
  <c r="J1880" i="17"/>
  <c r="I1880" i="17"/>
  <c r="H1880" i="17"/>
  <c r="G1880" i="17"/>
  <c r="F1880" i="17"/>
  <c r="E1880" i="17"/>
  <c r="D1880" i="17"/>
  <c r="C1880" i="17"/>
  <c r="B1880" i="17"/>
  <c r="J1864" i="17"/>
  <c r="L1864" i="17" s="1"/>
  <c r="I1864" i="17"/>
  <c r="H1864" i="17"/>
  <c r="G1864" i="17"/>
  <c r="F1864" i="17"/>
  <c r="E1864" i="17"/>
  <c r="D1864" i="17"/>
  <c r="C1864" i="17"/>
  <c r="B1864" i="17"/>
  <c r="H1849" i="17"/>
  <c r="G1849" i="17"/>
  <c r="F1849" i="17"/>
  <c r="E1849" i="17"/>
  <c r="D1849" i="17"/>
  <c r="C1849" i="17"/>
  <c r="B1849" i="17"/>
  <c r="J1833" i="17"/>
  <c r="L1833" i="17" s="1"/>
  <c r="I1833" i="17"/>
  <c r="H1833" i="17"/>
  <c r="G1833" i="17"/>
  <c r="F1833" i="17"/>
  <c r="E1833" i="17"/>
  <c r="D1833" i="17"/>
  <c r="C1833" i="17"/>
  <c r="B1833" i="17"/>
  <c r="J1818" i="17"/>
  <c r="L1818" i="17" s="1"/>
  <c r="I1818" i="17"/>
  <c r="H1818" i="17"/>
  <c r="G1818" i="17"/>
  <c r="F1818" i="17"/>
  <c r="E1818" i="17"/>
  <c r="D1818" i="17"/>
  <c r="C1818" i="17"/>
  <c r="B1818" i="17"/>
  <c r="J1802" i="17"/>
  <c r="L1802" i="17" s="1"/>
  <c r="I1802" i="17"/>
  <c r="H1802" i="17"/>
  <c r="G1802" i="17"/>
  <c r="F1802" i="17"/>
  <c r="E1802" i="17"/>
  <c r="D1802" i="17"/>
  <c r="C1802" i="17"/>
  <c r="B1802" i="17"/>
  <c r="J1787" i="17"/>
  <c r="I1787" i="17"/>
  <c r="H1787" i="17"/>
  <c r="G1787" i="17"/>
  <c r="F1787" i="17"/>
  <c r="E1787" i="17"/>
  <c r="D1787" i="17"/>
  <c r="C1787" i="17"/>
  <c r="B1787" i="17"/>
  <c r="J1771" i="17"/>
  <c r="L1771" i="17" s="1"/>
  <c r="I1771" i="17"/>
  <c r="H1771" i="17"/>
  <c r="G1771" i="17"/>
  <c r="F1771" i="17"/>
  <c r="E1771" i="17"/>
  <c r="D1771" i="17"/>
  <c r="C1771" i="17"/>
  <c r="B1771" i="17"/>
  <c r="J1756" i="17"/>
  <c r="I1756" i="17"/>
  <c r="H1756" i="17"/>
  <c r="G1756" i="17"/>
  <c r="F1756" i="17"/>
  <c r="E1756" i="17"/>
  <c r="D1756" i="17"/>
  <c r="C1756" i="17"/>
  <c r="B1756" i="17"/>
  <c r="J1740" i="17"/>
  <c r="L1740" i="17" s="1"/>
  <c r="I1740" i="17"/>
  <c r="H1740" i="17"/>
  <c r="G1740" i="17"/>
  <c r="F1740" i="17"/>
  <c r="E1740" i="17"/>
  <c r="D1740" i="17"/>
  <c r="C1740" i="17"/>
  <c r="B1740" i="17"/>
  <c r="J1725" i="17"/>
  <c r="I1725" i="17"/>
  <c r="I1742" i="17" s="1"/>
  <c r="X116" i="11" s="1"/>
  <c r="H1725" i="17"/>
  <c r="G1725" i="17"/>
  <c r="F1725" i="17"/>
  <c r="E1725" i="17"/>
  <c r="E1742" i="17" s="1"/>
  <c r="L116" i="11" s="1"/>
  <c r="D1725" i="17"/>
  <c r="C1725" i="17"/>
  <c r="B1725" i="17"/>
  <c r="J1709" i="17"/>
  <c r="L1709" i="17" s="1"/>
  <c r="I1709" i="17"/>
  <c r="H1709" i="17"/>
  <c r="G1709" i="17"/>
  <c r="F1709" i="17"/>
  <c r="E1709" i="17"/>
  <c r="D1709" i="17"/>
  <c r="C1709" i="17"/>
  <c r="B1709" i="17"/>
  <c r="J1694" i="17"/>
  <c r="I1694" i="17"/>
  <c r="H1694" i="17"/>
  <c r="G1694" i="17"/>
  <c r="G1711" i="17" s="1"/>
  <c r="R115" i="11" s="1"/>
  <c r="F1694" i="17"/>
  <c r="E1694" i="17"/>
  <c r="D1694" i="17"/>
  <c r="C1694" i="17"/>
  <c r="C1711" i="17" s="1"/>
  <c r="F115" i="11" s="1"/>
  <c r="B1694" i="17"/>
  <c r="J1678" i="17"/>
  <c r="L1678" i="17" s="1"/>
  <c r="I1678" i="17"/>
  <c r="H1678" i="17"/>
  <c r="G1678" i="17"/>
  <c r="F1678" i="17"/>
  <c r="E1678" i="17"/>
  <c r="D1678" i="17"/>
  <c r="C1678" i="17"/>
  <c r="B1678" i="17"/>
  <c r="J1663" i="17"/>
  <c r="L1663" i="17" s="1"/>
  <c r="I1663" i="17"/>
  <c r="H1663" i="17"/>
  <c r="G1663" i="17"/>
  <c r="F1663" i="17"/>
  <c r="E1663" i="17"/>
  <c r="D1663" i="17"/>
  <c r="C1663" i="17"/>
  <c r="B1663" i="17"/>
  <c r="J1647" i="17"/>
  <c r="L1647" i="17" s="1"/>
  <c r="I1647" i="17"/>
  <c r="H1647" i="17"/>
  <c r="G1647" i="17"/>
  <c r="F1647" i="17"/>
  <c r="E1647" i="17"/>
  <c r="D1647" i="17"/>
  <c r="C1647" i="17"/>
  <c r="B1647" i="17"/>
  <c r="J1632" i="17"/>
  <c r="I1632" i="17"/>
  <c r="H1632" i="17"/>
  <c r="G1632" i="17"/>
  <c r="G1649" i="17" s="1"/>
  <c r="R113" i="11" s="1"/>
  <c r="F1632" i="17"/>
  <c r="E1632" i="17"/>
  <c r="D1632" i="17"/>
  <c r="C1632" i="17"/>
  <c r="C1649" i="17" s="1"/>
  <c r="F113" i="11" s="1"/>
  <c r="B1632" i="17"/>
  <c r="J1616" i="17"/>
  <c r="L1616" i="17" s="1"/>
  <c r="I1616" i="17"/>
  <c r="H1616" i="17"/>
  <c r="G1616" i="17"/>
  <c r="F1616" i="17"/>
  <c r="E1616" i="17"/>
  <c r="D1616" i="17"/>
  <c r="C1616" i="17"/>
  <c r="B1616" i="17"/>
  <c r="H1601" i="17"/>
  <c r="G1601" i="17"/>
  <c r="F1601" i="17"/>
  <c r="E1601" i="17"/>
  <c r="E1618" i="17" s="1"/>
  <c r="L112" i="11" s="1"/>
  <c r="D1601" i="17"/>
  <c r="C1601" i="17"/>
  <c r="B1601" i="17"/>
  <c r="J1585" i="17"/>
  <c r="L1585" i="17" s="1"/>
  <c r="I1585" i="17"/>
  <c r="H1585" i="17"/>
  <c r="G1585" i="17"/>
  <c r="F1585" i="17"/>
  <c r="E1585" i="17"/>
  <c r="D1585" i="17"/>
  <c r="C1585" i="17"/>
  <c r="B1585" i="17"/>
  <c r="J1570" i="17"/>
  <c r="I1570" i="17"/>
  <c r="H1570" i="17"/>
  <c r="G1570" i="17"/>
  <c r="G1587" i="17" s="1"/>
  <c r="R111" i="11" s="1"/>
  <c r="F1570" i="17"/>
  <c r="E1570" i="17"/>
  <c r="D1570" i="17"/>
  <c r="C1570" i="17"/>
  <c r="C1587" i="17" s="1"/>
  <c r="F111" i="11" s="1"/>
  <c r="B1570" i="17"/>
  <c r="J1554" i="17"/>
  <c r="L1554" i="17" s="1"/>
  <c r="I1554" i="17"/>
  <c r="H1554" i="17"/>
  <c r="G1554" i="17"/>
  <c r="F1554" i="17"/>
  <c r="E1554" i="17"/>
  <c r="D1554" i="17"/>
  <c r="C1554" i="17"/>
  <c r="B1554" i="17"/>
  <c r="J1539" i="17"/>
  <c r="I1539" i="17"/>
  <c r="H1539" i="17"/>
  <c r="G1539" i="17"/>
  <c r="F1539" i="17"/>
  <c r="E1539" i="17"/>
  <c r="E1556" i="17" s="1"/>
  <c r="L110" i="11" s="1"/>
  <c r="D1539" i="17"/>
  <c r="C1539" i="17"/>
  <c r="B1539" i="17"/>
  <c r="J1523" i="17"/>
  <c r="L1523" i="17" s="1"/>
  <c r="I1523" i="17"/>
  <c r="H1523" i="17"/>
  <c r="G1523" i="17"/>
  <c r="F1523" i="17"/>
  <c r="E1523" i="17"/>
  <c r="D1523" i="17"/>
  <c r="C1523" i="17"/>
  <c r="B1523" i="17"/>
  <c r="J1508" i="17"/>
  <c r="I1508" i="17"/>
  <c r="H1508" i="17"/>
  <c r="G1508" i="17"/>
  <c r="G1525" i="17" s="1"/>
  <c r="R109" i="11" s="1"/>
  <c r="F1508" i="17"/>
  <c r="E1508" i="17"/>
  <c r="D1508" i="17"/>
  <c r="C1508" i="17"/>
  <c r="C1525" i="17" s="1"/>
  <c r="F109" i="11" s="1"/>
  <c r="B1508" i="17"/>
  <c r="J1492" i="17"/>
  <c r="L1492" i="17" s="1"/>
  <c r="I1492" i="17"/>
  <c r="H1492" i="17"/>
  <c r="G1492" i="17"/>
  <c r="F1492" i="17"/>
  <c r="E1492" i="17"/>
  <c r="D1492" i="17"/>
  <c r="C1492" i="17"/>
  <c r="B1492" i="17"/>
  <c r="H1477" i="17"/>
  <c r="G1477" i="17"/>
  <c r="F1477" i="17"/>
  <c r="E1477" i="17"/>
  <c r="D1477" i="17"/>
  <c r="C1477" i="17"/>
  <c r="B1477" i="17"/>
  <c r="J1461" i="17"/>
  <c r="L1461" i="17" s="1"/>
  <c r="I1461" i="17"/>
  <c r="H1461" i="17"/>
  <c r="G1461" i="17"/>
  <c r="F1461" i="17"/>
  <c r="E1461" i="17"/>
  <c r="D1461" i="17"/>
  <c r="C1461" i="17"/>
  <c r="B1461" i="17"/>
  <c r="J1446" i="17"/>
  <c r="I1446" i="17"/>
  <c r="H1446" i="17"/>
  <c r="G1446" i="17"/>
  <c r="F1446" i="17"/>
  <c r="E1446" i="17"/>
  <c r="D1446" i="17"/>
  <c r="C1446" i="17"/>
  <c r="B1446" i="17"/>
  <c r="J1430" i="17"/>
  <c r="L1430" i="17" s="1"/>
  <c r="I1430" i="17"/>
  <c r="H1430" i="17"/>
  <c r="G1430" i="17"/>
  <c r="F1430" i="17"/>
  <c r="E1430" i="17"/>
  <c r="D1430" i="17"/>
  <c r="C1430" i="17"/>
  <c r="B1430" i="17"/>
  <c r="J1415" i="17"/>
  <c r="I1415" i="17"/>
  <c r="H1415" i="17"/>
  <c r="H1432" i="17" s="1"/>
  <c r="U106" i="11" s="1"/>
  <c r="G1415" i="17"/>
  <c r="F1415" i="17"/>
  <c r="E1415" i="17"/>
  <c r="D1415" i="17"/>
  <c r="D1432" i="17" s="1"/>
  <c r="I106" i="11" s="1"/>
  <c r="C1415" i="17"/>
  <c r="B1415" i="17"/>
  <c r="J1399" i="17"/>
  <c r="L1399" i="17" s="1"/>
  <c r="I1399" i="17"/>
  <c r="H1399" i="17"/>
  <c r="G1399" i="17"/>
  <c r="F1399" i="17"/>
  <c r="E1399" i="17"/>
  <c r="D1399" i="17"/>
  <c r="C1399" i="17"/>
  <c r="B1399" i="17"/>
  <c r="J1384" i="17"/>
  <c r="J1401" i="17" s="1"/>
  <c r="AA105" i="11" s="1"/>
  <c r="I1384" i="17"/>
  <c r="H1384" i="17"/>
  <c r="G1384" i="17"/>
  <c r="F1384" i="17"/>
  <c r="F1401" i="17" s="1"/>
  <c r="O105" i="11" s="1"/>
  <c r="E1384" i="17"/>
  <c r="D1384" i="17"/>
  <c r="C1384" i="17"/>
  <c r="B1384" i="17"/>
  <c r="B1401" i="17" s="1"/>
  <c r="C105" i="11" s="1"/>
  <c r="J1368" i="17"/>
  <c r="L1368" i="17" s="1"/>
  <c r="I1368" i="17"/>
  <c r="H1368" i="17"/>
  <c r="G1368" i="17"/>
  <c r="F1368" i="17"/>
  <c r="E1368" i="17"/>
  <c r="D1368" i="17"/>
  <c r="C1368" i="17"/>
  <c r="B1368" i="17"/>
  <c r="H1353" i="17"/>
  <c r="H1370" i="17" s="1"/>
  <c r="U104" i="11" s="1"/>
  <c r="G1353" i="17"/>
  <c r="F1353" i="17"/>
  <c r="E1353" i="17"/>
  <c r="D1353" i="17"/>
  <c r="D1370" i="17" s="1"/>
  <c r="I104" i="11" s="1"/>
  <c r="C1353" i="17"/>
  <c r="B1353" i="17"/>
  <c r="J1337" i="17"/>
  <c r="L1337" i="17" s="1"/>
  <c r="I1337" i="17"/>
  <c r="H1337" i="17"/>
  <c r="G1337" i="17"/>
  <c r="F1337" i="17"/>
  <c r="E1337" i="17"/>
  <c r="D1337" i="17"/>
  <c r="C1337" i="17"/>
  <c r="B1337" i="17"/>
  <c r="J1322" i="17"/>
  <c r="J1339" i="17" s="1"/>
  <c r="AA103" i="11" s="1"/>
  <c r="I1322" i="17"/>
  <c r="H1322" i="17"/>
  <c r="H1339" i="17" s="1"/>
  <c r="U103" i="11" s="1"/>
  <c r="G1322" i="17"/>
  <c r="F1322" i="17"/>
  <c r="F1339" i="17" s="1"/>
  <c r="O103" i="11" s="1"/>
  <c r="E1322" i="17"/>
  <c r="D1322" i="17"/>
  <c r="D1339" i="17" s="1"/>
  <c r="I103" i="11" s="1"/>
  <c r="C1322" i="17"/>
  <c r="B1322" i="17"/>
  <c r="B1339" i="17" s="1"/>
  <c r="C103" i="11" s="1"/>
  <c r="J1306" i="17"/>
  <c r="L1306" i="17" s="1"/>
  <c r="I1306" i="17"/>
  <c r="H1306" i="17"/>
  <c r="G1306" i="17"/>
  <c r="F1306" i="17"/>
  <c r="E1306" i="17"/>
  <c r="D1306" i="17"/>
  <c r="C1306" i="17"/>
  <c r="B1306" i="17"/>
  <c r="J1291" i="17"/>
  <c r="I1291" i="17"/>
  <c r="H1291" i="17"/>
  <c r="H1308" i="17" s="1"/>
  <c r="U102" i="11" s="1"/>
  <c r="G1291" i="17"/>
  <c r="F1291" i="17"/>
  <c r="E1291" i="17"/>
  <c r="D1291" i="17"/>
  <c r="D1308" i="17" s="1"/>
  <c r="I102" i="11" s="1"/>
  <c r="C1291" i="17"/>
  <c r="B1291" i="17"/>
  <c r="J1275" i="17"/>
  <c r="L1275" i="17" s="1"/>
  <c r="I1275" i="17"/>
  <c r="H1275" i="17"/>
  <c r="G1275" i="17"/>
  <c r="F1275" i="17"/>
  <c r="E1275" i="17"/>
  <c r="D1275" i="17"/>
  <c r="C1275" i="17"/>
  <c r="B1275" i="17"/>
  <c r="H1260" i="17"/>
  <c r="G1260" i="17"/>
  <c r="F1260" i="17"/>
  <c r="F1277" i="17" s="1"/>
  <c r="O101" i="11" s="1"/>
  <c r="E1260" i="17"/>
  <c r="D1260" i="17"/>
  <c r="C1260" i="17"/>
  <c r="B1260" i="17"/>
  <c r="B1277" i="17" s="1"/>
  <c r="C101" i="11" s="1"/>
  <c r="J1244" i="17"/>
  <c r="L1244" i="17" s="1"/>
  <c r="I1244" i="17"/>
  <c r="H1244" i="17"/>
  <c r="G1244" i="17"/>
  <c r="F1244" i="17"/>
  <c r="E1244" i="17"/>
  <c r="D1244" i="17"/>
  <c r="C1244" i="17"/>
  <c r="B1244" i="17"/>
  <c r="H1229" i="17"/>
  <c r="H1246" i="17" s="1"/>
  <c r="U100" i="11" s="1"/>
  <c r="G1229" i="17"/>
  <c r="F1229" i="17"/>
  <c r="F1246" i="17" s="1"/>
  <c r="O100" i="11" s="1"/>
  <c r="E1229" i="17"/>
  <c r="D1229" i="17"/>
  <c r="D1246" i="17" s="1"/>
  <c r="I100" i="11" s="1"/>
  <c r="C1229" i="17"/>
  <c r="B1229" i="17"/>
  <c r="B1246" i="17" s="1"/>
  <c r="C100" i="11" s="1"/>
  <c r="J1213" i="17"/>
  <c r="L1213" i="17" s="1"/>
  <c r="I1213" i="17"/>
  <c r="H1213" i="17"/>
  <c r="G1213" i="17"/>
  <c r="F1213" i="17"/>
  <c r="E1213" i="17"/>
  <c r="D1213" i="17"/>
  <c r="C1213" i="17"/>
  <c r="B1213" i="17"/>
  <c r="J1198" i="17"/>
  <c r="I1198" i="17"/>
  <c r="H1198" i="17"/>
  <c r="H1215" i="17" s="1"/>
  <c r="U99" i="11" s="1"/>
  <c r="G1198" i="17"/>
  <c r="F1198" i="17"/>
  <c r="F1215" i="17" s="1"/>
  <c r="O99" i="11" s="1"/>
  <c r="E1198" i="17"/>
  <c r="D1198" i="17"/>
  <c r="D1215" i="17" s="1"/>
  <c r="I99" i="11" s="1"/>
  <c r="C1198" i="17"/>
  <c r="B1198" i="17"/>
  <c r="B1215" i="17" s="1"/>
  <c r="C99" i="11" s="1"/>
  <c r="J1182" i="17"/>
  <c r="L1182" i="17" s="1"/>
  <c r="I1182" i="17"/>
  <c r="H1182" i="17"/>
  <c r="G1182" i="17"/>
  <c r="F1182" i="17"/>
  <c r="E1182" i="17"/>
  <c r="D1182" i="17"/>
  <c r="C1182" i="17"/>
  <c r="B1182" i="17"/>
  <c r="J1167" i="17"/>
  <c r="J1184" i="17" s="1"/>
  <c r="AA98" i="11" s="1"/>
  <c r="I1167" i="17"/>
  <c r="H1167" i="17"/>
  <c r="H1184" i="17" s="1"/>
  <c r="U98" i="11" s="1"/>
  <c r="G1167" i="17"/>
  <c r="F1167" i="17"/>
  <c r="F1184" i="17" s="1"/>
  <c r="O98" i="11" s="1"/>
  <c r="E1167" i="17"/>
  <c r="D1167" i="17"/>
  <c r="D1184" i="17" s="1"/>
  <c r="I98" i="11" s="1"/>
  <c r="C1167" i="17"/>
  <c r="B1167" i="17"/>
  <c r="B1184" i="17" s="1"/>
  <c r="C98" i="11" s="1"/>
  <c r="J1151" i="17"/>
  <c r="L1151" i="17" s="1"/>
  <c r="I1151" i="17"/>
  <c r="H1151" i="17"/>
  <c r="G1151" i="17"/>
  <c r="F1151" i="17"/>
  <c r="E1151" i="17"/>
  <c r="D1151" i="17"/>
  <c r="C1151" i="17"/>
  <c r="B1151" i="17"/>
  <c r="J1136" i="17"/>
  <c r="I1136" i="17"/>
  <c r="H1136" i="17"/>
  <c r="H1153" i="17" s="1"/>
  <c r="U97" i="11" s="1"/>
  <c r="G1136" i="17"/>
  <c r="F1136" i="17"/>
  <c r="E1136" i="17"/>
  <c r="D1136" i="17"/>
  <c r="D1153" i="17" s="1"/>
  <c r="I97" i="11" s="1"/>
  <c r="C1136" i="17"/>
  <c r="B1136" i="17"/>
  <c r="J1120" i="17"/>
  <c r="L1120" i="17" s="1"/>
  <c r="I1120" i="17"/>
  <c r="H1120" i="17"/>
  <c r="G1120" i="17"/>
  <c r="F1120" i="17"/>
  <c r="E1120" i="17"/>
  <c r="D1120" i="17"/>
  <c r="C1120" i="17"/>
  <c r="B1120" i="17"/>
  <c r="J1105" i="17"/>
  <c r="J1122" i="17" s="1"/>
  <c r="AA96" i="11" s="1"/>
  <c r="I1105" i="17"/>
  <c r="H1105" i="17"/>
  <c r="G1105" i="17"/>
  <c r="F1105" i="17"/>
  <c r="F1122" i="17" s="1"/>
  <c r="O96" i="11" s="1"/>
  <c r="E1105" i="17"/>
  <c r="D1105" i="17"/>
  <c r="C1105" i="17"/>
  <c r="B1105" i="17"/>
  <c r="B1122" i="17" s="1"/>
  <c r="C96" i="11" s="1"/>
  <c r="J1089" i="17"/>
  <c r="L1089" i="17" s="1"/>
  <c r="I1089" i="17"/>
  <c r="H1089" i="17"/>
  <c r="G1089" i="17"/>
  <c r="F1089" i="17"/>
  <c r="E1089" i="17"/>
  <c r="D1089" i="17"/>
  <c r="C1089" i="17"/>
  <c r="B1089" i="17"/>
  <c r="J1074" i="17"/>
  <c r="I1074" i="17"/>
  <c r="H1074" i="17"/>
  <c r="H1091" i="17" s="1"/>
  <c r="U95" i="11" s="1"/>
  <c r="G1074" i="17"/>
  <c r="F1074" i="17"/>
  <c r="E1074" i="17"/>
  <c r="D1074" i="17"/>
  <c r="D1091" i="17" s="1"/>
  <c r="I95" i="11" s="1"/>
  <c r="C1074" i="17"/>
  <c r="B1074" i="17"/>
  <c r="J1058" i="17"/>
  <c r="L1058" i="17" s="1"/>
  <c r="I1058" i="17"/>
  <c r="H1058" i="17"/>
  <c r="G1058" i="17"/>
  <c r="F1058" i="17"/>
  <c r="E1058" i="17"/>
  <c r="D1058" i="17"/>
  <c r="C1058" i="17"/>
  <c r="B1058" i="17"/>
  <c r="J1043" i="17"/>
  <c r="J1060" i="17" s="1"/>
  <c r="AA94" i="11" s="1"/>
  <c r="I1043" i="17"/>
  <c r="H1043" i="17"/>
  <c r="G1043" i="17"/>
  <c r="F1043" i="17"/>
  <c r="F1060" i="17" s="1"/>
  <c r="O94" i="11" s="1"/>
  <c r="E1043" i="17"/>
  <c r="D1043" i="17"/>
  <c r="C1043" i="17"/>
  <c r="B1043" i="17"/>
  <c r="B1060" i="17" s="1"/>
  <c r="C94" i="11" s="1"/>
  <c r="J1027" i="17"/>
  <c r="L1027" i="17" s="1"/>
  <c r="I1027" i="17"/>
  <c r="H1027" i="17"/>
  <c r="G1027" i="17"/>
  <c r="F1027" i="17"/>
  <c r="E1027" i="17"/>
  <c r="D1027" i="17"/>
  <c r="C1027" i="17"/>
  <c r="B1027" i="17"/>
  <c r="J1012" i="17"/>
  <c r="I1012" i="17"/>
  <c r="H1012" i="17"/>
  <c r="H1029" i="17" s="1"/>
  <c r="U93" i="11" s="1"/>
  <c r="G1012" i="17"/>
  <c r="F1012" i="17"/>
  <c r="E1012" i="17"/>
  <c r="D1012" i="17"/>
  <c r="D1029" i="17" s="1"/>
  <c r="I93" i="11" s="1"/>
  <c r="C1012" i="17"/>
  <c r="B1012" i="17"/>
  <c r="J996" i="17"/>
  <c r="L996" i="17" s="1"/>
  <c r="I996" i="17"/>
  <c r="H996" i="17"/>
  <c r="G996" i="17"/>
  <c r="F996" i="17"/>
  <c r="E996" i="17"/>
  <c r="D996" i="17"/>
  <c r="C996" i="17"/>
  <c r="B996" i="17"/>
  <c r="J981" i="17"/>
  <c r="J998" i="17" s="1"/>
  <c r="AA92" i="11" s="1"/>
  <c r="I981" i="17"/>
  <c r="H981" i="17"/>
  <c r="G981" i="17"/>
  <c r="F981" i="17"/>
  <c r="F998" i="17" s="1"/>
  <c r="O92" i="11" s="1"/>
  <c r="E981" i="17"/>
  <c r="D981" i="17"/>
  <c r="C981" i="17"/>
  <c r="B981" i="17"/>
  <c r="B998" i="17" s="1"/>
  <c r="C92" i="11" s="1"/>
  <c r="J934" i="17"/>
  <c r="L934" i="17" s="1"/>
  <c r="I934" i="17"/>
  <c r="H934" i="17"/>
  <c r="G934" i="17"/>
  <c r="F934" i="17"/>
  <c r="E934" i="17"/>
  <c r="D934" i="17"/>
  <c r="C934" i="17"/>
  <c r="B934" i="17"/>
  <c r="J919" i="17"/>
  <c r="I919" i="17"/>
  <c r="H919" i="17"/>
  <c r="H936" i="17" s="1"/>
  <c r="U90" i="11" s="1"/>
  <c r="G919" i="17"/>
  <c r="F919" i="17"/>
  <c r="E919" i="17"/>
  <c r="D919" i="17"/>
  <c r="D936" i="17" s="1"/>
  <c r="I90" i="11" s="1"/>
  <c r="C919" i="17"/>
  <c r="B919" i="17"/>
  <c r="J903" i="17"/>
  <c r="L903" i="17" s="1"/>
  <c r="I903" i="17"/>
  <c r="H903" i="17"/>
  <c r="G903" i="17"/>
  <c r="F903" i="17"/>
  <c r="E903" i="17"/>
  <c r="D903" i="17"/>
  <c r="C903" i="17"/>
  <c r="B903" i="17"/>
  <c r="J888" i="17"/>
  <c r="J905" i="17" s="1"/>
  <c r="AA89" i="11" s="1"/>
  <c r="I888" i="17"/>
  <c r="H888" i="17"/>
  <c r="G888" i="17"/>
  <c r="F888" i="17"/>
  <c r="F905" i="17" s="1"/>
  <c r="O89" i="11" s="1"/>
  <c r="E888" i="17"/>
  <c r="D888" i="17"/>
  <c r="C888" i="17"/>
  <c r="B888" i="17"/>
  <c r="B905" i="17" s="1"/>
  <c r="C89" i="11" s="1"/>
  <c r="J872" i="17"/>
  <c r="L872" i="17" s="1"/>
  <c r="I872" i="17"/>
  <c r="H872" i="17"/>
  <c r="G872" i="17"/>
  <c r="F872" i="17"/>
  <c r="E872" i="17"/>
  <c r="D872" i="17"/>
  <c r="C872" i="17"/>
  <c r="B872" i="17"/>
  <c r="J857" i="17"/>
  <c r="I857" i="17"/>
  <c r="H857" i="17"/>
  <c r="H874" i="17" s="1"/>
  <c r="U88" i="11" s="1"/>
  <c r="G857" i="17"/>
  <c r="F857" i="17"/>
  <c r="E857" i="17"/>
  <c r="D857" i="17"/>
  <c r="D874" i="17" s="1"/>
  <c r="I88" i="11" s="1"/>
  <c r="C857" i="17"/>
  <c r="B857" i="17"/>
  <c r="J841" i="17"/>
  <c r="L841" i="17" s="1"/>
  <c r="I841" i="17"/>
  <c r="H841" i="17"/>
  <c r="G841" i="17"/>
  <c r="F841" i="17"/>
  <c r="E841" i="17"/>
  <c r="D841" i="17"/>
  <c r="C841" i="17"/>
  <c r="B841" i="17"/>
  <c r="J826" i="17"/>
  <c r="J843" i="17" s="1"/>
  <c r="AA87" i="11" s="1"/>
  <c r="I826" i="17"/>
  <c r="H826" i="17"/>
  <c r="G826" i="17"/>
  <c r="F826" i="17"/>
  <c r="F843" i="17" s="1"/>
  <c r="O87" i="11" s="1"/>
  <c r="E826" i="17"/>
  <c r="D826" i="17"/>
  <c r="C826" i="17"/>
  <c r="B826" i="17"/>
  <c r="B843" i="17" s="1"/>
  <c r="C87" i="11" s="1"/>
  <c r="J810" i="17"/>
  <c r="L810" i="17" s="1"/>
  <c r="I810" i="17"/>
  <c r="H810" i="17"/>
  <c r="G810" i="17"/>
  <c r="F810" i="17"/>
  <c r="E810" i="17"/>
  <c r="D810" i="17"/>
  <c r="C810" i="17"/>
  <c r="B810" i="17"/>
  <c r="H795" i="17"/>
  <c r="H812" i="17" s="1"/>
  <c r="U86" i="11" s="1"/>
  <c r="G795" i="17"/>
  <c r="F795" i="17"/>
  <c r="E795" i="17"/>
  <c r="D795" i="17"/>
  <c r="D812" i="17" s="1"/>
  <c r="I86" i="11" s="1"/>
  <c r="C795" i="17"/>
  <c r="B795" i="17"/>
  <c r="J779" i="17"/>
  <c r="L779" i="17" s="1"/>
  <c r="I779" i="17"/>
  <c r="H779" i="17"/>
  <c r="G779" i="17"/>
  <c r="F779" i="17"/>
  <c r="E779" i="17"/>
  <c r="D779" i="17"/>
  <c r="C779" i="17"/>
  <c r="B779" i="17"/>
  <c r="J764" i="17"/>
  <c r="J781" i="17" s="1"/>
  <c r="AA85" i="11" s="1"/>
  <c r="I764" i="17"/>
  <c r="H764" i="17"/>
  <c r="G764" i="17"/>
  <c r="F764" i="17"/>
  <c r="F781" i="17" s="1"/>
  <c r="O85" i="11" s="1"/>
  <c r="E764" i="17"/>
  <c r="D764" i="17"/>
  <c r="C764" i="17"/>
  <c r="B764" i="17"/>
  <c r="B781" i="17" s="1"/>
  <c r="C85" i="11" s="1"/>
  <c r="J748" i="17"/>
  <c r="L748" i="17" s="1"/>
  <c r="I748" i="17"/>
  <c r="H748" i="17"/>
  <c r="G748" i="17"/>
  <c r="F748" i="17"/>
  <c r="E748" i="17"/>
  <c r="D748" i="17"/>
  <c r="C748" i="17"/>
  <c r="B748" i="17"/>
  <c r="H733" i="17"/>
  <c r="H750" i="17" s="1"/>
  <c r="U84" i="11" s="1"/>
  <c r="G733" i="17"/>
  <c r="F733" i="17"/>
  <c r="E733" i="17"/>
  <c r="D733" i="17"/>
  <c r="D750" i="17" s="1"/>
  <c r="I84" i="11" s="1"/>
  <c r="C733" i="17"/>
  <c r="B733" i="17"/>
  <c r="J717" i="17"/>
  <c r="L717" i="17" s="1"/>
  <c r="I717" i="17"/>
  <c r="H717" i="17"/>
  <c r="G717" i="17"/>
  <c r="F717" i="17"/>
  <c r="E717" i="17"/>
  <c r="D717" i="17"/>
  <c r="C717" i="17"/>
  <c r="B717" i="17"/>
  <c r="J702" i="17"/>
  <c r="J719" i="17" s="1"/>
  <c r="AA83" i="11" s="1"/>
  <c r="I702" i="17"/>
  <c r="H702" i="17"/>
  <c r="G702" i="17"/>
  <c r="F702" i="17"/>
  <c r="F719" i="17" s="1"/>
  <c r="O83" i="11" s="1"/>
  <c r="E702" i="17"/>
  <c r="D702" i="17"/>
  <c r="C702" i="17"/>
  <c r="B702" i="17"/>
  <c r="B719" i="17" s="1"/>
  <c r="C83" i="11" s="1"/>
  <c r="J686" i="17"/>
  <c r="L686" i="17" s="1"/>
  <c r="I686" i="17"/>
  <c r="H686" i="17"/>
  <c r="G686" i="17"/>
  <c r="F686" i="17"/>
  <c r="E686" i="17"/>
  <c r="D686" i="17"/>
  <c r="C686" i="17"/>
  <c r="B686" i="17"/>
  <c r="J671" i="17"/>
  <c r="I671" i="17"/>
  <c r="H671" i="17"/>
  <c r="H688" i="17" s="1"/>
  <c r="U82" i="11" s="1"/>
  <c r="G671" i="17"/>
  <c r="F671" i="17"/>
  <c r="E671" i="17"/>
  <c r="D671" i="17"/>
  <c r="D688" i="17" s="1"/>
  <c r="I82" i="11" s="1"/>
  <c r="C671" i="17"/>
  <c r="B671" i="17"/>
  <c r="J655" i="17"/>
  <c r="L655" i="17" s="1"/>
  <c r="I655" i="17"/>
  <c r="H655" i="17"/>
  <c r="G655" i="17"/>
  <c r="F655" i="17"/>
  <c r="E655" i="17"/>
  <c r="D655" i="17"/>
  <c r="C655" i="17"/>
  <c r="B655" i="17"/>
  <c r="J640" i="17"/>
  <c r="J657" i="17" s="1"/>
  <c r="AA81" i="11" s="1"/>
  <c r="I640" i="17"/>
  <c r="H640" i="17"/>
  <c r="G640" i="17"/>
  <c r="F640" i="17"/>
  <c r="F657" i="17" s="1"/>
  <c r="O81" i="11" s="1"/>
  <c r="E640" i="17"/>
  <c r="D640" i="17"/>
  <c r="C640" i="17"/>
  <c r="B640" i="17"/>
  <c r="B657" i="17" s="1"/>
  <c r="C81" i="11" s="1"/>
  <c r="J624" i="17"/>
  <c r="L624" i="17" s="1"/>
  <c r="I624" i="17"/>
  <c r="H624" i="17"/>
  <c r="G624" i="17"/>
  <c r="F624" i="17"/>
  <c r="E624" i="17"/>
  <c r="D624" i="17"/>
  <c r="C624" i="17"/>
  <c r="B624" i="17"/>
  <c r="J609" i="17"/>
  <c r="I609" i="17"/>
  <c r="H609" i="17"/>
  <c r="H626" i="17" s="1"/>
  <c r="U80" i="11" s="1"/>
  <c r="G609" i="17"/>
  <c r="F609" i="17"/>
  <c r="E609" i="17"/>
  <c r="D609" i="17"/>
  <c r="D626" i="17" s="1"/>
  <c r="I80" i="11" s="1"/>
  <c r="C609" i="17"/>
  <c r="B609" i="17"/>
  <c r="J593" i="17"/>
  <c r="L593" i="17" s="1"/>
  <c r="I593" i="17"/>
  <c r="H593" i="17"/>
  <c r="G593" i="17"/>
  <c r="F593" i="17"/>
  <c r="E593" i="17"/>
  <c r="D593" i="17"/>
  <c r="C593" i="17"/>
  <c r="B593" i="17"/>
  <c r="J578" i="17"/>
  <c r="J595" i="17" s="1"/>
  <c r="AA79" i="11" s="1"/>
  <c r="I578" i="17"/>
  <c r="H578" i="17"/>
  <c r="G578" i="17"/>
  <c r="F578" i="17"/>
  <c r="F595" i="17" s="1"/>
  <c r="O79" i="11" s="1"/>
  <c r="E578" i="17"/>
  <c r="D578" i="17"/>
  <c r="C578" i="17"/>
  <c r="B578" i="17"/>
  <c r="B595" i="17" s="1"/>
  <c r="C79" i="11" s="1"/>
  <c r="J562" i="17"/>
  <c r="L562" i="17" s="1"/>
  <c r="I562" i="17"/>
  <c r="H562" i="17"/>
  <c r="G562" i="17"/>
  <c r="F562" i="17"/>
  <c r="E562" i="17"/>
  <c r="D562" i="17"/>
  <c r="C562" i="17"/>
  <c r="B562" i="17"/>
  <c r="J547" i="17"/>
  <c r="I547" i="17"/>
  <c r="H547" i="17"/>
  <c r="H564" i="17" s="1"/>
  <c r="U78" i="11" s="1"/>
  <c r="G547" i="17"/>
  <c r="F547" i="17"/>
  <c r="E547" i="17"/>
  <c r="D547" i="17"/>
  <c r="D564" i="17" s="1"/>
  <c r="I78" i="11" s="1"/>
  <c r="C547" i="17"/>
  <c r="B547" i="17"/>
  <c r="J531" i="17"/>
  <c r="L531" i="17" s="1"/>
  <c r="I531" i="17"/>
  <c r="H531" i="17"/>
  <c r="G531" i="17"/>
  <c r="F531" i="17"/>
  <c r="E531" i="17"/>
  <c r="D531" i="17"/>
  <c r="C531" i="17"/>
  <c r="B531" i="17"/>
  <c r="J516" i="17"/>
  <c r="J533" i="17" s="1"/>
  <c r="I516" i="17"/>
  <c r="H516" i="17"/>
  <c r="G516" i="17"/>
  <c r="F516" i="17"/>
  <c r="F533" i="17" s="1"/>
  <c r="E516" i="17"/>
  <c r="D516" i="17"/>
  <c r="C516" i="17"/>
  <c r="B516" i="17"/>
  <c r="B533" i="17" s="1"/>
  <c r="J500" i="17"/>
  <c r="L500" i="17" s="1"/>
  <c r="I500" i="17"/>
  <c r="H500" i="17"/>
  <c r="G500" i="17"/>
  <c r="F500" i="17"/>
  <c r="E500" i="17"/>
  <c r="D500" i="17"/>
  <c r="C500" i="17"/>
  <c r="B500" i="17"/>
  <c r="J485" i="17"/>
  <c r="I485" i="17"/>
  <c r="H485" i="17"/>
  <c r="H502" i="17" s="1"/>
  <c r="G485" i="17"/>
  <c r="F485" i="17"/>
  <c r="E485" i="17"/>
  <c r="D485" i="17"/>
  <c r="D502" i="17" s="1"/>
  <c r="C485" i="17"/>
  <c r="B485" i="17"/>
  <c r="J469" i="17"/>
  <c r="L469" i="17" s="1"/>
  <c r="I469" i="17"/>
  <c r="H469" i="17"/>
  <c r="G469" i="17"/>
  <c r="F469" i="17"/>
  <c r="E469" i="17"/>
  <c r="D469" i="17"/>
  <c r="C469" i="17"/>
  <c r="B469" i="17"/>
  <c r="J454" i="17"/>
  <c r="J471" i="17" s="1"/>
  <c r="AA75" i="11" s="1"/>
  <c r="I454" i="17"/>
  <c r="H454" i="17"/>
  <c r="G454" i="17"/>
  <c r="F454" i="17"/>
  <c r="F471" i="17" s="1"/>
  <c r="O75" i="11" s="1"/>
  <c r="E454" i="17"/>
  <c r="D454" i="17"/>
  <c r="C454" i="17"/>
  <c r="B454" i="17"/>
  <c r="B471" i="17" s="1"/>
  <c r="C75" i="11" s="1"/>
  <c r="J438" i="17"/>
  <c r="L438" i="17" s="1"/>
  <c r="I438" i="17"/>
  <c r="H438" i="17"/>
  <c r="G438" i="17"/>
  <c r="F438" i="17"/>
  <c r="E438" i="17"/>
  <c r="D438" i="17"/>
  <c r="C438" i="17"/>
  <c r="B438" i="17"/>
  <c r="J423" i="17"/>
  <c r="I423" i="17"/>
  <c r="H423" i="17"/>
  <c r="H440" i="17" s="1"/>
  <c r="U74" i="11" s="1"/>
  <c r="G423" i="17"/>
  <c r="F423" i="17"/>
  <c r="E423" i="17"/>
  <c r="D423" i="17"/>
  <c r="D440" i="17" s="1"/>
  <c r="I74" i="11" s="1"/>
  <c r="C423" i="17"/>
  <c r="B423" i="17"/>
  <c r="J407" i="17"/>
  <c r="L407" i="17" s="1"/>
  <c r="I407" i="17"/>
  <c r="H407" i="17"/>
  <c r="G407" i="17"/>
  <c r="F407" i="17"/>
  <c r="E407" i="17"/>
  <c r="D407" i="17"/>
  <c r="C407" i="17"/>
  <c r="B407" i="17"/>
  <c r="J392" i="17"/>
  <c r="I392" i="17"/>
  <c r="H392" i="17"/>
  <c r="H409" i="17" s="1"/>
  <c r="U73" i="11" s="1"/>
  <c r="G392" i="17"/>
  <c r="F392" i="17"/>
  <c r="E392" i="17"/>
  <c r="D392" i="17"/>
  <c r="D409" i="17" s="1"/>
  <c r="I73" i="11" s="1"/>
  <c r="C392" i="17"/>
  <c r="B392" i="17"/>
  <c r="J376" i="17"/>
  <c r="L376" i="17" s="1"/>
  <c r="I376" i="17"/>
  <c r="H376" i="17"/>
  <c r="G376" i="17"/>
  <c r="F376" i="17"/>
  <c r="E376" i="17"/>
  <c r="D376" i="17"/>
  <c r="C376" i="17"/>
  <c r="B376" i="17"/>
  <c r="J361" i="17"/>
  <c r="I361" i="17"/>
  <c r="I378" i="17" s="1"/>
  <c r="X72" i="11" s="1"/>
  <c r="H361" i="17"/>
  <c r="G361" i="17"/>
  <c r="F361" i="17"/>
  <c r="E361" i="17"/>
  <c r="E378" i="17" s="1"/>
  <c r="L72" i="11" s="1"/>
  <c r="D361" i="17"/>
  <c r="C361" i="17"/>
  <c r="B361" i="17"/>
  <c r="J345" i="17"/>
  <c r="L345" i="17" s="1"/>
  <c r="I345" i="17"/>
  <c r="H345" i="17"/>
  <c r="G345" i="17"/>
  <c r="F345" i="17"/>
  <c r="E345" i="17"/>
  <c r="D345" i="17"/>
  <c r="C345" i="17"/>
  <c r="B345" i="17"/>
  <c r="H330" i="17"/>
  <c r="G330" i="17"/>
  <c r="F330" i="17"/>
  <c r="E330" i="17"/>
  <c r="D330" i="17"/>
  <c r="C330" i="17"/>
  <c r="B330" i="17"/>
  <c r="J314" i="17"/>
  <c r="L314" i="17" s="1"/>
  <c r="I314" i="17"/>
  <c r="H314" i="17"/>
  <c r="G314" i="17"/>
  <c r="F314" i="17"/>
  <c r="E314" i="17"/>
  <c r="D314" i="17"/>
  <c r="C314" i="17"/>
  <c r="B314" i="17"/>
  <c r="J299" i="17"/>
  <c r="I299" i="17"/>
  <c r="H299" i="17"/>
  <c r="H316" i="17" s="1"/>
  <c r="U70" i="11" s="1"/>
  <c r="G299" i="17"/>
  <c r="F299" i="17"/>
  <c r="E299" i="17"/>
  <c r="D299" i="17"/>
  <c r="D316" i="17" s="1"/>
  <c r="I70" i="11" s="1"/>
  <c r="C299" i="17"/>
  <c r="B299" i="17"/>
  <c r="J283" i="17"/>
  <c r="L283" i="17" s="1"/>
  <c r="I283" i="17"/>
  <c r="H283" i="17"/>
  <c r="G283" i="17"/>
  <c r="F283" i="17"/>
  <c r="E283" i="17"/>
  <c r="D283" i="17"/>
  <c r="C283" i="17"/>
  <c r="B283" i="17"/>
  <c r="J268" i="17"/>
  <c r="I268" i="17"/>
  <c r="H268" i="17"/>
  <c r="G268" i="17"/>
  <c r="F268" i="17"/>
  <c r="E268" i="17"/>
  <c r="D268" i="17"/>
  <c r="C268" i="17"/>
  <c r="B268" i="17"/>
  <c r="J252" i="17"/>
  <c r="L252" i="17" s="1"/>
  <c r="I252" i="17"/>
  <c r="H252" i="17"/>
  <c r="G252" i="17"/>
  <c r="F252" i="17"/>
  <c r="E252" i="17"/>
  <c r="D252" i="17"/>
  <c r="C252" i="17"/>
  <c r="B252" i="17"/>
  <c r="J237" i="17"/>
  <c r="J254" i="17" s="1"/>
  <c r="AA68" i="11" s="1"/>
  <c r="I237" i="17"/>
  <c r="H237" i="17"/>
  <c r="G237" i="17"/>
  <c r="F237" i="17"/>
  <c r="F254" i="17" s="1"/>
  <c r="O68" i="11" s="1"/>
  <c r="E237" i="17"/>
  <c r="D237" i="17"/>
  <c r="C237" i="17"/>
  <c r="B237" i="17"/>
  <c r="B254" i="17" s="1"/>
  <c r="C68" i="11" s="1"/>
  <c r="J221" i="17"/>
  <c r="L221" i="17" s="1"/>
  <c r="I221" i="17"/>
  <c r="H221" i="17"/>
  <c r="G221" i="17"/>
  <c r="F221" i="17"/>
  <c r="E221" i="17"/>
  <c r="D221" i="17"/>
  <c r="C221" i="17"/>
  <c r="B221" i="17"/>
  <c r="H206" i="17"/>
  <c r="H223" i="17" s="1"/>
  <c r="U67" i="11" s="1"/>
  <c r="G206" i="17"/>
  <c r="F206" i="17"/>
  <c r="E206" i="17"/>
  <c r="D206" i="17"/>
  <c r="D223" i="17" s="1"/>
  <c r="I67" i="11" s="1"/>
  <c r="C206" i="17"/>
  <c r="B206" i="17"/>
  <c r="J190" i="17"/>
  <c r="L190" i="17" s="1"/>
  <c r="I190" i="17"/>
  <c r="H190" i="17"/>
  <c r="G190" i="17"/>
  <c r="F190" i="17"/>
  <c r="E190" i="17"/>
  <c r="D190" i="17"/>
  <c r="C190" i="17"/>
  <c r="B190" i="17"/>
  <c r="J175" i="17"/>
  <c r="J192" i="17" s="1"/>
  <c r="AA66" i="11" s="1"/>
  <c r="I175" i="17"/>
  <c r="H175" i="17"/>
  <c r="G175" i="17"/>
  <c r="F175" i="17"/>
  <c r="F192" i="17" s="1"/>
  <c r="O66" i="11" s="1"/>
  <c r="E175" i="17"/>
  <c r="D175" i="17"/>
  <c r="C175" i="17"/>
  <c r="B175" i="17"/>
  <c r="J159" i="17"/>
  <c r="L159" i="17" s="1"/>
  <c r="I159" i="17"/>
  <c r="H159" i="17"/>
  <c r="G159" i="17"/>
  <c r="F159" i="17"/>
  <c r="E159" i="17"/>
  <c r="D159" i="17"/>
  <c r="C159" i="17"/>
  <c r="B159" i="17"/>
  <c r="J144" i="17"/>
  <c r="I144" i="17"/>
  <c r="H144" i="17"/>
  <c r="H161" i="17" s="1"/>
  <c r="U65" i="11" s="1"/>
  <c r="G144" i="17"/>
  <c r="F144" i="17"/>
  <c r="E144" i="17"/>
  <c r="D144" i="17"/>
  <c r="D161" i="17" s="1"/>
  <c r="I65" i="11" s="1"/>
  <c r="C144" i="17"/>
  <c r="B144" i="17"/>
  <c r="J128" i="17"/>
  <c r="L128" i="17" s="1"/>
  <c r="I128" i="17"/>
  <c r="H128" i="17"/>
  <c r="G128" i="17"/>
  <c r="F128" i="17"/>
  <c r="E128" i="17"/>
  <c r="D128" i="17"/>
  <c r="C128" i="17"/>
  <c r="B128" i="17"/>
  <c r="J113" i="17"/>
  <c r="I113" i="17"/>
  <c r="H113" i="17"/>
  <c r="G113" i="17"/>
  <c r="F113" i="17"/>
  <c r="E113" i="17"/>
  <c r="D113" i="17"/>
  <c r="C113" i="17"/>
  <c r="B113" i="17"/>
  <c r="J65" i="17"/>
  <c r="I65" i="17"/>
  <c r="H65" i="17"/>
  <c r="G65" i="17"/>
  <c r="F65" i="17"/>
  <c r="E65" i="17"/>
  <c r="D65" i="17"/>
  <c r="C65" i="17"/>
  <c r="B65" i="17"/>
  <c r="J50" i="17"/>
  <c r="J67" i="17" s="1"/>
  <c r="AA62" i="11" s="1"/>
  <c r="I50" i="17"/>
  <c r="H50" i="17"/>
  <c r="G50" i="17"/>
  <c r="F50" i="17"/>
  <c r="E50" i="17"/>
  <c r="E67" i="17" s="1"/>
  <c r="L62" i="11" s="1"/>
  <c r="D50" i="17"/>
  <c r="C50" i="17"/>
  <c r="B50" i="17"/>
  <c r="J1479" i="16"/>
  <c r="I1479" i="16"/>
  <c r="H1479" i="16"/>
  <c r="G1479" i="16"/>
  <c r="F1479" i="16"/>
  <c r="E1479" i="16"/>
  <c r="D1479" i="16"/>
  <c r="C1479" i="16"/>
  <c r="B1479" i="16"/>
  <c r="J1464" i="16"/>
  <c r="J1481" i="16" s="1"/>
  <c r="AA55" i="11" s="1"/>
  <c r="I1464" i="16"/>
  <c r="H1464" i="16"/>
  <c r="G1464" i="16"/>
  <c r="F1464" i="16"/>
  <c r="F1481" i="16" s="1"/>
  <c r="O55" i="11" s="1"/>
  <c r="E1464" i="16"/>
  <c r="D1464" i="16"/>
  <c r="C1464" i="16"/>
  <c r="B1464" i="16"/>
  <c r="B1481" i="16" s="1"/>
  <c r="C55" i="11" s="1"/>
  <c r="J1448" i="16"/>
  <c r="I1448" i="16"/>
  <c r="H1448" i="16"/>
  <c r="G1448" i="16"/>
  <c r="F1448" i="16"/>
  <c r="E1448" i="16"/>
  <c r="D1448" i="16"/>
  <c r="C1448" i="16"/>
  <c r="B1448" i="16"/>
  <c r="J1433" i="16"/>
  <c r="I1433" i="16"/>
  <c r="H1433" i="16"/>
  <c r="G1433" i="16"/>
  <c r="F1433" i="16"/>
  <c r="E1433" i="16"/>
  <c r="D1433" i="16"/>
  <c r="C1433" i="16"/>
  <c r="B1433" i="16"/>
  <c r="J1417" i="16"/>
  <c r="I1417" i="16"/>
  <c r="H1417" i="16"/>
  <c r="G1417" i="16"/>
  <c r="F1417" i="16"/>
  <c r="E1417" i="16"/>
  <c r="D1417" i="16"/>
  <c r="C1417" i="16"/>
  <c r="B1417" i="16"/>
  <c r="J1402" i="16"/>
  <c r="I1402" i="16"/>
  <c r="H1402" i="16"/>
  <c r="G1402" i="16"/>
  <c r="F1402" i="16"/>
  <c r="E1402" i="16"/>
  <c r="D1402" i="16"/>
  <c r="C1402" i="16"/>
  <c r="B1402" i="16"/>
  <c r="J1386" i="16"/>
  <c r="I1386" i="16"/>
  <c r="H1386" i="16"/>
  <c r="G1386" i="16"/>
  <c r="F1386" i="16"/>
  <c r="E1386" i="16"/>
  <c r="D1386" i="16"/>
  <c r="C1386" i="16"/>
  <c r="B1386" i="16"/>
  <c r="J1371" i="16"/>
  <c r="I1371" i="16"/>
  <c r="H1371" i="16"/>
  <c r="H1388" i="16" s="1"/>
  <c r="U52" i="11" s="1"/>
  <c r="G1371" i="16"/>
  <c r="F1371" i="16"/>
  <c r="E1371" i="16"/>
  <c r="D1371" i="16"/>
  <c r="D1388" i="16" s="1"/>
  <c r="I52" i="11" s="1"/>
  <c r="C1371" i="16"/>
  <c r="B1371" i="16"/>
  <c r="J1355" i="16"/>
  <c r="I1355" i="16"/>
  <c r="H1355" i="16"/>
  <c r="G1355" i="16"/>
  <c r="F1355" i="16"/>
  <c r="E1355" i="16"/>
  <c r="D1355" i="16"/>
  <c r="C1355" i="16"/>
  <c r="B1355" i="16"/>
  <c r="J1340" i="16"/>
  <c r="J1357" i="16" s="1"/>
  <c r="AA51" i="11" s="1"/>
  <c r="I1340" i="16"/>
  <c r="H1340" i="16"/>
  <c r="G1340" i="16"/>
  <c r="F1340" i="16"/>
  <c r="F1357" i="16" s="1"/>
  <c r="O51" i="11" s="1"/>
  <c r="E1340" i="16"/>
  <c r="D1340" i="16"/>
  <c r="C1340" i="16"/>
  <c r="B1340" i="16"/>
  <c r="B1357" i="16" s="1"/>
  <c r="C51" i="11" s="1"/>
  <c r="J1324" i="16"/>
  <c r="I1324" i="16"/>
  <c r="H1324" i="16"/>
  <c r="G1324" i="16"/>
  <c r="F1324" i="16"/>
  <c r="E1324" i="16"/>
  <c r="D1324" i="16"/>
  <c r="C1324" i="16"/>
  <c r="B1324" i="16"/>
  <c r="J1309" i="16"/>
  <c r="J1326" i="16" s="1"/>
  <c r="AA50" i="11" s="1"/>
  <c r="I1309" i="16"/>
  <c r="H1309" i="16"/>
  <c r="H1326" i="16" s="1"/>
  <c r="U50" i="11" s="1"/>
  <c r="G1309" i="16"/>
  <c r="F1309" i="16"/>
  <c r="F1326" i="16" s="1"/>
  <c r="O50" i="11" s="1"/>
  <c r="E1309" i="16"/>
  <c r="D1309" i="16"/>
  <c r="D1326" i="16" s="1"/>
  <c r="I50" i="11" s="1"/>
  <c r="C1309" i="16"/>
  <c r="B1309" i="16"/>
  <c r="B1326" i="16" s="1"/>
  <c r="C50" i="11" s="1"/>
  <c r="J1293" i="16"/>
  <c r="I1293" i="16"/>
  <c r="H1293" i="16"/>
  <c r="G1293" i="16"/>
  <c r="F1293" i="16"/>
  <c r="E1293" i="16"/>
  <c r="D1293" i="16"/>
  <c r="C1293" i="16"/>
  <c r="B1293" i="16"/>
  <c r="J1278" i="16"/>
  <c r="J1295" i="16" s="1"/>
  <c r="AA49" i="11" s="1"/>
  <c r="I1278" i="16"/>
  <c r="H1278" i="16"/>
  <c r="H1295" i="16" s="1"/>
  <c r="U49" i="11" s="1"/>
  <c r="G1278" i="16"/>
  <c r="F1278" i="16"/>
  <c r="F1295" i="16" s="1"/>
  <c r="O49" i="11" s="1"/>
  <c r="E1278" i="16"/>
  <c r="D1278" i="16"/>
  <c r="D1295" i="16" s="1"/>
  <c r="I49" i="11" s="1"/>
  <c r="C1278" i="16"/>
  <c r="B1278" i="16"/>
  <c r="B1295" i="16" s="1"/>
  <c r="C49" i="11" s="1"/>
  <c r="J1262" i="16"/>
  <c r="I1262" i="16"/>
  <c r="H1262" i="16"/>
  <c r="G1262" i="16"/>
  <c r="F1262" i="16"/>
  <c r="E1262" i="16"/>
  <c r="D1262" i="16"/>
  <c r="C1262" i="16"/>
  <c r="B1262" i="16"/>
  <c r="J1247" i="16"/>
  <c r="J1264" i="16" s="1"/>
  <c r="AA48" i="11" s="1"/>
  <c r="I1247" i="16"/>
  <c r="H1247" i="16"/>
  <c r="H1264" i="16" s="1"/>
  <c r="U48" i="11" s="1"/>
  <c r="G1247" i="16"/>
  <c r="F1247" i="16"/>
  <c r="F1264" i="16" s="1"/>
  <c r="O48" i="11" s="1"/>
  <c r="E1247" i="16"/>
  <c r="D1247" i="16"/>
  <c r="D1264" i="16" s="1"/>
  <c r="I48" i="11" s="1"/>
  <c r="C1247" i="16"/>
  <c r="B1247" i="16"/>
  <c r="B1264" i="16" s="1"/>
  <c r="C48" i="11" s="1"/>
  <c r="J1231" i="16"/>
  <c r="I1231" i="16"/>
  <c r="H1231" i="16"/>
  <c r="G1231" i="16"/>
  <c r="F1231" i="16"/>
  <c r="E1231" i="16"/>
  <c r="D1231" i="16"/>
  <c r="C1231" i="16"/>
  <c r="B1231" i="16"/>
  <c r="J1216" i="16"/>
  <c r="J1233" i="16" s="1"/>
  <c r="AA47" i="11" s="1"/>
  <c r="I1216" i="16"/>
  <c r="H1216" i="16"/>
  <c r="G1216" i="16"/>
  <c r="F1216" i="16"/>
  <c r="F1233" i="16" s="1"/>
  <c r="O47" i="11" s="1"/>
  <c r="E1216" i="16"/>
  <c r="D1216" i="16"/>
  <c r="C1216" i="16"/>
  <c r="B1216" i="16"/>
  <c r="B1233" i="16" s="1"/>
  <c r="C47" i="11" s="1"/>
  <c r="J1199" i="16"/>
  <c r="I1199" i="16"/>
  <c r="H1199" i="16"/>
  <c r="G1199" i="16"/>
  <c r="F1199" i="16"/>
  <c r="E1199" i="16"/>
  <c r="D1199" i="16"/>
  <c r="C1199" i="16"/>
  <c r="B1199" i="16"/>
  <c r="J1184" i="16"/>
  <c r="J1201" i="16" s="1"/>
  <c r="AA46" i="11" s="1"/>
  <c r="I1184" i="16"/>
  <c r="H1184" i="16"/>
  <c r="G1184" i="16"/>
  <c r="F1184" i="16"/>
  <c r="F1201" i="16" s="1"/>
  <c r="O46" i="11" s="1"/>
  <c r="E1184" i="16"/>
  <c r="D1184" i="16"/>
  <c r="C1184" i="16"/>
  <c r="B1184" i="16"/>
  <c r="B1201" i="16" s="1"/>
  <c r="C46" i="11" s="1"/>
  <c r="J1168" i="16"/>
  <c r="I1168" i="16"/>
  <c r="H1168" i="16"/>
  <c r="G1168" i="16"/>
  <c r="F1168" i="16"/>
  <c r="E1168" i="16"/>
  <c r="D1168" i="16"/>
  <c r="C1168" i="16"/>
  <c r="B1168" i="16"/>
  <c r="J1153" i="16"/>
  <c r="J1170" i="16" s="1"/>
  <c r="AA45" i="11" s="1"/>
  <c r="I1153" i="16"/>
  <c r="H1153" i="16"/>
  <c r="G1153" i="16"/>
  <c r="F1153" i="16"/>
  <c r="F1170" i="16" s="1"/>
  <c r="O45" i="11" s="1"/>
  <c r="E1153" i="16"/>
  <c r="D1153" i="16"/>
  <c r="C1153" i="16"/>
  <c r="B1153" i="16"/>
  <c r="B1170" i="16" s="1"/>
  <c r="C45" i="11" s="1"/>
  <c r="J1137" i="16"/>
  <c r="I1137" i="16"/>
  <c r="H1137" i="16"/>
  <c r="G1137" i="16"/>
  <c r="F1137" i="16"/>
  <c r="E1137" i="16"/>
  <c r="D1137" i="16"/>
  <c r="C1137" i="16"/>
  <c r="B1137" i="16"/>
  <c r="J1122" i="16"/>
  <c r="I1122" i="16"/>
  <c r="H1122" i="16"/>
  <c r="G1122" i="16"/>
  <c r="F1122" i="16"/>
  <c r="E1122" i="16"/>
  <c r="D1122" i="16"/>
  <c r="C1122" i="16"/>
  <c r="B1122" i="16"/>
  <c r="J1106" i="16"/>
  <c r="I1106" i="16"/>
  <c r="H1106" i="16"/>
  <c r="G1106" i="16"/>
  <c r="F1106" i="16"/>
  <c r="E1106" i="16"/>
  <c r="D1106" i="16"/>
  <c r="C1106" i="16"/>
  <c r="B1106" i="16"/>
  <c r="J1091" i="16"/>
  <c r="J1108" i="16" s="1"/>
  <c r="AA43" i="11" s="1"/>
  <c r="I1091" i="16"/>
  <c r="H1091" i="16"/>
  <c r="G1091" i="16"/>
  <c r="F1091" i="16"/>
  <c r="F1108" i="16" s="1"/>
  <c r="O43" i="11" s="1"/>
  <c r="E1091" i="16"/>
  <c r="D1091" i="16"/>
  <c r="C1091" i="16"/>
  <c r="B1091" i="16"/>
  <c r="B1108" i="16" s="1"/>
  <c r="C43" i="11" s="1"/>
  <c r="J1075" i="16"/>
  <c r="I1075" i="16"/>
  <c r="H1075" i="16"/>
  <c r="G1075" i="16"/>
  <c r="F1075" i="16"/>
  <c r="E1075" i="16"/>
  <c r="D1075" i="16"/>
  <c r="C1075" i="16"/>
  <c r="B1075" i="16"/>
  <c r="J1028" i="16"/>
  <c r="I1028" i="16"/>
  <c r="H1028" i="16"/>
  <c r="H1030" i="16" s="1"/>
  <c r="U41" i="11" s="1"/>
  <c r="G1028" i="16"/>
  <c r="F1028" i="16"/>
  <c r="E1028" i="16"/>
  <c r="D1028" i="16"/>
  <c r="D1030" i="16" s="1"/>
  <c r="I41" i="11" s="1"/>
  <c r="C1028" i="16"/>
  <c r="B1028" i="16"/>
  <c r="J1013" i="16"/>
  <c r="I1013" i="16"/>
  <c r="H1013" i="16"/>
  <c r="G1013" i="16"/>
  <c r="G1030" i="16" s="1"/>
  <c r="R41" i="11" s="1"/>
  <c r="F1013" i="16"/>
  <c r="E1013" i="16"/>
  <c r="D1013" i="16"/>
  <c r="C1013" i="16"/>
  <c r="C1030" i="16" s="1"/>
  <c r="F41" i="11" s="1"/>
  <c r="B1013" i="16"/>
  <c r="J997" i="16"/>
  <c r="I997" i="16"/>
  <c r="H997" i="16"/>
  <c r="G997" i="16"/>
  <c r="F997" i="16"/>
  <c r="E997" i="16"/>
  <c r="D997" i="16"/>
  <c r="C997" i="16"/>
  <c r="B997" i="16"/>
  <c r="J982" i="16"/>
  <c r="I982" i="16"/>
  <c r="H982" i="16"/>
  <c r="G982" i="16"/>
  <c r="F982" i="16"/>
  <c r="E982" i="16"/>
  <c r="D982" i="16"/>
  <c r="C982" i="16"/>
  <c r="B982" i="16"/>
  <c r="J966" i="16"/>
  <c r="I966" i="16"/>
  <c r="H966" i="16"/>
  <c r="G966" i="16"/>
  <c r="F966" i="16"/>
  <c r="E966" i="16"/>
  <c r="D966" i="16"/>
  <c r="C966" i="16"/>
  <c r="B966" i="16"/>
  <c r="J951" i="16"/>
  <c r="I951" i="16"/>
  <c r="H951" i="16"/>
  <c r="G951" i="16"/>
  <c r="G968" i="16" s="1"/>
  <c r="R39" i="11" s="1"/>
  <c r="F951" i="16"/>
  <c r="E951" i="16"/>
  <c r="D951" i="16"/>
  <c r="C951" i="16"/>
  <c r="C968" i="16" s="1"/>
  <c r="F39" i="11" s="1"/>
  <c r="B951" i="16"/>
  <c r="J935" i="16"/>
  <c r="I935" i="16"/>
  <c r="H935" i="16"/>
  <c r="H937" i="16" s="1"/>
  <c r="U38" i="11" s="1"/>
  <c r="G935" i="16"/>
  <c r="F935" i="16"/>
  <c r="E935" i="16"/>
  <c r="D935" i="16"/>
  <c r="C935" i="16"/>
  <c r="B935" i="16"/>
  <c r="J920" i="16"/>
  <c r="I920" i="16"/>
  <c r="H920" i="16"/>
  <c r="G920" i="16"/>
  <c r="F920" i="16"/>
  <c r="E920" i="16"/>
  <c r="D920" i="16"/>
  <c r="C920" i="16"/>
  <c r="B920" i="16"/>
  <c r="J904" i="16"/>
  <c r="I904" i="16"/>
  <c r="H904" i="16"/>
  <c r="G904" i="16"/>
  <c r="F904" i="16"/>
  <c r="E904" i="16"/>
  <c r="D904" i="16"/>
  <c r="C904" i="16"/>
  <c r="B904" i="16"/>
  <c r="J889" i="16"/>
  <c r="I889" i="16"/>
  <c r="H889" i="16"/>
  <c r="G889" i="16"/>
  <c r="G906" i="16" s="1"/>
  <c r="R37" i="11" s="1"/>
  <c r="F889" i="16"/>
  <c r="E889" i="16"/>
  <c r="D889" i="16"/>
  <c r="C889" i="16"/>
  <c r="C906" i="16" s="1"/>
  <c r="F37" i="11" s="1"/>
  <c r="B889" i="16"/>
  <c r="J873" i="16"/>
  <c r="I873" i="16"/>
  <c r="H873" i="16"/>
  <c r="H875" i="16" s="1"/>
  <c r="U36" i="11" s="1"/>
  <c r="G873" i="16"/>
  <c r="F873" i="16"/>
  <c r="E873" i="16"/>
  <c r="D873" i="16"/>
  <c r="D875" i="16" s="1"/>
  <c r="I36" i="11" s="1"/>
  <c r="C873" i="16"/>
  <c r="B873" i="16"/>
  <c r="J858" i="16"/>
  <c r="I858" i="16"/>
  <c r="H858" i="16"/>
  <c r="G858" i="16"/>
  <c r="G875" i="16" s="1"/>
  <c r="R36" i="11" s="1"/>
  <c r="F858" i="16"/>
  <c r="E858" i="16"/>
  <c r="D858" i="16"/>
  <c r="C858" i="16"/>
  <c r="C875" i="16" s="1"/>
  <c r="F36" i="11" s="1"/>
  <c r="B858" i="16"/>
  <c r="J842" i="16"/>
  <c r="I842" i="16"/>
  <c r="H842" i="16"/>
  <c r="G842" i="16"/>
  <c r="F842" i="16"/>
  <c r="E842" i="16"/>
  <c r="D842" i="16"/>
  <c r="C842" i="16"/>
  <c r="B842" i="16"/>
  <c r="J827" i="16"/>
  <c r="I827" i="16"/>
  <c r="H827" i="16"/>
  <c r="G827" i="16"/>
  <c r="F827" i="16"/>
  <c r="E827" i="16"/>
  <c r="D827" i="16"/>
  <c r="C827" i="16"/>
  <c r="B827" i="16"/>
  <c r="J811" i="16"/>
  <c r="I811" i="16"/>
  <c r="H811" i="16"/>
  <c r="H813" i="16" s="1"/>
  <c r="U34" i="11" s="1"/>
  <c r="G811" i="16"/>
  <c r="F811" i="16"/>
  <c r="E811" i="16"/>
  <c r="D811" i="16"/>
  <c r="D813" i="16" s="1"/>
  <c r="I34" i="11" s="1"/>
  <c r="C811" i="16"/>
  <c r="B811" i="16"/>
  <c r="J796" i="16"/>
  <c r="I796" i="16"/>
  <c r="H796" i="16"/>
  <c r="G796" i="16"/>
  <c r="G813" i="16" s="1"/>
  <c r="R34" i="11" s="1"/>
  <c r="F796" i="16"/>
  <c r="E796" i="16"/>
  <c r="D796" i="16"/>
  <c r="C796" i="16"/>
  <c r="C813" i="16" s="1"/>
  <c r="F34" i="11" s="1"/>
  <c r="B796" i="16"/>
  <c r="J780" i="16"/>
  <c r="I780" i="16"/>
  <c r="H780" i="16"/>
  <c r="G780" i="16"/>
  <c r="F780" i="16"/>
  <c r="E780" i="16"/>
  <c r="D780" i="16"/>
  <c r="C780" i="16"/>
  <c r="B780" i="16"/>
  <c r="J765" i="16"/>
  <c r="I765" i="16"/>
  <c r="I782" i="16" s="1"/>
  <c r="X33" i="11" s="1"/>
  <c r="H765" i="16"/>
  <c r="G765" i="16"/>
  <c r="F765" i="16"/>
  <c r="E765" i="16"/>
  <c r="E782" i="16" s="1"/>
  <c r="L33" i="11" s="1"/>
  <c r="D765" i="16"/>
  <c r="C765" i="16"/>
  <c r="B765" i="16"/>
  <c r="J749" i="16"/>
  <c r="I749" i="16"/>
  <c r="H749" i="16"/>
  <c r="H751" i="16" s="1"/>
  <c r="U32" i="11" s="1"/>
  <c r="G749" i="16"/>
  <c r="F749" i="16"/>
  <c r="E749" i="16"/>
  <c r="D749" i="16"/>
  <c r="C749" i="16"/>
  <c r="B749" i="16"/>
  <c r="J734" i="16"/>
  <c r="I734" i="16"/>
  <c r="H734" i="16"/>
  <c r="G734" i="16"/>
  <c r="F734" i="16"/>
  <c r="E734" i="16"/>
  <c r="D734" i="16"/>
  <c r="C734" i="16"/>
  <c r="B734" i="16"/>
  <c r="J718" i="16"/>
  <c r="I718" i="16"/>
  <c r="H718" i="16"/>
  <c r="G718" i="16"/>
  <c r="F718" i="16"/>
  <c r="E718" i="16"/>
  <c r="D718" i="16"/>
  <c r="C718" i="16"/>
  <c r="B718" i="16"/>
  <c r="J703" i="16"/>
  <c r="I703" i="16"/>
  <c r="H703" i="16"/>
  <c r="G703" i="16"/>
  <c r="F703" i="16"/>
  <c r="E703" i="16"/>
  <c r="D703" i="16"/>
  <c r="C703" i="16"/>
  <c r="B703" i="16"/>
  <c r="J687" i="16"/>
  <c r="I687" i="16"/>
  <c r="H687" i="16"/>
  <c r="G687" i="16"/>
  <c r="F687" i="16"/>
  <c r="E687" i="16"/>
  <c r="D687" i="16"/>
  <c r="C687" i="16"/>
  <c r="B687" i="16"/>
  <c r="J672" i="16"/>
  <c r="I672" i="16"/>
  <c r="H672" i="16"/>
  <c r="G672" i="16"/>
  <c r="G689" i="16" s="1"/>
  <c r="R30" i="11" s="1"/>
  <c r="F672" i="16"/>
  <c r="E672" i="16"/>
  <c r="D672" i="16"/>
  <c r="C672" i="16"/>
  <c r="C689" i="16" s="1"/>
  <c r="F30" i="11" s="1"/>
  <c r="B672" i="16"/>
  <c r="J656" i="16"/>
  <c r="I656" i="16"/>
  <c r="H656" i="16"/>
  <c r="G656" i="16"/>
  <c r="F656" i="16"/>
  <c r="E656" i="16"/>
  <c r="D656" i="16"/>
  <c r="C656" i="16"/>
  <c r="B656" i="16"/>
  <c r="J641" i="16"/>
  <c r="I641" i="16"/>
  <c r="H641" i="16"/>
  <c r="G641" i="16"/>
  <c r="F641" i="16"/>
  <c r="E641" i="16"/>
  <c r="D641" i="16"/>
  <c r="C641" i="16"/>
  <c r="B641" i="16"/>
  <c r="J625" i="16"/>
  <c r="I625" i="16"/>
  <c r="H625" i="16"/>
  <c r="G625" i="16"/>
  <c r="F625" i="16"/>
  <c r="E625" i="16"/>
  <c r="D625" i="16"/>
  <c r="C625" i="16"/>
  <c r="B625" i="16"/>
  <c r="J610" i="16"/>
  <c r="I610" i="16"/>
  <c r="H610" i="16"/>
  <c r="G610" i="16"/>
  <c r="G627" i="16" s="1"/>
  <c r="R28" i="11" s="1"/>
  <c r="F610" i="16"/>
  <c r="E610" i="16"/>
  <c r="D610" i="16"/>
  <c r="C610" i="16"/>
  <c r="C627" i="16" s="1"/>
  <c r="F28" i="11" s="1"/>
  <c r="B610" i="16"/>
  <c r="J562" i="16"/>
  <c r="I562" i="16"/>
  <c r="H562" i="16"/>
  <c r="G562" i="16"/>
  <c r="F562" i="16"/>
  <c r="E562" i="16"/>
  <c r="D562" i="16"/>
  <c r="C562" i="16"/>
  <c r="B562" i="16"/>
  <c r="J547" i="16"/>
  <c r="I547" i="16"/>
  <c r="H547" i="16"/>
  <c r="G547" i="16"/>
  <c r="F547" i="16"/>
  <c r="E547" i="16"/>
  <c r="D547" i="16"/>
  <c r="C547" i="16"/>
  <c r="B547" i="16"/>
  <c r="J531" i="16"/>
  <c r="I531" i="16"/>
  <c r="H531" i="16"/>
  <c r="G531" i="16"/>
  <c r="F531" i="16"/>
  <c r="E531" i="16"/>
  <c r="D531" i="16"/>
  <c r="C531" i="16"/>
  <c r="B531" i="16"/>
  <c r="B516" i="16"/>
  <c r="J500" i="16"/>
  <c r="I500" i="16"/>
  <c r="H500" i="16"/>
  <c r="G500" i="16"/>
  <c r="F500" i="16"/>
  <c r="E500" i="16"/>
  <c r="D500" i="16"/>
  <c r="C500" i="16"/>
  <c r="B500" i="16"/>
  <c r="J485" i="16"/>
  <c r="I485" i="16"/>
  <c r="I502" i="16" s="1"/>
  <c r="X24" i="11" s="1"/>
  <c r="H485" i="16"/>
  <c r="G485" i="16"/>
  <c r="F485" i="16"/>
  <c r="E485" i="16"/>
  <c r="E502" i="16" s="1"/>
  <c r="L24" i="11" s="1"/>
  <c r="D485" i="16"/>
  <c r="C485" i="16"/>
  <c r="B485" i="16"/>
  <c r="J469" i="16"/>
  <c r="I469" i="16"/>
  <c r="H469" i="16"/>
  <c r="G469" i="16"/>
  <c r="F469" i="16"/>
  <c r="E469" i="16"/>
  <c r="D469" i="16"/>
  <c r="C469" i="16"/>
  <c r="B469" i="16"/>
  <c r="J454" i="16"/>
  <c r="I454" i="16"/>
  <c r="H454" i="16"/>
  <c r="G454" i="16"/>
  <c r="F454" i="16"/>
  <c r="E454" i="16"/>
  <c r="D454" i="16"/>
  <c r="C454" i="16"/>
  <c r="B454" i="16"/>
  <c r="J438" i="16"/>
  <c r="I438" i="16"/>
  <c r="H438" i="16"/>
  <c r="G438" i="16"/>
  <c r="F438" i="16"/>
  <c r="E438" i="16"/>
  <c r="D438" i="16"/>
  <c r="C438" i="16"/>
  <c r="B438" i="16"/>
  <c r="J423" i="16"/>
  <c r="I423" i="16"/>
  <c r="H423" i="16"/>
  <c r="G423" i="16"/>
  <c r="F423" i="16"/>
  <c r="E423" i="16"/>
  <c r="D423" i="16"/>
  <c r="C423" i="16"/>
  <c r="B423" i="16"/>
  <c r="J375" i="16"/>
  <c r="I375" i="16"/>
  <c r="H375" i="16"/>
  <c r="G375" i="16"/>
  <c r="F375" i="16"/>
  <c r="E375" i="16"/>
  <c r="D375" i="16"/>
  <c r="C375" i="16"/>
  <c r="B375" i="16"/>
  <c r="J360" i="16"/>
  <c r="I360" i="16"/>
  <c r="H360" i="16"/>
  <c r="G360" i="16"/>
  <c r="G377" i="16" s="1"/>
  <c r="R20" i="11" s="1"/>
  <c r="F360" i="16"/>
  <c r="E360" i="16"/>
  <c r="D360" i="16"/>
  <c r="C360" i="16"/>
  <c r="C377" i="16" s="1"/>
  <c r="F20" i="11" s="1"/>
  <c r="B360" i="16"/>
  <c r="J313" i="16"/>
  <c r="I313" i="16"/>
  <c r="H313" i="16"/>
  <c r="G313" i="16"/>
  <c r="F313" i="16"/>
  <c r="E313" i="16"/>
  <c r="D313" i="16"/>
  <c r="C313" i="16"/>
  <c r="B313" i="16"/>
  <c r="J298" i="16"/>
  <c r="I298" i="16"/>
  <c r="H298" i="16"/>
  <c r="G298" i="16"/>
  <c r="F298" i="16"/>
  <c r="E298" i="16"/>
  <c r="D298" i="16"/>
  <c r="C298" i="16"/>
  <c r="B298" i="16"/>
  <c r="J282" i="16"/>
  <c r="I282" i="16"/>
  <c r="H282" i="16"/>
  <c r="G282" i="16"/>
  <c r="F282" i="16"/>
  <c r="E282" i="16"/>
  <c r="D282" i="16"/>
  <c r="C282" i="16"/>
  <c r="B282" i="16"/>
  <c r="J267" i="16"/>
  <c r="I267" i="16"/>
  <c r="H267" i="16"/>
  <c r="G267" i="16"/>
  <c r="G284" i="16" s="1"/>
  <c r="R17" i="11" s="1"/>
  <c r="F267" i="16"/>
  <c r="E267" i="16"/>
  <c r="D267" i="16"/>
  <c r="C267" i="16"/>
  <c r="C284" i="16" s="1"/>
  <c r="F17" i="11" s="1"/>
  <c r="B267" i="16"/>
  <c r="J251" i="16"/>
  <c r="I251" i="16"/>
  <c r="H251" i="16"/>
  <c r="H253" i="16" s="1"/>
  <c r="U16" i="11" s="1"/>
  <c r="G251" i="16"/>
  <c r="F251" i="16"/>
  <c r="E251" i="16"/>
  <c r="D251" i="16"/>
  <c r="D253" i="16" s="1"/>
  <c r="I16" i="11" s="1"/>
  <c r="C251" i="16"/>
  <c r="B251" i="16"/>
  <c r="J236" i="16"/>
  <c r="I236" i="16"/>
  <c r="H236" i="16"/>
  <c r="G236" i="16"/>
  <c r="G253" i="16" s="1"/>
  <c r="R16" i="11" s="1"/>
  <c r="F236" i="16"/>
  <c r="E236" i="16"/>
  <c r="D236" i="16"/>
  <c r="C236" i="16"/>
  <c r="C253" i="16" s="1"/>
  <c r="F16" i="11" s="1"/>
  <c r="B236" i="16"/>
  <c r="J220" i="16"/>
  <c r="I220" i="16"/>
  <c r="H220" i="16"/>
  <c r="G220" i="16"/>
  <c r="F220" i="16"/>
  <c r="E220" i="16"/>
  <c r="D220" i="16"/>
  <c r="C220" i="16"/>
  <c r="B220" i="16"/>
  <c r="J205" i="16"/>
  <c r="I205" i="16"/>
  <c r="I222" i="16" s="1"/>
  <c r="X15" i="11" s="1"/>
  <c r="H205" i="16"/>
  <c r="G205" i="16"/>
  <c r="F205" i="16"/>
  <c r="E205" i="16"/>
  <c r="E222" i="16" s="1"/>
  <c r="L15" i="11" s="1"/>
  <c r="D205" i="16"/>
  <c r="C205" i="16"/>
  <c r="B205" i="16"/>
  <c r="J189" i="16"/>
  <c r="I189" i="16"/>
  <c r="H189" i="16"/>
  <c r="G189" i="16"/>
  <c r="F189" i="16"/>
  <c r="E189" i="16"/>
  <c r="D189" i="16"/>
  <c r="C189" i="16"/>
  <c r="B189" i="16"/>
  <c r="J174" i="16"/>
  <c r="I174" i="16"/>
  <c r="H174" i="16"/>
  <c r="G174" i="16"/>
  <c r="G191" i="16" s="1"/>
  <c r="R14" i="11" s="1"/>
  <c r="F174" i="16"/>
  <c r="E174" i="16"/>
  <c r="D174" i="16"/>
  <c r="C174" i="16"/>
  <c r="C191" i="16" s="1"/>
  <c r="F14" i="11" s="1"/>
  <c r="B174" i="16"/>
  <c r="J94" i="16"/>
  <c r="I94" i="16"/>
  <c r="H94" i="16"/>
  <c r="G94" i="16"/>
  <c r="F94" i="16"/>
  <c r="E94" i="16"/>
  <c r="D94" i="16"/>
  <c r="C94" i="16"/>
  <c r="B94" i="16"/>
  <c r="J79" i="16"/>
  <c r="I79" i="16"/>
  <c r="H79" i="16"/>
  <c r="G79" i="16"/>
  <c r="F79" i="16"/>
  <c r="E79" i="16"/>
  <c r="E96" i="16" s="1"/>
  <c r="L11" i="11" s="1"/>
  <c r="D79" i="16"/>
  <c r="C79" i="16"/>
  <c r="B79" i="16"/>
  <c r="J31" i="16"/>
  <c r="I31" i="16"/>
  <c r="H31" i="16"/>
  <c r="G31" i="16"/>
  <c r="F31" i="16"/>
  <c r="E31" i="16"/>
  <c r="D31" i="16"/>
  <c r="C31" i="16"/>
  <c r="B31" i="16"/>
  <c r="J16" i="16"/>
  <c r="I16" i="16"/>
  <c r="H16" i="16"/>
  <c r="G16" i="16"/>
  <c r="F16" i="16"/>
  <c r="E16" i="16"/>
  <c r="D16" i="16"/>
  <c r="C16" i="16"/>
  <c r="B16" i="16"/>
  <c r="B33" i="16" s="1"/>
  <c r="C9" i="11" s="1"/>
  <c r="F33" i="16" l="1"/>
  <c r="O9" i="11" s="1"/>
  <c r="E1326" i="16"/>
  <c r="L50" i="11" s="1"/>
  <c r="I1326" i="16"/>
  <c r="X50" i="11" s="1"/>
  <c r="B192" i="17"/>
  <c r="C66" i="11" s="1"/>
  <c r="J33" i="16"/>
  <c r="AA9" i="11" s="1"/>
  <c r="D564" i="16"/>
  <c r="I26" i="11" s="1"/>
  <c r="H564" i="16"/>
  <c r="U26" i="11" s="1"/>
  <c r="D658" i="16"/>
  <c r="I29" i="11" s="1"/>
  <c r="H658" i="16"/>
  <c r="U29" i="11" s="1"/>
  <c r="D720" i="16"/>
  <c r="I31" i="11" s="1"/>
  <c r="H720" i="16"/>
  <c r="U31" i="11" s="1"/>
  <c r="B751" i="16"/>
  <c r="C32" i="11" s="1"/>
  <c r="F751" i="16"/>
  <c r="O32" i="11" s="1"/>
  <c r="J751" i="16"/>
  <c r="AA32" i="11" s="1"/>
  <c r="D782" i="16"/>
  <c r="I33" i="11" s="1"/>
  <c r="B813" i="16"/>
  <c r="C34" i="11" s="1"/>
  <c r="F813" i="16"/>
  <c r="O34" i="11" s="1"/>
  <c r="J813" i="16"/>
  <c r="AA34" i="11" s="1"/>
  <c r="D844" i="16"/>
  <c r="I35" i="11" s="1"/>
  <c r="H844" i="16"/>
  <c r="U35" i="11" s="1"/>
  <c r="F875" i="16"/>
  <c r="O36" i="11" s="1"/>
  <c r="J875" i="16"/>
  <c r="AA36" i="11" s="1"/>
  <c r="D906" i="16"/>
  <c r="I37" i="11" s="1"/>
  <c r="B937" i="16"/>
  <c r="C38" i="11" s="1"/>
  <c r="F937" i="16"/>
  <c r="O38" i="11" s="1"/>
  <c r="J937" i="16"/>
  <c r="AA38" i="11" s="1"/>
  <c r="C1139" i="16"/>
  <c r="F44" i="11" s="1"/>
  <c r="G1139" i="16"/>
  <c r="R44" i="11" s="1"/>
  <c r="E1170" i="16"/>
  <c r="L45" i="11" s="1"/>
  <c r="I1170" i="16"/>
  <c r="X45" i="11" s="1"/>
  <c r="C1201" i="16"/>
  <c r="F46" i="11" s="1"/>
  <c r="G1201" i="16"/>
  <c r="R46" i="11" s="1"/>
  <c r="E1233" i="16"/>
  <c r="L47" i="11" s="1"/>
  <c r="I1233" i="16"/>
  <c r="X47" i="11" s="1"/>
  <c r="E1295" i="16"/>
  <c r="L49" i="11" s="1"/>
  <c r="I1295" i="16"/>
  <c r="X49" i="11" s="1"/>
  <c r="C1326" i="16"/>
  <c r="F50" i="11" s="1"/>
  <c r="G1326" i="16"/>
  <c r="R50" i="11" s="1"/>
  <c r="E1357" i="16"/>
  <c r="L51" i="11" s="1"/>
  <c r="I1357" i="16"/>
  <c r="X51" i="11" s="1"/>
  <c r="C1388" i="16"/>
  <c r="F52" i="11" s="1"/>
  <c r="G1388" i="16"/>
  <c r="R52" i="11" s="1"/>
  <c r="E1419" i="16"/>
  <c r="L53" i="11" s="1"/>
  <c r="C1450" i="16"/>
  <c r="F54" i="11" s="1"/>
  <c r="G1450" i="16"/>
  <c r="R54" i="11" s="1"/>
  <c r="E1481" i="16"/>
  <c r="L55" i="11" s="1"/>
  <c r="I1481" i="16"/>
  <c r="X55" i="11" s="1"/>
  <c r="D33" i="16"/>
  <c r="I9" i="11" s="1"/>
  <c r="H33" i="16"/>
  <c r="U9" i="11" s="1"/>
  <c r="B440" i="16"/>
  <c r="C22" i="11" s="1"/>
  <c r="F440" i="16"/>
  <c r="O22" i="11" s="1"/>
  <c r="J440" i="16"/>
  <c r="AA22" i="11" s="1"/>
  <c r="D471" i="16"/>
  <c r="I23" i="11" s="1"/>
  <c r="H471" i="16"/>
  <c r="U23" i="11" s="1"/>
  <c r="D999" i="16"/>
  <c r="I40" i="11" s="1"/>
  <c r="B1030" i="16"/>
  <c r="C41" i="11" s="1"/>
  <c r="F1030" i="16"/>
  <c r="O41" i="11" s="1"/>
  <c r="J1030" i="16"/>
  <c r="AA41" i="11" s="1"/>
  <c r="C1108" i="16"/>
  <c r="F43" i="11" s="1"/>
  <c r="G1108" i="16"/>
  <c r="R43" i="11" s="1"/>
  <c r="C96" i="16"/>
  <c r="F11" i="11" s="1"/>
  <c r="G96" i="16"/>
  <c r="R11" i="11" s="1"/>
  <c r="E191" i="16"/>
  <c r="L14" i="11" s="1"/>
  <c r="I191" i="16"/>
  <c r="X14" i="11" s="1"/>
  <c r="C222" i="16"/>
  <c r="F15" i="11" s="1"/>
  <c r="G222" i="16"/>
  <c r="R15" i="11" s="1"/>
  <c r="E253" i="16"/>
  <c r="L16" i="11" s="1"/>
  <c r="I253" i="16"/>
  <c r="X16" i="11" s="1"/>
  <c r="C564" i="16"/>
  <c r="F26" i="11" s="1"/>
  <c r="G564" i="16"/>
  <c r="R26" i="11" s="1"/>
  <c r="C658" i="16"/>
  <c r="F29" i="11" s="1"/>
  <c r="G658" i="16"/>
  <c r="R29" i="11" s="1"/>
  <c r="C720" i="16"/>
  <c r="F31" i="11" s="1"/>
  <c r="G720" i="16"/>
  <c r="R31" i="11" s="1"/>
  <c r="E751" i="16"/>
  <c r="L32" i="11" s="1"/>
  <c r="I751" i="16"/>
  <c r="X32" i="11" s="1"/>
  <c r="B906" i="16"/>
  <c r="C37" i="11" s="1"/>
  <c r="F906" i="16"/>
  <c r="O37" i="11" s="1"/>
  <c r="J906" i="16"/>
  <c r="AA37" i="11" s="1"/>
  <c r="D937" i="16"/>
  <c r="I38" i="11" s="1"/>
  <c r="B968" i="16"/>
  <c r="C39" i="11" s="1"/>
  <c r="F968" i="16"/>
  <c r="O39" i="11" s="1"/>
  <c r="J968" i="16"/>
  <c r="AA39" i="11" s="1"/>
  <c r="C999" i="16"/>
  <c r="F40" i="11" s="1"/>
  <c r="G999" i="16"/>
  <c r="R40" i="11" s="1"/>
  <c r="B1139" i="16"/>
  <c r="C44" i="11" s="1"/>
  <c r="F1139" i="16"/>
  <c r="O44" i="11" s="1"/>
  <c r="J1139" i="16"/>
  <c r="AA44" i="11" s="1"/>
  <c r="D1357" i="16"/>
  <c r="I51" i="11" s="1"/>
  <c r="H1357" i="16"/>
  <c r="U51" i="11" s="1"/>
  <c r="B1388" i="16"/>
  <c r="C52" i="11" s="1"/>
  <c r="D1419" i="16"/>
  <c r="I53" i="11" s="1"/>
  <c r="H1419" i="16"/>
  <c r="U53" i="11" s="1"/>
  <c r="D1481" i="16"/>
  <c r="I55" i="11" s="1"/>
  <c r="H1481" i="16"/>
  <c r="U55" i="11" s="1"/>
  <c r="D1170" i="16"/>
  <c r="I45" i="11" s="1"/>
  <c r="H1170" i="16"/>
  <c r="U45" i="11" s="1"/>
  <c r="D1233" i="16"/>
  <c r="I47" i="11" s="1"/>
  <c r="H1233" i="16"/>
  <c r="U47" i="11" s="1"/>
  <c r="I33" i="16"/>
  <c r="X9" i="11" s="1"/>
  <c r="H222" i="16"/>
  <c r="U15" i="11" s="1"/>
  <c r="H782" i="16"/>
  <c r="U33" i="11" s="1"/>
  <c r="H999" i="16"/>
  <c r="U40" i="11" s="1"/>
  <c r="E33" i="16"/>
  <c r="L9" i="11" s="1"/>
  <c r="D222" i="16"/>
  <c r="I15" i="11" s="1"/>
  <c r="C33" i="16"/>
  <c r="F9" i="11" s="1"/>
  <c r="G33" i="16"/>
  <c r="R9" i="11" s="1"/>
  <c r="E284" i="16"/>
  <c r="L17" i="11" s="1"/>
  <c r="I284" i="16"/>
  <c r="X17" i="11" s="1"/>
  <c r="D284" i="16"/>
  <c r="I17" i="11" s="1"/>
  <c r="H284" i="16"/>
  <c r="U17" i="11" s="1"/>
  <c r="C315" i="16"/>
  <c r="F18" i="11" s="1"/>
  <c r="G315" i="16"/>
  <c r="R18" i="11" s="1"/>
  <c r="E377" i="16"/>
  <c r="L20" i="11" s="1"/>
  <c r="I377" i="16"/>
  <c r="X20" i="11" s="1"/>
  <c r="E471" i="16"/>
  <c r="L23" i="11" s="1"/>
  <c r="I471" i="16"/>
  <c r="X23" i="11" s="1"/>
  <c r="D627" i="16"/>
  <c r="I28" i="11" s="1"/>
  <c r="H627" i="16"/>
  <c r="U28" i="11" s="1"/>
  <c r="D689" i="16"/>
  <c r="I30" i="11" s="1"/>
  <c r="H689" i="16"/>
  <c r="U30" i="11" s="1"/>
  <c r="D751" i="16"/>
  <c r="I32" i="11" s="1"/>
  <c r="B782" i="16"/>
  <c r="C33" i="11" s="1"/>
  <c r="F782" i="16"/>
  <c r="O33" i="11" s="1"/>
  <c r="J782" i="16"/>
  <c r="AA33" i="11" s="1"/>
  <c r="F844" i="16"/>
  <c r="O35" i="11" s="1"/>
  <c r="J844" i="16"/>
  <c r="AA35" i="11" s="1"/>
  <c r="H906" i="16"/>
  <c r="U37" i="11" s="1"/>
  <c r="C937" i="16"/>
  <c r="F38" i="11" s="1"/>
  <c r="G937" i="16"/>
  <c r="R38" i="11" s="1"/>
  <c r="E968" i="16"/>
  <c r="L39" i="11" s="1"/>
  <c r="D968" i="16"/>
  <c r="I39" i="11" s="1"/>
  <c r="H968" i="16"/>
  <c r="U39" i="11" s="1"/>
  <c r="B999" i="16"/>
  <c r="C40" i="11" s="1"/>
  <c r="F999" i="16"/>
  <c r="O40" i="11" s="1"/>
  <c r="J999" i="16"/>
  <c r="AA40" i="11" s="1"/>
  <c r="E1139" i="16"/>
  <c r="L44" i="11" s="1"/>
  <c r="I1139" i="16"/>
  <c r="X44" i="11" s="1"/>
  <c r="D1139" i="16"/>
  <c r="I44" i="11" s="1"/>
  <c r="H1139" i="16"/>
  <c r="U44" i="11" s="1"/>
  <c r="C1170" i="16"/>
  <c r="F45" i="11" s="1"/>
  <c r="G1170" i="16"/>
  <c r="R45" i="11" s="1"/>
  <c r="E1201" i="16"/>
  <c r="L46" i="11" s="1"/>
  <c r="I1201" i="16"/>
  <c r="X46" i="11" s="1"/>
  <c r="D1201" i="16"/>
  <c r="I46" i="11" s="1"/>
  <c r="H1201" i="16"/>
  <c r="U46" i="11" s="1"/>
  <c r="C1233" i="16"/>
  <c r="F47" i="11" s="1"/>
  <c r="G1233" i="16"/>
  <c r="R47" i="11" s="1"/>
  <c r="E1264" i="16"/>
  <c r="L48" i="11" s="1"/>
  <c r="I1264" i="16"/>
  <c r="X48" i="11" s="1"/>
  <c r="C1357" i="16"/>
  <c r="F51" i="11" s="1"/>
  <c r="G1357" i="16"/>
  <c r="R51" i="11" s="1"/>
  <c r="E1388" i="16"/>
  <c r="L52" i="11" s="1"/>
  <c r="C1419" i="16"/>
  <c r="F53" i="11" s="1"/>
  <c r="G1419" i="16"/>
  <c r="R53" i="11" s="1"/>
  <c r="E1450" i="16"/>
  <c r="L54" i="11" s="1"/>
  <c r="O45" i="25"/>
  <c r="N45" i="25" s="1"/>
  <c r="Q45" i="25" s="1"/>
  <c r="H34" i="25"/>
  <c r="K34" i="25" s="1"/>
  <c r="I35" i="25" s="1"/>
  <c r="C43" i="25"/>
  <c r="B43" i="25" s="1"/>
  <c r="E43" i="25" s="1"/>
  <c r="J1843" i="17"/>
  <c r="I1843" i="17"/>
  <c r="I1849" i="17" s="1"/>
  <c r="I1866" i="17" s="1"/>
  <c r="X120" i="11" s="1"/>
  <c r="J1905" i="17"/>
  <c r="I1905" i="17"/>
  <c r="I1911" i="17" s="1"/>
  <c r="J1595" i="17"/>
  <c r="I1595" i="17"/>
  <c r="I1601" i="17" s="1"/>
  <c r="I1618" i="17" s="1"/>
  <c r="X112" i="11" s="1"/>
  <c r="J1471" i="17"/>
  <c r="I1471" i="17"/>
  <c r="I1477" i="17" s="1"/>
  <c r="J727" i="17"/>
  <c r="I727" i="17"/>
  <c r="I733" i="17" s="1"/>
  <c r="J1223" i="17"/>
  <c r="I1223" i="17"/>
  <c r="I1229" i="17" s="1"/>
  <c r="J1254" i="17"/>
  <c r="I1254" i="17"/>
  <c r="I1260" i="17" s="1"/>
  <c r="J1347" i="17"/>
  <c r="I1347" i="17"/>
  <c r="I1353" i="17" s="1"/>
  <c r="J789" i="17"/>
  <c r="I789" i="17"/>
  <c r="I795" i="17" s="1"/>
  <c r="J200" i="17"/>
  <c r="I200" i="17"/>
  <c r="I206" i="17" s="1"/>
  <c r="I223" i="17" s="1"/>
  <c r="X67" i="11" s="1"/>
  <c r="J324" i="17"/>
  <c r="I324" i="17"/>
  <c r="I330" i="17" s="1"/>
  <c r="B875" i="16"/>
  <c r="C36" i="11" s="1"/>
  <c r="B844" i="16"/>
  <c r="C35" i="11" s="1"/>
  <c r="B533" i="16"/>
  <c r="C25" i="11" s="1"/>
  <c r="J130" i="17"/>
  <c r="AA64" i="11" s="1"/>
  <c r="D1494" i="17"/>
  <c r="I108" i="11" s="1"/>
  <c r="C2128" i="17"/>
  <c r="F142" i="11" s="1"/>
  <c r="G2128" i="17"/>
  <c r="R142" i="11" s="1"/>
  <c r="F2128" i="17"/>
  <c r="O142" i="11" s="1"/>
  <c r="J2128" i="17"/>
  <c r="AA142" i="11" s="1"/>
  <c r="E1866" i="17"/>
  <c r="L120" i="11" s="1"/>
  <c r="D2128" i="17"/>
  <c r="I142" i="11" s="1"/>
  <c r="H2128" i="17"/>
  <c r="U142" i="11" s="1"/>
  <c r="D1277" i="17"/>
  <c r="I101" i="11" s="1"/>
  <c r="H1277" i="17"/>
  <c r="U101" i="11" s="1"/>
  <c r="B1308" i="17"/>
  <c r="C102" i="11" s="1"/>
  <c r="F1308" i="17"/>
  <c r="O102" i="11" s="1"/>
  <c r="J1308" i="17"/>
  <c r="L1291" i="17"/>
  <c r="C2000" i="17"/>
  <c r="F132" i="11" s="1"/>
  <c r="G2000" i="17"/>
  <c r="R132" i="11" s="1"/>
  <c r="E192" i="17"/>
  <c r="L66" i="11" s="1"/>
  <c r="B130" i="17"/>
  <c r="C64" i="11" s="1"/>
  <c r="F130" i="17"/>
  <c r="O64" i="11" s="1"/>
  <c r="J1215" i="17"/>
  <c r="L1198" i="17"/>
  <c r="H1494" i="17"/>
  <c r="U108" i="11" s="1"/>
  <c r="O77" i="11"/>
  <c r="O76" i="11"/>
  <c r="AA77" i="11"/>
  <c r="AA76" i="11"/>
  <c r="C77" i="11"/>
  <c r="C76" i="11"/>
  <c r="D1450" i="16"/>
  <c r="I54" i="11" s="1"/>
  <c r="B96" i="16"/>
  <c r="C11" i="11" s="1"/>
  <c r="F96" i="16"/>
  <c r="O11" i="11" s="1"/>
  <c r="J96" i="16"/>
  <c r="AA11" i="11" s="1"/>
  <c r="D191" i="16"/>
  <c r="I14" i="11" s="1"/>
  <c r="H191" i="16"/>
  <c r="U14" i="11" s="1"/>
  <c r="B222" i="16"/>
  <c r="C15" i="11" s="1"/>
  <c r="F222" i="16"/>
  <c r="O15" i="11" s="1"/>
  <c r="J222" i="16"/>
  <c r="AA15" i="11" s="1"/>
  <c r="B253" i="16"/>
  <c r="C16" i="11" s="1"/>
  <c r="F253" i="16"/>
  <c r="O16" i="11" s="1"/>
  <c r="J253" i="16"/>
  <c r="AA16" i="11" s="1"/>
  <c r="B284" i="16"/>
  <c r="C17" i="11" s="1"/>
  <c r="F284" i="16"/>
  <c r="O17" i="11" s="1"/>
  <c r="J284" i="16"/>
  <c r="AA17" i="11" s="1"/>
  <c r="B315" i="16"/>
  <c r="C18" i="11" s="1"/>
  <c r="F315" i="16"/>
  <c r="O18" i="11" s="1"/>
  <c r="J315" i="16"/>
  <c r="AA18" i="11" s="1"/>
  <c r="E315" i="16"/>
  <c r="L18" i="11" s="1"/>
  <c r="I315" i="16"/>
  <c r="X18" i="11" s="1"/>
  <c r="D377" i="16"/>
  <c r="I20" i="11" s="1"/>
  <c r="H377" i="16"/>
  <c r="U20" i="11" s="1"/>
  <c r="E440" i="16"/>
  <c r="L22" i="11" s="1"/>
  <c r="I440" i="16"/>
  <c r="X22" i="11" s="1"/>
  <c r="D440" i="16"/>
  <c r="I22" i="11" s="1"/>
  <c r="H440" i="16"/>
  <c r="U22" i="11" s="1"/>
  <c r="C471" i="16"/>
  <c r="F23" i="11" s="1"/>
  <c r="G471" i="16"/>
  <c r="R23" i="11" s="1"/>
  <c r="C502" i="16"/>
  <c r="F24" i="11" s="1"/>
  <c r="G502" i="16"/>
  <c r="R24" i="11" s="1"/>
  <c r="B564" i="16"/>
  <c r="C26" i="11" s="1"/>
  <c r="F564" i="16"/>
  <c r="O26" i="11" s="1"/>
  <c r="J564" i="16"/>
  <c r="AA26" i="11" s="1"/>
  <c r="B627" i="16"/>
  <c r="C28" i="11" s="1"/>
  <c r="F627" i="16"/>
  <c r="O28" i="11" s="1"/>
  <c r="J627" i="16"/>
  <c r="AA28" i="11" s="1"/>
  <c r="B658" i="16"/>
  <c r="C29" i="11" s="1"/>
  <c r="F658" i="16"/>
  <c r="O29" i="11" s="1"/>
  <c r="J658" i="16"/>
  <c r="AA29" i="11" s="1"/>
  <c r="B689" i="16"/>
  <c r="C30" i="11" s="1"/>
  <c r="F689" i="16"/>
  <c r="O30" i="11" s="1"/>
  <c r="J689" i="16"/>
  <c r="AA30" i="11" s="1"/>
  <c r="B720" i="16"/>
  <c r="C31" i="11" s="1"/>
  <c r="F720" i="16"/>
  <c r="O31" i="11" s="1"/>
  <c r="J720" i="16"/>
  <c r="AA31" i="11" s="1"/>
  <c r="E813" i="16"/>
  <c r="L34" i="11" s="1"/>
  <c r="I813" i="16"/>
  <c r="X34" i="11" s="1"/>
  <c r="E875" i="16"/>
  <c r="L36" i="11" s="1"/>
  <c r="I875" i="16"/>
  <c r="X36" i="11" s="1"/>
  <c r="E906" i="16"/>
  <c r="L37" i="11" s="1"/>
  <c r="I906" i="16"/>
  <c r="X37" i="11" s="1"/>
  <c r="E937" i="16"/>
  <c r="L38" i="11" s="1"/>
  <c r="I937" i="16"/>
  <c r="X38" i="11" s="1"/>
  <c r="I968" i="16"/>
  <c r="X39" i="11" s="1"/>
  <c r="E999" i="16"/>
  <c r="L40" i="11" s="1"/>
  <c r="I999" i="16"/>
  <c r="X40" i="11" s="1"/>
  <c r="E1030" i="16"/>
  <c r="L41" i="11" s="1"/>
  <c r="I1030" i="16"/>
  <c r="X41" i="11" s="1"/>
  <c r="E1108" i="16"/>
  <c r="L43" i="11" s="1"/>
  <c r="I1108" i="16"/>
  <c r="X43" i="11" s="1"/>
  <c r="F1388" i="16"/>
  <c r="O52" i="11" s="1"/>
  <c r="J1388" i="16"/>
  <c r="AA52" i="11" s="1"/>
  <c r="B1419" i="16"/>
  <c r="C53" i="11" s="1"/>
  <c r="F1419" i="16"/>
  <c r="O53" i="11" s="1"/>
  <c r="J1419" i="16"/>
  <c r="AA53" i="11" s="1"/>
  <c r="B1450" i="16"/>
  <c r="C54" i="11" s="1"/>
  <c r="F1450" i="16"/>
  <c r="O54" i="11" s="1"/>
  <c r="J1450" i="16"/>
  <c r="AA54" i="11" s="1"/>
  <c r="I96" i="16"/>
  <c r="X11" i="11" s="1"/>
  <c r="D96" i="16"/>
  <c r="I11" i="11" s="1"/>
  <c r="H96" i="16"/>
  <c r="U11" i="11" s="1"/>
  <c r="B191" i="16"/>
  <c r="C14" i="11" s="1"/>
  <c r="F191" i="16"/>
  <c r="O14" i="11" s="1"/>
  <c r="J191" i="16"/>
  <c r="AA14" i="11" s="1"/>
  <c r="D315" i="16"/>
  <c r="I18" i="11" s="1"/>
  <c r="H315" i="16"/>
  <c r="U18" i="11" s="1"/>
  <c r="B377" i="16"/>
  <c r="C20" i="11" s="1"/>
  <c r="F377" i="16"/>
  <c r="O20" i="11" s="1"/>
  <c r="J377" i="16"/>
  <c r="AA20" i="11" s="1"/>
  <c r="C440" i="16"/>
  <c r="F22" i="11" s="1"/>
  <c r="G440" i="16"/>
  <c r="R22" i="11" s="1"/>
  <c r="D502" i="16"/>
  <c r="I24" i="11" s="1"/>
  <c r="H502" i="16"/>
  <c r="U24" i="11" s="1"/>
  <c r="C844" i="16"/>
  <c r="F35" i="11" s="1"/>
  <c r="G844" i="16"/>
  <c r="R35" i="11" s="1"/>
  <c r="B471" i="16"/>
  <c r="C23" i="11" s="1"/>
  <c r="F471" i="16"/>
  <c r="O23" i="11" s="1"/>
  <c r="J471" i="16"/>
  <c r="AA23" i="11" s="1"/>
  <c r="B502" i="16"/>
  <c r="C24" i="11" s="1"/>
  <c r="F502" i="16"/>
  <c r="O24" i="11" s="1"/>
  <c r="J502" i="16"/>
  <c r="AA24" i="11" s="1"/>
  <c r="E564" i="16"/>
  <c r="L26" i="11" s="1"/>
  <c r="I564" i="16"/>
  <c r="X26" i="11" s="1"/>
  <c r="E627" i="16"/>
  <c r="L28" i="11" s="1"/>
  <c r="I627" i="16"/>
  <c r="X28" i="11" s="1"/>
  <c r="E658" i="16"/>
  <c r="L29" i="11" s="1"/>
  <c r="I658" i="16"/>
  <c r="X29" i="11" s="1"/>
  <c r="E689" i="16"/>
  <c r="L30" i="11" s="1"/>
  <c r="I689" i="16"/>
  <c r="X30" i="11" s="1"/>
  <c r="E720" i="16"/>
  <c r="L31" i="11" s="1"/>
  <c r="I720" i="16"/>
  <c r="X31" i="11" s="1"/>
  <c r="C751" i="16"/>
  <c r="F32" i="11" s="1"/>
  <c r="G751" i="16"/>
  <c r="R32" i="11" s="1"/>
  <c r="C782" i="16"/>
  <c r="F33" i="11" s="1"/>
  <c r="G782" i="16"/>
  <c r="R33" i="11" s="1"/>
  <c r="E844" i="16"/>
  <c r="L35" i="11" s="1"/>
  <c r="I844" i="16"/>
  <c r="X35" i="11" s="1"/>
  <c r="D1108" i="16"/>
  <c r="I43" i="11" s="1"/>
  <c r="H1108" i="16"/>
  <c r="U43" i="11" s="1"/>
  <c r="C1264" i="16"/>
  <c r="F48" i="11" s="1"/>
  <c r="G1264" i="16"/>
  <c r="R48" i="11" s="1"/>
  <c r="C1295" i="16"/>
  <c r="F49" i="11" s="1"/>
  <c r="G1295" i="16"/>
  <c r="R49" i="11" s="1"/>
  <c r="I1388" i="16"/>
  <c r="X52" i="11" s="1"/>
  <c r="I1419" i="16"/>
  <c r="X53" i="11" s="1"/>
  <c r="I1450" i="16"/>
  <c r="X54" i="11" s="1"/>
  <c r="C1481" i="16"/>
  <c r="F55" i="11" s="1"/>
  <c r="G1481" i="16"/>
  <c r="R55" i="11" s="1"/>
  <c r="H1450" i="16"/>
  <c r="U54" i="11" s="1"/>
  <c r="B1370" i="17"/>
  <c r="C104" i="11" s="1"/>
  <c r="F1370" i="17"/>
  <c r="O104" i="11" s="1"/>
  <c r="D1401" i="17"/>
  <c r="I105" i="11" s="1"/>
  <c r="D1463" i="17"/>
  <c r="I107" i="11" s="1"/>
  <c r="E1494" i="17"/>
  <c r="L108" i="11" s="1"/>
  <c r="B2000" i="17"/>
  <c r="C132" i="11" s="1"/>
  <c r="F2000" i="17"/>
  <c r="O132" i="11" s="1"/>
  <c r="J2000" i="17"/>
  <c r="AA132" i="11" s="1"/>
  <c r="D2000" i="17"/>
  <c r="I132" i="11" s="1"/>
  <c r="H2000" i="17"/>
  <c r="U132" i="11" s="1"/>
  <c r="E2128" i="17"/>
  <c r="L142" i="11" s="1"/>
  <c r="I2128" i="17"/>
  <c r="X142" i="11" s="1"/>
  <c r="E1959" i="17"/>
  <c r="L123" i="11" s="1"/>
  <c r="I1959" i="17"/>
  <c r="X123" i="11" s="1"/>
  <c r="E2000" i="17"/>
  <c r="L132" i="11" s="1"/>
  <c r="I2000" i="17"/>
  <c r="X132" i="11" s="1"/>
  <c r="D2069" i="17"/>
  <c r="I140" i="11" s="1"/>
  <c r="H2069" i="17"/>
  <c r="U140" i="11" s="1"/>
  <c r="C223" i="17"/>
  <c r="F67" i="11" s="1"/>
  <c r="G223" i="17"/>
  <c r="R67" i="11" s="1"/>
  <c r="C1432" i="17"/>
  <c r="F106" i="11" s="1"/>
  <c r="E2069" i="17"/>
  <c r="L140" i="11" s="1"/>
  <c r="I2069" i="17"/>
  <c r="X140" i="11" s="1"/>
  <c r="B2069" i="17"/>
  <c r="C140" i="11" s="1"/>
  <c r="F2069" i="17"/>
  <c r="O140" i="11" s="1"/>
  <c r="J2069" i="17"/>
  <c r="AA140" i="11" s="1"/>
  <c r="C2069" i="17"/>
  <c r="F140" i="11" s="1"/>
  <c r="G2069" i="17"/>
  <c r="R140" i="11" s="1"/>
  <c r="E161" i="17"/>
  <c r="L65" i="11" s="1"/>
  <c r="I161" i="17"/>
  <c r="X65" i="11" s="1"/>
  <c r="G192" i="17"/>
  <c r="R66" i="11" s="1"/>
  <c r="E223" i="17"/>
  <c r="L67" i="11" s="1"/>
  <c r="B316" i="17"/>
  <c r="C70" i="11" s="1"/>
  <c r="F316" i="17"/>
  <c r="O70" i="11" s="1"/>
  <c r="J316" i="17"/>
  <c r="AA70" i="11" s="1"/>
  <c r="E347" i="17"/>
  <c r="L71" i="11" s="1"/>
  <c r="C378" i="17"/>
  <c r="F72" i="11" s="1"/>
  <c r="C1401" i="17"/>
  <c r="F105" i="11" s="1"/>
  <c r="G1401" i="17"/>
  <c r="R105" i="11" s="1"/>
  <c r="E1432" i="17"/>
  <c r="L106" i="11" s="1"/>
  <c r="I1432" i="17"/>
  <c r="X106" i="11" s="1"/>
  <c r="I1494" i="17"/>
  <c r="X108" i="11" s="1"/>
  <c r="I67" i="17"/>
  <c r="X62" i="11" s="1"/>
  <c r="I192" i="17"/>
  <c r="X66" i="11" s="1"/>
  <c r="C1866" i="17"/>
  <c r="F120" i="11" s="1"/>
  <c r="G1866" i="17"/>
  <c r="R120" i="11" s="1"/>
  <c r="D1618" i="17"/>
  <c r="I112" i="11" s="1"/>
  <c r="H1618" i="17"/>
  <c r="U112" i="11" s="1"/>
  <c r="D1680" i="17"/>
  <c r="I114" i="11" s="1"/>
  <c r="H1680" i="17"/>
  <c r="U114" i="11" s="1"/>
  <c r="D1742" i="17"/>
  <c r="I116" i="11" s="1"/>
  <c r="H1742" i="17"/>
  <c r="U116" i="11" s="1"/>
  <c r="F1773" i="17"/>
  <c r="O117" i="11" s="1"/>
  <c r="J1773" i="17"/>
  <c r="AA117" i="11" s="1"/>
  <c r="D1804" i="17"/>
  <c r="I118" i="11" s="1"/>
  <c r="H1804" i="17"/>
  <c r="U118" i="11" s="1"/>
  <c r="B1835" i="17"/>
  <c r="C119" i="11" s="1"/>
  <c r="F1835" i="17"/>
  <c r="O119" i="11" s="1"/>
  <c r="J1835" i="17"/>
  <c r="B1897" i="17"/>
  <c r="C121" i="11" s="1"/>
  <c r="F1897" i="17"/>
  <c r="O121" i="11" s="1"/>
  <c r="J1897" i="17"/>
  <c r="AA121" i="11" s="1"/>
  <c r="D1928" i="17"/>
  <c r="I122" i="11" s="1"/>
  <c r="H1928" i="17"/>
  <c r="U122" i="11" s="1"/>
  <c r="B1959" i="17"/>
  <c r="C123" i="11" s="1"/>
  <c r="F1959" i="17"/>
  <c r="O123" i="11" s="1"/>
  <c r="J1959" i="17"/>
  <c r="AA123" i="11" s="1"/>
  <c r="D285" i="17"/>
  <c r="I69" i="11" s="1"/>
  <c r="H285" i="17"/>
  <c r="U69" i="11" s="1"/>
  <c r="G378" i="17"/>
  <c r="R72" i="11" s="1"/>
  <c r="E1897" i="17"/>
  <c r="L121" i="11" s="1"/>
  <c r="E130" i="17"/>
  <c r="L64" i="11" s="1"/>
  <c r="I130" i="17"/>
  <c r="X64" i="11" s="1"/>
  <c r="C161" i="17"/>
  <c r="F65" i="11" s="1"/>
  <c r="G161" i="17"/>
  <c r="R65" i="11" s="1"/>
  <c r="D192" i="17"/>
  <c r="I66" i="11" s="1"/>
  <c r="H192" i="17"/>
  <c r="U66" i="11" s="1"/>
  <c r="E254" i="17"/>
  <c r="L68" i="11" s="1"/>
  <c r="B67" i="17"/>
  <c r="C62" i="11" s="1"/>
  <c r="F67" i="17"/>
  <c r="O62" i="11" s="1"/>
  <c r="D130" i="17"/>
  <c r="I64" i="11" s="1"/>
  <c r="B161" i="17"/>
  <c r="C65" i="11" s="1"/>
  <c r="F161" i="17"/>
  <c r="O65" i="11" s="1"/>
  <c r="J161" i="17"/>
  <c r="AA65" i="11" s="1"/>
  <c r="B223" i="17"/>
  <c r="C67" i="11" s="1"/>
  <c r="F223" i="17"/>
  <c r="O67" i="11" s="1"/>
  <c r="B285" i="17"/>
  <c r="C69" i="11" s="1"/>
  <c r="F285" i="17"/>
  <c r="O69" i="11" s="1"/>
  <c r="I254" i="17"/>
  <c r="X68" i="11" s="1"/>
  <c r="J285" i="17"/>
  <c r="AA69" i="11" s="1"/>
  <c r="D347" i="17"/>
  <c r="I71" i="11" s="1"/>
  <c r="H347" i="17"/>
  <c r="U71" i="11" s="1"/>
  <c r="C347" i="17"/>
  <c r="F71" i="11" s="1"/>
  <c r="G347" i="17"/>
  <c r="R71" i="11" s="1"/>
  <c r="C409" i="17"/>
  <c r="F73" i="11" s="1"/>
  <c r="G409" i="17"/>
  <c r="R73" i="11" s="1"/>
  <c r="B409" i="17"/>
  <c r="C73" i="11" s="1"/>
  <c r="E440" i="17"/>
  <c r="L74" i="11" s="1"/>
  <c r="I440" i="17"/>
  <c r="X74" i="11" s="1"/>
  <c r="C471" i="17"/>
  <c r="F75" i="11" s="1"/>
  <c r="G471" i="17"/>
  <c r="R75" i="11" s="1"/>
  <c r="E502" i="17"/>
  <c r="I502" i="17"/>
  <c r="C533" i="17"/>
  <c r="G533" i="17"/>
  <c r="E564" i="17"/>
  <c r="L78" i="11" s="1"/>
  <c r="I564" i="17"/>
  <c r="X78" i="11" s="1"/>
  <c r="C595" i="17"/>
  <c r="F79" i="11" s="1"/>
  <c r="G595" i="17"/>
  <c r="R79" i="11" s="1"/>
  <c r="E626" i="17"/>
  <c r="L80" i="11" s="1"/>
  <c r="I626" i="17"/>
  <c r="X80" i="11" s="1"/>
  <c r="C657" i="17"/>
  <c r="F81" i="11" s="1"/>
  <c r="G657" i="17"/>
  <c r="R81" i="11" s="1"/>
  <c r="E688" i="17"/>
  <c r="L82" i="11" s="1"/>
  <c r="I688" i="17"/>
  <c r="X82" i="11" s="1"/>
  <c r="C719" i="17"/>
  <c r="F83" i="11" s="1"/>
  <c r="G719" i="17"/>
  <c r="R83" i="11" s="1"/>
  <c r="E750" i="17"/>
  <c r="L84" i="11" s="1"/>
  <c r="I750" i="17"/>
  <c r="X84" i="11" s="1"/>
  <c r="C781" i="17"/>
  <c r="F85" i="11" s="1"/>
  <c r="G781" i="17"/>
  <c r="R85" i="11" s="1"/>
  <c r="E812" i="17"/>
  <c r="L86" i="11" s="1"/>
  <c r="I812" i="17"/>
  <c r="X86" i="11" s="1"/>
  <c r="C843" i="17"/>
  <c r="F87" i="11" s="1"/>
  <c r="G843" i="17"/>
  <c r="R87" i="11" s="1"/>
  <c r="E874" i="17"/>
  <c r="L88" i="11" s="1"/>
  <c r="I874" i="17"/>
  <c r="X88" i="11" s="1"/>
  <c r="C905" i="17"/>
  <c r="F89" i="11" s="1"/>
  <c r="G905" i="17"/>
  <c r="R89" i="11" s="1"/>
  <c r="E936" i="17"/>
  <c r="L90" i="11" s="1"/>
  <c r="I936" i="17"/>
  <c r="X90" i="11" s="1"/>
  <c r="C998" i="17"/>
  <c r="F92" i="11" s="1"/>
  <c r="G998" i="17"/>
  <c r="R92" i="11" s="1"/>
  <c r="E1029" i="17"/>
  <c r="L93" i="11" s="1"/>
  <c r="I1029" i="17"/>
  <c r="X93" i="11" s="1"/>
  <c r="C1060" i="17"/>
  <c r="F94" i="11" s="1"/>
  <c r="G1060" i="17"/>
  <c r="R94" i="11" s="1"/>
  <c r="G1432" i="17"/>
  <c r="R106" i="11" s="1"/>
  <c r="E1463" i="17"/>
  <c r="L107" i="11" s="1"/>
  <c r="I1463" i="17"/>
  <c r="X107" i="11" s="1"/>
  <c r="C1556" i="17"/>
  <c r="F110" i="11" s="1"/>
  <c r="G1556" i="17"/>
  <c r="R110" i="11" s="1"/>
  <c r="E1587" i="17"/>
  <c r="L111" i="11" s="1"/>
  <c r="I1587" i="17"/>
  <c r="X111" i="11" s="1"/>
  <c r="C1618" i="17"/>
  <c r="F112" i="11" s="1"/>
  <c r="G1618" i="17"/>
  <c r="R112" i="11" s="1"/>
  <c r="E1649" i="17"/>
  <c r="L113" i="11" s="1"/>
  <c r="I1649" i="17"/>
  <c r="X113" i="11" s="1"/>
  <c r="C1680" i="17"/>
  <c r="F114" i="11" s="1"/>
  <c r="G1680" i="17"/>
  <c r="R114" i="11" s="1"/>
  <c r="E1711" i="17"/>
  <c r="L115" i="11" s="1"/>
  <c r="I1711" i="17"/>
  <c r="X115" i="11" s="1"/>
  <c r="C1742" i="17"/>
  <c r="F116" i="11" s="1"/>
  <c r="G1742" i="17"/>
  <c r="R116" i="11" s="1"/>
  <c r="E1773" i="17"/>
  <c r="L117" i="11" s="1"/>
  <c r="I1773" i="17"/>
  <c r="X117" i="11" s="1"/>
  <c r="C1804" i="17"/>
  <c r="F118" i="11" s="1"/>
  <c r="G1804" i="17"/>
  <c r="R118" i="11" s="1"/>
  <c r="E1835" i="17"/>
  <c r="L119" i="11" s="1"/>
  <c r="I1835" i="17"/>
  <c r="X119" i="11" s="1"/>
  <c r="I1897" i="17"/>
  <c r="X121" i="11" s="1"/>
  <c r="B1928" i="17"/>
  <c r="C122" i="11" s="1"/>
  <c r="F1928" i="17"/>
  <c r="O122" i="11" s="1"/>
  <c r="D1959" i="17"/>
  <c r="I123" i="11" s="1"/>
  <c r="H1959" i="17"/>
  <c r="U123" i="11" s="1"/>
  <c r="C316" i="17"/>
  <c r="F70" i="11" s="1"/>
  <c r="B1773" i="17"/>
  <c r="C117" i="11" s="1"/>
  <c r="C1928" i="17"/>
  <c r="F122" i="11" s="1"/>
  <c r="G1928" i="17"/>
  <c r="R122" i="11" s="1"/>
  <c r="H1463" i="17"/>
  <c r="U107" i="11" s="1"/>
  <c r="D1525" i="17"/>
  <c r="I109" i="11" s="1"/>
  <c r="H1525" i="17"/>
  <c r="U109" i="11" s="1"/>
  <c r="D1587" i="17"/>
  <c r="I111" i="11" s="1"/>
  <c r="H1587" i="17"/>
  <c r="U111" i="11" s="1"/>
  <c r="D1649" i="17"/>
  <c r="I113" i="11" s="1"/>
  <c r="H1649" i="17"/>
  <c r="U113" i="11" s="1"/>
  <c r="D1711" i="17"/>
  <c r="I115" i="11" s="1"/>
  <c r="H1711" i="17"/>
  <c r="U115" i="11" s="1"/>
  <c r="D1773" i="17"/>
  <c r="I117" i="11" s="1"/>
  <c r="H1773" i="17"/>
  <c r="U117" i="11" s="1"/>
  <c r="B1804" i="17"/>
  <c r="C118" i="11" s="1"/>
  <c r="F1804" i="17"/>
  <c r="O118" i="11" s="1"/>
  <c r="J1804" i="17"/>
  <c r="AA118" i="11" s="1"/>
  <c r="C1835" i="17"/>
  <c r="F119" i="11" s="1"/>
  <c r="G1835" i="17"/>
  <c r="R119" i="11" s="1"/>
  <c r="B1866" i="17"/>
  <c r="C120" i="11" s="1"/>
  <c r="F1866" i="17"/>
  <c r="O120" i="11" s="1"/>
  <c r="H1897" i="17"/>
  <c r="U121" i="11" s="1"/>
  <c r="E1928" i="17"/>
  <c r="L122" i="11" s="1"/>
  <c r="I1928" i="17"/>
  <c r="X122" i="11" s="1"/>
  <c r="D254" i="17"/>
  <c r="I68" i="11" s="1"/>
  <c r="H254" i="17"/>
  <c r="U68" i="11" s="1"/>
  <c r="C192" i="17"/>
  <c r="F66" i="11" s="1"/>
  <c r="D67" i="17"/>
  <c r="I62" i="11" s="1"/>
  <c r="H130" i="17"/>
  <c r="U64" i="11" s="1"/>
  <c r="G316" i="17"/>
  <c r="R70" i="11" s="1"/>
  <c r="F409" i="17"/>
  <c r="O73" i="11" s="1"/>
  <c r="C440" i="17"/>
  <c r="F74" i="11" s="1"/>
  <c r="G440" i="17"/>
  <c r="R74" i="11" s="1"/>
  <c r="E471" i="17"/>
  <c r="L75" i="11" s="1"/>
  <c r="I471" i="17"/>
  <c r="X75" i="11" s="1"/>
  <c r="C502" i="17"/>
  <c r="G502" i="17"/>
  <c r="E533" i="17"/>
  <c r="I533" i="17"/>
  <c r="C564" i="17"/>
  <c r="F78" i="11" s="1"/>
  <c r="G564" i="17"/>
  <c r="R78" i="11" s="1"/>
  <c r="E595" i="17"/>
  <c r="L79" i="11" s="1"/>
  <c r="I595" i="17"/>
  <c r="X79" i="11" s="1"/>
  <c r="C626" i="17"/>
  <c r="F80" i="11" s="1"/>
  <c r="G626" i="17"/>
  <c r="R80" i="11" s="1"/>
  <c r="H67" i="17"/>
  <c r="U62" i="11" s="1"/>
  <c r="C67" i="17"/>
  <c r="F62" i="11" s="1"/>
  <c r="G67" i="17"/>
  <c r="R62" i="11" s="1"/>
  <c r="C130" i="17"/>
  <c r="F64" i="11" s="1"/>
  <c r="G130" i="17"/>
  <c r="R64" i="11" s="1"/>
  <c r="C254" i="17"/>
  <c r="F68" i="11" s="1"/>
  <c r="G254" i="17"/>
  <c r="R68" i="11" s="1"/>
  <c r="C285" i="17"/>
  <c r="F69" i="11" s="1"/>
  <c r="G285" i="17"/>
  <c r="R69" i="11" s="1"/>
  <c r="B347" i="17"/>
  <c r="C71" i="11" s="1"/>
  <c r="F347" i="17"/>
  <c r="O71" i="11" s="1"/>
  <c r="B378" i="17"/>
  <c r="C72" i="11" s="1"/>
  <c r="F378" i="17"/>
  <c r="O72" i="11" s="1"/>
  <c r="J378" i="17"/>
  <c r="AA72" i="11" s="1"/>
  <c r="J409" i="17"/>
  <c r="AA73" i="11" s="1"/>
  <c r="E409" i="17"/>
  <c r="L73" i="11" s="1"/>
  <c r="B440" i="17"/>
  <c r="C74" i="11" s="1"/>
  <c r="F440" i="17"/>
  <c r="O74" i="11" s="1"/>
  <c r="J440" i="17"/>
  <c r="AA74" i="11" s="1"/>
  <c r="D471" i="17"/>
  <c r="I75" i="11" s="1"/>
  <c r="H471" i="17"/>
  <c r="U75" i="11" s="1"/>
  <c r="B502" i="17"/>
  <c r="F502" i="17"/>
  <c r="J502" i="17"/>
  <c r="D533" i="17"/>
  <c r="H533" i="17"/>
  <c r="B564" i="17"/>
  <c r="C78" i="11" s="1"/>
  <c r="F564" i="17"/>
  <c r="O78" i="11" s="1"/>
  <c r="J564" i="17"/>
  <c r="AA78" i="11" s="1"/>
  <c r="D595" i="17"/>
  <c r="I79" i="11" s="1"/>
  <c r="H595" i="17"/>
  <c r="U79" i="11" s="1"/>
  <c r="B626" i="17"/>
  <c r="C80" i="11" s="1"/>
  <c r="F626" i="17"/>
  <c r="O80" i="11" s="1"/>
  <c r="J626" i="17"/>
  <c r="AA80" i="11" s="1"/>
  <c r="D657" i="17"/>
  <c r="I81" i="11" s="1"/>
  <c r="H657" i="17"/>
  <c r="U81" i="11" s="1"/>
  <c r="B688" i="17"/>
  <c r="C82" i="11" s="1"/>
  <c r="F688" i="17"/>
  <c r="O82" i="11" s="1"/>
  <c r="J688" i="17"/>
  <c r="AA82" i="11" s="1"/>
  <c r="D719" i="17"/>
  <c r="I83" i="11" s="1"/>
  <c r="H719" i="17"/>
  <c r="U83" i="11" s="1"/>
  <c r="B750" i="17"/>
  <c r="C84" i="11" s="1"/>
  <c r="F750" i="17"/>
  <c r="O84" i="11" s="1"/>
  <c r="D781" i="17"/>
  <c r="I85" i="11" s="1"/>
  <c r="H781" i="17"/>
  <c r="U85" i="11" s="1"/>
  <c r="B812" i="17"/>
  <c r="C86" i="11" s="1"/>
  <c r="F812" i="17"/>
  <c r="O86" i="11" s="1"/>
  <c r="D843" i="17"/>
  <c r="I87" i="11" s="1"/>
  <c r="H843" i="17"/>
  <c r="U87" i="11" s="1"/>
  <c r="B874" i="17"/>
  <c r="C88" i="11" s="1"/>
  <c r="F874" i="17"/>
  <c r="O88" i="11" s="1"/>
  <c r="J874" i="17"/>
  <c r="AA88" i="11" s="1"/>
  <c r="D905" i="17"/>
  <c r="I89" i="11" s="1"/>
  <c r="H905" i="17"/>
  <c r="U89" i="11" s="1"/>
  <c r="B936" i="17"/>
  <c r="C90" i="11" s="1"/>
  <c r="F936" i="17"/>
  <c r="O90" i="11" s="1"/>
  <c r="J936" i="17"/>
  <c r="AA90" i="11" s="1"/>
  <c r="D998" i="17"/>
  <c r="I92" i="11" s="1"/>
  <c r="H998" i="17"/>
  <c r="U92" i="11" s="1"/>
  <c r="B1029" i="17"/>
  <c r="C93" i="11" s="1"/>
  <c r="F1029" i="17"/>
  <c r="O93" i="11" s="1"/>
  <c r="J1029" i="17"/>
  <c r="AA93" i="11" s="1"/>
  <c r="D1060" i="17"/>
  <c r="I94" i="11" s="1"/>
  <c r="H1060" i="17"/>
  <c r="U94" i="11" s="1"/>
  <c r="B1091" i="17"/>
  <c r="C95" i="11" s="1"/>
  <c r="F1091" i="17"/>
  <c r="O95" i="11" s="1"/>
  <c r="J1091" i="17"/>
  <c r="AA95" i="11" s="1"/>
  <c r="D1122" i="17"/>
  <c r="I96" i="11" s="1"/>
  <c r="H1122" i="17"/>
  <c r="U96" i="11" s="1"/>
  <c r="B1153" i="17"/>
  <c r="C97" i="11" s="1"/>
  <c r="F1153" i="17"/>
  <c r="O97" i="11" s="1"/>
  <c r="J1153" i="17"/>
  <c r="AA97" i="11" s="1"/>
  <c r="E657" i="17"/>
  <c r="L81" i="11" s="1"/>
  <c r="I657" i="17"/>
  <c r="X81" i="11" s="1"/>
  <c r="C688" i="17"/>
  <c r="F82" i="11" s="1"/>
  <c r="G688" i="17"/>
  <c r="R82" i="11" s="1"/>
  <c r="E719" i="17"/>
  <c r="L83" i="11" s="1"/>
  <c r="I719" i="17"/>
  <c r="X83" i="11" s="1"/>
  <c r="C750" i="17"/>
  <c r="F84" i="11" s="1"/>
  <c r="G750" i="17"/>
  <c r="R84" i="11" s="1"/>
  <c r="E781" i="17"/>
  <c r="L85" i="11" s="1"/>
  <c r="I781" i="17"/>
  <c r="X85" i="11" s="1"/>
  <c r="C812" i="17"/>
  <c r="F86" i="11" s="1"/>
  <c r="G812" i="17"/>
  <c r="R86" i="11" s="1"/>
  <c r="E843" i="17"/>
  <c r="L87" i="11" s="1"/>
  <c r="I843" i="17"/>
  <c r="X87" i="11" s="1"/>
  <c r="C874" i="17"/>
  <c r="F88" i="11" s="1"/>
  <c r="G874" i="17"/>
  <c r="R88" i="11" s="1"/>
  <c r="E905" i="17"/>
  <c r="L89" i="11" s="1"/>
  <c r="I905" i="17"/>
  <c r="X89" i="11" s="1"/>
  <c r="C936" i="17"/>
  <c r="F90" i="11" s="1"/>
  <c r="G936" i="17"/>
  <c r="R90" i="11" s="1"/>
  <c r="E998" i="17"/>
  <c r="L92" i="11" s="1"/>
  <c r="I998" i="17"/>
  <c r="X92" i="11" s="1"/>
  <c r="C1029" i="17"/>
  <c r="F93" i="11" s="1"/>
  <c r="G1029" i="17"/>
  <c r="R93" i="11" s="1"/>
  <c r="E1060" i="17"/>
  <c r="L94" i="11" s="1"/>
  <c r="I1060" i="17"/>
  <c r="X94" i="11" s="1"/>
  <c r="C1091" i="17"/>
  <c r="F95" i="11" s="1"/>
  <c r="G1091" i="17"/>
  <c r="R95" i="11" s="1"/>
  <c r="E1122" i="17"/>
  <c r="L96" i="11" s="1"/>
  <c r="I1122" i="17"/>
  <c r="X96" i="11" s="1"/>
  <c r="C1153" i="17"/>
  <c r="F97" i="11" s="1"/>
  <c r="G1153" i="17"/>
  <c r="R97" i="11" s="1"/>
  <c r="E1184" i="17"/>
  <c r="L98" i="11" s="1"/>
  <c r="I1184" i="17"/>
  <c r="X98" i="11" s="1"/>
  <c r="C1215" i="17"/>
  <c r="F99" i="11" s="1"/>
  <c r="G1215" i="17"/>
  <c r="R99" i="11" s="1"/>
  <c r="E1246" i="17"/>
  <c r="L100" i="11" s="1"/>
  <c r="I1246" i="17"/>
  <c r="X100" i="11" s="1"/>
  <c r="C1277" i="17"/>
  <c r="F101" i="11" s="1"/>
  <c r="G1277" i="17"/>
  <c r="R101" i="11" s="1"/>
  <c r="E1308" i="17"/>
  <c r="L102" i="11" s="1"/>
  <c r="I1308" i="17"/>
  <c r="X102" i="11" s="1"/>
  <c r="C1339" i="17"/>
  <c r="F103" i="11" s="1"/>
  <c r="G1339" i="17"/>
  <c r="R103" i="11" s="1"/>
  <c r="E1370" i="17"/>
  <c r="L104" i="11" s="1"/>
  <c r="I1370" i="17"/>
  <c r="X104" i="11" s="1"/>
  <c r="C1773" i="17"/>
  <c r="F117" i="11" s="1"/>
  <c r="G1773" i="17"/>
  <c r="R117" i="11" s="1"/>
  <c r="D1835" i="17"/>
  <c r="I119" i="11" s="1"/>
  <c r="H1835" i="17"/>
  <c r="U119" i="11" s="1"/>
  <c r="D1866" i="17"/>
  <c r="I120" i="11" s="1"/>
  <c r="H1866" i="17"/>
  <c r="U120" i="11" s="1"/>
  <c r="D1897" i="17"/>
  <c r="I121" i="11" s="1"/>
  <c r="H1401" i="17"/>
  <c r="U105" i="11" s="1"/>
  <c r="B1432" i="17"/>
  <c r="C106" i="11" s="1"/>
  <c r="F1432" i="17"/>
  <c r="O106" i="11" s="1"/>
  <c r="J1432" i="17"/>
  <c r="AA106" i="11" s="1"/>
  <c r="B1463" i="17"/>
  <c r="C107" i="11" s="1"/>
  <c r="F1463" i="17"/>
  <c r="O107" i="11" s="1"/>
  <c r="J1463" i="17"/>
  <c r="AA107" i="11" s="1"/>
  <c r="B1494" i="17"/>
  <c r="C108" i="11" s="1"/>
  <c r="F1494" i="17"/>
  <c r="O108" i="11" s="1"/>
  <c r="E1525" i="17"/>
  <c r="L109" i="11" s="1"/>
  <c r="I1525" i="17"/>
  <c r="X109" i="11" s="1"/>
  <c r="I1556" i="17"/>
  <c r="X110" i="11" s="1"/>
  <c r="D1556" i="17"/>
  <c r="I110" i="11" s="1"/>
  <c r="H1556" i="17"/>
  <c r="U110" i="11" s="1"/>
  <c r="E285" i="17"/>
  <c r="L69" i="11" s="1"/>
  <c r="I285" i="17"/>
  <c r="X69" i="11" s="1"/>
  <c r="E316" i="17"/>
  <c r="L70" i="11" s="1"/>
  <c r="I316" i="17"/>
  <c r="X70" i="11" s="1"/>
  <c r="I347" i="17"/>
  <c r="X71" i="11" s="1"/>
  <c r="D378" i="17"/>
  <c r="I72" i="11" s="1"/>
  <c r="H378" i="17"/>
  <c r="U72" i="11" s="1"/>
  <c r="E1091" i="17"/>
  <c r="L95" i="11" s="1"/>
  <c r="I1091" i="17"/>
  <c r="X95" i="11" s="1"/>
  <c r="C1122" i="17"/>
  <c r="F96" i="11" s="1"/>
  <c r="G1122" i="17"/>
  <c r="R96" i="11" s="1"/>
  <c r="E1153" i="17"/>
  <c r="L97" i="11" s="1"/>
  <c r="I1153" i="17"/>
  <c r="X97" i="11" s="1"/>
  <c r="C1184" i="17"/>
  <c r="F98" i="11" s="1"/>
  <c r="G1184" i="17"/>
  <c r="R98" i="11" s="1"/>
  <c r="E1215" i="17"/>
  <c r="L99" i="11" s="1"/>
  <c r="I1215" i="17"/>
  <c r="X99" i="11" s="1"/>
  <c r="C1246" i="17"/>
  <c r="F100" i="11" s="1"/>
  <c r="G1246" i="17"/>
  <c r="R100" i="11" s="1"/>
  <c r="E1277" i="17"/>
  <c r="L101" i="11" s="1"/>
  <c r="I1277" i="17"/>
  <c r="X101" i="11" s="1"/>
  <c r="C1308" i="17"/>
  <c r="F102" i="11" s="1"/>
  <c r="G1308" i="17"/>
  <c r="R102" i="11" s="1"/>
  <c r="E1339" i="17"/>
  <c r="L103" i="11" s="1"/>
  <c r="I1339" i="17"/>
  <c r="X103" i="11" s="1"/>
  <c r="C1370" i="17"/>
  <c r="F104" i="11" s="1"/>
  <c r="G1370" i="17"/>
  <c r="R104" i="11" s="1"/>
  <c r="E1401" i="17"/>
  <c r="L105" i="11" s="1"/>
  <c r="I1401" i="17"/>
  <c r="X105" i="11" s="1"/>
  <c r="C1463" i="17"/>
  <c r="F107" i="11" s="1"/>
  <c r="G1463" i="17"/>
  <c r="R107" i="11" s="1"/>
  <c r="C1494" i="17"/>
  <c r="F108" i="11" s="1"/>
  <c r="G1494" i="17"/>
  <c r="R108" i="11" s="1"/>
  <c r="B1525" i="17"/>
  <c r="C109" i="11" s="1"/>
  <c r="F1525" i="17"/>
  <c r="O109" i="11" s="1"/>
  <c r="J1525" i="17"/>
  <c r="AA109" i="11" s="1"/>
  <c r="B1556" i="17"/>
  <c r="C110" i="11" s="1"/>
  <c r="F1556" i="17"/>
  <c r="O110" i="11" s="1"/>
  <c r="J1556" i="17"/>
  <c r="AA110" i="11" s="1"/>
  <c r="B1587" i="17"/>
  <c r="C111" i="11" s="1"/>
  <c r="F1587" i="17"/>
  <c r="O111" i="11" s="1"/>
  <c r="J1587" i="17"/>
  <c r="AA111" i="11" s="1"/>
  <c r="B1618" i="17"/>
  <c r="C112" i="11" s="1"/>
  <c r="F1618" i="17"/>
  <c r="O112" i="11" s="1"/>
  <c r="B1649" i="17"/>
  <c r="C113" i="11" s="1"/>
  <c r="F1649" i="17"/>
  <c r="O113" i="11" s="1"/>
  <c r="J1649" i="17"/>
  <c r="AA113" i="11" s="1"/>
  <c r="B1680" i="17"/>
  <c r="C114" i="11" s="1"/>
  <c r="F1680" i="17"/>
  <c r="O114" i="11" s="1"/>
  <c r="J1680" i="17"/>
  <c r="E1680" i="17"/>
  <c r="L114" i="11" s="1"/>
  <c r="I1680" i="17"/>
  <c r="X114" i="11" s="1"/>
  <c r="B1711" i="17"/>
  <c r="C115" i="11" s="1"/>
  <c r="F1711" i="17"/>
  <c r="O115" i="11" s="1"/>
  <c r="J1711" i="17"/>
  <c r="B1742" i="17"/>
  <c r="C116" i="11" s="1"/>
  <c r="F1742" i="17"/>
  <c r="O116" i="11" s="1"/>
  <c r="J1742" i="17"/>
  <c r="AA116" i="11" s="1"/>
  <c r="E1804" i="17"/>
  <c r="L118" i="11" s="1"/>
  <c r="I1804" i="17"/>
  <c r="X118" i="11" s="1"/>
  <c r="C1897" i="17"/>
  <c r="F121" i="11" s="1"/>
  <c r="G1897" i="17"/>
  <c r="R121" i="11" s="1"/>
  <c r="C1959" i="17"/>
  <c r="F123" i="11" s="1"/>
  <c r="G1959" i="17"/>
  <c r="R123" i="11" s="1"/>
  <c r="I409" i="17"/>
  <c r="X73" i="11" s="1"/>
  <c r="O46" i="25" l="1"/>
  <c r="N46" i="25" s="1"/>
  <c r="Q46" i="25" s="1"/>
  <c r="H35" i="25"/>
  <c r="K35" i="25" s="1"/>
  <c r="I36" i="25" s="1"/>
  <c r="C44" i="25"/>
  <c r="B44" i="25" s="1"/>
  <c r="E44" i="25" s="1"/>
  <c r="L1843" i="17"/>
  <c r="J1849" i="17"/>
  <c r="J1866" i="17" s="1"/>
  <c r="AA120" i="11" s="1"/>
  <c r="L1905" i="17"/>
  <c r="J1911" i="17"/>
  <c r="J1928" i="17" s="1"/>
  <c r="AA122" i="11" s="1"/>
  <c r="L1471" i="17"/>
  <c r="J1477" i="17"/>
  <c r="J1494" i="17" s="1"/>
  <c r="AA108" i="11" s="1"/>
  <c r="L1595" i="17"/>
  <c r="J1601" i="17"/>
  <c r="J1618" i="17" s="1"/>
  <c r="AA112" i="11" s="1"/>
  <c r="L727" i="17"/>
  <c r="J733" i="17"/>
  <c r="L1254" i="17"/>
  <c r="J1260" i="17"/>
  <c r="J1277" i="17" s="1"/>
  <c r="AA101" i="11" s="1"/>
  <c r="L1347" i="17"/>
  <c r="J1353" i="17"/>
  <c r="J1370" i="17" s="1"/>
  <c r="AA104" i="11" s="1"/>
  <c r="L1223" i="17"/>
  <c r="J1229" i="17"/>
  <c r="J1246" i="17" s="1"/>
  <c r="AA100" i="11" s="1"/>
  <c r="L789" i="17"/>
  <c r="J795" i="17"/>
  <c r="J812" i="17" s="1"/>
  <c r="AA86" i="11" s="1"/>
  <c r="L324" i="17"/>
  <c r="J330" i="17"/>
  <c r="J347" i="17" s="1"/>
  <c r="AA71" i="11" s="1"/>
  <c r="L200" i="17"/>
  <c r="J206" i="17"/>
  <c r="J223" i="17" s="1"/>
  <c r="AA67" i="11" s="1"/>
  <c r="AA115" i="11"/>
  <c r="L1711" i="17"/>
  <c r="AA114" i="11"/>
  <c r="L1680" i="17"/>
  <c r="AA119" i="11"/>
  <c r="L1835" i="17"/>
  <c r="AA102" i="11"/>
  <c r="L1308" i="17"/>
  <c r="AA99" i="11"/>
  <c r="L1215" i="17"/>
  <c r="F76" i="11"/>
  <c r="F77" i="11"/>
  <c r="L77" i="11"/>
  <c r="L76" i="11"/>
  <c r="R77" i="11"/>
  <c r="R76" i="11"/>
  <c r="U77" i="11"/>
  <c r="U76" i="11"/>
  <c r="I76" i="11"/>
  <c r="I77" i="11"/>
  <c r="X76" i="11"/>
  <c r="X77" i="11"/>
  <c r="D142" i="11"/>
  <c r="E142" i="11" s="1"/>
  <c r="G142" i="11" s="1"/>
  <c r="H142" i="11" s="1"/>
  <c r="J142" i="11" s="1"/>
  <c r="K142" i="11" s="1"/>
  <c r="M142" i="11" s="1"/>
  <c r="N142" i="11" s="1"/>
  <c r="P142" i="11" s="1"/>
  <c r="Q142" i="11" s="1"/>
  <c r="S142" i="11" s="1"/>
  <c r="T142" i="11" s="1"/>
  <c r="V142" i="11" s="1"/>
  <c r="W142" i="11" s="1"/>
  <c r="Y142" i="11" s="1"/>
  <c r="Z142" i="11" s="1"/>
  <c r="AB142" i="11" s="1"/>
  <c r="D140" i="11"/>
  <c r="E140" i="11" s="1"/>
  <c r="G140" i="11" s="1"/>
  <c r="H140" i="11" s="1"/>
  <c r="J140" i="11" s="1"/>
  <c r="K140" i="11" s="1"/>
  <c r="M140" i="11" s="1"/>
  <c r="N140" i="11" s="1"/>
  <c r="P140" i="11" s="1"/>
  <c r="Q140" i="11" s="1"/>
  <c r="S140" i="11" s="1"/>
  <c r="T140" i="11" s="1"/>
  <c r="V140" i="11" s="1"/>
  <c r="W140" i="11" s="1"/>
  <c r="Y140" i="11" s="1"/>
  <c r="Z140" i="11" s="1"/>
  <c r="AB140" i="11" s="1"/>
  <c r="D132" i="11"/>
  <c r="E132" i="11" s="1"/>
  <c r="G132" i="11" s="1"/>
  <c r="H132" i="11" s="1"/>
  <c r="J132" i="11" s="1"/>
  <c r="K132" i="11" s="1"/>
  <c r="M132" i="11" s="1"/>
  <c r="N132" i="11" s="1"/>
  <c r="P132" i="11" s="1"/>
  <c r="Q132" i="11" s="1"/>
  <c r="S132" i="11" s="1"/>
  <c r="T132" i="11" s="1"/>
  <c r="V132" i="11" s="1"/>
  <c r="W132" i="11" s="1"/>
  <c r="Y132" i="11" s="1"/>
  <c r="Z132" i="11" s="1"/>
  <c r="AB132" i="11" s="1"/>
  <c r="D123" i="11"/>
  <c r="E123" i="11" s="1"/>
  <c r="G123" i="11" s="1"/>
  <c r="H123" i="11" s="1"/>
  <c r="J123" i="11" s="1"/>
  <c r="K123" i="11" s="1"/>
  <c r="M123" i="11" s="1"/>
  <c r="N123" i="11" s="1"/>
  <c r="P123" i="11" s="1"/>
  <c r="Q123" i="11" s="1"/>
  <c r="S123" i="11" s="1"/>
  <c r="T123" i="11" s="1"/>
  <c r="V123" i="11" s="1"/>
  <c r="W123" i="11" s="1"/>
  <c r="Y123" i="11" s="1"/>
  <c r="Z123" i="11" s="1"/>
  <c r="AB123" i="11" s="1"/>
  <c r="D122" i="11"/>
  <c r="E122" i="11" s="1"/>
  <c r="G122" i="11" s="1"/>
  <c r="H122" i="11" s="1"/>
  <c r="J122" i="11" s="1"/>
  <c r="K122" i="11" s="1"/>
  <c r="M122" i="11" s="1"/>
  <c r="N122" i="11" s="1"/>
  <c r="P122" i="11" s="1"/>
  <c r="Q122" i="11" s="1"/>
  <c r="S122" i="11" s="1"/>
  <c r="T122" i="11" s="1"/>
  <c r="V122" i="11" s="1"/>
  <c r="W122" i="11" s="1"/>
  <c r="Y122" i="11" s="1"/>
  <c r="Z122" i="11" s="1"/>
  <c r="D121" i="11"/>
  <c r="E121" i="11" s="1"/>
  <c r="G121" i="11" s="1"/>
  <c r="H121" i="11" s="1"/>
  <c r="J121" i="11" s="1"/>
  <c r="K121" i="11" s="1"/>
  <c r="M121" i="11" s="1"/>
  <c r="N121" i="11" s="1"/>
  <c r="P121" i="11" s="1"/>
  <c r="Q121" i="11" s="1"/>
  <c r="S121" i="11" s="1"/>
  <c r="T121" i="11" s="1"/>
  <c r="V121" i="11" s="1"/>
  <c r="W121" i="11" s="1"/>
  <c r="Y121" i="11" s="1"/>
  <c r="Z121" i="11" s="1"/>
  <c r="AB121" i="11" s="1"/>
  <c r="D120" i="11"/>
  <c r="E120" i="11" s="1"/>
  <c r="G120" i="11" s="1"/>
  <c r="H120" i="11" s="1"/>
  <c r="J120" i="11" s="1"/>
  <c r="K120" i="11" s="1"/>
  <c r="M120" i="11" s="1"/>
  <c r="N120" i="11" s="1"/>
  <c r="P120" i="11" s="1"/>
  <c r="Q120" i="11" s="1"/>
  <c r="S120" i="11" s="1"/>
  <c r="T120" i="11" s="1"/>
  <c r="V120" i="11" s="1"/>
  <c r="W120" i="11" s="1"/>
  <c r="Y120" i="11" s="1"/>
  <c r="Z120" i="11" s="1"/>
  <c r="AB120" i="11" s="1"/>
  <c r="D119" i="11"/>
  <c r="E119" i="11" s="1"/>
  <c r="G119" i="11" s="1"/>
  <c r="H119" i="11" s="1"/>
  <c r="J119" i="11" s="1"/>
  <c r="K119" i="11" s="1"/>
  <c r="M119" i="11" s="1"/>
  <c r="N119" i="11" s="1"/>
  <c r="P119" i="11" s="1"/>
  <c r="Q119" i="11" s="1"/>
  <c r="S119" i="11" s="1"/>
  <c r="T119" i="11" s="1"/>
  <c r="V119" i="11" s="1"/>
  <c r="W119" i="11" s="1"/>
  <c r="Y119" i="11" s="1"/>
  <c r="Z119" i="11" s="1"/>
  <c r="AB119" i="11" s="1"/>
  <c r="D118" i="11"/>
  <c r="E118" i="11" s="1"/>
  <c r="G118" i="11" s="1"/>
  <c r="H118" i="11" s="1"/>
  <c r="J118" i="11" s="1"/>
  <c r="K118" i="11" s="1"/>
  <c r="M118" i="11" s="1"/>
  <c r="N118" i="11" s="1"/>
  <c r="P118" i="11" s="1"/>
  <c r="Q118" i="11" s="1"/>
  <c r="S118" i="11" s="1"/>
  <c r="T118" i="11" s="1"/>
  <c r="V118" i="11" s="1"/>
  <c r="W118" i="11" s="1"/>
  <c r="Y118" i="11" s="1"/>
  <c r="Z118" i="11" s="1"/>
  <c r="AB118" i="11" s="1"/>
  <c r="D117" i="11"/>
  <c r="E117" i="11" s="1"/>
  <c r="G117" i="11" s="1"/>
  <c r="H117" i="11" s="1"/>
  <c r="J117" i="11" s="1"/>
  <c r="K117" i="11" s="1"/>
  <c r="M117" i="11" s="1"/>
  <c r="N117" i="11" s="1"/>
  <c r="P117" i="11" s="1"/>
  <c r="Q117" i="11" s="1"/>
  <c r="S117" i="11" s="1"/>
  <c r="T117" i="11" s="1"/>
  <c r="V117" i="11" s="1"/>
  <c r="W117" i="11" s="1"/>
  <c r="Y117" i="11" s="1"/>
  <c r="Z117" i="11" s="1"/>
  <c r="AB117" i="11" s="1"/>
  <c r="D116" i="11"/>
  <c r="E116" i="11" s="1"/>
  <c r="G116" i="11" s="1"/>
  <c r="H116" i="11" s="1"/>
  <c r="J116" i="11" s="1"/>
  <c r="K116" i="11" s="1"/>
  <c r="M116" i="11" s="1"/>
  <c r="N116" i="11" s="1"/>
  <c r="P116" i="11" s="1"/>
  <c r="Q116" i="11" s="1"/>
  <c r="S116" i="11" s="1"/>
  <c r="T116" i="11" s="1"/>
  <c r="V116" i="11" s="1"/>
  <c r="W116" i="11" s="1"/>
  <c r="Y116" i="11" s="1"/>
  <c r="Z116" i="11" s="1"/>
  <c r="AB116" i="11" s="1"/>
  <c r="D115" i="11"/>
  <c r="E115" i="11" s="1"/>
  <c r="G115" i="11" s="1"/>
  <c r="H115" i="11" s="1"/>
  <c r="J115" i="11" s="1"/>
  <c r="K115" i="11" s="1"/>
  <c r="M115" i="11" s="1"/>
  <c r="N115" i="11" s="1"/>
  <c r="P115" i="11" s="1"/>
  <c r="Q115" i="11" s="1"/>
  <c r="S115" i="11" s="1"/>
  <c r="T115" i="11" s="1"/>
  <c r="V115" i="11" s="1"/>
  <c r="W115" i="11" s="1"/>
  <c r="Y115" i="11" s="1"/>
  <c r="Z115" i="11" s="1"/>
  <c r="AB115" i="11" s="1"/>
  <c r="D114" i="11"/>
  <c r="E114" i="11" s="1"/>
  <c r="G114" i="11" s="1"/>
  <c r="H114" i="11" s="1"/>
  <c r="J114" i="11" s="1"/>
  <c r="K114" i="11" s="1"/>
  <c r="M114" i="11" s="1"/>
  <c r="N114" i="11" s="1"/>
  <c r="P114" i="11" s="1"/>
  <c r="Q114" i="11" s="1"/>
  <c r="S114" i="11" s="1"/>
  <c r="T114" i="11" s="1"/>
  <c r="V114" i="11" s="1"/>
  <c r="W114" i="11" s="1"/>
  <c r="Y114" i="11" s="1"/>
  <c r="Z114" i="11" s="1"/>
  <c r="AB114" i="11" s="1"/>
  <c r="D113" i="11"/>
  <c r="E113" i="11" s="1"/>
  <c r="G113" i="11" s="1"/>
  <c r="H113" i="11" s="1"/>
  <c r="J113" i="11" s="1"/>
  <c r="K113" i="11" s="1"/>
  <c r="M113" i="11" s="1"/>
  <c r="N113" i="11" s="1"/>
  <c r="P113" i="11" s="1"/>
  <c r="Q113" i="11" s="1"/>
  <c r="S113" i="11" s="1"/>
  <c r="T113" i="11" s="1"/>
  <c r="V113" i="11" s="1"/>
  <c r="W113" i="11" s="1"/>
  <c r="Y113" i="11" s="1"/>
  <c r="Z113" i="11" s="1"/>
  <c r="AB113" i="11" s="1"/>
  <c r="D112" i="11"/>
  <c r="E112" i="11" s="1"/>
  <c r="G112" i="11" s="1"/>
  <c r="H112" i="11" s="1"/>
  <c r="J112" i="11" s="1"/>
  <c r="K112" i="11" s="1"/>
  <c r="M112" i="11" s="1"/>
  <c r="N112" i="11" s="1"/>
  <c r="P112" i="11" s="1"/>
  <c r="Q112" i="11" s="1"/>
  <c r="S112" i="11" s="1"/>
  <c r="T112" i="11" s="1"/>
  <c r="V112" i="11" s="1"/>
  <c r="W112" i="11" s="1"/>
  <c r="Y112" i="11" s="1"/>
  <c r="Z112" i="11" s="1"/>
  <c r="D111" i="11"/>
  <c r="E111" i="11" s="1"/>
  <c r="G111" i="11" s="1"/>
  <c r="H111" i="11" s="1"/>
  <c r="J111" i="11" s="1"/>
  <c r="K111" i="11" s="1"/>
  <c r="M111" i="11" s="1"/>
  <c r="N111" i="11" s="1"/>
  <c r="P111" i="11" s="1"/>
  <c r="Q111" i="11" s="1"/>
  <c r="S111" i="11" s="1"/>
  <c r="T111" i="11" s="1"/>
  <c r="V111" i="11" s="1"/>
  <c r="W111" i="11" s="1"/>
  <c r="Y111" i="11" s="1"/>
  <c r="Z111" i="11" s="1"/>
  <c r="AB111" i="11" s="1"/>
  <c r="D110" i="11"/>
  <c r="E110" i="11" s="1"/>
  <c r="G110" i="11" s="1"/>
  <c r="H110" i="11" s="1"/>
  <c r="J110" i="11" s="1"/>
  <c r="K110" i="11" s="1"/>
  <c r="M110" i="11" s="1"/>
  <c r="N110" i="11" s="1"/>
  <c r="P110" i="11" s="1"/>
  <c r="Q110" i="11" s="1"/>
  <c r="S110" i="11" s="1"/>
  <c r="T110" i="11" s="1"/>
  <c r="V110" i="11" s="1"/>
  <c r="W110" i="11" s="1"/>
  <c r="Y110" i="11" s="1"/>
  <c r="Z110" i="11" s="1"/>
  <c r="AB110" i="11" s="1"/>
  <c r="D109" i="11"/>
  <c r="E109" i="11" s="1"/>
  <c r="G109" i="11" s="1"/>
  <c r="H109" i="11" s="1"/>
  <c r="J109" i="11" s="1"/>
  <c r="K109" i="11" s="1"/>
  <c r="M109" i="11" s="1"/>
  <c r="N109" i="11" s="1"/>
  <c r="P109" i="11" s="1"/>
  <c r="Q109" i="11" s="1"/>
  <c r="S109" i="11" s="1"/>
  <c r="T109" i="11" s="1"/>
  <c r="V109" i="11" s="1"/>
  <c r="W109" i="11" s="1"/>
  <c r="Y109" i="11" s="1"/>
  <c r="Z109" i="11" s="1"/>
  <c r="AB109" i="11" s="1"/>
  <c r="D108" i="11"/>
  <c r="E108" i="11" s="1"/>
  <c r="G108" i="11" s="1"/>
  <c r="H108" i="11" s="1"/>
  <c r="J108" i="11" s="1"/>
  <c r="K108" i="11" s="1"/>
  <c r="M108" i="11" s="1"/>
  <c r="N108" i="11" s="1"/>
  <c r="P108" i="11" s="1"/>
  <c r="Q108" i="11" s="1"/>
  <c r="S108" i="11" s="1"/>
  <c r="T108" i="11" s="1"/>
  <c r="V108" i="11" s="1"/>
  <c r="W108" i="11" s="1"/>
  <c r="Y108" i="11" s="1"/>
  <c r="Z108" i="11" s="1"/>
  <c r="AB108" i="11" s="1"/>
  <c r="D107" i="11"/>
  <c r="E107" i="11" s="1"/>
  <c r="G107" i="11" s="1"/>
  <c r="H107" i="11" s="1"/>
  <c r="J107" i="11" s="1"/>
  <c r="K107" i="11" s="1"/>
  <c r="M107" i="11" s="1"/>
  <c r="N107" i="11" s="1"/>
  <c r="P107" i="11" s="1"/>
  <c r="Q107" i="11" s="1"/>
  <c r="S107" i="11" s="1"/>
  <c r="T107" i="11" s="1"/>
  <c r="V107" i="11" s="1"/>
  <c r="W107" i="11" s="1"/>
  <c r="Y107" i="11" s="1"/>
  <c r="Z107" i="11" s="1"/>
  <c r="AB107" i="11" s="1"/>
  <c r="D106" i="11"/>
  <c r="E106" i="11" s="1"/>
  <c r="G106" i="11" s="1"/>
  <c r="H106" i="11" s="1"/>
  <c r="J106" i="11" s="1"/>
  <c r="K106" i="11" s="1"/>
  <c r="M106" i="11" s="1"/>
  <c r="N106" i="11" s="1"/>
  <c r="P106" i="11" s="1"/>
  <c r="Q106" i="11" s="1"/>
  <c r="S106" i="11" s="1"/>
  <c r="T106" i="11" s="1"/>
  <c r="V106" i="11" s="1"/>
  <c r="W106" i="11" s="1"/>
  <c r="Y106" i="11" s="1"/>
  <c r="Z106" i="11" s="1"/>
  <c r="AB106" i="11" s="1"/>
  <c r="D105" i="11"/>
  <c r="E105" i="11" s="1"/>
  <c r="G105" i="11" s="1"/>
  <c r="H105" i="11" s="1"/>
  <c r="J105" i="11" s="1"/>
  <c r="K105" i="11" s="1"/>
  <c r="M105" i="11" s="1"/>
  <c r="N105" i="11" s="1"/>
  <c r="P105" i="11" s="1"/>
  <c r="Q105" i="11" s="1"/>
  <c r="S105" i="11" s="1"/>
  <c r="T105" i="11" s="1"/>
  <c r="V105" i="11" s="1"/>
  <c r="W105" i="11" s="1"/>
  <c r="Y105" i="11" s="1"/>
  <c r="Z105" i="11" s="1"/>
  <c r="AB105" i="11" s="1"/>
  <c r="D104" i="11"/>
  <c r="E104" i="11" s="1"/>
  <c r="G104" i="11" s="1"/>
  <c r="H104" i="11" s="1"/>
  <c r="J104" i="11" s="1"/>
  <c r="K104" i="11" s="1"/>
  <c r="M104" i="11" s="1"/>
  <c r="N104" i="11" s="1"/>
  <c r="P104" i="11" s="1"/>
  <c r="Q104" i="11" s="1"/>
  <c r="S104" i="11" s="1"/>
  <c r="T104" i="11" s="1"/>
  <c r="V104" i="11" s="1"/>
  <c r="W104" i="11" s="1"/>
  <c r="Y104" i="11" s="1"/>
  <c r="Z104" i="11" s="1"/>
  <c r="D103" i="11"/>
  <c r="E103" i="11" s="1"/>
  <c r="G103" i="11" s="1"/>
  <c r="H103" i="11" s="1"/>
  <c r="J103" i="11" s="1"/>
  <c r="K103" i="11" s="1"/>
  <c r="M103" i="11" s="1"/>
  <c r="N103" i="11" s="1"/>
  <c r="P103" i="11" s="1"/>
  <c r="Q103" i="11" s="1"/>
  <c r="S103" i="11" s="1"/>
  <c r="T103" i="11" s="1"/>
  <c r="V103" i="11" s="1"/>
  <c r="W103" i="11" s="1"/>
  <c r="Y103" i="11" s="1"/>
  <c r="Z103" i="11" s="1"/>
  <c r="AB103" i="11" s="1"/>
  <c r="D102" i="11"/>
  <c r="E102" i="11" s="1"/>
  <c r="G102" i="11" s="1"/>
  <c r="H102" i="11" s="1"/>
  <c r="J102" i="11" s="1"/>
  <c r="K102" i="11" s="1"/>
  <c r="M102" i="11" s="1"/>
  <c r="N102" i="11" s="1"/>
  <c r="P102" i="11" s="1"/>
  <c r="Q102" i="11" s="1"/>
  <c r="S102" i="11" s="1"/>
  <c r="T102" i="11" s="1"/>
  <c r="V102" i="11" s="1"/>
  <c r="W102" i="11" s="1"/>
  <c r="Y102" i="11" s="1"/>
  <c r="Z102" i="11" s="1"/>
  <c r="AB102" i="11" s="1"/>
  <c r="D101" i="11"/>
  <c r="E101" i="11" s="1"/>
  <c r="G101" i="11" s="1"/>
  <c r="H101" i="11" s="1"/>
  <c r="J101" i="11" s="1"/>
  <c r="K101" i="11" s="1"/>
  <c r="M101" i="11" s="1"/>
  <c r="N101" i="11" s="1"/>
  <c r="P101" i="11" s="1"/>
  <c r="Q101" i="11" s="1"/>
  <c r="S101" i="11" s="1"/>
  <c r="T101" i="11" s="1"/>
  <c r="V101" i="11" s="1"/>
  <c r="W101" i="11" s="1"/>
  <c r="Y101" i="11" s="1"/>
  <c r="Z101" i="11" s="1"/>
  <c r="D100" i="11"/>
  <c r="E100" i="11" s="1"/>
  <c r="G100" i="11" s="1"/>
  <c r="H100" i="11" s="1"/>
  <c r="J100" i="11" s="1"/>
  <c r="K100" i="11" s="1"/>
  <c r="M100" i="11" s="1"/>
  <c r="N100" i="11" s="1"/>
  <c r="P100" i="11" s="1"/>
  <c r="Q100" i="11" s="1"/>
  <c r="S100" i="11" s="1"/>
  <c r="T100" i="11" s="1"/>
  <c r="V100" i="11" s="1"/>
  <c r="W100" i="11" s="1"/>
  <c r="Y100" i="11" s="1"/>
  <c r="Z100" i="11" s="1"/>
  <c r="D99" i="11"/>
  <c r="E99" i="11" s="1"/>
  <c r="G99" i="11" s="1"/>
  <c r="H99" i="11" s="1"/>
  <c r="J99" i="11" s="1"/>
  <c r="K99" i="11" s="1"/>
  <c r="M99" i="11" s="1"/>
  <c r="N99" i="11" s="1"/>
  <c r="P99" i="11" s="1"/>
  <c r="Q99" i="11" s="1"/>
  <c r="S99" i="11" s="1"/>
  <c r="T99" i="11" s="1"/>
  <c r="V99" i="11" s="1"/>
  <c r="W99" i="11" s="1"/>
  <c r="Y99" i="11" s="1"/>
  <c r="Z99" i="11" s="1"/>
  <c r="AB99" i="11" s="1"/>
  <c r="D98" i="11"/>
  <c r="E98" i="11" s="1"/>
  <c r="G98" i="11" s="1"/>
  <c r="H98" i="11" s="1"/>
  <c r="J98" i="11" s="1"/>
  <c r="K98" i="11" s="1"/>
  <c r="M98" i="11" s="1"/>
  <c r="N98" i="11" s="1"/>
  <c r="P98" i="11" s="1"/>
  <c r="Q98" i="11" s="1"/>
  <c r="S98" i="11" s="1"/>
  <c r="T98" i="11" s="1"/>
  <c r="V98" i="11" s="1"/>
  <c r="W98" i="11" s="1"/>
  <c r="Y98" i="11" s="1"/>
  <c r="Z98" i="11" s="1"/>
  <c r="AB98" i="11" s="1"/>
  <c r="D97" i="11"/>
  <c r="E97" i="11" s="1"/>
  <c r="G97" i="11" s="1"/>
  <c r="H97" i="11" s="1"/>
  <c r="J97" i="11" s="1"/>
  <c r="K97" i="11" s="1"/>
  <c r="M97" i="11" s="1"/>
  <c r="N97" i="11" s="1"/>
  <c r="P97" i="11" s="1"/>
  <c r="Q97" i="11" s="1"/>
  <c r="S97" i="11" s="1"/>
  <c r="T97" i="11" s="1"/>
  <c r="V97" i="11" s="1"/>
  <c r="W97" i="11" s="1"/>
  <c r="Y97" i="11" s="1"/>
  <c r="Z97" i="11" s="1"/>
  <c r="AB97" i="11" s="1"/>
  <c r="D96" i="11"/>
  <c r="E96" i="11" s="1"/>
  <c r="G96" i="11" s="1"/>
  <c r="H96" i="11" s="1"/>
  <c r="J96" i="11" s="1"/>
  <c r="K96" i="11" s="1"/>
  <c r="M96" i="11" s="1"/>
  <c r="N96" i="11" s="1"/>
  <c r="P96" i="11" s="1"/>
  <c r="Q96" i="11" s="1"/>
  <c r="S96" i="11" s="1"/>
  <c r="T96" i="11" s="1"/>
  <c r="V96" i="11" s="1"/>
  <c r="W96" i="11" s="1"/>
  <c r="Y96" i="11" s="1"/>
  <c r="Z96" i="11" s="1"/>
  <c r="AB96" i="11" s="1"/>
  <c r="D95" i="11"/>
  <c r="E95" i="11" s="1"/>
  <c r="G95" i="11" s="1"/>
  <c r="H95" i="11" s="1"/>
  <c r="J95" i="11" s="1"/>
  <c r="K95" i="11" s="1"/>
  <c r="M95" i="11" s="1"/>
  <c r="N95" i="11" s="1"/>
  <c r="P95" i="11" s="1"/>
  <c r="Q95" i="11" s="1"/>
  <c r="S95" i="11" s="1"/>
  <c r="T95" i="11" s="1"/>
  <c r="V95" i="11" s="1"/>
  <c r="W95" i="11" s="1"/>
  <c r="Y95" i="11" s="1"/>
  <c r="Z95" i="11" s="1"/>
  <c r="AB95" i="11" s="1"/>
  <c r="D94" i="11"/>
  <c r="E94" i="11" s="1"/>
  <c r="G94" i="11" s="1"/>
  <c r="H94" i="11" s="1"/>
  <c r="J94" i="11" s="1"/>
  <c r="K94" i="11" s="1"/>
  <c r="M94" i="11" s="1"/>
  <c r="N94" i="11" s="1"/>
  <c r="P94" i="11" s="1"/>
  <c r="Q94" i="11" s="1"/>
  <c r="S94" i="11" s="1"/>
  <c r="T94" i="11" s="1"/>
  <c r="V94" i="11" s="1"/>
  <c r="W94" i="11" s="1"/>
  <c r="Y94" i="11" s="1"/>
  <c r="Z94" i="11" s="1"/>
  <c r="AB94" i="11" s="1"/>
  <c r="D93" i="11"/>
  <c r="E93" i="11" s="1"/>
  <c r="G93" i="11" s="1"/>
  <c r="H93" i="11" s="1"/>
  <c r="J93" i="11" s="1"/>
  <c r="K93" i="11" s="1"/>
  <c r="M93" i="11" s="1"/>
  <c r="N93" i="11" s="1"/>
  <c r="P93" i="11" s="1"/>
  <c r="Q93" i="11" s="1"/>
  <c r="S93" i="11" s="1"/>
  <c r="T93" i="11" s="1"/>
  <c r="V93" i="11" s="1"/>
  <c r="W93" i="11" s="1"/>
  <c r="Y93" i="11" s="1"/>
  <c r="Z93" i="11" s="1"/>
  <c r="AB93" i="11" s="1"/>
  <c r="D92" i="11"/>
  <c r="E92" i="11" s="1"/>
  <c r="G92" i="11" s="1"/>
  <c r="H92" i="11" s="1"/>
  <c r="J92" i="11" s="1"/>
  <c r="K92" i="11" s="1"/>
  <c r="M92" i="11" s="1"/>
  <c r="N92" i="11" s="1"/>
  <c r="P92" i="11" s="1"/>
  <c r="Q92" i="11" s="1"/>
  <c r="S92" i="11" s="1"/>
  <c r="T92" i="11" s="1"/>
  <c r="V92" i="11" s="1"/>
  <c r="W92" i="11" s="1"/>
  <c r="Y92" i="11" s="1"/>
  <c r="Z92" i="11" s="1"/>
  <c r="AB92" i="11" s="1"/>
  <c r="D91" i="11"/>
  <c r="E91" i="11" s="1"/>
  <c r="G91" i="11" s="1"/>
  <c r="H91" i="11" s="1"/>
  <c r="J91" i="11" s="1"/>
  <c r="K91" i="11" s="1"/>
  <c r="M91" i="11" s="1"/>
  <c r="N91" i="11" s="1"/>
  <c r="P91" i="11" s="1"/>
  <c r="Q91" i="11" s="1"/>
  <c r="S91" i="11" s="1"/>
  <c r="T91" i="11" s="1"/>
  <c r="V91" i="11" s="1"/>
  <c r="W91" i="11" s="1"/>
  <c r="Y91" i="11" s="1"/>
  <c r="Z91" i="11" s="1"/>
  <c r="AB91" i="11" s="1"/>
  <c r="D90" i="11"/>
  <c r="E90" i="11" s="1"/>
  <c r="G90" i="11" s="1"/>
  <c r="H90" i="11" s="1"/>
  <c r="J90" i="11" s="1"/>
  <c r="K90" i="11" s="1"/>
  <c r="M90" i="11" s="1"/>
  <c r="N90" i="11" s="1"/>
  <c r="P90" i="11" s="1"/>
  <c r="Q90" i="11" s="1"/>
  <c r="S90" i="11" s="1"/>
  <c r="T90" i="11" s="1"/>
  <c r="V90" i="11" s="1"/>
  <c r="W90" i="11" s="1"/>
  <c r="Y90" i="11" s="1"/>
  <c r="Z90" i="11" s="1"/>
  <c r="AB90" i="11" s="1"/>
  <c r="D89" i="11"/>
  <c r="E89" i="11" s="1"/>
  <c r="G89" i="11" s="1"/>
  <c r="H89" i="11" s="1"/>
  <c r="J89" i="11" s="1"/>
  <c r="K89" i="11" s="1"/>
  <c r="M89" i="11" s="1"/>
  <c r="N89" i="11" s="1"/>
  <c r="P89" i="11" s="1"/>
  <c r="Q89" i="11" s="1"/>
  <c r="S89" i="11" s="1"/>
  <c r="T89" i="11" s="1"/>
  <c r="V89" i="11" s="1"/>
  <c r="W89" i="11" s="1"/>
  <c r="Y89" i="11" s="1"/>
  <c r="Z89" i="11" s="1"/>
  <c r="AB89" i="11" s="1"/>
  <c r="D88" i="11"/>
  <c r="E88" i="11" s="1"/>
  <c r="G88" i="11" s="1"/>
  <c r="H88" i="11" s="1"/>
  <c r="J88" i="11" s="1"/>
  <c r="K88" i="11" s="1"/>
  <c r="M88" i="11" s="1"/>
  <c r="N88" i="11" s="1"/>
  <c r="P88" i="11" s="1"/>
  <c r="Q88" i="11" s="1"/>
  <c r="S88" i="11" s="1"/>
  <c r="T88" i="11" s="1"/>
  <c r="V88" i="11" s="1"/>
  <c r="W88" i="11" s="1"/>
  <c r="Y88" i="11" s="1"/>
  <c r="Z88" i="11" s="1"/>
  <c r="AB88" i="11" s="1"/>
  <c r="D87" i="11"/>
  <c r="E87" i="11" s="1"/>
  <c r="G87" i="11" s="1"/>
  <c r="H87" i="11" s="1"/>
  <c r="J87" i="11" s="1"/>
  <c r="K87" i="11" s="1"/>
  <c r="M87" i="11" s="1"/>
  <c r="N87" i="11" s="1"/>
  <c r="P87" i="11" s="1"/>
  <c r="Q87" i="11" s="1"/>
  <c r="S87" i="11" s="1"/>
  <c r="T87" i="11" s="1"/>
  <c r="V87" i="11" s="1"/>
  <c r="W87" i="11" s="1"/>
  <c r="Y87" i="11" s="1"/>
  <c r="Z87" i="11" s="1"/>
  <c r="AB87" i="11" s="1"/>
  <c r="D86" i="11"/>
  <c r="E86" i="11" s="1"/>
  <c r="G86" i="11" s="1"/>
  <c r="H86" i="11" s="1"/>
  <c r="J86" i="11" s="1"/>
  <c r="K86" i="11" s="1"/>
  <c r="M86" i="11" s="1"/>
  <c r="N86" i="11" s="1"/>
  <c r="P86" i="11" s="1"/>
  <c r="Q86" i="11" s="1"/>
  <c r="S86" i="11" s="1"/>
  <c r="T86" i="11" s="1"/>
  <c r="V86" i="11" s="1"/>
  <c r="W86" i="11" s="1"/>
  <c r="Y86" i="11" s="1"/>
  <c r="Z86" i="11" s="1"/>
  <c r="AB86" i="11" s="1"/>
  <c r="D85" i="11"/>
  <c r="E85" i="11" s="1"/>
  <c r="G85" i="11" s="1"/>
  <c r="H85" i="11" s="1"/>
  <c r="J85" i="11" s="1"/>
  <c r="K85" i="11" s="1"/>
  <c r="M85" i="11" s="1"/>
  <c r="N85" i="11" s="1"/>
  <c r="P85" i="11" s="1"/>
  <c r="Q85" i="11" s="1"/>
  <c r="S85" i="11" s="1"/>
  <c r="T85" i="11" s="1"/>
  <c r="V85" i="11" s="1"/>
  <c r="W85" i="11" s="1"/>
  <c r="Y85" i="11" s="1"/>
  <c r="Z85" i="11" s="1"/>
  <c r="AB85" i="11" s="1"/>
  <c r="D84" i="11"/>
  <c r="E84" i="11" s="1"/>
  <c r="G84" i="11" s="1"/>
  <c r="H84" i="11" s="1"/>
  <c r="J84" i="11" s="1"/>
  <c r="K84" i="11" s="1"/>
  <c r="M84" i="11" s="1"/>
  <c r="N84" i="11" s="1"/>
  <c r="P84" i="11" s="1"/>
  <c r="Q84" i="11" s="1"/>
  <c r="S84" i="11" s="1"/>
  <c r="T84" i="11" s="1"/>
  <c r="V84" i="11" s="1"/>
  <c r="W84" i="11" s="1"/>
  <c r="Y84" i="11" s="1"/>
  <c r="Z84" i="11" s="1"/>
  <c r="D83" i="11"/>
  <c r="E83" i="11" s="1"/>
  <c r="G83" i="11" s="1"/>
  <c r="H83" i="11" s="1"/>
  <c r="J83" i="11" s="1"/>
  <c r="K83" i="11" s="1"/>
  <c r="M83" i="11" s="1"/>
  <c r="N83" i="11" s="1"/>
  <c r="P83" i="11" s="1"/>
  <c r="Q83" i="11" s="1"/>
  <c r="S83" i="11" s="1"/>
  <c r="T83" i="11" s="1"/>
  <c r="V83" i="11" s="1"/>
  <c r="W83" i="11" s="1"/>
  <c r="Y83" i="11" s="1"/>
  <c r="Z83" i="11" s="1"/>
  <c r="AB83" i="11" s="1"/>
  <c r="D82" i="11"/>
  <c r="E82" i="11" s="1"/>
  <c r="G82" i="11" s="1"/>
  <c r="H82" i="11" s="1"/>
  <c r="J82" i="11" s="1"/>
  <c r="K82" i="11" s="1"/>
  <c r="M82" i="11" s="1"/>
  <c r="N82" i="11" s="1"/>
  <c r="P82" i="11" s="1"/>
  <c r="Q82" i="11" s="1"/>
  <c r="S82" i="11" s="1"/>
  <c r="T82" i="11" s="1"/>
  <c r="V82" i="11" s="1"/>
  <c r="W82" i="11" s="1"/>
  <c r="Y82" i="11" s="1"/>
  <c r="Z82" i="11" s="1"/>
  <c r="AB82" i="11" s="1"/>
  <c r="D81" i="11"/>
  <c r="E81" i="11" s="1"/>
  <c r="G81" i="11" s="1"/>
  <c r="H81" i="11" s="1"/>
  <c r="J81" i="11" s="1"/>
  <c r="K81" i="11" s="1"/>
  <c r="M81" i="11" s="1"/>
  <c r="N81" i="11" s="1"/>
  <c r="P81" i="11" s="1"/>
  <c r="Q81" i="11" s="1"/>
  <c r="S81" i="11" s="1"/>
  <c r="T81" i="11" s="1"/>
  <c r="V81" i="11" s="1"/>
  <c r="W81" i="11" s="1"/>
  <c r="Y81" i="11" s="1"/>
  <c r="Z81" i="11" s="1"/>
  <c r="AB81" i="11" s="1"/>
  <c r="D80" i="11"/>
  <c r="E80" i="11" s="1"/>
  <c r="G80" i="11" s="1"/>
  <c r="H80" i="11" s="1"/>
  <c r="J80" i="11" s="1"/>
  <c r="K80" i="11" s="1"/>
  <c r="M80" i="11" s="1"/>
  <c r="N80" i="11" s="1"/>
  <c r="P80" i="11" s="1"/>
  <c r="Q80" i="11" s="1"/>
  <c r="S80" i="11" s="1"/>
  <c r="T80" i="11" s="1"/>
  <c r="V80" i="11" s="1"/>
  <c r="W80" i="11" s="1"/>
  <c r="Y80" i="11" s="1"/>
  <c r="Z80" i="11" s="1"/>
  <c r="AB80" i="11" s="1"/>
  <c r="D79" i="11"/>
  <c r="E79" i="11" s="1"/>
  <c r="G79" i="11" s="1"/>
  <c r="H79" i="11" s="1"/>
  <c r="J79" i="11" s="1"/>
  <c r="K79" i="11" s="1"/>
  <c r="M79" i="11" s="1"/>
  <c r="N79" i="11" s="1"/>
  <c r="P79" i="11" s="1"/>
  <c r="Q79" i="11" s="1"/>
  <c r="S79" i="11" s="1"/>
  <c r="T79" i="11" s="1"/>
  <c r="V79" i="11" s="1"/>
  <c r="W79" i="11" s="1"/>
  <c r="Y79" i="11" s="1"/>
  <c r="Z79" i="11" s="1"/>
  <c r="AB79" i="11" s="1"/>
  <c r="D78" i="11"/>
  <c r="E78" i="11" s="1"/>
  <c r="G78" i="11" s="1"/>
  <c r="H78" i="11" s="1"/>
  <c r="J78" i="11" s="1"/>
  <c r="K78" i="11" s="1"/>
  <c r="M78" i="11" s="1"/>
  <c r="N78" i="11" s="1"/>
  <c r="P78" i="11" s="1"/>
  <c r="Q78" i="11" s="1"/>
  <c r="S78" i="11" s="1"/>
  <c r="T78" i="11" s="1"/>
  <c r="V78" i="11" s="1"/>
  <c r="W78" i="11" s="1"/>
  <c r="Y78" i="11" s="1"/>
  <c r="Z78" i="11" s="1"/>
  <c r="AB78" i="11" s="1"/>
  <c r="D77" i="11"/>
  <c r="E77" i="11" s="1"/>
  <c r="G77" i="11" s="1"/>
  <c r="H77" i="11" s="1"/>
  <c r="J77" i="11" s="1"/>
  <c r="K77" i="11" s="1"/>
  <c r="D76" i="11"/>
  <c r="E76" i="11" s="1"/>
  <c r="G76" i="11" s="1"/>
  <c r="H76" i="11" s="1"/>
  <c r="J76" i="11" s="1"/>
  <c r="K76" i="11" s="1"/>
  <c r="D75" i="11"/>
  <c r="E75" i="11" s="1"/>
  <c r="G75" i="11" s="1"/>
  <c r="H75" i="11" s="1"/>
  <c r="J75" i="11" s="1"/>
  <c r="K75" i="11" s="1"/>
  <c r="M75" i="11" s="1"/>
  <c r="N75" i="11" s="1"/>
  <c r="P75" i="11" s="1"/>
  <c r="Q75" i="11" s="1"/>
  <c r="S75" i="11" s="1"/>
  <c r="T75" i="11" s="1"/>
  <c r="V75" i="11" s="1"/>
  <c r="W75" i="11" s="1"/>
  <c r="Y75" i="11" s="1"/>
  <c r="Z75" i="11" s="1"/>
  <c r="AB75" i="11" s="1"/>
  <c r="D74" i="11"/>
  <c r="E74" i="11" s="1"/>
  <c r="G74" i="11" s="1"/>
  <c r="H74" i="11" s="1"/>
  <c r="J74" i="11" s="1"/>
  <c r="K74" i="11" s="1"/>
  <c r="M74" i="11" s="1"/>
  <c r="N74" i="11" s="1"/>
  <c r="P74" i="11" s="1"/>
  <c r="Q74" i="11" s="1"/>
  <c r="S74" i="11" s="1"/>
  <c r="T74" i="11" s="1"/>
  <c r="V74" i="11" s="1"/>
  <c r="W74" i="11" s="1"/>
  <c r="Y74" i="11" s="1"/>
  <c r="Z74" i="11" s="1"/>
  <c r="AB74" i="11" s="1"/>
  <c r="D73" i="11"/>
  <c r="E73" i="11" s="1"/>
  <c r="G73" i="11" s="1"/>
  <c r="H73" i="11" s="1"/>
  <c r="J73" i="11" s="1"/>
  <c r="K73" i="11" s="1"/>
  <c r="M73" i="11" s="1"/>
  <c r="N73" i="11" s="1"/>
  <c r="P73" i="11" s="1"/>
  <c r="Q73" i="11" s="1"/>
  <c r="S73" i="11" s="1"/>
  <c r="T73" i="11" s="1"/>
  <c r="V73" i="11" s="1"/>
  <c r="W73" i="11" s="1"/>
  <c r="Y73" i="11" s="1"/>
  <c r="Z73" i="11" s="1"/>
  <c r="AB73" i="11" s="1"/>
  <c r="D72" i="11"/>
  <c r="E72" i="11" s="1"/>
  <c r="G72" i="11" s="1"/>
  <c r="H72" i="11" s="1"/>
  <c r="J72" i="11" s="1"/>
  <c r="K72" i="11" s="1"/>
  <c r="M72" i="11" s="1"/>
  <c r="N72" i="11" s="1"/>
  <c r="P72" i="11" s="1"/>
  <c r="Q72" i="11" s="1"/>
  <c r="S72" i="11" s="1"/>
  <c r="T72" i="11" s="1"/>
  <c r="V72" i="11" s="1"/>
  <c r="W72" i="11" s="1"/>
  <c r="Y72" i="11" s="1"/>
  <c r="Z72" i="11" s="1"/>
  <c r="AB72" i="11" s="1"/>
  <c r="D71" i="11"/>
  <c r="E71" i="11" s="1"/>
  <c r="G71" i="11" s="1"/>
  <c r="H71" i="11" s="1"/>
  <c r="J71" i="11" s="1"/>
  <c r="K71" i="11" s="1"/>
  <c r="M71" i="11" s="1"/>
  <c r="N71" i="11" s="1"/>
  <c r="P71" i="11" s="1"/>
  <c r="Q71" i="11" s="1"/>
  <c r="S71" i="11" s="1"/>
  <c r="T71" i="11" s="1"/>
  <c r="V71" i="11" s="1"/>
  <c r="W71" i="11" s="1"/>
  <c r="Y71" i="11" s="1"/>
  <c r="Z71" i="11" s="1"/>
  <c r="AB71" i="11" s="1"/>
  <c r="D70" i="11"/>
  <c r="E70" i="11" s="1"/>
  <c r="G70" i="11" s="1"/>
  <c r="H70" i="11" s="1"/>
  <c r="J70" i="11" s="1"/>
  <c r="K70" i="11" s="1"/>
  <c r="M70" i="11" s="1"/>
  <c r="N70" i="11" s="1"/>
  <c r="P70" i="11" s="1"/>
  <c r="Q70" i="11" s="1"/>
  <c r="S70" i="11" s="1"/>
  <c r="T70" i="11" s="1"/>
  <c r="V70" i="11" s="1"/>
  <c r="W70" i="11" s="1"/>
  <c r="Y70" i="11" s="1"/>
  <c r="Z70" i="11" s="1"/>
  <c r="AB70" i="11" s="1"/>
  <c r="D69" i="11"/>
  <c r="E69" i="11" s="1"/>
  <c r="G69" i="11" s="1"/>
  <c r="H69" i="11" s="1"/>
  <c r="J69" i="11" s="1"/>
  <c r="K69" i="11" s="1"/>
  <c r="M69" i="11" s="1"/>
  <c r="N69" i="11" s="1"/>
  <c r="P69" i="11" s="1"/>
  <c r="Q69" i="11" s="1"/>
  <c r="S69" i="11" s="1"/>
  <c r="T69" i="11" s="1"/>
  <c r="V69" i="11" s="1"/>
  <c r="W69" i="11" s="1"/>
  <c r="Y69" i="11" s="1"/>
  <c r="Z69" i="11" s="1"/>
  <c r="AB69" i="11" s="1"/>
  <c r="D68" i="11"/>
  <c r="E68" i="11" s="1"/>
  <c r="G68" i="11" s="1"/>
  <c r="H68" i="11" s="1"/>
  <c r="J68" i="11" s="1"/>
  <c r="K68" i="11" s="1"/>
  <c r="M68" i="11" s="1"/>
  <c r="N68" i="11" s="1"/>
  <c r="P68" i="11" s="1"/>
  <c r="Q68" i="11" s="1"/>
  <c r="S68" i="11" s="1"/>
  <c r="T68" i="11" s="1"/>
  <c r="V68" i="11" s="1"/>
  <c r="W68" i="11" s="1"/>
  <c r="Y68" i="11" s="1"/>
  <c r="Z68" i="11" s="1"/>
  <c r="AB68" i="11" s="1"/>
  <c r="D67" i="11"/>
  <c r="E67" i="11" s="1"/>
  <c r="G67" i="11" s="1"/>
  <c r="H67" i="11" s="1"/>
  <c r="J67" i="11" s="1"/>
  <c r="K67" i="11" s="1"/>
  <c r="M67" i="11" s="1"/>
  <c r="N67" i="11" s="1"/>
  <c r="P67" i="11" s="1"/>
  <c r="Q67" i="11" s="1"/>
  <c r="S67" i="11" s="1"/>
  <c r="T67" i="11" s="1"/>
  <c r="V67" i="11" s="1"/>
  <c r="W67" i="11" s="1"/>
  <c r="Y67" i="11" s="1"/>
  <c r="Z67" i="11" s="1"/>
  <c r="AB67" i="11" s="1"/>
  <c r="D66" i="11"/>
  <c r="E66" i="11" s="1"/>
  <c r="G66" i="11" s="1"/>
  <c r="H66" i="11" s="1"/>
  <c r="J66" i="11" s="1"/>
  <c r="K66" i="11" s="1"/>
  <c r="M66" i="11" s="1"/>
  <c r="N66" i="11" s="1"/>
  <c r="P66" i="11" s="1"/>
  <c r="Q66" i="11" s="1"/>
  <c r="S66" i="11" s="1"/>
  <c r="T66" i="11" s="1"/>
  <c r="V66" i="11" s="1"/>
  <c r="W66" i="11" s="1"/>
  <c r="Y66" i="11" s="1"/>
  <c r="Z66" i="11" s="1"/>
  <c r="AB66" i="11" s="1"/>
  <c r="D65" i="11"/>
  <c r="E65" i="11" s="1"/>
  <c r="G65" i="11" s="1"/>
  <c r="H65" i="11" s="1"/>
  <c r="J65" i="11" s="1"/>
  <c r="K65" i="11" s="1"/>
  <c r="M65" i="11" s="1"/>
  <c r="N65" i="11" s="1"/>
  <c r="P65" i="11" s="1"/>
  <c r="Q65" i="11" s="1"/>
  <c r="S65" i="11" s="1"/>
  <c r="T65" i="11" s="1"/>
  <c r="V65" i="11" s="1"/>
  <c r="W65" i="11" s="1"/>
  <c r="Y65" i="11" s="1"/>
  <c r="Z65" i="11" s="1"/>
  <c r="AB65" i="11" s="1"/>
  <c r="D64" i="11"/>
  <c r="E64" i="11" s="1"/>
  <c r="G64" i="11" s="1"/>
  <c r="H64" i="11" s="1"/>
  <c r="J64" i="11" s="1"/>
  <c r="K64" i="11" s="1"/>
  <c r="M64" i="11" s="1"/>
  <c r="N64" i="11" s="1"/>
  <c r="P64" i="11" s="1"/>
  <c r="Q64" i="11" s="1"/>
  <c r="S64" i="11" s="1"/>
  <c r="T64" i="11" s="1"/>
  <c r="V64" i="11" s="1"/>
  <c r="W64" i="11" s="1"/>
  <c r="Y64" i="11" s="1"/>
  <c r="Z64" i="11" s="1"/>
  <c r="AB64" i="11" s="1"/>
  <c r="D62" i="11"/>
  <c r="E62" i="11" s="1"/>
  <c r="G62" i="11" s="1"/>
  <c r="H62" i="11" s="1"/>
  <c r="J62" i="11" s="1"/>
  <c r="K62" i="11" s="1"/>
  <c r="M62" i="11" s="1"/>
  <c r="N62" i="11" s="1"/>
  <c r="P62" i="11" s="1"/>
  <c r="Q62" i="11" s="1"/>
  <c r="S62" i="11" s="1"/>
  <c r="T62" i="11" s="1"/>
  <c r="V62" i="11" s="1"/>
  <c r="W62" i="11" s="1"/>
  <c r="Y62" i="11" s="1"/>
  <c r="Z62" i="11" s="1"/>
  <c r="AB62" i="11" s="1"/>
  <c r="D55" i="11"/>
  <c r="E55" i="11" s="1"/>
  <c r="G55" i="11" s="1"/>
  <c r="H55" i="11" s="1"/>
  <c r="J55" i="11" s="1"/>
  <c r="K55" i="11" s="1"/>
  <c r="M55" i="11" s="1"/>
  <c r="N55" i="11" s="1"/>
  <c r="P55" i="11" s="1"/>
  <c r="Q55" i="11" s="1"/>
  <c r="S55" i="11" s="1"/>
  <c r="T55" i="11" s="1"/>
  <c r="V55" i="11" s="1"/>
  <c r="W55" i="11" s="1"/>
  <c r="Y55" i="11" s="1"/>
  <c r="Z55" i="11" s="1"/>
  <c r="AB55" i="11" s="1"/>
  <c r="D54" i="11"/>
  <c r="E54" i="11" s="1"/>
  <c r="G54" i="11" s="1"/>
  <c r="H54" i="11" s="1"/>
  <c r="J54" i="11" s="1"/>
  <c r="K54" i="11" s="1"/>
  <c r="M54" i="11" s="1"/>
  <c r="N54" i="11" s="1"/>
  <c r="P54" i="11" s="1"/>
  <c r="Q54" i="11" s="1"/>
  <c r="S54" i="11" s="1"/>
  <c r="T54" i="11" s="1"/>
  <c r="V54" i="11" s="1"/>
  <c r="W54" i="11" s="1"/>
  <c r="Y54" i="11" s="1"/>
  <c r="Z54" i="11" s="1"/>
  <c r="AB54" i="11" s="1"/>
  <c r="D53" i="11"/>
  <c r="E53" i="11" s="1"/>
  <c r="G53" i="11" s="1"/>
  <c r="H53" i="11" s="1"/>
  <c r="J53" i="11" s="1"/>
  <c r="K53" i="11" s="1"/>
  <c r="M53" i="11" s="1"/>
  <c r="N53" i="11" s="1"/>
  <c r="P53" i="11" s="1"/>
  <c r="Q53" i="11" s="1"/>
  <c r="S53" i="11" s="1"/>
  <c r="T53" i="11" s="1"/>
  <c r="V53" i="11" s="1"/>
  <c r="W53" i="11" s="1"/>
  <c r="Y53" i="11" s="1"/>
  <c r="Z53" i="11" s="1"/>
  <c r="AB53" i="11" s="1"/>
  <c r="D52" i="11"/>
  <c r="E52" i="11" s="1"/>
  <c r="G52" i="11" s="1"/>
  <c r="H52" i="11" s="1"/>
  <c r="J52" i="11" s="1"/>
  <c r="K52" i="11" s="1"/>
  <c r="M52" i="11" s="1"/>
  <c r="N52" i="11" s="1"/>
  <c r="P52" i="11" s="1"/>
  <c r="Q52" i="11" s="1"/>
  <c r="S52" i="11" s="1"/>
  <c r="T52" i="11" s="1"/>
  <c r="V52" i="11" s="1"/>
  <c r="W52" i="11" s="1"/>
  <c r="Y52" i="11" s="1"/>
  <c r="Z52" i="11" s="1"/>
  <c r="AB52" i="11" s="1"/>
  <c r="D51" i="11"/>
  <c r="E51" i="11" s="1"/>
  <c r="G51" i="11" s="1"/>
  <c r="H51" i="11" s="1"/>
  <c r="J51" i="11" s="1"/>
  <c r="K51" i="11" s="1"/>
  <c r="M51" i="11" s="1"/>
  <c r="N51" i="11" s="1"/>
  <c r="P51" i="11" s="1"/>
  <c r="Q51" i="11" s="1"/>
  <c r="S51" i="11" s="1"/>
  <c r="T51" i="11" s="1"/>
  <c r="V51" i="11" s="1"/>
  <c r="W51" i="11" s="1"/>
  <c r="Y51" i="11" s="1"/>
  <c r="Z51" i="11" s="1"/>
  <c r="AB51" i="11" s="1"/>
  <c r="D50" i="11"/>
  <c r="E50" i="11" s="1"/>
  <c r="G50" i="11" s="1"/>
  <c r="H50" i="11" s="1"/>
  <c r="J50" i="11" s="1"/>
  <c r="K50" i="11" s="1"/>
  <c r="M50" i="11" s="1"/>
  <c r="N50" i="11" s="1"/>
  <c r="P50" i="11" s="1"/>
  <c r="Q50" i="11" s="1"/>
  <c r="S50" i="11" s="1"/>
  <c r="T50" i="11" s="1"/>
  <c r="V50" i="11" s="1"/>
  <c r="W50" i="11" s="1"/>
  <c r="Y50" i="11" s="1"/>
  <c r="Z50" i="11" s="1"/>
  <c r="AB50" i="11" s="1"/>
  <c r="D49" i="11"/>
  <c r="E49" i="11" s="1"/>
  <c r="G49" i="11" s="1"/>
  <c r="H49" i="11" s="1"/>
  <c r="J49" i="11" s="1"/>
  <c r="K49" i="11" s="1"/>
  <c r="M49" i="11" s="1"/>
  <c r="N49" i="11" s="1"/>
  <c r="P49" i="11" s="1"/>
  <c r="Q49" i="11" s="1"/>
  <c r="S49" i="11" s="1"/>
  <c r="T49" i="11" s="1"/>
  <c r="V49" i="11" s="1"/>
  <c r="W49" i="11" s="1"/>
  <c r="Y49" i="11" s="1"/>
  <c r="Z49" i="11" s="1"/>
  <c r="AB49" i="11" s="1"/>
  <c r="D48" i="11"/>
  <c r="E48" i="11" s="1"/>
  <c r="G48" i="11" s="1"/>
  <c r="H48" i="11" s="1"/>
  <c r="J48" i="11" s="1"/>
  <c r="K48" i="11" s="1"/>
  <c r="M48" i="11" s="1"/>
  <c r="N48" i="11" s="1"/>
  <c r="P48" i="11" s="1"/>
  <c r="Q48" i="11" s="1"/>
  <c r="S48" i="11" s="1"/>
  <c r="T48" i="11" s="1"/>
  <c r="V48" i="11" s="1"/>
  <c r="W48" i="11" s="1"/>
  <c r="Y48" i="11" s="1"/>
  <c r="Z48" i="11" s="1"/>
  <c r="AB48" i="11" s="1"/>
  <c r="D47" i="11"/>
  <c r="E47" i="11" s="1"/>
  <c r="G47" i="11" s="1"/>
  <c r="H47" i="11" s="1"/>
  <c r="J47" i="11" s="1"/>
  <c r="K47" i="11" s="1"/>
  <c r="M47" i="11" s="1"/>
  <c r="N47" i="11" s="1"/>
  <c r="P47" i="11" s="1"/>
  <c r="Q47" i="11" s="1"/>
  <c r="S47" i="11" s="1"/>
  <c r="T47" i="11" s="1"/>
  <c r="V47" i="11" s="1"/>
  <c r="W47" i="11" s="1"/>
  <c r="Y47" i="11" s="1"/>
  <c r="Z47" i="11" s="1"/>
  <c r="AB47" i="11" s="1"/>
  <c r="D46" i="11"/>
  <c r="E46" i="11" s="1"/>
  <c r="G46" i="11" s="1"/>
  <c r="H46" i="11" s="1"/>
  <c r="J46" i="11" s="1"/>
  <c r="K46" i="11" s="1"/>
  <c r="M46" i="11" s="1"/>
  <c r="N46" i="11" s="1"/>
  <c r="P46" i="11" s="1"/>
  <c r="Q46" i="11" s="1"/>
  <c r="S46" i="11" s="1"/>
  <c r="T46" i="11" s="1"/>
  <c r="V46" i="11" s="1"/>
  <c r="W46" i="11" s="1"/>
  <c r="Y46" i="11" s="1"/>
  <c r="Z46" i="11" s="1"/>
  <c r="AB46" i="11" s="1"/>
  <c r="D45" i="11"/>
  <c r="E45" i="11" s="1"/>
  <c r="G45" i="11" s="1"/>
  <c r="H45" i="11" s="1"/>
  <c r="J45" i="11" s="1"/>
  <c r="K45" i="11" s="1"/>
  <c r="M45" i="11" s="1"/>
  <c r="N45" i="11" s="1"/>
  <c r="P45" i="11" s="1"/>
  <c r="Q45" i="11" s="1"/>
  <c r="S45" i="11" s="1"/>
  <c r="T45" i="11" s="1"/>
  <c r="V45" i="11" s="1"/>
  <c r="W45" i="11" s="1"/>
  <c r="Y45" i="11" s="1"/>
  <c r="Z45" i="11" s="1"/>
  <c r="AB45" i="11" s="1"/>
  <c r="D44" i="11"/>
  <c r="E44" i="11" s="1"/>
  <c r="G44" i="11" s="1"/>
  <c r="H44" i="11" s="1"/>
  <c r="J44" i="11" s="1"/>
  <c r="K44" i="11" s="1"/>
  <c r="M44" i="11" s="1"/>
  <c r="N44" i="11" s="1"/>
  <c r="P44" i="11" s="1"/>
  <c r="Q44" i="11" s="1"/>
  <c r="S44" i="11" s="1"/>
  <c r="T44" i="11" s="1"/>
  <c r="V44" i="11" s="1"/>
  <c r="W44" i="11" s="1"/>
  <c r="Y44" i="11" s="1"/>
  <c r="Z44" i="11" s="1"/>
  <c r="AB44" i="11" s="1"/>
  <c r="D43" i="11"/>
  <c r="E43" i="11" s="1"/>
  <c r="G43" i="11" s="1"/>
  <c r="H43" i="11" s="1"/>
  <c r="J43" i="11" s="1"/>
  <c r="K43" i="11" s="1"/>
  <c r="M43" i="11" s="1"/>
  <c r="N43" i="11" s="1"/>
  <c r="P43" i="11" s="1"/>
  <c r="Q43" i="11" s="1"/>
  <c r="S43" i="11" s="1"/>
  <c r="T43" i="11" s="1"/>
  <c r="V43" i="11" s="1"/>
  <c r="W43" i="11" s="1"/>
  <c r="Y43" i="11" s="1"/>
  <c r="Z43" i="11" s="1"/>
  <c r="AB43" i="11" s="1"/>
  <c r="D41" i="11"/>
  <c r="E41" i="11" s="1"/>
  <c r="G41" i="11" s="1"/>
  <c r="H41" i="11" s="1"/>
  <c r="J41" i="11" s="1"/>
  <c r="K41" i="11" s="1"/>
  <c r="M41" i="11" s="1"/>
  <c r="N41" i="11" s="1"/>
  <c r="P41" i="11" s="1"/>
  <c r="Q41" i="11" s="1"/>
  <c r="S41" i="11" s="1"/>
  <c r="T41" i="11" s="1"/>
  <c r="V41" i="11" s="1"/>
  <c r="W41" i="11" s="1"/>
  <c r="Y41" i="11" s="1"/>
  <c r="Z41" i="11" s="1"/>
  <c r="AB41" i="11" s="1"/>
  <c r="D40" i="11"/>
  <c r="E40" i="11" s="1"/>
  <c r="G40" i="11" s="1"/>
  <c r="H40" i="11" s="1"/>
  <c r="J40" i="11" s="1"/>
  <c r="K40" i="11" s="1"/>
  <c r="M40" i="11" s="1"/>
  <c r="N40" i="11" s="1"/>
  <c r="P40" i="11" s="1"/>
  <c r="Q40" i="11" s="1"/>
  <c r="S40" i="11" s="1"/>
  <c r="T40" i="11" s="1"/>
  <c r="V40" i="11" s="1"/>
  <c r="W40" i="11" s="1"/>
  <c r="Y40" i="11" s="1"/>
  <c r="Z40" i="11" s="1"/>
  <c r="AB40" i="11" s="1"/>
  <c r="D39" i="11"/>
  <c r="E39" i="11" s="1"/>
  <c r="G39" i="11" s="1"/>
  <c r="H39" i="11" s="1"/>
  <c r="J39" i="11" s="1"/>
  <c r="K39" i="11" s="1"/>
  <c r="M39" i="11" s="1"/>
  <c r="N39" i="11" s="1"/>
  <c r="P39" i="11" s="1"/>
  <c r="Q39" i="11" s="1"/>
  <c r="S39" i="11" s="1"/>
  <c r="T39" i="11" s="1"/>
  <c r="V39" i="11" s="1"/>
  <c r="W39" i="11" s="1"/>
  <c r="Y39" i="11" s="1"/>
  <c r="Z39" i="11" s="1"/>
  <c r="AB39" i="11" s="1"/>
  <c r="D38" i="11"/>
  <c r="E38" i="11" s="1"/>
  <c r="G38" i="11" s="1"/>
  <c r="H38" i="11" s="1"/>
  <c r="J38" i="11" s="1"/>
  <c r="K38" i="11" s="1"/>
  <c r="M38" i="11" s="1"/>
  <c r="N38" i="11" s="1"/>
  <c r="P38" i="11" s="1"/>
  <c r="Q38" i="11" s="1"/>
  <c r="S38" i="11" s="1"/>
  <c r="T38" i="11" s="1"/>
  <c r="V38" i="11" s="1"/>
  <c r="W38" i="11" s="1"/>
  <c r="Y38" i="11" s="1"/>
  <c r="Z38" i="11" s="1"/>
  <c r="AB38" i="11" s="1"/>
  <c r="D37" i="11"/>
  <c r="E37" i="11" s="1"/>
  <c r="G37" i="11" s="1"/>
  <c r="H37" i="11" s="1"/>
  <c r="J37" i="11" s="1"/>
  <c r="K37" i="11" s="1"/>
  <c r="M37" i="11" s="1"/>
  <c r="N37" i="11" s="1"/>
  <c r="P37" i="11" s="1"/>
  <c r="Q37" i="11" s="1"/>
  <c r="S37" i="11" s="1"/>
  <c r="T37" i="11" s="1"/>
  <c r="V37" i="11" s="1"/>
  <c r="W37" i="11" s="1"/>
  <c r="Y37" i="11" s="1"/>
  <c r="Z37" i="11" s="1"/>
  <c r="AB37" i="11" s="1"/>
  <c r="D36" i="11"/>
  <c r="E36" i="11" s="1"/>
  <c r="G36" i="11" s="1"/>
  <c r="H36" i="11" s="1"/>
  <c r="J36" i="11" s="1"/>
  <c r="K36" i="11" s="1"/>
  <c r="M36" i="11" s="1"/>
  <c r="N36" i="11" s="1"/>
  <c r="P36" i="11" s="1"/>
  <c r="Q36" i="11" s="1"/>
  <c r="S36" i="11" s="1"/>
  <c r="T36" i="11" s="1"/>
  <c r="V36" i="11" s="1"/>
  <c r="W36" i="11" s="1"/>
  <c r="Y36" i="11" s="1"/>
  <c r="Z36" i="11" s="1"/>
  <c r="AB36" i="11" s="1"/>
  <c r="D35" i="11"/>
  <c r="E35" i="11" s="1"/>
  <c r="G35" i="11" s="1"/>
  <c r="H35" i="11" s="1"/>
  <c r="J35" i="11" s="1"/>
  <c r="K35" i="11" s="1"/>
  <c r="M35" i="11" s="1"/>
  <c r="N35" i="11" s="1"/>
  <c r="P35" i="11" s="1"/>
  <c r="Q35" i="11" s="1"/>
  <c r="S35" i="11" s="1"/>
  <c r="T35" i="11" s="1"/>
  <c r="V35" i="11" s="1"/>
  <c r="W35" i="11" s="1"/>
  <c r="Y35" i="11" s="1"/>
  <c r="Z35" i="11" s="1"/>
  <c r="AB35" i="11" s="1"/>
  <c r="D34" i="11"/>
  <c r="E34" i="11" s="1"/>
  <c r="G34" i="11" s="1"/>
  <c r="H34" i="11" s="1"/>
  <c r="J34" i="11" s="1"/>
  <c r="K34" i="11" s="1"/>
  <c r="M34" i="11" s="1"/>
  <c r="N34" i="11" s="1"/>
  <c r="P34" i="11" s="1"/>
  <c r="Q34" i="11" s="1"/>
  <c r="S34" i="11" s="1"/>
  <c r="T34" i="11" s="1"/>
  <c r="V34" i="11" s="1"/>
  <c r="W34" i="11" s="1"/>
  <c r="Y34" i="11" s="1"/>
  <c r="Z34" i="11" s="1"/>
  <c r="AB34" i="11" s="1"/>
  <c r="D33" i="11"/>
  <c r="E33" i="11" s="1"/>
  <c r="G33" i="11" s="1"/>
  <c r="H33" i="11" s="1"/>
  <c r="J33" i="11" s="1"/>
  <c r="K33" i="11" s="1"/>
  <c r="M33" i="11" s="1"/>
  <c r="N33" i="11" s="1"/>
  <c r="P33" i="11" s="1"/>
  <c r="Q33" i="11" s="1"/>
  <c r="S33" i="11" s="1"/>
  <c r="T33" i="11" s="1"/>
  <c r="V33" i="11" s="1"/>
  <c r="W33" i="11" s="1"/>
  <c r="Y33" i="11" s="1"/>
  <c r="Z33" i="11" s="1"/>
  <c r="AB33" i="11" s="1"/>
  <c r="D32" i="11"/>
  <c r="E32" i="11" s="1"/>
  <c r="G32" i="11" s="1"/>
  <c r="H32" i="11" s="1"/>
  <c r="J32" i="11" s="1"/>
  <c r="K32" i="11" s="1"/>
  <c r="M32" i="11" s="1"/>
  <c r="N32" i="11" s="1"/>
  <c r="P32" i="11" s="1"/>
  <c r="Q32" i="11" s="1"/>
  <c r="S32" i="11" s="1"/>
  <c r="T32" i="11" s="1"/>
  <c r="V32" i="11" s="1"/>
  <c r="W32" i="11" s="1"/>
  <c r="Y32" i="11" s="1"/>
  <c r="Z32" i="11" s="1"/>
  <c r="AB32" i="11" s="1"/>
  <c r="D31" i="11"/>
  <c r="E31" i="11" s="1"/>
  <c r="G31" i="11" s="1"/>
  <c r="H31" i="11" s="1"/>
  <c r="J31" i="11" s="1"/>
  <c r="K31" i="11" s="1"/>
  <c r="M31" i="11" s="1"/>
  <c r="N31" i="11" s="1"/>
  <c r="P31" i="11" s="1"/>
  <c r="Q31" i="11" s="1"/>
  <c r="S31" i="11" s="1"/>
  <c r="T31" i="11" s="1"/>
  <c r="V31" i="11" s="1"/>
  <c r="W31" i="11" s="1"/>
  <c r="Y31" i="11" s="1"/>
  <c r="Z31" i="11" s="1"/>
  <c r="AB31" i="11" s="1"/>
  <c r="D30" i="11"/>
  <c r="E30" i="11" s="1"/>
  <c r="G30" i="11" s="1"/>
  <c r="H30" i="11" s="1"/>
  <c r="J30" i="11" s="1"/>
  <c r="K30" i="11" s="1"/>
  <c r="M30" i="11" s="1"/>
  <c r="N30" i="11" s="1"/>
  <c r="P30" i="11" s="1"/>
  <c r="Q30" i="11" s="1"/>
  <c r="S30" i="11" s="1"/>
  <c r="T30" i="11" s="1"/>
  <c r="V30" i="11" s="1"/>
  <c r="W30" i="11" s="1"/>
  <c r="Y30" i="11" s="1"/>
  <c r="Z30" i="11" s="1"/>
  <c r="AB30" i="11" s="1"/>
  <c r="D29" i="11"/>
  <c r="E29" i="11" s="1"/>
  <c r="G29" i="11" s="1"/>
  <c r="H29" i="11" s="1"/>
  <c r="J29" i="11" s="1"/>
  <c r="K29" i="11" s="1"/>
  <c r="M29" i="11" s="1"/>
  <c r="N29" i="11" s="1"/>
  <c r="P29" i="11" s="1"/>
  <c r="Q29" i="11" s="1"/>
  <c r="S29" i="11" s="1"/>
  <c r="T29" i="11" s="1"/>
  <c r="V29" i="11" s="1"/>
  <c r="W29" i="11" s="1"/>
  <c r="Y29" i="11" s="1"/>
  <c r="Z29" i="11" s="1"/>
  <c r="AB29" i="11" s="1"/>
  <c r="D28" i="11"/>
  <c r="E28" i="11" s="1"/>
  <c r="G28" i="11" s="1"/>
  <c r="H28" i="11" s="1"/>
  <c r="J28" i="11" s="1"/>
  <c r="K28" i="11" s="1"/>
  <c r="M28" i="11" s="1"/>
  <c r="N28" i="11" s="1"/>
  <c r="P28" i="11" s="1"/>
  <c r="Q28" i="11" s="1"/>
  <c r="S28" i="11" s="1"/>
  <c r="T28" i="11" s="1"/>
  <c r="V28" i="11" s="1"/>
  <c r="W28" i="11" s="1"/>
  <c r="Y28" i="11" s="1"/>
  <c r="Z28" i="11" s="1"/>
  <c r="AB28" i="11" s="1"/>
  <c r="D26" i="11"/>
  <c r="E26" i="11" s="1"/>
  <c r="G26" i="11" s="1"/>
  <c r="H26" i="11" s="1"/>
  <c r="J26" i="11" s="1"/>
  <c r="K26" i="11" s="1"/>
  <c r="M26" i="11" s="1"/>
  <c r="N26" i="11" s="1"/>
  <c r="P26" i="11" s="1"/>
  <c r="Q26" i="11" s="1"/>
  <c r="S26" i="11" s="1"/>
  <c r="T26" i="11" s="1"/>
  <c r="V26" i="11" s="1"/>
  <c r="W26" i="11" s="1"/>
  <c r="Y26" i="11" s="1"/>
  <c r="Z26" i="11" s="1"/>
  <c r="AB26" i="11" s="1"/>
  <c r="D25" i="11"/>
  <c r="E25" i="11" s="1"/>
  <c r="D24" i="11"/>
  <c r="E24" i="11" s="1"/>
  <c r="G24" i="11" s="1"/>
  <c r="H24" i="11" s="1"/>
  <c r="J24" i="11" s="1"/>
  <c r="K24" i="11" s="1"/>
  <c r="M24" i="11" s="1"/>
  <c r="N24" i="11" s="1"/>
  <c r="P24" i="11" s="1"/>
  <c r="Q24" i="11" s="1"/>
  <c r="S24" i="11" s="1"/>
  <c r="T24" i="11" s="1"/>
  <c r="V24" i="11" s="1"/>
  <c r="W24" i="11" s="1"/>
  <c r="Y24" i="11" s="1"/>
  <c r="Z24" i="11" s="1"/>
  <c r="AB24" i="11" s="1"/>
  <c r="D23" i="11"/>
  <c r="E23" i="11" s="1"/>
  <c r="G23" i="11" s="1"/>
  <c r="H23" i="11" s="1"/>
  <c r="J23" i="11" s="1"/>
  <c r="K23" i="11" s="1"/>
  <c r="M23" i="11" s="1"/>
  <c r="N23" i="11" s="1"/>
  <c r="P23" i="11" s="1"/>
  <c r="Q23" i="11" s="1"/>
  <c r="S23" i="11" s="1"/>
  <c r="T23" i="11" s="1"/>
  <c r="V23" i="11" s="1"/>
  <c r="W23" i="11" s="1"/>
  <c r="Y23" i="11" s="1"/>
  <c r="Z23" i="11" s="1"/>
  <c r="AB23" i="11" s="1"/>
  <c r="D22" i="11"/>
  <c r="E22" i="11" s="1"/>
  <c r="G22" i="11" s="1"/>
  <c r="H22" i="11" s="1"/>
  <c r="J22" i="11" s="1"/>
  <c r="K22" i="11" s="1"/>
  <c r="M22" i="11" s="1"/>
  <c r="N22" i="11" s="1"/>
  <c r="P22" i="11" s="1"/>
  <c r="Q22" i="11" s="1"/>
  <c r="S22" i="11" s="1"/>
  <c r="T22" i="11" s="1"/>
  <c r="V22" i="11" s="1"/>
  <c r="W22" i="11" s="1"/>
  <c r="Y22" i="11" s="1"/>
  <c r="Z22" i="11" s="1"/>
  <c r="AB22" i="11" s="1"/>
  <c r="D20" i="11"/>
  <c r="E20" i="11" s="1"/>
  <c r="G20" i="11" s="1"/>
  <c r="H20" i="11" s="1"/>
  <c r="J20" i="11" s="1"/>
  <c r="K20" i="11" s="1"/>
  <c r="M20" i="11" s="1"/>
  <c r="N20" i="11" s="1"/>
  <c r="P20" i="11" s="1"/>
  <c r="Q20" i="11" s="1"/>
  <c r="S20" i="11" s="1"/>
  <c r="T20" i="11" s="1"/>
  <c r="V20" i="11" s="1"/>
  <c r="W20" i="11" s="1"/>
  <c r="Y20" i="11" s="1"/>
  <c r="Z20" i="11" s="1"/>
  <c r="AB20" i="11" s="1"/>
  <c r="D18" i="11"/>
  <c r="E18" i="11" s="1"/>
  <c r="G18" i="11" s="1"/>
  <c r="H18" i="11" s="1"/>
  <c r="J18" i="11" s="1"/>
  <c r="K18" i="11" s="1"/>
  <c r="M18" i="11" s="1"/>
  <c r="N18" i="11" s="1"/>
  <c r="P18" i="11" s="1"/>
  <c r="Q18" i="11" s="1"/>
  <c r="S18" i="11" s="1"/>
  <c r="T18" i="11" s="1"/>
  <c r="V18" i="11" s="1"/>
  <c r="W18" i="11" s="1"/>
  <c r="Y18" i="11" s="1"/>
  <c r="Z18" i="11" s="1"/>
  <c r="AB18" i="11" s="1"/>
  <c r="D17" i="11"/>
  <c r="E17" i="11" s="1"/>
  <c r="G17" i="11" s="1"/>
  <c r="H17" i="11" s="1"/>
  <c r="J17" i="11" s="1"/>
  <c r="K17" i="11" s="1"/>
  <c r="M17" i="11" s="1"/>
  <c r="N17" i="11" s="1"/>
  <c r="P17" i="11" s="1"/>
  <c r="Q17" i="11" s="1"/>
  <c r="S17" i="11" s="1"/>
  <c r="T17" i="11" s="1"/>
  <c r="V17" i="11" s="1"/>
  <c r="W17" i="11" s="1"/>
  <c r="Y17" i="11" s="1"/>
  <c r="Z17" i="11" s="1"/>
  <c r="AB17" i="11" s="1"/>
  <c r="D16" i="11"/>
  <c r="E16" i="11" s="1"/>
  <c r="G16" i="11" s="1"/>
  <c r="H16" i="11" s="1"/>
  <c r="J16" i="11" s="1"/>
  <c r="K16" i="11" s="1"/>
  <c r="M16" i="11" s="1"/>
  <c r="N16" i="11" s="1"/>
  <c r="P16" i="11" s="1"/>
  <c r="Q16" i="11" s="1"/>
  <c r="S16" i="11" s="1"/>
  <c r="T16" i="11" s="1"/>
  <c r="V16" i="11" s="1"/>
  <c r="W16" i="11" s="1"/>
  <c r="Y16" i="11" s="1"/>
  <c r="Z16" i="11" s="1"/>
  <c r="AB16" i="11" s="1"/>
  <c r="D15" i="11"/>
  <c r="E15" i="11" s="1"/>
  <c r="G15" i="11" s="1"/>
  <c r="H15" i="11" s="1"/>
  <c r="J15" i="11" s="1"/>
  <c r="K15" i="11" s="1"/>
  <c r="M15" i="11" s="1"/>
  <c r="N15" i="11" s="1"/>
  <c r="P15" i="11" s="1"/>
  <c r="Q15" i="11" s="1"/>
  <c r="S15" i="11" s="1"/>
  <c r="T15" i="11" s="1"/>
  <c r="V15" i="11" s="1"/>
  <c r="W15" i="11" s="1"/>
  <c r="Y15" i="11" s="1"/>
  <c r="Z15" i="11" s="1"/>
  <c r="AB15" i="11" s="1"/>
  <c r="D14" i="11"/>
  <c r="E14" i="11" s="1"/>
  <c r="G14" i="11" s="1"/>
  <c r="H14" i="11" s="1"/>
  <c r="J14" i="11" s="1"/>
  <c r="K14" i="11" s="1"/>
  <c r="M14" i="11" s="1"/>
  <c r="N14" i="11" s="1"/>
  <c r="P14" i="11" s="1"/>
  <c r="Q14" i="11" s="1"/>
  <c r="S14" i="11" s="1"/>
  <c r="T14" i="11" s="1"/>
  <c r="V14" i="11" s="1"/>
  <c r="W14" i="11" s="1"/>
  <c r="Y14" i="11" s="1"/>
  <c r="Z14" i="11" s="1"/>
  <c r="AB14" i="11" s="1"/>
  <c r="D11" i="11"/>
  <c r="E11" i="11" s="1"/>
  <c r="G11" i="11" s="1"/>
  <c r="H11" i="11" s="1"/>
  <c r="J11" i="11" s="1"/>
  <c r="K11" i="11" s="1"/>
  <c r="M11" i="11" s="1"/>
  <c r="N11" i="11" s="1"/>
  <c r="P11" i="11" s="1"/>
  <c r="Q11" i="11" s="1"/>
  <c r="S11" i="11" s="1"/>
  <c r="T11" i="11" s="1"/>
  <c r="V11" i="11" s="1"/>
  <c r="W11" i="11" s="1"/>
  <c r="Y11" i="11" s="1"/>
  <c r="Z11" i="11" s="1"/>
  <c r="AB11" i="11" s="1"/>
  <c r="D9" i="11"/>
  <c r="E9" i="11" s="1"/>
  <c r="G9" i="11" s="1"/>
  <c r="H9" i="11" s="1"/>
  <c r="J9" i="11" s="1"/>
  <c r="K9" i="11" s="1"/>
  <c r="M9" i="11" s="1"/>
  <c r="N9" i="11" s="1"/>
  <c r="P9" i="11" s="1"/>
  <c r="Q9" i="11" s="1"/>
  <c r="S9" i="11" s="1"/>
  <c r="T9" i="11" s="1"/>
  <c r="V9" i="11" s="1"/>
  <c r="W9" i="11" s="1"/>
  <c r="Y9" i="11" s="1"/>
  <c r="Z9" i="11" s="1"/>
  <c r="AB9" i="11" s="1"/>
  <c r="AB100" i="11" l="1"/>
  <c r="AB112" i="11"/>
  <c r="AB101" i="11"/>
  <c r="O47" i="25"/>
  <c r="N47" i="25" s="1"/>
  <c r="Q47" i="25" s="1"/>
  <c r="H36" i="25"/>
  <c r="K36" i="25" s="1"/>
  <c r="I37" i="25" s="1"/>
  <c r="C45" i="25"/>
  <c r="B45" i="25" s="1"/>
  <c r="E45" i="25" s="1"/>
  <c r="AB122" i="11"/>
  <c r="L733" i="17"/>
  <c r="J750" i="17"/>
  <c r="AB104" i="11"/>
  <c r="M76" i="11"/>
  <c r="N76" i="11" s="1"/>
  <c r="P76" i="11" s="1"/>
  <c r="Q76" i="11" s="1"/>
  <c r="S76" i="11" s="1"/>
  <c r="T76" i="11" s="1"/>
  <c r="V76" i="11" s="1"/>
  <c r="W76" i="11" s="1"/>
  <c r="Y76" i="11" s="1"/>
  <c r="Z76" i="11" s="1"/>
  <c r="AB76" i="11" s="1"/>
  <c r="M77" i="11"/>
  <c r="N77" i="11" s="1"/>
  <c r="P77" i="11" s="1"/>
  <c r="Q77" i="11" s="1"/>
  <c r="S77" i="11" s="1"/>
  <c r="T77" i="11" s="1"/>
  <c r="V77" i="11" s="1"/>
  <c r="W77" i="11" s="1"/>
  <c r="Y77" i="11" s="1"/>
  <c r="Z77" i="11" s="1"/>
  <c r="AB77" i="11" s="1"/>
  <c r="B144" i="11"/>
  <c r="B135" i="11"/>
  <c r="O48" i="25" l="1"/>
  <c r="N48" i="25" s="1"/>
  <c r="Q48" i="25" s="1"/>
  <c r="H37" i="25"/>
  <c r="K37" i="25" s="1"/>
  <c r="I38" i="25" s="1"/>
  <c r="C46" i="25"/>
  <c r="B46" i="25" s="1"/>
  <c r="E46" i="25" s="1"/>
  <c r="AA84" i="11"/>
  <c r="AB84" i="11" s="1"/>
  <c r="L750" i="17"/>
  <c r="L1930" i="17" s="1"/>
  <c r="B125" i="11"/>
  <c r="B151" i="11" s="1"/>
  <c r="B156" i="11" s="1"/>
  <c r="B58" i="11"/>
  <c r="B150" i="11" s="1"/>
  <c r="B157" i="11" s="1"/>
  <c r="O49" i="25" l="1"/>
  <c r="N49" i="25" s="1"/>
  <c r="Q49" i="25" s="1"/>
  <c r="H38" i="25"/>
  <c r="K38" i="25" s="1"/>
  <c r="I39" i="25" s="1"/>
  <c r="C47" i="25"/>
  <c r="B47" i="25" s="1"/>
  <c r="E47" i="25" s="1"/>
  <c r="B160" i="11"/>
  <c r="B164" i="11" s="1"/>
  <c r="B127" i="11"/>
  <c r="B146" i="11" s="1"/>
  <c r="F2069" i="3"/>
  <c r="G2069" i="3" s="1"/>
  <c r="H2069" i="3" s="1"/>
  <c r="I2069" i="3" s="1"/>
  <c r="J2069" i="3" s="1"/>
  <c r="K2069" i="3" s="1"/>
  <c r="L2069" i="3" s="1"/>
  <c r="M2069" i="3" s="1"/>
  <c r="N2069" i="3" s="1"/>
  <c r="F2066" i="3"/>
  <c r="G2066" i="3" s="1"/>
  <c r="H2066" i="3" s="1"/>
  <c r="I2066" i="3" s="1"/>
  <c r="J2066" i="3" s="1"/>
  <c r="K2066" i="3" s="1"/>
  <c r="L2066" i="3" s="1"/>
  <c r="M2066" i="3" s="1"/>
  <c r="N2066" i="3" s="1"/>
  <c r="F2065" i="3"/>
  <c r="G2065" i="3" s="1"/>
  <c r="H2065" i="3" s="1"/>
  <c r="I2065" i="3" s="1"/>
  <c r="J2065" i="3" s="1"/>
  <c r="K2065" i="3" s="1"/>
  <c r="L2065" i="3" s="1"/>
  <c r="M2065" i="3" s="1"/>
  <c r="N2065" i="3" s="1"/>
  <c r="F2064" i="3"/>
  <c r="G2064" i="3" s="1"/>
  <c r="H2064" i="3" s="1"/>
  <c r="I2064" i="3" s="1"/>
  <c r="J2064" i="3" s="1"/>
  <c r="K2064" i="3" s="1"/>
  <c r="L2064" i="3" s="1"/>
  <c r="M2064" i="3" s="1"/>
  <c r="N2064" i="3" s="1"/>
  <c r="F2063" i="3"/>
  <c r="G2063" i="3" s="1"/>
  <c r="H2063" i="3" s="1"/>
  <c r="I2063" i="3" s="1"/>
  <c r="J2063" i="3" s="1"/>
  <c r="K2063" i="3" s="1"/>
  <c r="L2063" i="3" s="1"/>
  <c r="M2063" i="3" s="1"/>
  <c r="N2063" i="3" s="1"/>
  <c r="F2061" i="3"/>
  <c r="G2061" i="3" s="1"/>
  <c r="H2061" i="3" s="1"/>
  <c r="I2061" i="3" s="1"/>
  <c r="J2061" i="3" s="1"/>
  <c r="K2061" i="3" s="1"/>
  <c r="L2061" i="3" s="1"/>
  <c r="M2061" i="3" s="1"/>
  <c r="N2061" i="3" s="1"/>
  <c r="F2060" i="3"/>
  <c r="G2060" i="3" s="1"/>
  <c r="H2060" i="3" s="1"/>
  <c r="I2060" i="3" s="1"/>
  <c r="J2060" i="3" s="1"/>
  <c r="K2060" i="3" s="1"/>
  <c r="L2060" i="3" s="1"/>
  <c r="M2060" i="3" s="1"/>
  <c r="N2060" i="3" s="1"/>
  <c r="F2059" i="3"/>
  <c r="G2059" i="3" s="1"/>
  <c r="H2059" i="3" s="1"/>
  <c r="I2059" i="3" s="1"/>
  <c r="J2059" i="3" s="1"/>
  <c r="K2059" i="3" s="1"/>
  <c r="L2059" i="3" s="1"/>
  <c r="M2059" i="3" s="1"/>
  <c r="N2059" i="3" s="1"/>
  <c r="F2058" i="3"/>
  <c r="G2058" i="3" s="1"/>
  <c r="H2058" i="3" s="1"/>
  <c r="I2058" i="3" s="1"/>
  <c r="J2058" i="3" s="1"/>
  <c r="K2058" i="3" s="1"/>
  <c r="L2058" i="3" s="1"/>
  <c r="M2058" i="3" s="1"/>
  <c r="N2058" i="3" s="1"/>
  <c r="F2057" i="3"/>
  <c r="G2057" i="3" s="1"/>
  <c r="H2057" i="3" s="1"/>
  <c r="I2057" i="3" s="1"/>
  <c r="J2057" i="3" s="1"/>
  <c r="K2057" i="3" s="1"/>
  <c r="L2057" i="3" s="1"/>
  <c r="M2057" i="3" s="1"/>
  <c r="N2057" i="3" s="1"/>
  <c r="F2056" i="3"/>
  <c r="G2056" i="3" s="1"/>
  <c r="H2056" i="3" s="1"/>
  <c r="I2056" i="3" s="1"/>
  <c r="J2056" i="3" s="1"/>
  <c r="K2056" i="3" s="1"/>
  <c r="L2056" i="3" s="1"/>
  <c r="M2056" i="3" s="1"/>
  <c r="N2056" i="3" s="1"/>
  <c r="F2055" i="3"/>
  <c r="G2055" i="3" s="1"/>
  <c r="H2055" i="3" s="1"/>
  <c r="I2055" i="3" s="1"/>
  <c r="J2055" i="3" s="1"/>
  <c r="K2055" i="3" s="1"/>
  <c r="L2055" i="3" s="1"/>
  <c r="M2055" i="3" s="1"/>
  <c r="N2055" i="3" s="1"/>
  <c r="F2054" i="3"/>
  <c r="G2054" i="3" s="1"/>
  <c r="H2054" i="3" s="1"/>
  <c r="I2054" i="3" s="1"/>
  <c r="J2054" i="3" s="1"/>
  <c r="K2054" i="3" s="1"/>
  <c r="L2054" i="3" s="1"/>
  <c r="M2054" i="3" s="1"/>
  <c r="N2054" i="3" s="1"/>
  <c r="F2053" i="3"/>
  <c r="G2053" i="3" s="1"/>
  <c r="H2053" i="3" s="1"/>
  <c r="I2053" i="3" s="1"/>
  <c r="J2053" i="3" s="1"/>
  <c r="K2053" i="3" s="1"/>
  <c r="L2053" i="3" s="1"/>
  <c r="M2053" i="3" s="1"/>
  <c r="N2053" i="3" s="1"/>
  <c r="F2052" i="3"/>
  <c r="G2052" i="3" s="1"/>
  <c r="H2052" i="3" s="1"/>
  <c r="I2052" i="3" s="1"/>
  <c r="J2052" i="3" s="1"/>
  <c r="K2052" i="3" s="1"/>
  <c r="L2052" i="3" s="1"/>
  <c r="M2052" i="3" s="1"/>
  <c r="N2052" i="3" s="1"/>
  <c r="F2046" i="3"/>
  <c r="G2046" i="3" s="1"/>
  <c r="H2046" i="3" s="1"/>
  <c r="I2046" i="3" s="1"/>
  <c r="J2046" i="3" s="1"/>
  <c r="K2046" i="3" s="1"/>
  <c r="L2046" i="3" s="1"/>
  <c r="M2046" i="3" s="1"/>
  <c r="N2046" i="3" s="1"/>
  <c r="F2045" i="3"/>
  <c r="G2045" i="3" s="1"/>
  <c r="H2045" i="3" s="1"/>
  <c r="I2045" i="3" s="1"/>
  <c r="J2045" i="3" s="1"/>
  <c r="K2045" i="3" s="1"/>
  <c r="L2045" i="3" s="1"/>
  <c r="M2045" i="3" s="1"/>
  <c r="N2045" i="3" s="1"/>
  <c r="F2041" i="3"/>
  <c r="F1960" i="3"/>
  <c r="G1960" i="3" s="1"/>
  <c r="H1960" i="3" s="1"/>
  <c r="I1960" i="3" s="1"/>
  <c r="J1960" i="3" s="1"/>
  <c r="K1960" i="3" s="1"/>
  <c r="L1960" i="3" s="1"/>
  <c r="M1960" i="3" s="1"/>
  <c r="N1960" i="3" s="1"/>
  <c r="F1957" i="3"/>
  <c r="G1957" i="3" s="1"/>
  <c r="H1957" i="3" s="1"/>
  <c r="I1957" i="3" s="1"/>
  <c r="J1957" i="3" s="1"/>
  <c r="K1957" i="3" s="1"/>
  <c r="L1957" i="3" s="1"/>
  <c r="M1957" i="3" s="1"/>
  <c r="N1957" i="3" s="1"/>
  <c r="F1956" i="3"/>
  <c r="G1956" i="3" s="1"/>
  <c r="H1956" i="3" s="1"/>
  <c r="I1956" i="3" s="1"/>
  <c r="J1956" i="3" s="1"/>
  <c r="K1956" i="3" s="1"/>
  <c r="L1956" i="3" s="1"/>
  <c r="M1956" i="3" s="1"/>
  <c r="N1956" i="3" s="1"/>
  <c r="F1954" i="3"/>
  <c r="G1954" i="3" s="1"/>
  <c r="H1954" i="3" s="1"/>
  <c r="I1954" i="3" s="1"/>
  <c r="J1954" i="3" s="1"/>
  <c r="K1954" i="3" s="1"/>
  <c r="L1954" i="3" s="1"/>
  <c r="M1954" i="3" s="1"/>
  <c r="N1954" i="3" s="1"/>
  <c r="F1952" i="3"/>
  <c r="G1952" i="3" s="1"/>
  <c r="H1952" i="3" s="1"/>
  <c r="I1952" i="3" s="1"/>
  <c r="J1952" i="3" s="1"/>
  <c r="K1952" i="3" s="1"/>
  <c r="L1952" i="3" s="1"/>
  <c r="M1952" i="3" s="1"/>
  <c r="N1952" i="3" s="1"/>
  <c r="F1951" i="3"/>
  <c r="G1951" i="3" s="1"/>
  <c r="H1951" i="3" s="1"/>
  <c r="I1951" i="3" s="1"/>
  <c r="J1951" i="3" s="1"/>
  <c r="K1951" i="3" s="1"/>
  <c r="L1951" i="3" s="1"/>
  <c r="M1951" i="3" s="1"/>
  <c r="N1951" i="3" s="1"/>
  <c r="F1950" i="3"/>
  <c r="G1950" i="3" s="1"/>
  <c r="H1950" i="3" s="1"/>
  <c r="I1950" i="3" s="1"/>
  <c r="J1950" i="3" s="1"/>
  <c r="K1950" i="3" s="1"/>
  <c r="L1950" i="3" s="1"/>
  <c r="M1950" i="3" s="1"/>
  <c r="N1950" i="3" s="1"/>
  <c r="F1949" i="3"/>
  <c r="G1949" i="3" s="1"/>
  <c r="H1949" i="3" s="1"/>
  <c r="I1949" i="3" s="1"/>
  <c r="J1949" i="3" s="1"/>
  <c r="K1949" i="3" s="1"/>
  <c r="L1949" i="3" s="1"/>
  <c r="M1949" i="3" s="1"/>
  <c r="N1949" i="3" s="1"/>
  <c r="F1948" i="3"/>
  <c r="G1948" i="3" s="1"/>
  <c r="H1948" i="3" s="1"/>
  <c r="I1948" i="3" s="1"/>
  <c r="J1948" i="3" s="1"/>
  <c r="K1948" i="3" s="1"/>
  <c r="L1948" i="3" s="1"/>
  <c r="M1948" i="3" s="1"/>
  <c r="N1948" i="3" s="1"/>
  <c r="F1947" i="3"/>
  <c r="G1947" i="3" s="1"/>
  <c r="H1947" i="3" s="1"/>
  <c r="I1947" i="3" s="1"/>
  <c r="J1947" i="3" s="1"/>
  <c r="K1947" i="3" s="1"/>
  <c r="L1947" i="3" s="1"/>
  <c r="M1947" i="3" s="1"/>
  <c r="N1947" i="3" s="1"/>
  <c r="F1946" i="3"/>
  <c r="G1946" i="3" s="1"/>
  <c r="H1946" i="3" s="1"/>
  <c r="I1946" i="3" s="1"/>
  <c r="J1946" i="3" s="1"/>
  <c r="K1946" i="3" s="1"/>
  <c r="L1946" i="3" s="1"/>
  <c r="M1946" i="3" s="1"/>
  <c r="N1946" i="3" s="1"/>
  <c r="F1945" i="3"/>
  <c r="G1945" i="3" s="1"/>
  <c r="H1945" i="3" s="1"/>
  <c r="I1945" i="3" s="1"/>
  <c r="J1945" i="3" s="1"/>
  <c r="K1945" i="3" s="1"/>
  <c r="L1945" i="3" s="1"/>
  <c r="M1945" i="3" s="1"/>
  <c r="N1945" i="3" s="1"/>
  <c r="F1944" i="3"/>
  <c r="G1944" i="3" s="1"/>
  <c r="H1944" i="3" s="1"/>
  <c r="I1944" i="3" s="1"/>
  <c r="J1944" i="3" s="1"/>
  <c r="K1944" i="3" s="1"/>
  <c r="L1944" i="3" s="1"/>
  <c r="M1944" i="3" s="1"/>
  <c r="N1944" i="3" s="1"/>
  <c r="F1943" i="3"/>
  <c r="G1943" i="3" s="1"/>
  <c r="H1943" i="3" s="1"/>
  <c r="I1943" i="3" s="1"/>
  <c r="J1943" i="3" s="1"/>
  <c r="K1943" i="3" s="1"/>
  <c r="L1943" i="3" s="1"/>
  <c r="M1943" i="3" s="1"/>
  <c r="N1943" i="3" s="1"/>
  <c r="F1942" i="3"/>
  <c r="G1942" i="3" s="1"/>
  <c r="H1942" i="3" s="1"/>
  <c r="I1942" i="3" s="1"/>
  <c r="J1942" i="3" s="1"/>
  <c r="K1942" i="3" s="1"/>
  <c r="L1942" i="3" s="1"/>
  <c r="M1942" i="3" s="1"/>
  <c r="N1942" i="3" s="1"/>
  <c r="F1940" i="3"/>
  <c r="G1940" i="3" s="1"/>
  <c r="H1940" i="3" s="1"/>
  <c r="I1940" i="3" s="1"/>
  <c r="J1940" i="3" s="1"/>
  <c r="K1940" i="3" s="1"/>
  <c r="L1940" i="3" s="1"/>
  <c r="M1940" i="3" s="1"/>
  <c r="N1940" i="3" s="1"/>
  <c r="F1936" i="3"/>
  <c r="G1936" i="3" s="1"/>
  <c r="H1936" i="3" s="1"/>
  <c r="I1936" i="3" s="1"/>
  <c r="J1936" i="3" s="1"/>
  <c r="K1936" i="3" s="1"/>
  <c r="L1936" i="3" s="1"/>
  <c r="M1936" i="3" s="1"/>
  <c r="N1936" i="3" s="1"/>
  <c r="F1932" i="3"/>
  <c r="K1866" i="3"/>
  <c r="L1866" i="3" s="1"/>
  <c r="M1866" i="3" s="1"/>
  <c r="N1866" i="3" s="1"/>
  <c r="F1863" i="3"/>
  <c r="G1863" i="3" s="1"/>
  <c r="H1863" i="3" s="1"/>
  <c r="I1863" i="3" s="1"/>
  <c r="J1863" i="3" s="1"/>
  <c r="K1863" i="3" s="1"/>
  <c r="L1863" i="3" s="1"/>
  <c r="M1863" i="3" s="1"/>
  <c r="N1863" i="3" s="1"/>
  <c r="F1862" i="3"/>
  <c r="G1862" i="3" s="1"/>
  <c r="H1862" i="3" s="1"/>
  <c r="I1862" i="3" s="1"/>
  <c r="J1862" i="3" s="1"/>
  <c r="K1862" i="3" s="1"/>
  <c r="L1862" i="3" s="1"/>
  <c r="M1862" i="3" s="1"/>
  <c r="N1862" i="3" s="1"/>
  <c r="F1861" i="3"/>
  <c r="G1861" i="3" s="1"/>
  <c r="H1861" i="3" s="1"/>
  <c r="I1861" i="3" s="1"/>
  <c r="J1861" i="3" s="1"/>
  <c r="K1861" i="3" s="1"/>
  <c r="L1861" i="3" s="1"/>
  <c r="M1861" i="3" s="1"/>
  <c r="N1861" i="3" s="1"/>
  <c r="F1860" i="3"/>
  <c r="G1860" i="3" s="1"/>
  <c r="H1860" i="3" s="1"/>
  <c r="I1860" i="3" s="1"/>
  <c r="J1860" i="3" s="1"/>
  <c r="K1860" i="3" s="1"/>
  <c r="L1860" i="3" s="1"/>
  <c r="M1860" i="3" s="1"/>
  <c r="N1860" i="3" s="1"/>
  <c r="F1859" i="3"/>
  <c r="G1859" i="3" s="1"/>
  <c r="H1859" i="3" s="1"/>
  <c r="I1859" i="3" s="1"/>
  <c r="J1859" i="3" s="1"/>
  <c r="K1859" i="3" s="1"/>
  <c r="L1859" i="3" s="1"/>
  <c r="M1859" i="3" s="1"/>
  <c r="N1859" i="3" s="1"/>
  <c r="F1858" i="3"/>
  <c r="G1858" i="3" s="1"/>
  <c r="H1858" i="3" s="1"/>
  <c r="I1858" i="3" s="1"/>
  <c r="J1858" i="3" s="1"/>
  <c r="K1858" i="3" s="1"/>
  <c r="L1858" i="3" s="1"/>
  <c r="M1858" i="3" s="1"/>
  <c r="N1858" i="3" s="1"/>
  <c r="F1857" i="3"/>
  <c r="G1857" i="3" s="1"/>
  <c r="H1857" i="3" s="1"/>
  <c r="I1857" i="3" s="1"/>
  <c r="J1857" i="3" s="1"/>
  <c r="K1857" i="3" s="1"/>
  <c r="L1857" i="3" s="1"/>
  <c r="M1857" i="3" s="1"/>
  <c r="N1857" i="3" s="1"/>
  <c r="F1856" i="3"/>
  <c r="G1856" i="3" s="1"/>
  <c r="H1856" i="3" s="1"/>
  <c r="I1856" i="3" s="1"/>
  <c r="J1856" i="3" s="1"/>
  <c r="K1856" i="3" s="1"/>
  <c r="L1856" i="3" s="1"/>
  <c r="M1856" i="3" s="1"/>
  <c r="N1856" i="3" s="1"/>
  <c r="F1855" i="3"/>
  <c r="G1855" i="3" s="1"/>
  <c r="H1855" i="3" s="1"/>
  <c r="I1855" i="3" s="1"/>
  <c r="J1855" i="3" s="1"/>
  <c r="K1855" i="3" s="1"/>
  <c r="L1855" i="3" s="1"/>
  <c r="M1855" i="3" s="1"/>
  <c r="N1855" i="3" s="1"/>
  <c r="F1854" i="3"/>
  <c r="G1854" i="3" s="1"/>
  <c r="H1854" i="3" s="1"/>
  <c r="I1854" i="3" s="1"/>
  <c r="J1854" i="3" s="1"/>
  <c r="K1854" i="3" s="1"/>
  <c r="L1854" i="3" s="1"/>
  <c r="M1854" i="3" s="1"/>
  <c r="N1854" i="3" s="1"/>
  <c r="F1853" i="3"/>
  <c r="G1853" i="3" s="1"/>
  <c r="H1853" i="3" s="1"/>
  <c r="I1853" i="3" s="1"/>
  <c r="J1853" i="3" s="1"/>
  <c r="K1853" i="3" s="1"/>
  <c r="L1853" i="3" s="1"/>
  <c r="M1853" i="3" s="1"/>
  <c r="N1853" i="3" s="1"/>
  <c r="F1851" i="3"/>
  <c r="G1851" i="3" s="1"/>
  <c r="H1851" i="3" s="1"/>
  <c r="I1851" i="3" s="1"/>
  <c r="J1851" i="3" s="1"/>
  <c r="K1851" i="3" s="1"/>
  <c r="L1851" i="3" s="1"/>
  <c r="M1851" i="3" s="1"/>
  <c r="N1851" i="3" s="1"/>
  <c r="F1850" i="3"/>
  <c r="G1850" i="3" s="1"/>
  <c r="H1850" i="3" s="1"/>
  <c r="I1850" i="3" s="1"/>
  <c r="J1850" i="3" s="1"/>
  <c r="K1850" i="3" s="1"/>
  <c r="L1850" i="3" s="1"/>
  <c r="M1850" i="3" s="1"/>
  <c r="N1850" i="3" s="1"/>
  <c r="F1848" i="3"/>
  <c r="G1848" i="3" s="1"/>
  <c r="H1848" i="3" s="1"/>
  <c r="I1848" i="3" s="1"/>
  <c r="J1848" i="3" s="1"/>
  <c r="K1848" i="3" s="1"/>
  <c r="L1848" i="3" s="1"/>
  <c r="M1848" i="3" s="1"/>
  <c r="N1848" i="3" s="1"/>
  <c r="F1847" i="3"/>
  <c r="G1847" i="3" s="1"/>
  <c r="H1847" i="3" s="1"/>
  <c r="I1847" i="3" s="1"/>
  <c r="J1847" i="3" s="1"/>
  <c r="K1847" i="3" s="1"/>
  <c r="L1847" i="3" s="1"/>
  <c r="M1847" i="3" s="1"/>
  <c r="N1847" i="3" s="1"/>
  <c r="F1845" i="3"/>
  <c r="G1845" i="3" s="1"/>
  <c r="H1845" i="3" s="1"/>
  <c r="I1845" i="3" s="1"/>
  <c r="J1845" i="3" s="1"/>
  <c r="K1845" i="3" s="1"/>
  <c r="L1845" i="3" s="1"/>
  <c r="M1845" i="3" s="1"/>
  <c r="N1845" i="3" s="1"/>
  <c r="F1843" i="3"/>
  <c r="G1843" i="3" s="1"/>
  <c r="H1843" i="3" s="1"/>
  <c r="I1843" i="3" s="1"/>
  <c r="J1843" i="3" s="1"/>
  <c r="K1843" i="3" s="1"/>
  <c r="L1843" i="3" s="1"/>
  <c r="M1843" i="3" s="1"/>
  <c r="N1843" i="3" s="1"/>
  <c r="F1841" i="3"/>
  <c r="F1840" i="3"/>
  <c r="G1840" i="3" s="1"/>
  <c r="H1840" i="3" s="1"/>
  <c r="I1840" i="3" s="1"/>
  <c r="J1840" i="3" s="1"/>
  <c r="K1840" i="3" s="1"/>
  <c r="L1840" i="3" s="1"/>
  <c r="M1840" i="3" s="1"/>
  <c r="N1840" i="3" s="1"/>
  <c r="F1839" i="3"/>
  <c r="G1839" i="3" s="1"/>
  <c r="H1839" i="3" s="1"/>
  <c r="I1839" i="3" s="1"/>
  <c r="J1839" i="3" s="1"/>
  <c r="K1839" i="3" s="1"/>
  <c r="L1839" i="3" s="1"/>
  <c r="M1839" i="3" s="1"/>
  <c r="N1839" i="3" s="1"/>
  <c r="F1838" i="3"/>
  <c r="G1838" i="3" s="1"/>
  <c r="H1838" i="3" s="1"/>
  <c r="I1838" i="3" s="1"/>
  <c r="J1838" i="3" s="1"/>
  <c r="K1838" i="3" s="1"/>
  <c r="L1838" i="3" s="1"/>
  <c r="M1838" i="3" s="1"/>
  <c r="N1838" i="3" s="1"/>
  <c r="F1837" i="3"/>
  <c r="G1837" i="3" s="1"/>
  <c r="H1837" i="3" s="1"/>
  <c r="I1837" i="3" s="1"/>
  <c r="J1837" i="3" s="1"/>
  <c r="K1837" i="3" s="1"/>
  <c r="L1837" i="3" s="1"/>
  <c r="M1837" i="3" s="1"/>
  <c r="N1837" i="3" s="1"/>
  <c r="F1836" i="3"/>
  <c r="G1836" i="3" s="1"/>
  <c r="H1836" i="3" s="1"/>
  <c r="I1836" i="3" s="1"/>
  <c r="J1836" i="3" s="1"/>
  <c r="K1836" i="3" s="1"/>
  <c r="L1836" i="3" s="1"/>
  <c r="M1836" i="3" s="1"/>
  <c r="N1836" i="3" s="1"/>
  <c r="F1835" i="3"/>
  <c r="G1835" i="3" s="1"/>
  <c r="H1835" i="3" s="1"/>
  <c r="I1835" i="3" s="1"/>
  <c r="J1835" i="3" s="1"/>
  <c r="K1835" i="3" s="1"/>
  <c r="L1835" i="3" s="1"/>
  <c r="M1835" i="3" s="1"/>
  <c r="N1835" i="3" s="1"/>
  <c r="F1834" i="3"/>
  <c r="G1834" i="3" s="1"/>
  <c r="H1834" i="3" s="1"/>
  <c r="I1834" i="3" s="1"/>
  <c r="J1834" i="3" s="1"/>
  <c r="K1834" i="3" s="1"/>
  <c r="L1834" i="3" s="1"/>
  <c r="M1834" i="3" s="1"/>
  <c r="N1834" i="3" s="1"/>
  <c r="F1833" i="3"/>
  <c r="F1778" i="3"/>
  <c r="G1778" i="3" s="1"/>
  <c r="H1778" i="3" s="1"/>
  <c r="I1778" i="3" s="1"/>
  <c r="J1778" i="3" s="1"/>
  <c r="K1778" i="3" s="1"/>
  <c r="L1778" i="3" s="1"/>
  <c r="M1778" i="3" s="1"/>
  <c r="N1778" i="3" s="1"/>
  <c r="G1777" i="3"/>
  <c r="H1777" i="3" s="1"/>
  <c r="I1777" i="3" s="1"/>
  <c r="J1777" i="3" s="1"/>
  <c r="K1777" i="3" s="1"/>
  <c r="L1777" i="3" s="1"/>
  <c r="M1777" i="3" s="1"/>
  <c r="N1777" i="3" s="1"/>
  <c r="F1773" i="3"/>
  <c r="G1773" i="3" s="1"/>
  <c r="H1773" i="3" s="1"/>
  <c r="I1773" i="3" s="1"/>
  <c r="J1773" i="3" s="1"/>
  <c r="K1773" i="3" s="1"/>
  <c r="L1773" i="3" s="1"/>
  <c r="M1773" i="3" s="1"/>
  <c r="N1773" i="3" s="1"/>
  <c r="G1771" i="3"/>
  <c r="H1771" i="3" s="1"/>
  <c r="I1771" i="3" s="1"/>
  <c r="J1771" i="3" s="1"/>
  <c r="K1771" i="3" s="1"/>
  <c r="L1771" i="3" s="1"/>
  <c r="M1771" i="3" s="1"/>
  <c r="N1771" i="3" s="1"/>
  <c r="F1770" i="3"/>
  <c r="F1710" i="3"/>
  <c r="F1680" i="3"/>
  <c r="G1680" i="3" s="1"/>
  <c r="H1680" i="3" s="1"/>
  <c r="I1680" i="3" s="1"/>
  <c r="J1680" i="3" s="1"/>
  <c r="K1680" i="3" s="1"/>
  <c r="L1680" i="3" s="1"/>
  <c r="M1680" i="3" s="1"/>
  <c r="N1680" i="3" s="1"/>
  <c r="F1677" i="3"/>
  <c r="G1677" i="3" s="1"/>
  <c r="H1677" i="3" s="1"/>
  <c r="I1677" i="3" s="1"/>
  <c r="J1677" i="3" s="1"/>
  <c r="K1677" i="3" s="1"/>
  <c r="L1677" i="3" s="1"/>
  <c r="M1677" i="3" s="1"/>
  <c r="N1677" i="3" s="1"/>
  <c r="F1672" i="3"/>
  <c r="G1672" i="3" s="1"/>
  <c r="H1672" i="3" s="1"/>
  <c r="I1672" i="3" s="1"/>
  <c r="J1672" i="3" s="1"/>
  <c r="K1672" i="3" s="1"/>
  <c r="L1672" i="3" s="1"/>
  <c r="M1672" i="3" s="1"/>
  <c r="N1672" i="3" s="1"/>
  <c r="F1668" i="3"/>
  <c r="G1668" i="3" s="1"/>
  <c r="H1668" i="3" s="1"/>
  <c r="I1668" i="3" s="1"/>
  <c r="J1668" i="3" s="1"/>
  <c r="K1668" i="3" s="1"/>
  <c r="L1668" i="3" s="1"/>
  <c r="M1668" i="3" s="1"/>
  <c r="N1668" i="3" s="1"/>
  <c r="F1666" i="3"/>
  <c r="G1666" i="3" s="1"/>
  <c r="H1666" i="3" s="1"/>
  <c r="I1666" i="3" s="1"/>
  <c r="J1666" i="3" s="1"/>
  <c r="K1666" i="3" s="1"/>
  <c r="L1666" i="3" s="1"/>
  <c r="M1666" i="3" s="1"/>
  <c r="N1666" i="3" s="1"/>
  <c r="F1665" i="3"/>
  <c r="G1665" i="3" s="1"/>
  <c r="H1665" i="3" s="1"/>
  <c r="I1665" i="3" s="1"/>
  <c r="J1665" i="3" s="1"/>
  <c r="K1665" i="3" s="1"/>
  <c r="L1665" i="3" s="1"/>
  <c r="M1665" i="3" s="1"/>
  <c r="N1665" i="3" s="1"/>
  <c r="F1664" i="3"/>
  <c r="G1664" i="3" s="1"/>
  <c r="H1664" i="3" s="1"/>
  <c r="I1664" i="3" s="1"/>
  <c r="J1664" i="3" s="1"/>
  <c r="K1664" i="3" s="1"/>
  <c r="L1664" i="3" s="1"/>
  <c r="M1664" i="3" s="1"/>
  <c r="N1664" i="3" s="1"/>
  <c r="F1660" i="3"/>
  <c r="G1660" i="3" s="1"/>
  <c r="H1660" i="3" s="1"/>
  <c r="I1660" i="3" s="1"/>
  <c r="J1660" i="3" s="1"/>
  <c r="K1660" i="3" s="1"/>
  <c r="L1660" i="3" s="1"/>
  <c r="M1660" i="3" s="1"/>
  <c r="N1660" i="3" s="1"/>
  <c r="F1659" i="3"/>
  <c r="G1659" i="3" s="1"/>
  <c r="H1659" i="3" s="1"/>
  <c r="I1659" i="3" s="1"/>
  <c r="J1659" i="3" s="1"/>
  <c r="K1659" i="3" s="1"/>
  <c r="L1659" i="3" s="1"/>
  <c r="M1659" i="3" s="1"/>
  <c r="N1659" i="3" s="1"/>
  <c r="F1658" i="3"/>
  <c r="G1658" i="3" s="1"/>
  <c r="H1658" i="3" s="1"/>
  <c r="I1658" i="3" s="1"/>
  <c r="J1658" i="3" s="1"/>
  <c r="K1658" i="3" s="1"/>
  <c r="L1658" i="3" s="1"/>
  <c r="M1658" i="3" s="1"/>
  <c r="N1658" i="3" s="1"/>
  <c r="F1657" i="3"/>
  <c r="G1657" i="3" s="1"/>
  <c r="H1657" i="3" s="1"/>
  <c r="I1657" i="3" s="1"/>
  <c r="J1657" i="3" s="1"/>
  <c r="K1657" i="3" s="1"/>
  <c r="L1657" i="3" s="1"/>
  <c r="M1657" i="3" s="1"/>
  <c r="N1657" i="3" s="1"/>
  <c r="F1656" i="3"/>
  <c r="F1611" i="3"/>
  <c r="G1611" i="3" s="1"/>
  <c r="H1611" i="3" s="1"/>
  <c r="I1611" i="3" s="1"/>
  <c r="J1611" i="3" s="1"/>
  <c r="K1611" i="3" s="1"/>
  <c r="L1611" i="3" s="1"/>
  <c r="M1611" i="3" s="1"/>
  <c r="N1611" i="3" s="1"/>
  <c r="F1610" i="3"/>
  <c r="G1610" i="3" s="1"/>
  <c r="H1610" i="3" s="1"/>
  <c r="I1610" i="3" s="1"/>
  <c r="J1610" i="3" s="1"/>
  <c r="K1610" i="3" s="1"/>
  <c r="L1610" i="3" s="1"/>
  <c r="M1610" i="3" s="1"/>
  <c r="N1610" i="3" s="1"/>
  <c r="F1609" i="3"/>
  <c r="G1609" i="3" s="1"/>
  <c r="H1609" i="3" s="1"/>
  <c r="I1609" i="3" s="1"/>
  <c r="J1609" i="3" s="1"/>
  <c r="K1609" i="3" s="1"/>
  <c r="L1609" i="3" s="1"/>
  <c r="M1609" i="3" s="1"/>
  <c r="N1609" i="3" s="1"/>
  <c r="F1608" i="3"/>
  <c r="G1608" i="3" s="1"/>
  <c r="H1608" i="3" s="1"/>
  <c r="I1608" i="3" s="1"/>
  <c r="J1608" i="3" s="1"/>
  <c r="K1608" i="3" s="1"/>
  <c r="L1608" i="3" s="1"/>
  <c r="M1608" i="3" s="1"/>
  <c r="N1608" i="3" s="1"/>
  <c r="F1607" i="3"/>
  <c r="G1607" i="3" s="1"/>
  <c r="H1607" i="3" s="1"/>
  <c r="I1607" i="3" s="1"/>
  <c r="J1607" i="3" s="1"/>
  <c r="K1607" i="3" s="1"/>
  <c r="L1607" i="3" s="1"/>
  <c r="M1607" i="3" s="1"/>
  <c r="N1607" i="3" s="1"/>
  <c r="F1606" i="3"/>
  <c r="G1606" i="3" s="1"/>
  <c r="H1606" i="3" s="1"/>
  <c r="I1606" i="3" s="1"/>
  <c r="J1606" i="3" s="1"/>
  <c r="K1606" i="3" s="1"/>
  <c r="L1606" i="3" s="1"/>
  <c r="M1606" i="3" s="1"/>
  <c r="N1606" i="3" s="1"/>
  <c r="F1605" i="3"/>
  <c r="G1605" i="3" s="1"/>
  <c r="H1605" i="3" s="1"/>
  <c r="I1605" i="3" s="1"/>
  <c r="J1605" i="3" s="1"/>
  <c r="K1605" i="3" s="1"/>
  <c r="L1605" i="3" s="1"/>
  <c r="M1605" i="3" s="1"/>
  <c r="N1605" i="3" s="1"/>
  <c r="F1603" i="3"/>
  <c r="G1603" i="3" s="1"/>
  <c r="H1603" i="3" s="1"/>
  <c r="I1603" i="3" s="1"/>
  <c r="J1603" i="3" s="1"/>
  <c r="K1603" i="3" s="1"/>
  <c r="L1603" i="3" s="1"/>
  <c r="M1603" i="3" s="1"/>
  <c r="N1603" i="3" s="1"/>
  <c r="F1602" i="3"/>
  <c r="G1602" i="3" s="1"/>
  <c r="H1602" i="3" s="1"/>
  <c r="I1602" i="3" s="1"/>
  <c r="J1602" i="3" s="1"/>
  <c r="K1602" i="3" s="1"/>
  <c r="L1602" i="3" s="1"/>
  <c r="M1602" i="3" s="1"/>
  <c r="N1602" i="3" s="1"/>
  <c r="F1601" i="3"/>
  <c r="G1601" i="3" s="1"/>
  <c r="H1601" i="3" s="1"/>
  <c r="I1601" i="3" s="1"/>
  <c r="J1601" i="3" s="1"/>
  <c r="K1601" i="3" s="1"/>
  <c r="L1601" i="3" s="1"/>
  <c r="M1601" i="3" s="1"/>
  <c r="N1601" i="3" s="1"/>
  <c r="F1600" i="3"/>
  <c r="G1600" i="3" s="1"/>
  <c r="H1600" i="3" s="1"/>
  <c r="I1600" i="3" s="1"/>
  <c r="J1600" i="3" s="1"/>
  <c r="K1600" i="3" s="1"/>
  <c r="L1600" i="3" s="1"/>
  <c r="M1600" i="3" s="1"/>
  <c r="N1600" i="3" s="1"/>
  <c r="F1599" i="3"/>
  <c r="F1562" i="3"/>
  <c r="G1562" i="3" s="1"/>
  <c r="H1562" i="3" s="1"/>
  <c r="I1562" i="3" s="1"/>
  <c r="J1562" i="3" s="1"/>
  <c r="K1562" i="3" s="1"/>
  <c r="L1562" i="3" s="1"/>
  <c r="M1562" i="3" s="1"/>
  <c r="N1562" i="3" s="1"/>
  <c r="F1561" i="3"/>
  <c r="G1561" i="3" s="1"/>
  <c r="H1561" i="3" s="1"/>
  <c r="I1561" i="3" s="1"/>
  <c r="J1561" i="3" s="1"/>
  <c r="K1561" i="3" s="1"/>
  <c r="L1561" i="3" s="1"/>
  <c r="M1561" i="3" s="1"/>
  <c r="N1561" i="3" s="1"/>
  <c r="F1560" i="3"/>
  <c r="G1560" i="3" s="1"/>
  <c r="H1560" i="3" s="1"/>
  <c r="I1560" i="3" s="1"/>
  <c r="J1560" i="3" s="1"/>
  <c r="K1560" i="3" s="1"/>
  <c r="L1560" i="3" s="1"/>
  <c r="M1560" i="3" s="1"/>
  <c r="N1560" i="3" s="1"/>
  <c r="F1558" i="3"/>
  <c r="G1558" i="3" s="1"/>
  <c r="H1558" i="3" s="1"/>
  <c r="I1558" i="3" s="1"/>
  <c r="J1558" i="3" s="1"/>
  <c r="K1558" i="3" s="1"/>
  <c r="L1558" i="3" s="1"/>
  <c r="M1558" i="3" s="1"/>
  <c r="N1558" i="3" s="1"/>
  <c r="F1557" i="3"/>
  <c r="G1557" i="3" s="1"/>
  <c r="H1557" i="3" s="1"/>
  <c r="I1557" i="3" s="1"/>
  <c r="J1557" i="3" s="1"/>
  <c r="K1557" i="3" s="1"/>
  <c r="L1557" i="3" s="1"/>
  <c r="M1557" i="3" s="1"/>
  <c r="N1557" i="3" s="1"/>
  <c r="F1556" i="3"/>
  <c r="G1556" i="3" s="1"/>
  <c r="H1556" i="3" s="1"/>
  <c r="I1556" i="3" s="1"/>
  <c r="J1556" i="3" s="1"/>
  <c r="K1556" i="3" s="1"/>
  <c r="L1556" i="3" s="1"/>
  <c r="M1556" i="3" s="1"/>
  <c r="N1556" i="3" s="1"/>
  <c r="F1555" i="3"/>
  <c r="F1518" i="3"/>
  <c r="G1518" i="3" s="1"/>
  <c r="H1518" i="3" s="1"/>
  <c r="I1518" i="3" s="1"/>
  <c r="J1518" i="3" s="1"/>
  <c r="K1518" i="3" s="1"/>
  <c r="L1518" i="3" s="1"/>
  <c r="M1518" i="3" s="1"/>
  <c r="N1518" i="3" s="1"/>
  <c r="F1517" i="3"/>
  <c r="G1517" i="3" s="1"/>
  <c r="H1517" i="3" s="1"/>
  <c r="I1517" i="3" s="1"/>
  <c r="J1517" i="3" s="1"/>
  <c r="K1517" i="3" s="1"/>
  <c r="L1517" i="3" s="1"/>
  <c r="M1517" i="3" s="1"/>
  <c r="N1517" i="3" s="1"/>
  <c r="F1516" i="3"/>
  <c r="G1516" i="3" s="1"/>
  <c r="H1516" i="3" s="1"/>
  <c r="I1516" i="3" s="1"/>
  <c r="J1516" i="3" s="1"/>
  <c r="K1516" i="3" s="1"/>
  <c r="L1516" i="3" s="1"/>
  <c r="M1516" i="3" s="1"/>
  <c r="N1516" i="3" s="1"/>
  <c r="F1515" i="3"/>
  <c r="G1515" i="3" s="1"/>
  <c r="H1515" i="3" s="1"/>
  <c r="I1515" i="3" s="1"/>
  <c r="J1515" i="3" s="1"/>
  <c r="K1515" i="3" s="1"/>
  <c r="L1515" i="3" s="1"/>
  <c r="M1515" i="3" s="1"/>
  <c r="N1515" i="3" s="1"/>
  <c r="F1513" i="3"/>
  <c r="G1513" i="3" s="1"/>
  <c r="H1513" i="3" s="1"/>
  <c r="I1513" i="3" s="1"/>
  <c r="J1513" i="3" s="1"/>
  <c r="K1513" i="3" s="1"/>
  <c r="L1513" i="3" s="1"/>
  <c r="M1513" i="3" s="1"/>
  <c r="N1513" i="3" s="1"/>
  <c r="F1511" i="3"/>
  <c r="G1511" i="3" s="1"/>
  <c r="H1511" i="3" s="1"/>
  <c r="I1511" i="3" s="1"/>
  <c r="J1511" i="3" s="1"/>
  <c r="K1511" i="3" s="1"/>
  <c r="L1511" i="3" s="1"/>
  <c r="M1511" i="3" s="1"/>
  <c r="N1511" i="3" s="1"/>
  <c r="F1510" i="3"/>
  <c r="G1510" i="3" s="1"/>
  <c r="H1510" i="3" s="1"/>
  <c r="I1510" i="3" s="1"/>
  <c r="J1510" i="3" s="1"/>
  <c r="K1510" i="3" s="1"/>
  <c r="L1510" i="3" s="1"/>
  <c r="M1510" i="3" s="1"/>
  <c r="N1510" i="3" s="1"/>
  <c r="F1508" i="3"/>
  <c r="G1508" i="3" s="1"/>
  <c r="H1508" i="3" s="1"/>
  <c r="I1508" i="3" s="1"/>
  <c r="J1508" i="3" s="1"/>
  <c r="K1508" i="3" s="1"/>
  <c r="L1508" i="3" s="1"/>
  <c r="M1508" i="3" s="1"/>
  <c r="N1508" i="3" s="1"/>
  <c r="F1507" i="3"/>
  <c r="G1507" i="3" s="1"/>
  <c r="H1507" i="3" s="1"/>
  <c r="I1507" i="3" s="1"/>
  <c r="J1507" i="3" s="1"/>
  <c r="K1507" i="3" s="1"/>
  <c r="L1507" i="3" s="1"/>
  <c r="M1507" i="3" s="1"/>
  <c r="N1507" i="3" s="1"/>
  <c r="F1506" i="3"/>
  <c r="G1506" i="3" s="1"/>
  <c r="H1506" i="3" s="1"/>
  <c r="I1506" i="3" s="1"/>
  <c r="J1506" i="3" s="1"/>
  <c r="K1506" i="3" s="1"/>
  <c r="L1506" i="3" s="1"/>
  <c r="M1506" i="3" s="1"/>
  <c r="N1506" i="3" s="1"/>
  <c r="F1505" i="3"/>
  <c r="G1505" i="3" s="1"/>
  <c r="H1505" i="3" s="1"/>
  <c r="I1505" i="3" s="1"/>
  <c r="J1505" i="3" s="1"/>
  <c r="K1505" i="3" s="1"/>
  <c r="L1505" i="3" s="1"/>
  <c r="M1505" i="3" s="1"/>
  <c r="N1505" i="3" s="1"/>
  <c r="F1504" i="3"/>
  <c r="G1504" i="3" s="1"/>
  <c r="H1504" i="3" s="1"/>
  <c r="I1504" i="3" s="1"/>
  <c r="J1504" i="3" s="1"/>
  <c r="K1504" i="3" s="1"/>
  <c r="L1504" i="3" s="1"/>
  <c r="M1504" i="3" s="1"/>
  <c r="N1504" i="3" s="1"/>
  <c r="F1502" i="3"/>
  <c r="G1502" i="3" s="1"/>
  <c r="H1502" i="3" s="1"/>
  <c r="I1502" i="3" s="1"/>
  <c r="J1502" i="3" s="1"/>
  <c r="K1502" i="3" s="1"/>
  <c r="L1502" i="3" s="1"/>
  <c r="M1502" i="3" s="1"/>
  <c r="N1502" i="3" s="1"/>
  <c r="F1500" i="3"/>
  <c r="G1500" i="3" s="1"/>
  <c r="H1500" i="3" s="1"/>
  <c r="I1500" i="3" s="1"/>
  <c r="J1500" i="3" s="1"/>
  <c r="K1500" i="3" s="1"/>
  <c r="L1500" i="3" s="1"/>
  <c r="M1500" i="3" s="1"/>
  <c r="N1500" i="3" s="1"/>
  <c r="F1499" i="3"/>
  <c r="G1499" i="3" s="1"/>
  <c r="H1499" i="3" s="1"/>
  <c r="I1499" i="3" s="1"/>
  <c r="J1499" i="3" s="1"/>
  <c r="K1499" i="3" s="1"/>
  <c r="L1499" i="3" s="1"/>
  <c r="M1499" i="3" s="1"/>
  <c r="N1499" i="3" s="1"/>
  <c r="F1498" i="3"/>
  <c r="G1498" i="3" s="1"/>
  <c r="H1498" i="3" s="1"/>
  <c r="I1498" i="3" s="1"/>
  <c r="J1498" i="3" s="1"/>
  <c r="K1498" i="3" s="1"/>
  <c r="L1498" i="3" s="1"/>
  <c r="M1498" i="3" s="1"/>
  <c r="N1498" i="3" s="1"/>
  <c r="F1497" i="3"/>
  <c r="F1334" i="3"/>
  <c r="G1334" i="3" s="1"/>
  <c r="H1334" i="3" s="1"/>
  <c r="I1334" i="3" s="1"/>
  <c r="J1334" i="3" s="1"/>
  <c r="K1334" i="3" s="1"/>
  <c r="L1334" i="3" s="1"/>
  <c r="M1334" i="3" s="1"/>
  <c r="N1334" i="3" s="1"/>
  <c r="F1332" i="3"/>
  <c r="G1332" i="3" s="1"/>
  <c r="H1332" i="3" s="1"/>
  <c r="I1332" i="3" s="1"/>
  <c r="J1332" i="3" s="1"/>
  <c r="K1332" i="3" s="1"/>
  <c r="L1332" i="3" s="1"/>
  <c r="M1332" i="3" s="1"/>
  <c r="N1332" i="3" s="1"/>
  <c r="F1331" i="3"/>
  <c r="G1331" i="3" s="1"/>
  <c r="H1331" i="3" s="1"/>
  <c r="I1331" i="3" s="1"/>
  <c r="J1331" i="3" s="1"/>
  <c r="K1331" i="3" s="1"/>
  <c r="L1331" i="3" s="1"/>
  <c r="M1331" i="3" s="1"/>
  <c r="N1331" i="3" s="1"/>
  <c r="F1330" i="3"/>
  <c r="G1330" i="3" s="1"/>
  <c r="H1330" i="3" s="1"/>
  <c r="I1330" i="3" s="1"/>
  <c r="J1330" i="3" s="1"/>
  <c r="K1330" i="3" s="1"/>
  <c r="L1330" i="3" s="1"/>
  <c r="M1330" i="3" s="1"/>
  <c r="N1330" i="3" s="1"/>
  <c r="F1329" i="3"/>
  <c r="G1329" i="3" s="1"/>
  <c r="H1329" i="3" s="1"/>
  <c r="I1329" i="3" s="1"/>
  <c r="J1329" i="3" s="1"/>
  <c r="K1329" i="3" s="1"/>
  <c r="L1329" i="3" s="1"/>
  <c r="M1329" i="3" s="1"/>
  <c r="N1329" i="3" s="1"/>
  <c r="F1328" i="3"/>
  <c r="G1328" i="3" s="1"/>
  <c r="H1328" i="3" s="1"/>
  <c r="I1328" i="3" s="1"/>
  <c r="J1328" i="3" s="1"/>
  <c r="K1328" i="3" s="1"/>
  <c r="L1328" i="3" s="1"/>
  <c r="M1328" i="3" s="1"/>
  <c r="N1328" i="3" s="1"/>
  <c r="F1327" i="3"/>
  <c r="G1327" i="3" s="1"/>
  <c r="H1327" i="3" s="1"/>
  <c r="I1327" i="3" s="1"/>
  <c r="J1327" i="3" s="1"/>
  <c r="K1327" i="3" s="1"/>
  <c r="L1327" i="3" s="1"/>
  <c r="M1327" i="3" s="1"/>
  <c r="N1327" i="3" s="1"/>
  <c r="F1326" i="3"/>
  <c r="G1326" i="3" s="1"/>
  <c r="H1326" i="3" s="1"/>
  <c r="I1326" i="3" s="1"/>
  <c r="J1326" i="3" s="1"/>
  <c r="K1326" i="3" s="1"/>
  <c r="L1326" i="3" s="1"/>
  <c r="M1326" i="3" s="1"/>
  <c r="N1326" i="3" s="1"/>
  <c r="F1325" i="3"/>
  <c r="G1325" i="3" s="1"/>
  <c r="H1325" i="3" s="1"/>
  <c r="I1325" i="3" s="1"/>
  <c r="J1325" i="3" s="1"/>
  <c r="K1325" i="3" s="1"/>
  <c r="L1325" i="3" s="1"/>
  <c r="M1325" i="3" s="1"/>
  <c r="N1325" i="3" s="1"/>
  <c r="F1324" i="3"/>
  <c r="G1324" i="3" s="1"/>
  <c r="H1324" i="3" s="1"/>
  <c r="I1324" i="3" s="1"/>
  <c r="J1324" i="3" s="1"/>
  <c r="K1324" i="3" s="1"/>
  <c r="L1324" i="3" s="1"/>
  <c r="M1324" i="3" s="1"/>
  <c r="N1324" i="3" s="1"/>
  <c r="F1323" i="3"/>
  <c r="G1323" i="3" s="1"/>
  <c r="H1323" i="3" s="1"/>
  <c r="I1323" i="3" s="1"/>
  <c r="J1323" i="3" s="1"/>
  <c r="K1323" i="3" s="1"/>
  <c r="L1323" i="3" s="1"/>
  <c r="M1323" i="3" s="1"/>
  <c r="N1323" i="3" s="1"/>
  <c r="F1322" i="3"/>
  <c r="G1322" i="3" s="1"/>
  <c r="H1322" i="3" s="1"/>
  <c r="I1322" i="3" s="1"/>
  <c r="J1322" i="3" s="1"/>
  <c r="K1322" i="3" s="1"/>
  <c r="L1322" i="3" s="1"/>
  <c r="M1322" i="3" s="1"/>
  <c r="N1322" i="3" s="1"/>
  <c r="F1320" i="3"/>
  <c r="G1320" i="3" s="1"/>
  <c r="H1320" i="3" s="1"/>
  <c r="I1320" i="3" s="1"/>
  <c r="J1320" i="3" s="1"/>
  <c r="K1320" i="3" s="1"/>
  <c r="L1320" i="3" s="1"/>
  <c r="M1320" i="3" s="1"/>
  <c r="N1320" i="3" s="1"/>
  <c r="F1318" i="3"/>
  <c r="G1318" i="3" s="1"/>
  <c r="H1318" i="3" s="1"/>
  <c r="I1318" i="3" s="1"/>
  <c r="J1318" i="3" s="1"/>
  <c r="K1318" i="3" s="1"/>
  <c r="L1318" i="3" s="1"/>
  <c r="M1318" i="3" s="1"/>
  <c r="N1318" i="3" s="1"/>
  <c r="F1316" i="3"/>
  <c r="G1316" i="3" s="1"/>
  <c r="H1316" i="3" s="1"/>
  <c r="I1316" i="3" s="1"/>
  <c r="J1316" i="3" s="1"/>
  <c r="K1316" i="3" s="1"/>
  <c r="L1316" i="3" s="1"/>
  <c r="M1316" i="3" s="1"/>
  <c r="N1316" i="3" s="1"/>
  <c r="F1315" i="3"/>
  <c r="G1315" i="3" s="1"/>
  <c r="H1315" i="3" s="1"/>
  <c r="I1315" i="3" s="1"/>
  <c r="J1315" i="3" s="1"/>
  <c r="K1315" i="3" s="1"/>
  <c r="L1315" i="3" s="1"/>
  <c r="M1315" i="3" s="1"/>
  <c r="N1315" i="3" s="1"/>
  <c r="F1314" i="3"/>
  <c r="G1314" i="3" s="1"/>
  <c r="H1314" i="3" s="1"/>
  <c r="I1314" i="3" s="1"/>
  <c r="J1314" i="3" s="1"/>
  <c r="K1314" i="3" s="1"/>
  <c r="L1314" i="3" s="1"/>
  <c r="M1314" i="3" s="1"/>
  <c r="N1314" i="3" s="1"/>
  <c r="F1313" i="3"/>
  <c r="F1268" i="3"/>
  <c r="G1268" i="3" s="1"/>
  <c r="H1268" i="3" s="1"/>
  <c r="I1268" i="3" s="1"/>
  <c r="J1268" i="3" s="1"/>
  <c r="K1268" i="3" s="1"/>
  <c r="L1268" i="3" s="1"/>
  <c r="M1268" i="3" s="1"/>
  <c r="N1268" i="3" s="1"/>
  <c r="F1267" i="3"/>
  <c r="G1267" i="3" s="1"/>
  <c r="H1267" i="3" s="1"/>
  <c r="I1267" i="3" s="1"/>
  <c r="J1267" i="3" s="1"/>
  <c r="K1267" i="3" s="1"/>
  <c r="L1267" i="3" s="1"/>
  <c r="M1267" i="3" s="1"/>
  <c r="N1267" i="3" s="1"/>
  <c r="F1266" i="3"/>
  <c r="G1266" i="3" s="1"/>
  <c r="H1266" i="3" s="1"/>
  <c r="I1266" i="3" s="1"/>
  <c r="J1266" i="3" s="1"/>
  <c r="K1266" i="3" s="1"/>
  <c r="L1266" i="3" s="1"/>
  <c r="M1266" i="3" s="1"/>
  <c r="N1266" i="3" s="1"/>
  <c r="F1264" i="3"/>
  <c r="G1264" i="3" s="1"/>
  <c r="H1264" i="3" s="1"/>
  <c r="I1264" i="3" s="1"/>
  <c r="J1264" i="3" s="1"/>
  <c r="K1264" i="3" s="1"/>
  <c r="L1264" i="3" s="1"/>
  <c r="M1264" i="3" s="1"/>
  <c r="N1264" i="3" s="1"/>
  <c r="F1262" i="3"/>
  <c r="G1262" i="3" s="1"/>
  <c r="H1262" i="3" s="1"/>
  <c r="I1262" i="3" s="1"/>
  <c r="J1262" i="3" s="1"/>
  <c r="K1262" i="3" s="1"/>
  <c r="L1262" i="3" s="1"/>
  <c r="M1262" i="3" s="1"/>
  <c r="N1262" i="3" s="1"/>
  <c r="F1261" i="3"/>
  <c r="G1261" i="3" s="1"/>
  <c r="H1261" i="3" s="1"/>
  <c r="I1261" i="3" s="1"/>
  <c r="J1261" i="3" s="1"/>
  <c r="K1261" i="3" s="1"/>
  <c r="L1261" i="3" s="1"/>
  <c r="M1261" i="3" s="1"/>
  <c r="N1261" i="3" s="1"/>
  <c r="F1260" i="3"/>
  <c r="G1260" i="3" s="1"/>
  <c r="H1260" i="3" s="1"/>
  <c r="I1260" i="3" s="1"/>
  <c r="J1260" i="3" s="1"/>
  <c r="K1260" i="3" s="1"/>
  <c r="L1260" i="3" s="1"/>
  <c r="M1260" i="3" s="1"/>
  <c r="N1260" i="3" s="1"/>
  <c r="F1258" i="3"/>
  <c r="G1258" i="3" s="1"/>
  <c r="H1258" i="3" s="1"/>
  <c r="I1258" i="3" s="1"/>
  <c r="J1258" i="3" s="1"/>
  <c r="K1258" i="3" s="1"/>
  <c r="L1258" i="3" s="1"/>
  <c r="M1258" i="3" s="1"/>
  <c r="N1258" i="3" s="1"/>
  <c r="F1257" i="3"/>
  <c r="G1257" i="3" s="1"/>
  <c r="H1257" i="3" s="1"/>
  <c r="I1257" i="3" s="1"/>
  <c r="J1257" i="3" s="1"/>
  <c r="K1257" i="3" s="1"/>
  <c r="L1257" i="3" s="1"/>
  <c r="M1257" i="3" s="1"/>
  <c r="N1257" i="3" s="1"/>
  <c r="F1255" i="3"/>
  <c r="G1255" i="3" s="1"/>
  <c r="H1255" i="3" s="1"/>
  <c r="I1255" i="3" s="1"/>
  <c r="J1255" i="3" s="1"/>
  <c r="K1255" i="3" s="1"/>
  <c r="L1255" i="3" s="1"/>
  <c r="M1255" i="3" s="1"/>
  <c r="N1255" i="3" s="1"/>
  <c r="F1254" i="3"/>
  <c r="G1254" i="3" s="1"/>
  <c r="H1254" i="3" s="1"/>
  <c r="I1254" i="3" s="1"/>
  <c r="J1254" i="3" s="1"/>
  <c r="K1254" i="3" s="1"/>
  <c r="L1254" i="3" s="1"/>
  <c r="M1254" i="3" s="1"/>
  <c r="N1254" i="3" s="1"/>
  <c r="F1253" i="3"/>
  <c r="G1253" i="3" s="1"/>
  <c r="H1253" i="3" s="1"/>
  <c r="I1253" i="3" s="1"/>
  <c r="J1253" i="3" s="1"/>
  <c r="K1253" i="3" s="1"/>
  <c r="L1253" i="3" s="1"/>
  <c r="M1253" i="3" s="1"/>
  <c r="N1253" i="3" s="1"/>
  <c r="F1251" i="3"/>
  <c r="G1251" i="3" s="1"/>
  <c r="H1251" i="3" s="1"/>
  <c r="I1251" i="3" s="1"/>
  <c r="J1251" i="3" s="1"/>
  <c r="K1251" i="3" s="1"/>
  <c r="L1251" i="3" s="1"/>
  <c r="M1251" i="3" s="1"/>
  <c r="N1251" i="3" s="1"/>
  <c r="F1250" i="3"/>
  <c r="G1250" i="3" s="1"/>
  <c r="H1250" i="3" s="1"/>
  <c r="I1250" i="3" s="1"/>
  <c r="J1250" i="3" s="1"/>
  <c r="K1250" i="3" s="1"/>
  <c r="L1250" i="3" s="1"/>
  <c r="M1250" i="3" s="1"/>
  <c r="N1250" i="3" s="1"/>
  <c r="F1249" i="3"/>
  <c r="G1249" i="3" s="1"/>
  <c r="H1249" i="3" s="1"/>
  <c r="I1249" i="3" s="1"/>
  <c r="J1249" i="3" s="1"/>
  <c r="K1249" i="3" s="1"/>
  <c r="L1249" i="3" s="1"/>
  <c r="M1249" i="3" s="1"/>
  <c r="N1249" i="3" s="1"/>
  <c r="F1248" i="3"/>
  <c r="G1248" i="3" s="1"/>
  <c r="H1248" i="3" s="1"/>
  <c r="I1248" i="3" s="1"/>
  <c r="J1248" i="3" s="1"/>
  <c r="K1248" i="3" s="1"/>
  <c r="L1248" i="3" s="1"/>
  <c r="M1248" i="3" s="1"/>
  <c r="N1248" i="3" s="1"/>
  <c r="F1246" i="3"/>
  <c r="G1175" i="3"/>
  <c r="F1156" i="3"/>
  <c r="G1156" i="3" s="1"/>
  <c r="H1156" i="3" s="1"/>
  <c r="I1156" i="3" s="1"/>
  <c r="J1156" i="3" s="1"/>
  <c r="K1156" i="3" s="1"/>
  <c r="L1156" i="3" s="1"/>
  <c r="M1156" i="3" s="1"/>
  <c r="N1156" i="3" s="1"/>
  <c r="F1155" i="3"/>
  <c r="G1155" i="3" s="1"/>
  <c r="H1155" i="3" s="1"/>
  <c r="I1155" i="3" s="1"/>
  <c r="J1155" i="3" s="1"/>
  <c r="K1155" i="3" s="1"/>
  <c r="L1155" i="3" s="1"/>
  <c r="M1155" i="3" s="1"/>
  <c r="N1155" i="3" s="1"/>
  <c r="F1154" i="3"/>
  <c r="G1154" i="3" s="1"/>
  <c r="H1154" i="3" s="1"/>
  <c r="I1154" i="3" s="1"/>
  <c r="J1154" i="3" s="1"/>
  <c r="K1154" i="3" s="1"/>
  <c r="L1154" i="3" s="1"/>
  <c r="M1154" i="3" s="1"/>
  <c r="N1154" i="3" s="1"/>
  <c r="F1153" i="3"/>
  <c r="G1153" i="3" s="1"/>
  <c r="H1153" i="3" s="1"/>
  <c r="I1153" i="3" s="1"/>
  <c r="J1153" i="3" s="1"/>
  <c r="K1153" i="3" s="1"/>
  <c r="L1153" i="3" s="1"/>
  <c r="M1153" i="3" s="1"/>
  <c r="N1153" i="3" s="1"/>
  <c r="F1152" i="3"/>
  <c r="G1152" i="3" s="1"/>
  <c r="H1152" i="3" s="1"/>
  <c r="I1152" i="3" s="1"/>
  <c r="J1152" i="3" s="1"/>
  <c r="K1152" i="3" s="1"/>
  <c r="L1152" i="3" s="1"/>
  <c r="M1152" i="3" s="1"/>
  <c r="N1152" i="3" s="1"/>
  <c r="F1150" i="3"/>
  <c r="G1150" i="3" s="1"/>
  <c r="H1150" i="3" s="1"/>
  <c r="I1150" i="3" s="1"/>
  <c r="J1150" i="3" s="1"/>
  <c r="K1150" i="3" s="1"/>
  <c r="L1150" i="3" s="1"/>
  <c r="M1150" i="3" s="1"/>
  <c r="N1150" i="3" s="1"/>
  <c r="F1149" i="3"/>
  <c r="G1149" i="3" s="1"/>
  <c r="H1149" i="3" s="1"/>
  <c r="I1149" i="3" s="1"/>
  <c r="J1149" i="3" s="1"/>
  <c r="K1149" i="3" s="1"/>
  <c r="L1149" i="3" s="1"/>
  <c r="M1149" i="3" s="1"/>
  <c r="N1149" i="3" s="1"/>
  <c r="F1147" i="3"/>
  <c r="G1147" i="3" s="1"/>
  <c r="H1147" i="3" s="1"/>
  <c r="I1147" i="3" s="1"/>
  <c r="J1147" i="3" s="1"/>
  <c r="K1147" i="3" s="1"/>
  <c r="L1147" i="3" s="1"/>
  <c r="M1147" i="3" s="1"/>
  <c r="N1147" i="3" s="1"/>
  <c r="F1145" i="3"/>
  <c r="G1145" i="3" s="1"/>
  <c r="H1145" i="3" s="1"/>
  <c r="I1145" i="3" s="1"/>
  <c r="J1145" i="3" s="1"/>
  <c r="K1145" i="3" s="1"/>
  <c r="L1145" i="3" s="1"/>
  <c r="M1145" i="3" s="1"/>
  <c r="N1145" i="3" s="1"/>
  <c r="F1143" i="3"/>
  <c r="G1143" i="3" s="1"/>
  <c r="H1143" i="3" s="1"/>
  <c r="I1143" i="3" s="1"/>
  <c r="J1143" i="3" s="1"/>
  <c r="K1143" i="3" s="1"/>
  <c r="L1143" i="3" s="1"/>
  <c r="M1143" i="3" s="1"/>
  <c r="N1143" i="3" s="1"/>
  <c r="F1142" i="3"/>
  <c r="G1142" i="3" s="1"/>
  <c r="H1142" i="3" s="1"/>
  <c r="I1142" i="3" s="1"/>
  <c r="J1142" i="3" s="1"/>
  <c r="K1142" i="3" s="1"/>
  <c r="L1142" i="3" s="1"/>
  <c r="M1142" i="3" s="1"/>
  <c r="N1142" i="3" s="1"/>
  <c r="F1140" i="3"/>
  <c r="G1140" i="3" s="1"/>
  <c r="H1140" i="3" s="1"/>
  <c r="I1140" i="3" s="1"/>
  <c r="J1140" i="3" s="1"/>
  <c r="K1140" i="3" s="1"/>
  <c r="L1140" i="3" s="1"/>
  <c r="M1140" i="3" s="1"/>
  <c r="N1140" i="3" s="1"/>
  <c r="F1139" i="3"/>
  <c r="G1139" i="3" s="1"/>
  <c r="H1139" i="3" s="1"/>
  <c r="I1139" i="3" s="1"/>
  <c r="J1139" i="3" s="1"/>
  <c r="K1139" i="3" s="1"/>
  <c r="L1139" i="3" s="1"/>
  <c r="M1139" i="3" s="1"/>
  <c r="N1139" i="3" s="1"/>
  <c r="F1138" i="3"/>
  <c r="G1138" i="3" s="1"/>
  <c r="H1138" i="3" s="1"/>
  <c r="I1138" i="3" s="1"/>
  <c r="J1138" i="3" s="1"/>
  <c r="K1138" i="3" s="1"/>
  <c r="L1138" i="3" s="1"/>
  <c r="M1138" i="3" s="1"/>
  <c r="N1138" i="3" s="1"/>
  <c r="F1137" i="3"/>
  <c r="G1137" i="3" s="1"/>
  <c r="H1137" i="3" s="1"/>
  <c r="I1137" i="3" s="1"/>
  <c r="J1137" i="3" s="1"/>
  <c r="K1137" i="3" s="1"/>
  <c r="L1137" i="3" s="1"/>
  <c r="M1137" i="3" s="1"/>
  <c r="N1137" i="3" s="1"/>
  <c r="F1136" i="3"/>
  <c r="G1136" i="3" s="1"/>
  <c r="H1136" i="3" s="1"/>
  <c r="I1136" i="3" s="1"/>
  <c r="J1136" i="3" s="1"/>
  <c r="K1136" i="3" s="1"/>
  <c r="L1136" i="3" s="1"/>
  <c r="M1136" i="3" s="1"/>
  <c r="N1136" i="3" s="1"/>
  <c r="F1134" i="3"/>
  <c r="G1134" i="3" s="1"/>
  <c r="H1134" i="3" s="1"/>
  <c r="I1134" i="3" s="1"/>
  <c r="J1134" i="3" s="1"/>
  <c r="K1134" i="3" s="1"/>
  <c r="L1134" i="3" s="1"/>
  <c r="M1134" i="3" s="1"/>
  <c r="N1134" i="3" s="1"/>
  <c r="F1133" i="3"/>
  <c r="F1131" i="3"/>
  <c r="G1131" i="3" s="1"/>
  <c r="H1131" i="3" s="1"/>
  <c r="I1131" i="3" s="1"/>
  <c r="J1131" i="3" s="1"/>
  <c r="K1131" i="3" s="1"/>
  <c r="L1131" i="3" s="1"/>
  <c r="M1131" i="3" s="1"/>
  <c r="N1131" i="3" s="1"/>
  <c r="F1129" i="3"/>
  <c r="G1129" i="3" s="1"/>
  <c r="H1129" i="3" s="1"/>
  <c r="I1129" i="3" s="1"/>
  <c r="J1129" i="3" s="1"/>
  <c r="K1129" i="3" s="1"/>
  <c r="L1129" i="3" s="1"/>
  <c r="M1129" i="3" s="1"/>
  <c r="N1129" i="3" s="1"/>
  <c r="F1128" i="3"/>
  <c r="G1128" i="3" s="1"/>
  <c r="H1128" i="3" s="1"/>
  <c r="I1128" i="3" s="1"/>
  <c r="J1128" i="3" s="1"/>
  <c r="K1128" i="3" s="1"/>
  <c r="L1128" i="3" s="1"/>
  <c r="M1128" i="3" s="1"/>
  <c r="N1128" i="3" s="1"/>
  <c r="F1126" i="3"/>
  <c r="G1126" i="3" s="1"/>
  <c r="F1006" i="3"/>
  <c r="F945" i="3"/>
  <c r="G945" i="3" s="1"/>
  <c r="H945" i="3" s="1"/>
  <c r="I945" i="3" s="1"/>
  <c r="J945" i="3" s="1"/>
  <c r="K945" i="3" s="1"/>
  <c r="L945" i="3" s="1"/>
  <c r="M945" i="3" s="1"/>
  <c r="N945" i="3" s="1"/>
  <c r="F943" i="3"/>
  <c r="G943" i="3" s="1"/>
  <c r="H943" i="3" s="1"/>
  <c r="I943" i="3" s="1"/>
  <c r="J943" i="3" s="1"/>
  <c r="K943" i="3" s="1"/>
  <c r="L943" i="3" s="1"/>
  <c r="M943" i="3" s="1"/>
  <c r="N943" i="3" s="1"/>
  <c r="F942" i="3"/>
  <c r="G942" i="3" s="1"/>
  <c r="H942" i="3" s="1"/>
  <c r="I942" i="3" s="1"/>
  <c r="J942" i="3" s="1"/>
  <c r="K942" i="3" s="1"/>
  <c r="L942" i="3" s="1"/>
  <c r="M942" i="3" s="1"/>
  <c r="N942" i="3" s="1"/>
  <c r="F941" i="3"/>
  <c r="G941" i="3" s="1"/>
  <c r="H941" i="3" s="1"/>
  <c r="I941" i="3" s="1"/>
  <c r="J941" i="3" s="1"/>
  <c r="K941" i="3" s="1"/>
  <c r="L941" i="3" s="1"/>
  <c r="M941" i="3" s="1"/>
  <c r="N941" i="3" s="1"/>
  <c r="F939" i="3"/>
  <c r="G939" i="3" s="1"/>
  <c r="H939" i="3" s="1"/>
  <c r="I939" i="3" s="1"/>
  <c r="J939" i="3" s="1"/>
  <c r="K939" i="3" s="1"/>
  <c r="L939" i="3" s="1"/>
  <c r="M939" i="3" s="1"/>
  <c r="N939" i="3" s="1"/>
  <c r="F935" i="3"/>
  <c r="G935" i="3" s="1"/>
  <c r="H935" i="3" s="1"/>
  <c r="I935" i="3" s="1"/>
  <c r="J935" i="3" s="1"/>
  <c r="K935" i="3" s="1"/>
  <c r="L935" i="3" s="1"/>
  <c r="M935" i="3" s="1"/>
  <c r="N935" i="3" s="1"/>
  <c r="F931" i="3"/>
  <c r="F805" i="3"/>
  <c r="G805" i="3" s="1"/>
  <c r="H805" i="3" s="1"/>
  <c r="I805" i="3" s="1"/>
  <c r="J805" i="3" s="1"/>
  <c r="K805" i="3" s="1"/>
  <c r="L805" i="3" s="1"/>
  <c r="M805" i="3" s="1"/>
  <c r="N805" i="3" s="1"/>
  <c r="F803" i="3"/>
  <c r="G803" i="3" s="1"/>
  <c r="H803" i="3" s="1"/>
  <c r="I803" i="3" s="1"/>
  <c r="J803" i="3" s="1"/>
  <c r="K803" i="3" s="1"/>
  <c r="L803" i="3" s="1"/>
  <c r="M803" i="3" s="1"/>
  <c r="N803" i="3" s="1"/>
  <c r="F802" i="3"/>
  <c r="G802" i="3" s="1"/>
  <c r="H802" i="3" s="1"/>
  <c r="I802" i="3" s="1"/>
  <c r="J802" i="3" s="1"/>
  <c r="K802" i="3" s="1"/>
  <c r="L802" i="3" s="1"/>
  <c r="M802" i="3" s="1"/>
  <c r="N802" i="3" s="1"/>
  <c r="F801" i="3"/>
  <c r="G801" i="3" s="1"/>
  <c r="H801" i="3" s="1"/>
  <c r="I801" i="3" s="1"/>
  <c r="J801" i="3" s="1"/>
  <c r="K801" i="3" s="1"/>
  <c r="L801" i="3" s="1"/>
  <c r="M801" i="3" s="1"/>
  <c r="N801" i="3" s="1"/>
  <c r="F799" i="3"/>
  <c r="G799" i="3" s="1"/>
  <c r="H799" i="3" s="1"/>
  <c r="I799" i="3" s="1"/>
  <c r="J799" i="3" s="1"/>
  <c r="K799" i="3" s="1"/>
  <c r="L799" i="3" s="1"/>
  <c r="M799" i="3" s="1"/>
  <c r="N799" i="3" s="1"/>
  <c r="F798" i="3"/>
  <c r="G752" i="3"/>
  <c r="F750" i="3"/>
  <c r="G750" i="3" s="1"/>
  <c r="H750" i="3" s="1"/>
  <c r="I750" i="3" s="1"/>
  <c r="J750" i="3" s="1"/>
  <c r="K750" i="3" s="1"/>
  <c r="L750" i="3" s="1"/>
  <c r="M750" i="3" s="1"/>
  <c r="N750" i="3" s="1"/>
  <c r="F749" i="3"/>
  <c r="G749" i="3" s="1"/>
  <c r="H749" i="3" s="1"/>
  <c r="I749" i="3" s="1"/>
  <c r="J749" i="3" s="1"/>
  <c r="K749" i="3" s="1"/>
  <c r="L749" i="3" s="1"/>
  <c r="M749" i="3" s="1"/>
  <c r="N749" i="3" s="1"/>
  <c r="F748" i="3"/>
  <c r="F664" i="3"/>
  <c r="G664" i="3" s="1"/>
  <c r="H664" i="3" s="1"/>
  <c r="I664" i="3" s="1"/>
  <c r="J664" i="3" s="1"/>
  <c r="K664" i="3" s="1"/>
  <c r="L664" i="3" s="1"/>
  <c r="M664" i="3" s="1"/>
  <c r="N664" i="3" s="1"/>
  <c r="F662" i="3"/>
  <c r="F590" i="3"/>
  <c r="F563" i="3"/>
  <c r="G563" i="3" s="1"/>
  <c r="H563" i="3" s="1"/>
  <c r="I563" i="3" s="1"/>
  <c r="J563" i="3" s="1"/>
  <c r="K563" i="3" s="1"/>
  <c r="L563" i="3" s="1"/>
  <c r="M563" i="3" s="1"/>
  <c r="N563" i="3" s="1"/>
  <c r="F562" i="3"/>
  <c r="G562" i="3" s="1"/>
  <c r="H562" i="3" s="1"/>
  <c r="I562" i="3" s="1"/>
  <c r="J562" i="3" s="1"/>
  <c r="K562" i="3" s="1"/>
  <c r="L562" i="3" s="1"/>
  <c r="M562" i="3" s="1"/>
  <c r="N562" i="3" s="1"/>
  <c r="F561" i="3"/>
  <c r="G561" i="3" s="1"/>
  <c r="H561" i="3" s="1"/>
  <c r="I561" i="3" s="1"/>
  <c r="J561" i="3" s="1"/>
  <c r="K561" i="3" s="1"/>
  <c r="L561" i="3" s="1"/>
  <c r="M561" i="3" s="1"/>
  <c r="N561" i="3" s="1"/>
  <c r="F559" i="3"/>
  <c r="G559" i="3" s="1"/>
  <c r="H559" i="3" s="1"/>
  <c r="I559" i="3" s="1"/>
  <c r="J559" i="3" s="1"/>
  <c r="K559" i="3" s="1"/>
  <c r="L559" i="3" s="1"/>
  <c r="M559" i="3" s="1"/>
  <c r="N559" i="3" s="1"/>
  <c r="F558" i="3"/>
  <c r="G558" i="3" s="1"/>
  <c r="H558" i="3" s="1"/>
  <c r="I558" i="3" s="1"/>
  <c r="J558" i="3" s="1"/>
  <c r="K558" i="3" s="1"/>
  <c r="L558" i="3" s="1"/>
  <c r="M558" i="3" s="1"/>
  <c r="N558" i="3" s="1"/>
  <c r="F557" i="3"/>
  <c r="G557" i="3" s="1"/>
  <c r="H557" i="3" s="1"/>
  <c r="I557" i="3" s="1"/>
  <c r="J557" i="3" s="1"/>
  <c r="K557" i="3" s="1"/>
  <c r="L557" i="3" s="1"/>
  <c r="M557" i="3" s="1"/>
  <c r="N557" i="3" s="1"/>
  <c r="F555" i="3"/>
  <c r="G555" i="3" s="1"/>
  <c r="H555" i="3" s="1"/>
  <c r="I555" i="3" s="1"/>
  <c r="J555" i="3" s="1"/>
  <c r="K555" i="3" s="1"/>
  <c r="L555" i="3" s="1"/>
  <c r="M555" i="3" s="1"/>
  <c r="N555" i="3" s="1"/>
  <c r="F554" i="3"/>
  <c r="G554" i="3" s="1"/>
  <c r="H554" i="3" s="1"/>
  <c r="I554" i="3" s="1"/>
  <c r="J554" i="3" s="1"/>
  <c r="K554" i="3" s="1"/>
  <c r="L554" i="3" s="1"/>
  <c r="M554" i="3" s="1"/>
  <c r="N554" i="3" s="1"/>
  <c r="F552" i="3"/>
  <c r="G552" i="3" s="1"/>
  <c r="H552" i="3" s="1"/>
  <c r="I552" i="3" s="1"/>
  <c r="J552" i="3" s="1"/>
  <c r="K552" i="3" s="1"/>
  <c r="L552" i="3" s="1"/>
  <c r="M552" i="3" s="1"/>
  <c r="N552" i="3" s="1"/>
  <c r="F551" i="3"/>
  <c r="G551" i="3" s="1"/>
  <c r="H551" i="3" s="1"/>
  <c r="I551" i="3" s="1"/>
  <c r="J551" i="3" s="1"/>
  <c r="K551" i="3" s="1"/>
  <c r="L551" i="3" s="1"/>
  <c r="M551" i="3" s="1"/>
  <c r="N551" i="3" s="1"/>
  <c r="F550" i="3"/>
  <c r="G550" i="3" s="1"/>
  <c r="H550" i="3" s="1"/>
  <c r="I550" i="3" s="1"/>
  <c r="J550" i="3" s="1"/>
  <c r="K550" i="3" s="1"/>
  <c r="L550" i="3" s="1"/>
  <c r="M550" i="3" s="1"/>
  <c r="N550" i="3" s="1"/>
  <c r="F548" i="3"/>
  <c r="G548" i="3" s="1"/>
  <c r="H548" i="3" s="1"/>
  <c r="I548" i="3" s="1"/>
  <c r="J548" i="3" s="1"/>
  <c r="K548" i="3" s="1"/>
  <c r="L548" i="3" s="1"/>
  <c r="M548" i="3" s="1"/>
  <c r="N548" i="3" s="1"/>
  <c r="F547" i="3"/>
  <c r="G547" i="3" s="1"/>
  <c r="H547" i="3" s="1"/>
  <c r="I547" i="3" s="1"/>
  <c r="J547" i="3" s="1"/>
  <c r="K547" i="3" s="1"/>
  <c r="L547" i="3" s="1"/>
  <c r="M547" i="3" s="1"/>
  <c r="N547" i="3" s="1"/>
  <c r="F546" i="3"/>
  <c r="G546" i="3" s="1"/>
  <c r="H546" i="3" s="1"/>
  <c r="I546" i="3" s="1"/>
  <c r="J546" i="3" s="1"/>
  <c r="K546" i="3" s="1"/>
  <c r="L546" i="3" s="1"/>
  <c r="M546" i="3" s="1"/>
  <c r="N546" i="3" s="1"/>
  <c r="F544" i="3"/>
  <c r="G544" i="3" s="1"/>
  <c r="H544" i="3" s="1"/>
  <c r="I544" i="3" s="1"/>
  <c r="J544" i="3" s="1"/>
  <c r="K544" i="3" s="1"/>
  <c r="L544" i="3" s="1"/>
  <c r="M544" i="3" s="1"/>
  <c r="N544" i="3" s="1"/>
  <c r="F543" i="3"/>
  <c r="G543" i="3" s="1"/>
  <c r="H543" i="3" s="1"/>
  <c r="I543" i="3" s="1"/>
  <c r="J543" i="3" s="1"/>
  <c r="K543" i="3" s="1"/>
  <c r="L543" i="3" s="1"/>
  <c r="M543" i="3" s="1"/>
  <c r="N543" i="3" s="1"/>
  <c r="F541" i="3"/>
  <c r="G541" i="3" s="1"/>
  <c r="H541" i="3" s="1"/>
  <c r="I541" i="3" s="1"/>
  <c r="J541" i="3" s="1"/>
  <c r="K541" i="3" s="1"/>
  <c r="L541" i="3" s="1"/>
  <c r="M541" i="3" s="1"/>
  <c r="N541" i="3" s="1"/>
  <c r="F540" i="3"/>
  <c r="G540" i="3" s="1"/>
  <c r="H540" i="3" s="1"/>
  <c r="I540" i="3" s="1"/>
  <c r="J540" i="3" s="1"/>
  <c r="K540" i="3" s="1"/>
  <c r="L540" i="3" s="1"/>
  <c r="M540" i="3" s="1"/>
  <c r="N540" i="3" s="1"/>
  <c r="F539" i="3"/>
  <c r="G539" i="3" s="1"/>
  <c r="H539" i="3" s="1"/>
  <c r="I539" i="3" s="1"/>
  <c r="J539" i="3" s="1"/>
  <c r="K539" i="3" s="1"/>
  <c r="L539" i="3" s="1"/>
  <c r="M539" i="3" s="1"/>
  <c r="N539" i="3" s="1"/>
  <c r="F537" i="3"/>
  <c r="G537" i="3" s="1"/>
  <c r="H537" i="3" s="1"/>
  <c r="I537" i="3" s="1"/>
  <c r="J537" i="3" s="1"/>
  <c r="K537" i="3" s="1"/>
  <c r="L537" i="3" s="1"/>
  <c r="M537" i="3" s="1"/>
  <c r="N537" i="3" s="1"/>
  <c r="F536" i="3"/>
  <c r="G536" i="3" s="1"/>
  <c r="H536" i="3" s="1"/>
  <c r="I536" i="3" s="1"/>
  <c r="J536" i="3" s="1"/>
  <c r="K536" i="3" s="1"/>
  <c r="L536" i="3" s="1"/>
  <c r="M536" i="3" s="1"/>
  <c r="N536" i="3" s="1"/>
  <c r="F535" i="3"/>
  <c r="F485" i="3"/>
  <c r="G485" i="3" s="1"/>
  <c r="H485" i="3" s="1"/>
  <c r="I485" i="3" s="1"/>
  <c r="J485" i="3" s="1"/>
  <c r="K485" i="3" s="1"/>
  <c r="L485" i="3" s="1"/>
  <c r="M485" i="3" s="1"/>
  <c r="N485" i="3" s="1"/>
  <c r="F484" i="3"/>
  <c r="G484" i="3" s="1"/>
  <c r="H484" i="3" s="1"/>
  <c r="I484" i="3" s="1"/>
  <c r="J484" i="3" s="1"/>
  <c r="K484" i="3" s="1"/>
  <c r="L484" i="3" s="1"/>
  <c r="M484" i="3" s="1"/>
  <c r="N484" i="3" s="1"/>
  <c r="F483" i="3"/>
  <c r="G483" i="3" s="1"/>
  <c r="H483" i="3" s="1"/>
  <c r="I483" i="3" s="1"/>
  <c r="J483" i="3" s="1"/>
  <c r="K483" i="3" s="1"/>
  <c r="L483" i="3" s="1"/>
  <c r="M483" i="3" s="1"/>
  <c r="N483" i="3" s="1"/>
  <c r="F481" i="3"/>
  <c r="G481" i="3" s="1"/>
  <c r="H481" i="3" s="1"/>
  <c r="I481" i="3" s="1"/>
  <c r="J481" i="3" s="1"/>
  <c r="K481" i="3" s="1"/>
  <c r="L481" i="3" s="1"/>
  <c r="M481" i="3" s="1"/>
  <c r="N481" i="3" s="1"/>
  <c r="F480" i="3"/>
  <c r="G480" i="3" s="1"/>
  <c r="H480" i="3" s="1"/>
  <c r="I480" i="3" s="1"/>
  <c r="J480" i="3" s="1"/>
  <c r="K480" i="3" s="1"/>
  <c r="L480" i="3" s="1"/>
  <c r="M480" i="3" s="1"/>
  <c r="N480" i="3" s="1"/>
  <c r="F479" i="3"/>
  <c r="G479" i="3" s="1"/>
  <c r="H479" i="3" s="1"/>
  <c r="I479" i="3" s="1"/>
  <c r="J479" i="3" s="1"/>
  <c r="K479" i="3" s="1"/>
  <c r="L479" i="3" s="1"/>
  <c r="M479" i="3" s="1"/>
  <c r="N479" i="3" s="1"/>
  <c r="F478" i="3"/>
  <c r="G478" i="3" s="1"/>
  <c r="H478" i="3" s="1"/>
  <c r="I478" i="3" s="1"/>
  <c r="J478" i="3" s="1"/>
  <c r="K478" i="3" s="1"/>
  <c r="L478" i="3" s="1"/>
  <c r="M478" i="3" s="1"/>
  <c r="N478" i="3" s="1"/>
  <c r="F477" i="3"/>
  <c r="G477" i="3" s="1"/>
  <c r="H477" i="3" s="1"/>
  <c r="I477" i="3" s="1"/>
  <c r="J477" i="3" s="1"/>
  <c r="K477" i="3" s="1"/>
  <c r="L477" i="3" s="1"/>
  <c r="M477" i="3" s="1"/>
  <c r="N477" i="3" s="1"/>
  <c r="F476" i="3"/>
  <c r="G476" i="3" s="1"/>
  <c r="H476" i="3" s="1"/>
  <c r="I476" i="3" s="1"/>
  <c r="J476" i="3" s="1"/>
  <c r="K476" i="3" s="1"/>
  <c r="L476" i="3" s="1"/>
  <c r="M476" i="3" s="1"/>
  <c r="N476" i="3" s="1"/>
  <c r="F475" i="3"/>
  <c r="F433" i="3"/>
  <c r="G433" i="3" s="1"/>
  <c r="H433" i="3" s="1"/>
  <c r="I433" i="3" s="1"/>
  <c r="J433" i="3" s="1"/>
  <c r="K433" i="3" s="1"/>
  <c r="L433" i="3" s="1"/>
  <c r="M433" i="3" s="1"/>
  <c r="N433" i="3" s="1"/>
  <c r="F431" i="3"/>
  <c r="G431" i="3" s="1"/>
  <c r="H431" i="3" s="1"/>
  <c r="I431" i="3" s="1"/>
  <c r="J431" i="3" s="1"/>
  <c r="K431" i="3" s="1"/>
  <c r="L431" i="3" s="1"/>
  <c r="M431" i="3" s="1"/>
  <c r="N431" i="3" s="1"/>
  <c r="F429" i="3"/>
  <c r="G429" i="3" s="1"/>
  <c r="H429" i="3" s="1"/>
  <c r="I429" i="3" s="1"/>
  <c r="J429" i="3" s="1"/>
  <c r="K429" i="3" s="1"/>
  <c r="L429" i="3" s="1"/>
  <c r="M429" i="3" s="1"/>
  <c r="N429" i="3" s="1"/>
  <c r="F428" i="3"/>
  <c r="G428" i="3" s="1"/>
  <c r="H428" i="3" s="1"/>
  <c r="I428" i="3" s="1"/>
  <c r="J428" i="3" s="1"/>
  <c r="K428" i="3" s="1"/>
  <c r="L428" i="3" s="1"/>
  <c r="M428" i="3" s="1"/>
  <c r="N428" i="3" s="1"/>
  <c r="F427" i="3"/>
  <c r="G427" i="3" s="1"/>
  <c r="H427" i="3" s="1"/>
  <c r="I427" i="3" s="1"/>
  <c r="J427" i="3" s="1"/>
  <c r="K427" i="3" s="1"/>
  <c r="L427" i="3" s="1"/>
  <c r="M427" i="3" s="1"/>
  <c r="N427" i="3" s="1"/>
  <c r="F426" i="3"/>
  <c r="G426" i="3" s="1"/>
  <c r="H426" i="3" s="1"/>
  <c r="I426" i="3" s="1"/>
  <c r="J426" i="3" s="1"/>
  <c r="K426" i="3" s="1"/>
  <c r="L426" i="3" s="1"/>
  <c r="M426" i="3" s="1"/>
  <c r="N426" i="3" s="1"/>
  <c r="F424" i="3"/>
  <c r="G424" i="3" s="1"/>
  <c r="H424" i="3" s="1"/>
  <c r="I424" i="3" s="1"/>
  <c r="J424" i="3" s="1"/>
  <c r="K424" i="3" s="1"/>
  <c r="L424" i="3" s="1"/>
  <c r="M424" i="3" s="1"/>
  <c r="N424" i="3" s="1"/>
  <c r="F423" i="3"/>
  <c r="G423" i="3" s="1"/>
  <c r="H423" i="3" s="1"/>
  <c r="I423" i="3" s="1"/>
  <c r="J423" i="3" s="1"/>
  <c r="K423" i="3" s="1"/>
  <c r="L423" i="3" s="1"/>
  <c r="M423" i="3" s="1"/>
  <c r="N423" i="3" s="1"/>
  <c r="F422" i="3"/>
  <c r="G422" i="3" s="1"/>
  <c r="H422" i="3" s="1"/>
  <c r="I422" i="3" s="1"/>
  <c r="J422" i="3" s="1"/>
  <c r="K422" i="3" s="1"/>
  <c r="L422" i="3" s="1"/>
  <c r="M422" i="3" s="1"/>
  <c r="N422" i="3" s="1"/>
  <c r="F420" i="3"/>
  <c r="G420" i="3" s="1"/>
  <c r="H420" i="3" s="1"/>
  <c r="I420" i="3" s="1"/>
  <c r="J420" i="3" s="1"/>
  <c r="K420" i="3" s="1"/>
  <c r="L420" i="3" s="1"/>
  <c r="M420" i="3" s="1"/>
  <c r="N420" i="3" s="1"/>
  <c r="F418" i="3"/>
  <c r="G418" i="3" s="1"/>
  <c r="H418" i="3" s="1"/>
  <c r="I418" i="3" s="1"/>
  <c r="J418" i="3" s="1"/>
  <c r="K418" i="3" s="1"/>
  <c r="L418" i="3" s="1"/>
  <c r="M418" i="3" s="1"/>
  <c r="N418" i="3" s="1"/>
  <c r="F416" i="3"/>
  <c r="G416" i="3" s="1"/>
  <c r="H416" i="3" s="1"/>
  <c r="I416" i="3" s="1"/>
  <c r="J416" i="3" s="1"/>
  <c r="K416" i="3" s="1"/>
  <c r="L416" i="3" s="1"/>
  <c r="M416" i="3" s="1"/>
  <c r="N416" i="3" s="1"/>
  <c r="F415" i="3"/>
  <c r="G415" i="3" s="1"/>
  <c r="H415" i="3" s="1"/>
  <c r="I415" i="3" s="1"/>
  <c r="J415" i="3" s="1"/>
  <c r="K415" i="3" s="1"/>
  <c r="L415" i="3" s="1"/>
  <c r="M415" i="3" s="1"/>
  <c r="N415" i="3" s="1"/>
  <c r="F414" i="3"/>
  <c r="G414" i="3" s="1"/>
  <c r="H414" i="3" s="1"/>
  <c r="I414" i="3" s="1"/>
  <c r="J414" i="3" s="1"/>
  <c r="K414" i="3" s="1"/>
  <c r="L414" i="3" s="1"/>
  <c r="M414" i="3" s="1"/>
  <c r="N414" i="3" s="1"/>
  <c r="F412" i="3"/>
  <c r="G412" i="3" s="1"/>
  <c r="H412" i="3" s="1"/>
  <c r="I412" i="3" s="1"/>
  <c r="J412" i="3" s="1"/>
  <c r="K412" i="3" s="1"/>
  <c r="L412" i="3" s="1"/>
  <c r="M412" i="3" s="1"/>
  <c r="N412" i="3" s="1"/>
  <c r="F410" i="3"/>
  <c r="G410" i="3" s="1"/>
  <c r="H410" i="3" s="1"/>
  <c r="I410" i="3" s="1"/>
  <c r="J410" i="3" s="1"/>
  <c r="K410" i="3" s="1"/>
  <c r="L410" i="3" s="1"/>
  <c r="M410" i="3" s="1"/>
  <c r="N410" i="3" s="1"/>
  <c r="F408" i="3"/>
  <c r="G408" i="3" s="1"/>
  <c r="H408" i="3" s="1"/>
  <c r="I408" i="3" s="1"/>
  <c r="J408" i="3" s="1"/>
  <c r="K408" i="3" s="1"/>
  <c r="L408" i="3" s="1"/>
  <c r="M408" i="3" s="1"/>
  <c r="N408" i="3" s="1"/>
  <c r="F407" i="3"/>
  <c r="F286" i="3"/>
  <c r="G286" i="3" s="1"/>
  <c r="H286" i="3" s="1"/>
  <c r="I286" i="3" s="1"/>
  <c r="J286" i="3" s="1"/>
  <c r="K286" i="3" s="1"/>
  <c r="L286" i="3" s="1"/>
  <c r="M286" i="3" s="1"/>
  <c r="N286" i="3" s="1"/>
  <c r="F285" i="3"/>
  <c r="G285" i="3" s="1"/>
  <c r="H285" i="3" s="1"/>
  <c r="I285" i="3" s="1"/>
  <c r="J285" i="3" s="1"/>
  <c r="K285" i="3" s="1"/>
  <c r="L285" i="3" s="1"/>
  <c r="M285" i="3" s="1"/>
  <c r="N285" i="3" s="1"/>
  <c r="F284" i="3"/>
  <c r="G284" i="3" s="1"/>
  <c r="H284" i="3" s="1"/>
  <c r="I284" i="3" s="1"/>
  <c r="J284" i="3" s="1"/>
  <c r="K284" i="3" s="1"/>
  <c r="L284" i="3" s="1"/>
  <c r="M284" i="3" s="1"/>
  <c r="N284" i="3" s="1"/>
  <c r="F283" i="3"/>
  <c r="F211" i="3"/>
  <c r="G211" i="3" s="1"/>
  <c r="H211" i="3" s="1"/>
  <c r="I211" i="3" s="1"/>
  <c r="J211" i="3" s="1"/>
  <c r="K211" i="3" s="1"/>
  <c r="L211" i="3" s="1"/>
  <c r="M211" i="3" s="1"/>
  <c r="N211" i="3" s="1"/>
  <c r="B322" i="16" l="1"/>
  <c r="B329" i="16" s="1"/>
  <c r="O50" i="25"/>
  <c r="N50" i="25" s="1"/>
  <c r="Q50" i="25" s="1"/>
  <c r="H39" i="25"/>
  <c r="K39" i="25" s="1"/>
  <c r="I40" i="25" s="1"/>
  <c r="C48" i="25"/>
  <c r="B48" i="25" s="1"/>
  <c r="E48" i="25" s="1"/>
  <c r="G1133" i="3"/>
  <c r="G1158" i="3" s="1"/>
  <c r="B9" i="17"/>
  <c r="B16" i="17" s="1"/>
  <c r="G1841" i="3"/>
  <c r="F1801" i="3"/>
  <c r="B384" i="16"/>
  <c r="G2041" i="3"/>
  <c r="F2071" i="3"/>
  <c r="B2074" i="17" s="1"/>
  <c r="B2081" i="17" s="1"/>
  <c r="B2133" i="17" s="1"/>
  <c r="F16" i="23" s="1"/>
  <c r="C509" i="16"/>
  <c r="C516" i="16" s="1"/>
  <c r="G1932" i="3"/>
  <c r="F1962" i="3"/>
  <c r="B2005" i="17" s="1"/>
  <c r="B2012" i="17" s="1"/>
  <c r="G1833" i="3"/>
  <c r="F1868" i="3"/>
  <c r="G1710" i="3"/>
  <c r="F1712" i="3"/>
  <c r="G1770" i="3"/>
  <c r="F1780" i="3"/>
  <c r="G1656" i="3"/>
  <c r="F1682" i="3"/>
  <c r="G1599" i="3"/>
  <c r="F1613" i="3"/>
  <c r="G1555" i="3"/>
  <c r="F1564" i="3"/>
  <c r="G1313" i="3"/>
  <c r="F1336" i="3"/>
  <c r="G1497" i="3"/>
  <c r="F1520" i="3"/>
  <c r="G1246" i="3"/>
  <c r="F1270" i="3"/>
  <c r="B103" i="16" s="1"/>
  <c r="B110" i="16" s="1"/>
  <c r="G1006" i="3"/>
  <c r="F1008" i="3"/>
  <c r="F1158" i="3"/>
  <c r="G931" i="3"/>
  <c r="F947" i="3"/>
  <c r="H1126" i="3"/>
  <c r="H1175" i="3"/>
  <c r="G1177" i="3"/>
  <c r="G798" i="3"/>
  <c r="F807" i="3"/>
  <c r="B135" i="16" s="1"/>
  <c r="B142" i="16" s="1"/>
  <c r="G748" i="3"/>
  <c r="H748" i="3" s="1"/>
  <c r="I748" i="3" s="1"/>
  <c r="J748" i="3" s="1"/>
  <c r="K748" i="3" s="1"/>
  <c r="L748" i="3" s="1"/>
  <c r="M748" i="3" s="1"/>
  <c r="N748" i="3" s="1"/>
  <c r="F754" i="3"/>
  <c r="H752" i="3"/>
  <c r="F213" i="3"/>
  <c r="G535" i="3"/>
  <c r="F565" i="3"/>
  <c r="G662" i="3"/>
  <c r="F666" i="3"/>
  <c r="G283" i="3"/>
  <c r="F288" i="3"/>
  <c r="G407" i="3"/>
  <c r="F435" i="3"/>
  <c r="G475" i="3"/>
  <c r="F487" i="3"/>
  <c r="B571" i="16" s="1"/>
  <c r="B578" i="16" s="1"/>
  <c r="G590" i="3"/>
  <c r="F592" i="3"/>
  <c r="B153" i="11"/>
  <c r="F162" i="3"/>
  <c r="G162" i="3" s="1"/>
  <c r="H162" i="3" s="1"/>
  <c r="I162" i="3" s="1"/>
  <c r="J162" i="3" s="1"/>
  <c r="K162" i="3" s="1"/>
  <c r="L162" i="3" s="1"/>
  <c r="M162" i="3" s="1"/>
  <c r="N162" i="3" s="1"/>
  <c r="F160" i="3"/>
  <c r="G160" i="3" s="1"/>
  <c r="H160" i="3" s="1"/>
  <c r="I160" i="3" s="1"/>
  <c r="J160" i="3" s="1"/>
  <c r="K160" i="3" s="1"/>
  <c r="L160" i="3" s="1"/>
  <c r="M160" i="3" s="1"/>
  <c r="N160" i="3" s="1"/>
  <c r="F161" i="3"/>
  <c r="G161" i="3" s="1"/>
  <c r="H161" i="3" s="1"/>
  <c r="I161" i="3" s="1"/>
  <c r="J161" i="3" s="1"/>
  <c r="K161" i="3" s="1"/>
  <c r="L161" i="3" s="1"/>
  <c r="M161" i="3" s="1"/>
  <c r="N161" i="3" s="1"/>
  <c r="F158" i="3"/>
  <c r="G158" i="3" s="1"/>
  <c r="H158" i="3" s="1"/>
  <c r="I158" i="3" s="1"/>
  <c r="J158" i="3" s="1"/>
  <c r="K158" i="3" s="1"/>
  <c r="L158" i="3" s="1"/>
  <c r="M158" i="3" s="1"/>
  <c r="N158" i="3" s="1"/>
  <c r="F157" i="3"/>
  <c r="G157" i="3" s="1"/>
  <c r="H157" i="3" s="1"/>
  <c r="I157" i="3" s="1"/>
  <c r="J157" i="3" s="1"/>
  <c r="K157" i="3" s="1"/>
  <c r="L157" i="3" s="1"/>
  <c r="M157" i="3" s="1"/>
  <c r="N157" i="3" s="1"/>
  <c r="F155" i="3"/>
  <c r="G155" i="3" s="1"/>
  <c r="H155" i="3" s="1"/>
  <c r="I155" i="3" s="1"/>
  <c r="J155" i="3" s="1"/>
  <c r="K155" i="3" s="1"/>
  <c r="L155" i="3" s="1"/>
  <c r="M155" i="3" s="1"/>
  <c r="N155" i="3" s="1"/>
  <c r="F154" i="3"/>
  <c r="G154" i="3" s="1"/>
  <c r="H154" i="3" s="1"/>
  <c r="I154" i="3" s="1"/>
  <c r="J154" i="3" s="1"/>
  <c r="K154" i="3" s="1"/>
  <c r="L154" i="3" s="1"/>
  <c r="M154" i="3" s="1"/>
  <c r="N154" i="3" s="1"/>
  <c r="F153" i="3"/>
  <c r="G153" i="3" s="1"/>
  <c r="H153" i="3" s="1"/>
  <c r="I153" i="3" s="1"/>
  <c r="J153" i="3" s="1"/>
  <c r="K153" i="3" s="1"/>
  <c r="L153" i="3" s="1"/>
  <c r="M153" i="3" s="1"/>
  <c r="N153" i="3" s="1"/>
  <c r="F152" i="3"/>
  <c r="G152" i="3" s="1"/>
  <c r="H152" i="3" s="1"/>
  <c r="I152" i="3" s="1"/>
  <c r="J152" i="3" s="1"/>
  <c r="K152" i="3" s="1"/>
  <c r="L152" i="3" s="1"/>
  <c r="M152" i="3" s="1"/>
  <c r="N152" i="3" s="1"/>
  <c r="F150" i="3"/>
  <c r="G150" i="3" s="1"/>
  <c r="H150" i="3" s="1"/>
  <c r="I150" i="3" s="1"/>
  <c r="J150" i="3" s="1"/>
  <c r="K150" i="3" s="1"/>
  <c r="L150" i="3" s="1"/>
  <c r="M150" i="3" s="1"/>
  <c r="N150" i="3" s="1"/>
  <c r="F148" i="3"/>
  <c r="G148" i="3" s="1"/>
  <c r="H148" i="3" s="1"/>
  <c r="I148" i="3" s="1"/>
  <c r="J148" i="3" s="1"/>
  <c r="K148" i="3" s="1"/>
  <c r="L148" i="3" s="1"/>
  <c r="M148" i="3" s="1"/>
  <c r="N148" i="3" s="1"/>
  <c r="F147" i="3"/>
  <c r="G147" i="3" s="1"/>
  <c r="H147" i="3" s="1"/>
  <c r="I147" i="3" s="1"/>
  <c r="J147" i="3" s="1"/>
  <c r="K147" i="3" s="1"/>
  <c r="L147" i="3" s="1"/>
  <c r="M147" i="3" s="1"/>
  <c r="N147" i="3" s="1"/>
  <c r="F146" i="3"/>
  <c r="G146" i="3" s="1"/>
  <c r="H146" i="3" s="1"/>
  <c r="I146" i="3" s="1"/>
  <c r="J146" i="3" s="1"/>
  <c r="K146" i="3" s="1"/>
  <c r="L146" i="3" s="1"/>
  <c r="M146" i="3" s="1"/>
  <c r="N146" i="3" s="1"/>
  <c r="C322" i="16" l="1"/>
  <c r="C329" i="16" s="1"/>
  <c r="O51" i="25"/>
  <c r="N51" i="25" s="1"/>
  <c r="Q51" i="25" s="1"/>
  <c r="H40" i="25"/>
  <c r="K40" i="25" s="1"/>
  <c r="I41" i="25" s="1"/>
  <c r="C49" i="25"/>
  <c r="B49" i="25" s="1"/>
  <c r="E49" i="25" s="1"/>
  <c r="H1133" i="3"/>
  <c r="C9" i="17"/>
  <c r="C16" i="17" s="1"/>
  <c r="B40" i="16"/>
  <c r="B47" i="16" s="1"/>
  <c r="C384" i="16"/>
  <c r="B2035" i="17"/>
  <c r="F14" i="23" s="1"/>
  <c r="H2041" i="3"/>
  <c r="G2071" i="3"/>
  <c r="C2074" i="17" s="1"/>
  <c r="C2081" i="17" s="1"/>
  <c r="C2133" i="17" s="1"/>
  <c r="G16" i="23" s="1"/>
  <c r="H1841" i="3"/>
  <c r="G1801" i="3"/>
  <c r="B387" i="16"/>
  <c r="B77" i="17" s="1"/>
  <c r="B81" i="17" s="1"/>
  <c r="B1966" i="17" s="1"/>
  <c r="F12" i="23" s="1"/>
  <c r="C533" i="16"/>
  <c r="F25" i="11" s="1"/>
  <c r="G25" i="11" s="1"/>
  <c r="H25" i="11" s="1"/>
  <c r="D509" i="16"/>
  <c r="D516" i="16" s="1"/>
  <c r="H1932" i="3"/>
  <c r="G1962" i="3"/>
  <c r="C2005" i="17" s="1"/>
  <c r="C2012" i="17" s="1"/>
  <c r="H1833" i="3"/>
  <c r="G1868" i="3"/>
  <c r="H1770" i="3"/>
  <c r="G1780" i="3"/>
  <c r="H1656" i="3"/>
  <c r="G1682" i="3"/>
  <c r="H1710" i="3"/>
  <c r="G1712" i="3"/>
  <c r="H1599" i="3"/>
  <c r="G1613" i="3"/>
  <c r="H1313" i="3"/>
  <c r="G1336" i="3"/>
  <c r="H1497" i="3"/>
  <c r="G1520" i="3"/>
  <c r="H1555" i="3"/>
  <c r="G1564" i="3"/>
  <c r="H1246" i="3"/>
  <c r="G1270" i="3"/>
  <c r="C103" i="16" s="1"/>
  <c r="C110" i="16" s="1"/>
  <c r="H931" i="3"/>
  <c r="G947" i="3"/>
  <c r="I1126" i="3"/>
  <c r="H1158" i="3"/>
  <c r="H1006" i="3"/>
  <c r="G1008" i="3"/>
  <c r="I1175" i="3"/>
  <c r="H1177" i="3"/>
  <c r="H798" i="3"/>
  <c r="G807" i="3"/>
  <c r="C135" i="16" s="1"/>
  <c r="C142" i="16" s="1"/>
  <c r="G754" i="3"/>
  <c r="I752" i="3"/>
  <c r="H754" i="3"/>
  <c r="H475" i="3"/>
  <c r="G487" i="3"/>
  <c r="H283" i="3"/>
  <c r="G288" i="3"/>
  <c r="H535" i="3"/>
  <c r="G565" i="3"/>
  <c r="G145" i="3"/>
  <c r="H590" i="3"/>
  <c r="G592" i="3"/>
  <c r="H407" i="3"/>
  <c r="G435" i="3"/>
  <c r="H662" i="3"/>
  <c r="G666" i="3"/>
  <c r="G213" i="3"/>
  <c r="D322" i="16" l="1"/>
  <c r="D329" i="16" s="1"/>
  <c r="O52" i="25"/>
  <c r="N52" i="25" s="1"/>
  <c r="Q52" i="25" s="1"/>
  <c r="H41" i="25"/>
  <c r="K41" i="25" s="1"/>
  <c r="I42" i="25" s="1"/>
  <c r="C50" i="25"/>
  <c r="B50" i="25" s="1"/>
  <c r="E50" i="25" s="1"/>
  <c r="I1133" i="3"/>
  <c r="D9" i="17"/>
  <c r="D16" i="17" s="1"/>
  <c r="B391" i="16"/>
  <c r="I1841" i="3"/>
  <c r="H1801" i="3"/>
  <c r="C387" i="16"/>
  <c r="C77" i="17" s="1"/>
  <c r="C81" i="17" s="1"/>
  <c r="C1966" i="17" s="1"/>
  <c r="G12" i="23" s="1"/>
  <c r="C571" i="16"/>
  <c r="C578" i="16" s="1"/>
  <c r="I2041" i="3"/>
  <c r="H2071" i="3"/>
  <c r="D2074" i="17" s="1"/>
  <c r="D2081" i="17" s="1"/>
  <c r="D2133" i="17" s="1"/>
  <c r="H16" i="23" s="1"/>
  <c r="D384" i="16"/>
  <c r="C40" i="16"/>
  <c r="C47" i="16" s="1"/>
  <c r="C2035" i="17"/>
  <c r="G14" i="23" s="1"/>
  <c r="D533" i="16"/>
  <c r="I25" i="11" s="1"/>
  <c r="J25" i="11" s="1"/>
  <c r="K25" i="11" s="1"/>
  <c r="E509" i="16"/>
  <c r="E516" i="16" s="1"/>
  <c r="I1932" i="3"/>
  <c r="H1962" i="3"/>
  <c r="D2005" i="17" s="1"/>
  <c r="D2012" i="17" s="1"/>
  <c r="I1833" i="3"/>
  <c r="H1868" i="3"/>
  <c r="I1656" i="3"/>
  <c r="H1682" i="3"/>
  <c r="I1710" i="3"/>
  <c r="H1712" i="3"/>
  <c r="I1770" i="3"/>
  <c r="H1780" i="3"/>
  <c r="I1599" i="3"/>
  <c r="H1613" i="3"/>
  <c r="I1497" i="3"/>
  <c r="H1520" i="3"/>
  <c r="I1555" i="3"/>
  <c r="H1564" i="3"/>
  <c r="D40" i="16" s="1"/>
  <c r="D47" i="16" s="1"/>
  <c r="I1313" i="3"/>
  <c r="H1336" i="3"/>
  <c r="I1246" i="3"/>
  <c r="H1270" i="3"/>
  <c r="D103" i="16" s="1"/>
  <c r="D110" i="16" s="1"/>
  <c r="J1126" i="3"/>
  <c r="I1158" i="3"/>
  <c r="I1006" i="3"/>
  <c r="H1008" i="3"/>
  <c r="I931" i="3"/>
  <c r="H947" i="3"/>
  <c r="J1175" i="3"/>
  <c r="I1177" i="3"/>
  <c r="I798" i="3"/>
  <c r="H807" i="3"/>
  <c r="D135" i="16" s="1"/>
  <c r="D142" i="16" s="1"/>
  <c r="J752" i="3"/>
  <c r="I754" i="3"/>
  <c r="H145" i="3"/>
  <c r="I283" i="3"/>
  <c r="H288" i="3"/>
  <c r="H213" i="3"/>
  <c r="I407" i="3"/>
  <c r="H435" i="3"/>
  <c r="I662" i="3"/>
  <c r="H666" i="3"/>
  <c r="I590" i="3"/>
  <c r="H592" i="3"/>
  <c r="I535" i="3"/>
  <c r="H565" i="3"/>
  <c r="I475" i="3"/>
  <c r="H487" i="3"/>
  <c r="E322" i="16" l="1"/>
  <c r="E329" i="16" s="1"/>
  <c r="O53" i="25"/>
  <c r="N53" i="25" s="1"/>
  <c r="Q53" i="25" s="1"/>
  <c r="H42" i="25"/>
  <c r="K42" i="25" s="1"/>
  <c r="I43" i="25" s="1"/>
  <c r="C51" i="25"/>
  <c r="B51" i="25" s="1"/>
  <c r="E51" i="25" s="1"/>
  <c r="C52" i="25" s="1"/>
  <c r="B52" i="25" s="1"/>
  <c r="E52" i="25" s="1"/>
  <c r="C53" i="25" s="1"/>
  <c r="B53" i="25" s="1"/>
  <c r="E53" i="25" s="1"/>
  <c r="C54" i="25" s="1"/>
  <c r="B54" i="25" s="1"/>
  <c r="E54" i="25" s="1"/>
  <c r="C55" i="25" s="1"/>
  <c r="B55" i="25" s="1"/>
  <c r="E55" i="25" s="1"/>
  <c r="C56" i="25" s="1"/>
  <c r="B56" i="25" s="1"/>
  <c r="E56" i="25" s="1"/>
  <c r="C57" i="25" s="1"/>
  <c r="B57" i="25" s="1"/>
  <c r="E57" i="25" s="1"/>
  <c r="C58" i="25" s="1"/>
  <c r="B58" i="25" s="1"/>
  <c r="E58" i="25" s="1"/>
  <c r="C59" i="25" s="1"/>
  <c r="B59" i="25" s="1"/>
  <c r="E59" i="25" s="1"/>
  <c r="C60" i="25" s="1"/>
  <c r="B60" i="25" s="1"/>
  <c r="E60" i="25" s="1"/>
  <c r="C61" i="25" s="1"/>
  <c r="B61" i="25" s="1"/>
  <c r="E61" i="25" s="1"/>
  <c r="C62" i="25" s="1"/>
  <c r="B62" i="25" s="1"/>
  <c r="E62" i="25" s="1"/>
  <c r="C63" i="25" s="1"/>
  <c r="J1133" i="3"/>
  <c r="E9" i="17"/>
  <c r="E16" i="17" s="1"/>
  <c r="D2035" i="17"/>
  <c r="H14" i="23" s="1"/>
  <c r="J2041" i="3"/>
  <c r="I2071" i="3"/>
  <c r="E2074" i="17" s="1"/>
  <c r="E2081" i="17" s="1"/>
  <c r="E2133" i="17" s="1"/>
  <c r="I16" i="23" s="1"/>
  <c r="D387" i="16"/>
  <c r="D77" i="17" s="1"/>
  <c r="D81" i="17" s="1"/>
  <c r="D1966" i="17" s="1"/>
  <c r="H12" i="23" s="1"/>
  <c r="D571" i="16"/>
  <c r="D578" i="16" s="1"/>
  <c r="E384" i="16"/>
  <c r="J1841" i="3"/>
  <c r="I1801" i="3"/>
  <c r="C391" i="16"/>
  <c r="E533" i="16"/>
  <c r="L25" i="11" s="1"/>
  <c r="M25" i="11" s="1"/>
  <c r="N25" i="11" s="1"/>
  <c r="F509" i="16"/>
  <c r="F516" i="16" s="1"/>
  <c r="J1932" i="3"/>
  <c r="I1962" i="3"/>
  <c r="E2005" i="17" s="1"/>
  <c r="E2012" i="17" s="1"/>
  <c r="J1833" i="3"/>
  <c r="I1868" i="3"/>
  <c r="J1710" i="3"/>
  <c r="I1712" i="3"/>
  <c r="J1770" i="3"/>
  <c r="I1780" i="3"/>
  <c r="J1656" i="3"/>
  <c r="I1682" i="3"/>
  <c r="J1599" i="3"/>
  <c r="I1613" i="3"/>
  <c r="J1555" i="3"/>
  <c r="I1564" i="3"/>
  <c r="J1313" i="3"/>
  <c r="I1336" i="3"/>
  <c r="J1497" i="3"/>
  <c r="I1520" i="3"/>
  <c r="J1246" i="3"/>
  <c r="I1270" i="3"/>
  <c r="E103" i="16" s="1"/>
  <c r="E110" i="16" s="1"/>
  <c r="J1006" i="3"/>
  <c r="I1008" i="3"/>
  <c r="J931" i="3"/>
  <c r="I947" i="3"/>
  <c r="K1126" i="3"/>
  <c r="J1158" i="3"/>
  <c r="K1175" i="3"/>
  <c r="J1177" i="3"/>
  <c r="J798" i="3"/>
  <c r="I807" i="3"/>
  <c r="E135" i="16" s="1"/>
  <c r="E142" i="16" s="1"/>
  <c r="K752" i="3"/>
  <c r="J754" i="3"/>
  <c r="J475" i="3"/>
  <c r="I487" i="3"/>
  <c r="J590" i="3"/>
  <c r="I592" i="3"/>
  <c r="J407" i="3"/>
  <c r="I435" i="3"/>
  <c r="J283" i="3"/>
  <c r="I288" i="3"/>
  <c r="J535" i="3"/>
  <c r="I565" i="3"/>
  <c r="J662" i="3"/>
  <c r="I666" i="3"/>
  <c r="I213" i="3"/>
  <c r="I145" i="3"/>
  <c r="E40" i="16" l="1"/>
  <c r="E47" i="16" s="1"/>
  <c r="F322" i="16"/>
  <c r="F329" i="16" s="1"/>
  <c r="O54" i="25"/>
  <c r="N54" i="25" s="1"/>
  <c r="Q54" i="25" s="1"/>
  <c r="H43" i="25"/>
  <c r="K43" i="25" s="1"/>
  <c r="I44" i="25" s="1"/>
  <c r="B63" i="25"/>
  <c r="C65" i="25"/>
  <c r="K1133" i="3"/>
  <c r="K1158" i="3" s="1"/>
  <c r="F9" i="17"/>
  <c r="F16" i="17" s="1"/>
  <c r="D391" i="16"/>
  <c r="E571" i="16"/>
  <c r="E578" i="16" s="1"/>
  <c r="E2035" i="17"/>
  <c r="I14" i="23" s="1"/>
  <c r="E387" i="16"/>
  <c r="E77" i="17" s="1"/>
  <c r="E81" i="17" s="1"/>
  <c r="E1966" i="17" s="1"/>
  <c r="I12" i="23" s="1"/>
  <c r="F384" i="16"/>
  <c r="K1841" i="3"/>
  <c r="J1801" i="3"/>
  <c r="K2041" i="3"/>
  <c r="J2071" i="3"/>
  <c r="F2074" i="17" s="1"/>
  <c r="F2081" i="17" s="1"/>
  <c r="F2133" i="17" s="1"/>
  <c r="J16" i="23" s="1"/>
  <c r="F533" i="16"/>
  <c r="O25" i="11" s="1"/>
  <c r="P25" i="11" s="1"/>
  <c r="Q25" i="11" s="1"/>
  <c r="G509" i="16"/>
  <c r="G516" i="16" s="1"/>
  <c r="K1932" i="3"/>
  <c r="J1962" i="3"/>
  <c r="F2005" i="17" s="1"/>
  <c r="F2012" i="17" s="1"/>
  <c r="K1833" i="3"/>
  <c r="J1868" i="3"/>
  <c r="K1770" i="3"/>
  <c r="J1780" i="3"/>
  <c r="K1656" i="3"/>
  <c r="J1682" i="3"/>
  <c r="K1710" i="3"/>
  <c r="J1712" i="3"/>
  <c r="K1599" i="3"/>
  <c r="J1613" i="3"/>
  <c r="K1313" i="3"/>
  <c r="J1336" i="3"/>
  <c r="K1497" i="3"/>
  <c r="J1520" i="3"/>
  <c r="K1555" i="3"/>
  <c r="J1564" i="3"/>
  <c r="K1246" i="3"/>
  <c r="J1270" i="3"/>
  <c r="F103" i="16" s="1"/>
  <c r="F110" i="16" s="1"/>
  <c r="K931" i="3"/>
  <c r="J947" i="3"/>
  <c r="L1126" i="3"/>
  <c r="K1006" i="3"/>
  <c r="J1008" i="3"/>
  <c r="L1175" i="3"/>
  <c r="K1177" i="3"/>
  <c r="K798" i="3"/>
  <c r="J807" i="3"/>
  <c r="F135" i="16" s="1"/>
  <c r="F142" i="16" s="1"/>
  <c r="L752" i="3"/>
  <c r="K754" i="3"/>
  <c r="J145" i="3"/>
  <c r="K662" i="3"/>
  <c r="J666" i="3"/>
  <c r="K283" i="3"/>
  <c r="J288" i="3"/>
  <c r="K590" i="3"/>
  <c r="J592" i="3"/>
  <c r="J213" i="3"/>
  <c r="K535" i="3"/>
  <c r="J565" i="3"/>
  <c r="K407" i="3"/>
  <c r="J435" i="3"/>
  <c r="K475" i="3"/>
  <c r="J487" i="3"/>
  <c r="F571" i="16" s="1"/>
  <c r="F578" i="16" s="1"/>
  <c r="F39" i="3"/>
  <c r="G39" i="3" s="1"/>
  <c r="F17" i="3"/>
  <c r="G17" i="3" s="1"/>
  <c r="F12" i="3"/>
  <c r="G12" i="3" s="1"/>
  <c r="F10" i="3"/>
  <c r="F53" i="3"/>
  <c r="G53" i="3" s="1"/>
  <c r="H53" i="3" s="1"/>
  <c r="B14" i="1"/>
  <c r="H39" i="3" l="1"/>
  <c r="F23" i="3"/>
  <c r="G23" i="3" s="1"/>
  <c r="H23" i="3" s="1"/>
  <c r="F45" i="3"/>
  <c r="G45" i="3" s="1"/>
  <c r="H45" i="3" s="1"/>
  <c r="H17" i="3"/>
  <c r="I17" i="3" s="1"/>
  <c r="J17" i="3" s="1"/>
  <c r="K17" i="3" s="1"/>
  <c r="L17" i="3" s="1"/>
  <c r="M17" i="3" s="1"/>
  <c r="N17" i="3" s="1"/>
  <c r="F29" i="3"/>
  <c r="G29" i="3" s="1"/>
  <c r="H29" i="3" s="1"/>
  <c r="F49" i="3"/>
  <c r="G49" i="3" s="1"/>
  <c r="H49" i="3" s="1"/>
  <c r="I49" i="3" s="1"/>
  <c r="J49" i="3" s="1"/>
  <c r="K49" i="3" s="1"/>
  <c r="L49" i="3" s="1"/>
  <c r="M49" i="3" s="1"/>
  <c r="N49" i="3" s="1"/>
  <c r="H12" i="3"/>
  <c r="I12" i="3" s="1"/>
  <c r="J12" i="3" s="1"/>
  <c r="K12" i="3" s="1"/>
  <c r="L12" i="3" s="1"/>
  <c r="M12" i="3" s="1"/>
  <c r="N12" i="3" s="1"/>
  <c r="F34" i="3"/>
  <c r="G34" i="3" s="1"/>
  <c r="H34" i="3" s="1"/>
  <c r="I29" i="3"/>
  <c r="J29" i="3" s="1"/>
  <c r="K29" i="3" s="1"/>
  <c r="L29" i="3" s="1"/>
  <c r="M29" i="3" s="1"/>
  <c r="N29" i="3" s="1"/>
  <c r="I53" i="3"/>
  <c r="J53" i="3" s="1"/>
  <c r="K53" i="3" s="1"/>
  <c r="L53" i="3" s="1"/>
  <c r="M53" i="3" s="1"/>
  <c r="N53" i="3" s="1"/>
  <c r="F37" i="3"/>
  <c r="G37" i="3" s="1"/>
  <c r="H37" i="3" s="1"/>
  <c r="I37" i="3" s="1"/>
  <c r="J37" i="3" s="1"/>
  <c r="K37" i="3" s="1"/>
  <c r="L37" i="3" s="1"/>
  <c r="M37" i="3" s="1"/>
  <c r="N37" i="3" s="1"/>
  <c r="F513" i="3"/>
  <c r="G513" i="3" s="1"/>
  <c r="H513" i="3" s="1"/>
  <c r="I513" i="3" s="1"/>
  <c r="J513" i="3" s="1"/>
  <c r="K513" i="3" s="1"/>
  <c r="L513" i="3" s="1"/>
  <c r="M513" i="3" s="1"/>
  <c r="N513" i="3" s="1"/>
  <c r="F395" i="3"/>
  <c r="G395" i="3" s="1"/>
  <c r="H395" i="3" s="1"/>
  <c r="I395" i="3" s="1"/>
  <c r="J395" i="3" s="1"/>
  <c r="K395" i="3" s="1"/>
  <c r="L395" i="3" s="1"/>
  <c r="M395" i="3" s="1"/>
  <c r="N395" i="3" s="1"/>
  <c r="F2030" i="3"/>
  <c r="G2030" i="3" s="1"/>
  <c r="H2030" i="3" s="1"/>
  <c r="I2030" i="3" s="1"/>
  <c r="J2030" i="3" s="1"/>
  <c r="K2030" i="3" s="1"/>
  <c r="L2030" i="3" s="1"/>
  <c r="M2030" i="3" s="1"/>
  <c r="N2030" i="3" s="1"/>
  <c r="F2026" i="3"/>
  <c r="G2026" i="3" s="1"/>
  <c r="H2026" i="3" s="1"/>
  <c r="I2026" i="3" s="1"/>
  <c r="J2026" i="3" s="1"/>
  <c r="K2026" i="3" s="1"/>
  <c r="L2026" i="3" s="1"/>
  <c r="M2026" i="3" s="1"/>
  <c r="N2026" i="3" s="1"/>
  <c r="F2022" i="3"/>
  <c r="G2022" i="3" s="1"/>
  <c r="H2022" i="3" s="1"/>
  <c r="I2022" i="3" s="1"/>
  <c r="J2022" i="3" s="1"/>
  <c r="K2022" i="3" s="1"/>
  <c r="L2022" i="3" s="1"/>
  <c r="M2022" i="3" s="1"/>
  <c r="N2022" i="3" s="1"/>
  <c r="F2018" i="3"/>
  <c r="G2018" i="3" s="1"/>
  <c r="H2018" i="3" s="1"/>
  <c r="I2018" i="3" s="1"/>
  <c r="J2018" i="3" s="1"/>
  <c r="K2018" i="3" s="1"/>
  <c r="L2018" i="3" s="1"/>
  <c r="M2018" i="3" s="1"/>
  <c r="N2018" i="3" s="1"/>
  <c r="F2013" i="3"/>
  <c r="G2013" i="3" s="1"/>
  <c r="H2013" i="3" s="1"/>
  <c r="I2013" i="3" s="1"/>
  <c r="J2013" i="3" s="1"/>
  <c r="K2013" i="3" s="1"/>
  <c r="L2013" i="3" s="1"/>
  <c r="M2013" i="3" s="1"/>
  <c r="N2013" i="3" s="1"/>
  <c r="F2008" i="3"/>
  <c r="G2008" i="3" s="1"/>
  <c r="H2008" i="3" s="1"/>
  <c r="I2008" i="3" s="1"/>
  <c r="J2008" i="3" s="1"/>
  <c r="K2008" i="3" s="1"/>
  <c r="L2008" i="3" s="1"/>
  <c r="M2008" i="3" s="1"/>
  <c r="N2008" i="3" s="1"/>
  <c r="F2000" i="3"/>
  <c r="G2000" i="3" s="1"/>
  <c r="H2000" i="3" s="1"/>
  <c r="I2000" i="3" s="1"/>
  <c r="J2000" i="3" s="1"/>
  <c r="K2000" i="3" s="1"/>
  <c r="L2000" i="3" s="1"/>
  <c r="M2000" i="3" s="1"/>
  <c r="N2000" i="3" s="1"/>
  <c r="F1995" i="3"/>
  <c r="G1995" i="3" s="1"/>
  <c r="H1995" i="3" s="1"/>
  <c r="I1995" i="3" s="1"/>
  <c r="J1995" i="3" s="1"/>
  <c r="K1995" i="3" s="1"/>
  <c r="L1995" i="3" s="1"/>
  <c r="M1995" i="3" s="1"/>
  <c r="N1995" i="3" s="1"/>
  <c r="F1991" i="3"/>
  <c r="G1991" i="3" s="1"/>
  <c r="H1991" i="3" s="1"/>
  <c r="I1991" i="3" s="1"/>
  <c r="J1991" i="3" s="1"/>
  <c r="K1991" i="3" s="1"/>
  <c r="L1991" i="3" s="1"/>
  <c r="M1991" i="3" s="1"/>
  <c r="N1991" i="3" s="1"/>
  <c r="F1986" i="3"/>
  <c r="G1986" i="3" s="1"/>
  <c r="H1986" i="3" s="1"/>
  <c r="I1986" i="3" s="1"/>
  <c r="J1986" i="3" s="1"/>
  <c r="K1986" i="3" s="1"/>
  <c r="L1986" i="3" s="1"/>
  <c r="M1986" i="3" s="1"/>
  <c r="N1986" i="3" s="1"/>
  <c r="F1979" i="3"/>
  <c r="G1979" i="3" s="1"/>
  <c r="H1979" i="3" s="1"/>
  <c r="I1979" i="3" s="1"/>
  <c r="J1979" i="3" s="1"/>
  <c r="K1979" i="3" s="1"/>
  <c r="L1979" i="3" s="1"/>
  <c r="M1979" i="3" s="1"/>
  <c r="N1979" i="3" s="1"/>
  <c r="F1973" i="3"/>
  <c r="G1973" i="3" s="1"/>
  <c r="H1973" i="3" s="1"/>
  <c r="I1973" i="3" s="1"/>
  <c r="J1973" i="3" s="1"/>
  <c r="K1973" i="3" s="1"/>
  <c r="L1973" i="3" s="1"/>
  <c r="M1973" i="3" s="1"/>
  <c r="N1973" i="3" s="1"/>
  <c r="F1924" i="3"/>
  <c r="G1924" i="3" s="1"/>
  <c r="H1924" i="3" s="1"/>
  <c r="I1924" i="3" s="1"/>
  <c r="J1924" i="3" s="1"/>
  <c r="K1924" i="3" s="1"/>
  <c r="L1924" i="3" s="1"/>
  <c r="M1924" i="3" s="1"/>
  <c r="N1924" i="3" s="1"/>
  <c r="F1919" i="3"/>
  <c r="G1919" i="3" s="1"/>
  <c r="H1919" i="3" s="1"/>
  <c r="I1919" i="3" s="1"/>
  <c r="J1919" i="3" s="1"/>
  <c r="K1919" i="3" s="1"/>
  <c r="L1919" i="3" s="1"/>
  <c r="M1919" i="3" s="1"/>
  <c r="N1919" i="3" s="1"/>
  <c r="F1915" i="3"/>
  <c r="G1915" i="3" s="1"/>
  <c r="H1915" i="3" s="1"/>
  <c r="I1915" i="3" s="1"/>
  <c r="J1915" i="3" s="1"/>
  <c r="K1915" i="3" s="1"/>
  <c r="L1915" i="3" s="1"/>
  <c r="M1915" i="3" s="1"/>
  <c r="N1915" i="3" s="1"/>
  <c r="F1910" i="3"/>
  <c r="G1910" i="3" s="1"/>
  <c r="H1910" i="3" s="1"/>
  <c r="I1910" i="3" s="1"/>
  <c r="J1910" i="3" s="1"/>
  <c r="K1910" i="3" s="1"/>
  <c r="L1910" i="3" s="1"/>
  <c r="M1910" i="3" s="1"/>
  <c r="N1910" i="3" s="1"/>
  <c r="F1904" i="3"/>
  <c r="G1904" i="3" s="1"/>
  <c r="H1904" i="3" s="1"/>
  <c r="I1904" i="3" s="1"/>
  <c r="J1904" i="3" s="1"/>
  <c r="K1904" i="3" s="1"/>
  <c r="L1904" i="3" s="1"/>
  <c r="M1904" i="3" s="1"/>
  <c r="N1904" i="3" s="1"/>
  <c r="F1900" i="3"/>
  <c r="G1900" i="3" s="1"/>
  <c r="H1900" i="3" s="1"/>
  <c r="I1900" i="3" s="1"/>
  <c r="J1900" i="3" s="1"/>
  <c r="K1900" i="3" s="1"/>
  <c r="L1900" i="3" s="1"/>
  <c r="M1900" i="3" s="1"/>
  <c r="N1900" i="3" s="1"/>
  <c r="F1896" i="3"/>
  <c r="G1896" i="3" s="1"/>
  <c r="H1896" i="3" s="1"/>
  <c r="I1896" i="3" s="1"/>
  <c r="J1896" i="3" s="1"/>
  <c r="K1896" i="3" s="1"/>
  <c r="L1896" i="3" s="1"/>
  <c r="M1896" i="3" s="1"/>
  <c r="N1896" i="3" s="1"/>
  <c r="F1892" i="3"/>
  <c r="G1892" i="3" s="1"/>
  <c r="H1892" i="3" s="1"/>
  <c r="I1892" i="3" s="1"/>
  <c r="J1892" i="3" s="1"/>
  <c r="K1892" i="3" s="1"/>
  <c r="L1892" i="3" s="1"/>
  <c r="M1892" i="3" s="1"/>
  <c r="N1892" i="3" s="1"/>
  <c r="F1884" i="3"/>
  <c r="G1884" i="3" s="1"/>
  <c r="H1884" i="3" s="1"/>
  <c r="I1884" i="3" s="1"/>
  <c r="J1884" i="3" s="1"/>
  <c r="K1884" i="3" s="1"/>
  <c r="L1884" i="3" s="1"/>
  <c r="M1884" i="3" s="1"/>
  <c r="N1884" i="3" s="1"/>
  <c r="F1878" i="3"/>
  <c r="G1878" i="3" s="1"/>
  <c r="H1878" i="3" s="1"/>
  <c r="I1878" i="3" s="1"/>
  <c r="J1878" i="3" s="1"/>
  <c r="K1878" i="3" s="1"/>
  <c r="L1878" i="3" s="1"/>
  <c r="M1878" i="3" s="1"/>
  <c r="N1878" i="3" s="1"/>
  <c r="F1822" i="3"/>
  <c r="G1822" i="3" s="1"/>
  <c r="H1822" i="3" s="1"/>
  <c r="I1822" i="3" s="1"/>
  <c r="J1822" i="3" s="1"/>
  <c r="K1822" i="3" s="1"/>
  <c r="L1822" i="3" s="1"/>
  <c r="M1822" i="3" s="1"/>
  <c r="N1822" i="3" s="1"/>
  <c r="F1817" i="3"/>
  <c r="G1817" i="3" s="1"/>
  <c r="H1817" i="3" s="1"/>
  <c r="I1817" i="3" s="1"/>
  <c r="J1817" i="3" s="1"/>
  <c r="K1817" i="3" s="1"/>
  <c r="L1817" i="3" s="1"/>
  <c r="M1817" i="3" s="1"/>
  <c r="N1817" i="3" s="1"/>
  <c r="F1813" i="3"/>
  <c r="G1813" i="3" s="1"/>
  <c r="H1813" i="3" s="1"/>
  <c r="I1813" i="3" s="1"/>
  <c r="J1813" i="3" s="1"/>
  <c r="K1813" i="3" s="1"/>
  <c r="L1813" i="3" s="1"/>
  <c r="M1813" i="3" s="1"/>
  <c r="N1813" i="3" s="1"/>
  <c r="F1809" i="3"/>
  <c r="G1809" i="3" s="1"/>
  <c r="H1809" i="3" s="1"/>
  <c r="I1809" i="3" s="1"/>
  <c r="J1809" i="3" s="1"/>
  <c r="K1809" i="3" s="1"/>
  <c r="L1809" i="3" s="1"/>
  <c r="M1809" i="3" s="1"/>
  <c r="N1809" i="3" s="1"/>
  <c r="F1803" i="3"/>
  <c r="G1803" i="3" s="1"/>
  <c r="H1803" i="3" s="1"/>
  <c r="I1803" i="3" s="1"/>
  <c r="J1803" i="3" s="1"/>
  <c r="K1803" i="3" s="1"/>
  <c r="L1803" i="3" s="1"/>
  <c r="M1803" i="3" s="1"/>
  <c r="N1803" i="3" s="1"/>
  <c r="F1797" i="3"/>
  <c r="G1797" i="3" s="1"/>
  <c r="H1797" i="3" s="1"/>
  <c r="I1797" i="3" s="1"/>
  <c r="J1797" i="3" s="1"/>
  <c r="K1797" i="3" s="1"/>
  <c r="L1797" i="3" s="1"/>
  <c r="M1797" i="3" s="1"/>
  <c r="N1797" i="3" s="1"/>
  <c r="F1793" i="3"/>
  <c r="G1793" i="3" s="1"/>
  <c r="H1793" i="3" s="1"/>
  <c r="I1793" i="3" s="1"/>
  <c r="J1793" i="3" s="1"/>
  <c r="K1793" i="3" s="1"/>
  <c r="L1793" i="3" s="1"/>
  <c r="M1793" i="3" s="1"/>
  <c r="N1793" i="3" s="1"/>
  <c r="F1787" i="3"/>
  <c r="G1787" i="3" s="1"/>
  <c r="H1787" i="3" s="1"/>
  <c r="I1787" i="3" s="1"/>
  <c r="J1787" i="3" s="1"/>
  <c r="K1787" i="3" s="1"/>
  <c r="L1787" i="3" s="1"/>
  <c r="M1787" i="3" s="1"/>
  <c r="N1787" i="3" s="1"/>
  <c r="F1760" i="3"/>
  <c r="G1760" i="3" s="1"/>
  <c r="H1760" i="3" s="1"/>
  <c r="I1760" i="3" s="1"/>
  <c r="J1760" i="3" s="1"/>
  <c r="K1760" i="3" s="1"/>
  <c r="L1760" i="3" s="1"/>
  <c r="M1760" i="3" s="1"/>
  <c r="N1760" i="3" s="1"/>
  <c r="F1754" i="3"/>
  <c r="G1754" i="3" s="1"/>
  <c r="H1754" i="3" s="1"/>
  <c r="I1754" i="3" s="1"/>
  <c r="J1754" i="3" s="1"/>
  <c r="K1754" i="3" s="1"/>
  <c r="L1754" i="3" s="1"/>
  <c r="M1754" i="3" s="1"/>
  <c r="N1754" i="3" s="1"/>
  <c r="F1747" i="3"/>
  <c r="G1747" i="3" s="1"/>
  <c r="H1747" i="3" s="1"/>
  <c r="I1747" i="3" s="1"/>
  <c r="J1747" i="3" s="1"/>
  <c r="K1747" i="3" s="1"/>
  <c r="L1747" i="3" s="1"/>
  <c r="M1747" i="3" s="1"/>
  <c r="N1747" i="3" s="1"/>
  <c r="F1743" i="3"/>
  <c r="G1743" i="3" s="1"/>
  <c r="H1743" i="3" s="1"/>
  <c r="I1743" i="3" s="1"/>
  <c r="J1743" i="3" s="1"/>
  <c r="K1743" i="3" s="1"/>
  <c r="L1743" i="3" s="1"/>
  <c r="M1743" i="3" s="1"/>
  <c r="N1743" i="3" s="1"/>
  <c r="F1739" i="3"/>
  <c r="G1739" i="3" s="1"/>
  <c r="H1739" i="3" s="1"/>
  <c r="I1739" i="3" s="1"/>
  <c r="J1739" i="3" s="1"/>
  <c r="K1739" i="3" s="1"/>
  <c r="L1739" i="3" s="1"/>
  <c r="M1739" i="3" s="1"/>
  <c r="N1739" i="3" s="1"/>
  <c r="F1721" i="3"/>
  <c r="G1721" i="3" s="1"/>
  <c r="H1721" i="3" s="1"/>
  <c r="I1721" i="3" s="1"/>
  <c r="J1721" i="3" s="1"/>
  <c r="K1721" i="3" s="1"/>
  <c r="L1721" i="3" s="1"/>
  <c r="M1721" i="3" s="1"/>
  <c r="N1721" i="3" s="1"/>
  <c r="F1703" i="3"/>
  <c r="G1703" i="3" s="1"/>
  <c r="H1703" i="3" s="1"/>
  <c r="I1703" i="3" s="1"/>
  <c r="J1703" i="3" s="1"/>
  <c r="K1703" i="3" s="1"/>
  <c r="L1703" i="3" s="1"/>
  <c r="M1703" i="3" s="1"/>
  <c r="N1703" i="3" s="1"/>
  <c r="F1698" i="3"/>
  <c r="G1698" i="3" s="1"/>
  <c r="H1698" i="3" s="1"/>
  <c r="I1698" i="3" s="1"/>
  <c r="J1698" i="3" s="1"/>
  <c r="K1698" i="3" s="1"/>
  <c r="L1698" i="3" s="1"/>
  <c r="M1698" i="3" s="1"/>
  <c r="N1698" i="3" s="1"/>
  <c r="F1693" i="3"/>
  <c r="G1693" i="3" s="1"/>
  <c r="H1693" i="3" s="1"/>
  <c r="I1693" i="3" s="1"/>
  <c r="J1693" i="3" s="1"/>
  <c r="K1693" i="3" s="1"/>
  <c r="L1693" i="3" s="1"/>
  <c r="M1693" i="3" s="1"/>
  <c r="N1693" i="3" s="1"/>
  <c r="F1649" i="3"/>
  <c r="G1649" i="3" s="1"/>
  <c r="H1649" i="3" s="1"/>
  <c r="I1649" i="3" s="1"/>
  <c r="J1649" i="3" s="1"/>
  <c r="K1649" i="3" s="1"/>
  <c r="L1649" i="3" s="1"/>
  <c r="M1649" i="3" s="1"/>
  <c r="N1649" i="3" s="1"/>
  <c r="F1642" i="3"/>
  <c r="G1642" i="3" s="1"/>
  <c r="H1642" i="3" s="1"/>
  <c r="I1642" i="3" s="1"/>
  <c r="J1642" i="3" s="1"/>
  <c r="K1642" i="3" s="1"/>
  <c r="L1642" i="3" s="1"/>
  <c r="M1642" i="3" s="1"/>
  <c r="N1642" i="3" s="1"/>
  <c r="F1637" i="3"/>
  <c r="G1637" i="3" s="1"/>
  <c r="H1637" i="3" s="1"/>
  <c r="I1637" i="3" s="1"/>
  <c r="J1637" i="3" s="1"/>
  <c r="K1637" i="3" s="1"/>
  <c r="L1637" i="3" s="1"/>
  <c r="M1637" i="3" s="1"/>
  <c r="N1637" i="3" s="1"/>
  <c r="F1632" i="3"/>
  <c r="G1632" i="3" s="1"/>
  <c r="H1632" i="3" s="1"/>
  <c r="I1632" i="3" s="1"/>
  <c r="J1632" i="3" s="1"/>
  <c r="K1632" i="3" s="1"/>
  <c r="L1632" i="3" s="1"/>
  <c r="M1632" i="3" s="1"/>
  <c r="N1632" i="3" s="1"/>
  <c r="F1626" i="3"/>
  <c r="G1626" i="3" s="1"/>
  <c r="H1626" i="3" s="1"/>
  <c r="I1626" i="3" s="1"/>
  <c r="J1626" i="3" s="1"/>
  <c r="K1626" i="3" s="1"/>
  <c r="L1626" i="3" s="1"/>
  <c r="M1626" i="3" s="1"/>
  <c r="N1626" i="3" s="1"/>
  <c r="F1620" i="3"/>
  <c r="G1620" i="3" s="1"/>
  <c r="H1620" i="3" s="1"/>
  <c r="I1620" i="3" s="1"/>
  <c r="J1620" i="3" s="1"/>
  <c r="K1620" i="3" s="1"/>
  <c r="L1620" i="3" s="1"/>
  <c r="M1620" i="3" s="1"/>
  <c r="N1620" i="3" s="1"/>
  <c r="F1589" i="3"/>
  <c r="G1589" i="3" s="1"/>
  <c r="H1589" i="3" s="1"/>
  <c r="I1589" i="3" s="1"/>
  <c r="J1589" i="3" s="1"/>
  <c r="K1589" i="3" s="1"/>
  <c r="L1589" i="3" s="1"/>
  <c r="M1589" i="3" s="1"/>
  <c r="N1589" i="3" s="1"/>
  <c r="F1585" i="3"/>
  <c r="G1585" i="3" s="1"/>
  <c r="H1585" i="3" s="1"/>
  <c r="I1585" i="3" s="1"/>
  <c r="J1585" i="3" s="1"/>
  <c r="K1585" i="3" s="1"/>
  <c r="L1585" i="3" s="1"/>
  <c r="M1585" i="3" s="1"/>
  <c r="N1585" i="3" s="1"/>
  <c r="F1581" i="3"/>
  <c r="G1581" i="3" s="1"/>
  <c r="H1581" i="3" s="1"/>
  <c r="I1581" i="3" s="1"/>
  <c r="J1581" i="3" s="1"/>
  <c r="K1581" i="3" s="1"/>
  <c r="L1581" i="3" s="1"/>
  <c r="M1581" i="3" s="1"/>
  <c r="N1581" i="3" s="1"/>
  <c r="F1577" i="3"/>
  <c r="G1577" i="3" s="1"/>
  <c r="H1577" i="3" s="1"/>
  <c r="I1577" i="3" s="1"/>
  <c r="J1577" i="3" s="1"/>
  <c r="K1577" i="3" s="1"/>
  <c r="L1577" i="3" s="1"/>
  <c r="M1577" i="3" s="1"/>
  <c r="N1577" i="3" s="1"/>
  <c r="F1573" i="3"/>
  <c r="G1573" i="3" s="1"/>
  <c r="H1573" i="3" s="1"/>
  <c r="I1573" i="3" s="1"/>
  <c r="J1573" i="3" s="1"/>
  <c r="K1573" i="3" s="1"/>
  <c r="L1573" i="3" s="1"/>
  <c r="M1573" i="3" s="1"/>
  <c r="N1573" i="3" s="1"/>
  <c r="F1549" i="3"/>
  <c r="G1549" i="3" s="1"/>
  <c r="H1549" i="3" s="1"/>
  <c r="I1549" i="3" s="1"/>
  <c r="J1549" i="3" s="1"/>
  <c r="K1549" i="3" s="1"/>
  <c r="L1549" i="3" s="1"/>
  <c r="M1549" i="3" s="1"/>
  <c r="N1549" i="3" s="1"/>
  <c r="F1544" i="3"/>
  <c r="G1544" i="3" s="1"/>
  <c r="H1544" i="3" s="1"/>
  <c r="I1544" i="3" s="1"/>
  <c r="J1544" i="3" s="1"/>
  <c r="K1544" i="3" s="1"/>
  <c r="L1544" i="3" s="1"/>
  <c r="M1544" i="3" s="1"/>
  <c r="N1544" i="3" s="1"/>
  <c r="F1540" i="3"/>
  <c r="G1540" i="3" s="1"/>
  <c r="H1540" i="3" s="1"/>
  <c r="I1540" i="3" s="1"/>
  <c r="J1540" i="3" s="1"/>
  <c r="K1540" i="3" s="1"/>
  <c r="L1540" i="3" s="1"/>
  <c r="M1540" i="3" s="1"/>
  <c r="N1540" i="3" s="1"/>
  <c r="F1536" i="3"/>
  <c r="G1536" i="3" s="1"/>
  <c r="H1536" i="3" s="1"/>
  <c r="I1536" i="3" s="1"/>
  <c r="J1536" i="3" s="1"/>
  <c r="K1536" i="3" s="1"/>
  <c r="L1536" i="3" s="1"/>
  <c r="M1536" i="3" s="1"/>
  <c r="N1536" i="3" s="1"/>
  <c r="F1532" i="3"/>
  <c r="G1532" i="3" s="1"/>
  <c r="H1532" i="3" s="1"/>
  <c r="I1532" i="3" s="1"/>
  <c r="J1532" i="3" s="1"/>
  <c r="K1532" i="3" s="1"/>
  <c r="L1532" i="3" s="1"/>
  <c r="M1532" i="3" s="1"/>
  <c r="N1532" i="3" s="1"/>
  <c r="F1528" i="3"/>
  <c r="G1528" i="3" s="1"/>
  <c r="H1528" i="3" s="1"/>
  <c r="I1528" i="3" s="1"/>
  <c r="J1528" i="3" s="1"/>
  <c r="K1528" i="3" s="1"/>
  <c r="L1528" i="3" s="1"/>
  <c r="M1528" i="3" s="1"/>
  <c r="N1528" i="3" s="1"/>
  <c r="F1484" i="3"/>
  <c r="G1484" i="3" s="1"/>
  <c r="H1484" i="3" s="1"/>
  <c r="I1484" i="3" s="1"/>
  <c r="J1484" i="3" s="1"/>
  <c r="K1484" i="3" s="1"/>
  <c r="L1484" i="3" s="1"/>
  <c r="M1484" i="3" s="1"/>
  <c r="N1484" i="3" s="1"/>
  <c r="F1479" i="3"/>
  <c r="G1479" i="3" s="1"/>
  <c r="H1479" i="3" s="1"/>
  <c r="I1479" i="3" s="1"/>
  <c r="J1479" i="3" s="1"/>
  <c r="K1479" i="3" s="1"/>
  <c r="L1479" i="3" s="1"/>
  <c r="M1479" i="3" s="1"/>
  <c r="N1479" i="3" s="1"/>
  <c r="F1475" i="3"/>
  <c r="G1475" i="3" s="1"/>
  <c r="H1475" i="3" s="1"/>
  <c r="I1475" i="3" s="1"/>
  <c r="J1475" i="3" s="1"/>
  <c r="K1475" i="3" s="1"/>
  <c r="L1475" i="3" s="1"/>
  <c r="M1475" i="3" s="1"/>
  <c r="N1475" i="3" s="1"/>
  <c r="F1469" i="3"/>
  <c r="G1469" i="3" s="1"/>
  <c r="H1469" i="3" s="1"/>
  <c r="I1469" i="3" s="1"/>
  <c r="J1469" i="3" s="1"/>
  <c r="K1469" i="3" s="1"/>
  <c r="L1469" i="3" s="1"/>
  <c r="M1469" i="3" s="1"/>
  <c r="N1469" i="3" s="1"/>
  <c r="F1464" i="3"/>
  <c r="G1464" i="3" s="1"/>
  <c r="H1464" i="3" s="1"/>
  <c r="I1464" i="3" s="1"/>
  <c r="J1464" i="3" s="1"/>
  <c r="K1464" i="3" s="1"/>
  <c r="L1464" i="3" s="1"/>
  <c r="M1464" i="3" s="1"/>
  <c r="N1464" i="3" s="1"/>
  <c r="F1457" i="3"/>
  <c r="G1457" i="3" s="1"/>
  <c r="H1457" i="3" s="1"/>
  <c r="I1457" i="3" s="1"/>
  <c r="J1457" i="3" s="1"/>
  <c r="K1457" i="3" s="1"/>
  <c r="L1457" i="3" s="1"/>
  <c r="M1457" i="3" s="1"/>
  <c r="N1457" i="3" s="1"/>
  <c r="F1452" i="3"/>
  <c r="G1452" i="3" s="1"/>
  <c r="H1452" i="3" s="1"/>
  <c r="I1452" i="3" s="1"/>
  <c r="J1452" i="3" s="1"/>
  <c r="K1452" i="3" s="1"/>
  <c r="L1452" i="3" s="1"/>
  <c r="M1452" i="3" s="1"/>
  <c r="N1452" i="3" s="1"/>
  <c r="F1447" i="3"/>
  <c r="G1447" i="3" s="1"/>
  <c r="H1447" i="3" s="1"/>
  <c r="I1447" i="3" s="1"/>
  <c r="J1447" i="3" s="1"/>
  <c r="K1447" i="3" s="1"/>
  <c r="L1447" i="3" s="1"/>
  <c r="M1447" i="3" s="1"/>
  <c r="N1447" i="3" s="1"/>
  <c r="F1442" i="3"/>
  <c r="G1442" i="3" s="1"/>
  <c r="H1442" i="3" s="1"/>
  <c r="I1442" i="3" s="1"/>
  <c r="J1442" i="3" s="1"/>
  <c r="K1442" i="3" s="1"/>
  <c r="L1442" i="3" s="1"/>
  <c r="M1442" i="3" s="1"/>
  <c r="N1442" i="3" s="1"/>
  <c r="F1437" i="3"/>
  <c r="G1437" i="3" s="1"/>
  <c r="H1437" i="3" s="1"/>
  <c r="I1437" i="3" s="1"/>
  <c r="J1437" i="3" s="1"/>
  <c r="K1437" i="3" s="1"/>
  <c r="L1437" i="3" s="1"/>
  <c r="M1437" i="3" s="1"/>
  <c r="N1437" i="3" s="1"/>
  <c r="F1432" i="3"/>
  <c r="G1432" i="3" s="1"/>
  <c r="H1432" i="3" s="1"/>
  <c r="I1432" i="3" s="1"/>
  <c r="J1432" i="3" s="1"/>
  <c r="K1432" i="3" s="1"/>
  <c r="L1432" i="3" s="1"/>
  <c r="M1432" i="3" s="1"/>
  <c r="N1432" i="3" s="1"/>
  <c r="F1428" i="3"/>
  <c r="G1428" i="3" s="1"/>
  <c r="H1428" i="3" s="1"/>
  <c r="I1428" i="3" s="1"/>
  <c r="J1428" i="3" s="1"/>
  <c r="K1428" i="3" s="1"/>
  <c r="L1428" i="3" s="1"/>
  <c r="M1428" i="3" s="1"/>
  <c r="N1428" i="3" s="1"/>
  <c r="F1424" i="3"/>
  <c r="G1424" i="3" s="1"/>
  <c r="H1424" i="3" s="1"/>
  <c r="I1424" i="3" s="1"/>
  <c r="J1424" i="3" s="1"/>
  <c r="K1424" i="3" s="1"/>
  <c r="L1424" i="3" s="1"/>
  <c r="M1424" i="3" s="1"/>
  <c r="N1424" i="3" s="1"/>
  <c r="F1416" i="3"/>
  <c r="G1416" i="3" s="1"/>
  <c r="H1416" i="3" s="1"/>
  <c r="I1416" i="3" s="1"/>
  <c r="J1416" i="3" s="1"/>
  <c r="K1416" i="3" s="1"/>
  <c r="L1416" i="3" s="1"/>
  <c r="M1416" i="3" s="1"/>
  <c r="N1416" i="3" s="1"/>
  <c r="F1411" i="3"/>
  <c r="G1411" i="3" s="1"/>
  <c r="H1411" i="3" s="1"/>
  <c r="I1411" i="3" s="1"/>
  <c r="J1411" i="3" s="1"/>
  <c r="K1411" i="3" s="1"/>
  <c r="L1411" i="3" s="1"/>
  <c r="M1411" i="3" s="1"/>
  <c r="N1411" i="3" s="1"/>
  <c r="F1406" i="3"/>
  <c r="G1406" i="3" s="1"/>
  <c r="H1406" i="3" s="1"/>
  <c r="I1406" i="3" s="1"/>
  <c r="J1406" i="3" s="1"/>
  <c r="K1406" i="3" s="1"/>
  <c r="L1406" i="3" s="1"/>
  <c r="M1406" i="3" s="1"/>
  <c r="N1406" i="3" s="1"/>
  <c r="F1402" i="3"/>
  <c r="G1402" i="3" s="1"/>
  <c r="H1402" i="3" s="1"/>
  <c r="I1402" i="3" s="1"/>
  <c r="J1402" i="3" s="1"/>
  <c r="K1402" i="3" s="1"/>
  <c r="L1402" i="3" s="1"/>
  <c r="M1402" i="3" s="1"/>
  <c r="N1402" i="3" s="1"/>
  <c r="F1396" i="3"/>
  <c r="G1396" i="3" s="1"/>
  <c r="H1396" i="3" s="1"/>
  <c r="I1396" i="3" s="1"/>
  <c r="J1396" i="3" s="1"/>
  <c r="K1396" i="3" s="1"/>
  <c r="L1396" i="3" s="1"/>
  <c r="M1396" i="3" s="1"/>
  <c r="N1396" i="3" s="1"/>
  <c r="F1392" i="3"/>
  <c r="G1392" i="3" s="1"/>
  <c r="H1392" i="3" s="1"/>
  <c r="I1392" i="3" s="1"/>
  <c r="J1392" i="3" s="1"/>
  <c r="K1392" i="3" s="1"/>
  <c r="L1392" i="3" s="1"/>
  <c r="M1392" i="3" s="1"/>
  <c r="N1392" i="3" s="1"/>
  <c r="F1388" i="3"/>
  <c r="G1388" i="3" s="1"/>
  <c r="H1388" i="3" s="1"/>
  <c r="I1388" i="3" s="1"/>
  <c r="J1388" i="3" s="1"/>
  <c r="K1388" i="3" s="1"/>
  <c r="L1388" i="3" s="1"/>
  <c r="M1388" i="3" s="1"/>
  <c r="N1388" i="3" s="1"/>
  <c r="F1384" i="3"/>
  <c r="F1379" i="3"/>
  <c r="G1379" i="3" s="1"/>
  <c r="H1379" i="3" s="1"/>
  <c r="I1379" i="3" s="1"/>
  <c r="J1379" i="3" s="1"/>
  <c r="K1379" i="3" s="1"/>
  <c r="L1379" i="3" s="1"/>
  <c r="M1379" i="3" s="1"/>
  <c r="N1379" i="3" s="1"/>
  <c r="F1367" i="3"/>
  <c r="G1367" i="3" s="1"/>
  <c r="H1367" i="3" s="1"/>
  <c r="I1367" i="3" s="1"/>
  <c r="J1367" i="3" s="1"/>
  <c r="K1367" i="3" s="1"/>
  <c r="L1367" i="3" s="1"/>
  <c r="M1367" i="3" s="1"/>
  <c r="N1367" i="3" s="1"/>
  <c r="F1355" i="3"/>
  <c r="G1355" i="3" s="1"/>
  <c r="H1355" i="3" s="1"/>
  <c r="I1355" i="3" s="1"/>
  <c r="J1355" i="3" s="1"/>
  <c r="K1355" i="3" s="1"/>
  <c r="L1355" i="3" s="1"/>
  <c r="M1355" i="3" s="1"/>
  <c r="N1355" i="3" s="1"/>
  <c r="F1349" i="3"/>
  <c r="G1349" i="3" s="1"/>
  <c r="H1349" i="3" s="1"/>
  <c r="I1349" i="3" s="1"/>
  <c r="J1349" i="3" s="1"/>
  <c r="K1349" i="3" s="1"/>
  <c r="L1349" i="3" s="1"/>
  <c r="M1349" i="3" s="1"/>
  <c r="N1349" i="3" s="1"/>
  <c r="F2034" i="3"/>
  <c r="G2034" i="3" s="1"/>
  <c r="H2034" i="3" s="1"/>
  <c r="I2034" i="3" s="1"/>
  <c r="J2034" i="3" s="1"/>
  <c r="K2034" i="3" s="1"/>
  <c r="L2034" i="3" s="1"/>
  <c r="M2034" i="3" s="1"/>
  <c r="N2034" i="3" s="1"/>
  <c r="F2029" i="3"/>
  <c r="G2029" i="3" s="1"/>
  <c r="H2029" i="3" s="1"/>
  <c r="I2029" i="3" s="1"/>
  <c r="J2029" i="3" s="1"/>
  <c r="K2029" i="3" s="1"/>
  <c r="L2029" i="3" s="1"/>
  <c r="M2029" i="3" s="1"/>
  <c r="N2029" i="3" s="1"/>
  <c r="F2025" i="3"/>
  <c r="G2025" i="3" s="1"/>
  <c r="H2025" i="3" s="1"/>
  <c r="I2025" i="3" s="1"/>
  <c r="J2025" i="3" s="1"/>
  <c r="K2025" i="3" s="1"/>
  <c r="L2025" i="3" s="1"/>
  <c r="M2025" i="3" s="1"/>
  <c r="N2025" i="3" s="1"/>
  <c r="F2021" i="3"/>
  <c r="G2021" i="3" s="1"/>
  <c r="H2021" i="3" s="1"/>
  <c r="I2021" i="3" s="1"/>
  <c r="J2021" i="3" s="1"/>
  <c r="K2021" i="3" s="1"/>
  <c r="L2021" i="3" s="1"/>
  <c r="M2021" i="3" s="1"/>
  <c r="N2021" i="3" s="1"/>
  <c r="F2016" i="3"/>
  <c r="G2016" i="3" s="1"/>
  <c r="H2016" i="3" s="1"/>
  <c r="I2016" i="3" s="1"/>
  <c r="J2016" i="3" s="1"/>
  <c r="K2016" i="3" s="1"/>
  <c r="L2016" i="3" s="1"/>
  <c r="M2016" i="3" s="1"/>
  <c r="N2016" i="3" s="1"/>
  <c r="F2012" i="3"/>
  <c r="G2012" i="3" s="1"/>
  <c r="H2012" i="3" s="1"/>
  <c r="I2012" i="3" s="1"/>
  <c r="J2012" i="3" s="1"/>
  <c r="K2012" i="3" s="1"/>
  <c r="L2012" i="3" s="1"/>
  <c r="M2012" i="3" s="1"/>
  <c r="N2012" i="3" s="1"/>
  <c r="F2007" i="3"/>
  <c r="G2007" i="3" s="1"/>
  <c r="H2007" i="3" s="1"/>
  <c r="I2007" i="3" s="1"/>
  <c r="J2007" i="3" s="1"/>
  <c r="K2007" i="3" s="1"/>
  <c r="L2007" i="3" s="1"/>
  <c r="M2007" i="3" s="1"/>
  <c r="N2007" i="3" s="1"/>
  <c r="F1998" i="3"/>
  <c r="G1998" i="3" s="1"/>
  <c r="H1998" i="3" s="1"/>
  <c r="I1998" i="3" s="1"/>
  <c r="J1998" i="3" s="1"/>
  <c r="K1998" i="3" s="1"/>
  <c r="L1998" i="3" s="1"/>
  <c r="M1998" i="3" s="1"/>
  <c r="N1998" i="3" s="1"/>
  <c r="F1994" i="3"/>
  <c r="G1994" i="3" s="1"/>
  <c r="H1994" i="3" s="1"/>
  <c r="I1994" i="3" s="1"/>
  <c r="J1994" i="3" s="1"/>
  <c r="K1994" i="3" s="1"/>
  <c r="L1994" i="3" s="1"/>
  <c r="M1994" i="3" s="1"/>
  <c r="N1994" i="3" s="1"/>
  <c r="F1990" i="3"/>
  <c r="G1990" i="3" s="1"/>
  <c r="H1990" i="3" s="1"/>
  <c r="I1990" i="3" s="1"/>
  <c r="J1990" i="3" s="1"/>
  <c r="K1990" i="3" s="1"/>
  <c r="L1990" i="3" s="1"/>
  <c r="M1990" i="3" s="1"/>
  <c r="N1990" i="3" s="1"/>
  <c r="F1984" i="3"/>
  <c r="G1984" i="3" s="1"/>
  <c r="H1984" i="3" s="1"/>
  <c r="I1984" i="3" s="1"/>
  <c r="J1984" i="3" s="1"/>
  <c r="K1984" i="3" s="1"/>
  <c r="L1984" i="3" s="1"/>
  <c r="M1984" i="3" s="1"/>
  <c r="N1984" i="3" s="1"/>
  <c r="F1978" i="3"/>
  <c r="G1978" i="3" s="1"/>
  <c r="H1978" i="3" s="1"/>
  <c r="I1978" i="3" s="1"/>
  <c r="J1978" i="3" s="1"/>
  <c r="K1978" i="3" s="1"/>
  <c r="L1978" i="3" s="1"/>
  <c r="M1978" i="3" s="1"/>
  <c r="N1978" i="3" s="1"/>
  <c r="F1971" i="3"/>
  <c r="G1971" i="3" s="1"/>
  <c r="H1971" i="3" s="1"/>
  <c r="I1971" i="3" s="1"/>
  <c r="J1971" i="3" s="1"/>
  <c r="K1971" i="3" s="1"/>
  <c r="L1971" i="3" s="1"/>
  <c r="M1971" i="3" s="1"/>
  <c r="N1971" i="3" s="1"/>
  <c r="F1923" i="3"/>
  <c r="G1923" i="3" s="1"/>
  <c r="H1923" i="3" s="1"/>
  <c r="I1923" i="3" s="1"/>
  <c r="J1923" i="3" s="1"/>
  <c r="K1923" i="3" s="1"/>
  <c r="L1923" i="3" s="1"/>
  <c r="M1923" i="3" s="1"/>
  <c r="N1923" i="3" s="1"/>
  <c r="F1918" i="3"/>
  <c r="G1918" i="3" s="1"/>
  <c r="H1918" i="3" s="1"/>
  <c r="I1918" i="3" s="1"/>
  <c r="J1918" i="3" s="1"/>
  <c r="K1918" i="3" s="1"/>
  <c r="L1918" i="3" s="1"/>
  <c r="M1918" i="3" s="1"/>
  <c r="N1918" i="3" s="1"/>
  <c r="F1913" i="3"/>
  <c r="G1913" i="3" s="1"/>
  <c r="H1913" i="3" s="1"/>
  <c r="I1913" i="3" s="1"/>
  <c r="J1913" i="3" s="1"/>
  <c r="K1913" i="3" s="1"/>
  <c r="L1913" i="3" s="1"/>
  <c r="M1913" i="3" s="1"/>
  <c r="N1913" i="3" s="1"/>
  <c r="F1908" i="3"/>
  <c r="G1908" i="3" s="1"/>
  <c r="H1908" i="3" s="1"/>
  <c r="I1908" i="3" s="1"/>
  <c r="J1908" i="3" s="1"/>
  <c r="K1908" i="3" s="1"/>
  <c r="L1908" i="3" s="1"/>
  <c r="M1908" i="3" s="1"/>
  <c r="N1908" i="3" s="1"/>
  <c r="F1903" i="3"/>
  <c r="G1903" i="3" s="1"/>
  <c r="H1903" i="3" s="1"/>
  <c r="I1903" i="3" s="1"/>
  <c r="J1903" i="3" s="1"/>
  <c r="K1903" i="3" s="1"/>
  <c r="L1903" i="3" s="1"/>
  <c r="M1903" i="3" s="1"/>
  <c r="N1903" i="3" s="1"/>
  <c r="F1899" i="3"/>
  <c r="G1899" i="3" s="1"/>
  <c r="H1899" i="3" s="1"/>
  <c r="I1899" i="3" s="1"/>
  <c r="J1899" i="3" s="1"/>
  <c r="K1899" i="3" s="1"/>
  <c r="L1899" i="3" s="1"/>
  <c r="M1899" i="3" s="1"/>
  <c r="N1899" i="3" s="1"/>
  <c r="F1895" i="3"/>
  <c r="G1895" i="3" s="1"/>
  <c r="H1895" i="3" s="1"/>
  <c r="I1895" i="3" s="1"/>
  <c r="J1895" i="3" s="1"/>
  <c r="K1895" i="3" s="1"/>
  <c r="L1895" i="3" s="1"/>
  <c r="M1895" i="3" s="1"/>
  <c r="N1895" i="3" s="1"/>
  <c r="F1890" i="3"/>
  <c r="G1890" i="3" s="1"/>
  <c r="H1890" i="3" s="1"/>
  <c r="I1890" i="3" s="1"/>
  <c r="J1890" i="3" s="1"/>
  <c r="K1890" i="3" s="1"/>
  <c r="L1890" i="3" s="1"/>
  <c r="M1890" i="3" s="1"/>
  <c r="N1890" i="3" s="1"/>
  <c r="F1883" i="3"/>
  <c r="G1883" i="3" s="1"/>
  <c r="H1883" i="3" s="1"/>
  <c r="I1883" i="3" s="1"/>
  <c r="J1883" i="3" s="1"/>
  <c r="K1883" i="3" s="1"/>
  <c r="L1883" i="3" s="1"/>
  <c r="M1883" i="3" s="1"/>
  <c r="N1883" i="3" s="1"/>
  <c r="F1876" i="3"/>
  <c r="F1821" i="3"/>
  <c r="G1821" i="3" s="1"/>
  <c r="H1821" i="3" s="1"/>
  <c r="I1821" i="3" s="1"/>
  <c r="J1821" i="3" s="1"/>
  <c r="K1821" i="3" s="1"/>
  <c r="L1821" i="3" s="1"/>
  <c r="M1821" i="3" s="1"/>
  <c r="N1821" i="3" s="1"/>
  <c r="F1816" i="3"/>
  <c r="G1816" i="3" s="1"/>
  <c r="H1816" i="3" s="1"/>
  <c r="I1816" i="3" s="1"/>
  <c r="J1816" i="3" s="1"/>
  <c r="K1816" i="3" s="1"/>
  <c r="L1816" i="3" s="1"/>
  <c r="M1816" i="3" s="1"/>
  <c r="N1816" i="3" s="1"/>
  <c r="F1812" i="3"/>
  <c r="G1812" i="3" s="1"/>
  <c r="H1812" i="3" s="1"/>
  <c r="I1812" i="3" s="1"/>
  <c r="J1812" i="3" s="1"/>
  <c r="K1812" i="3" s="1"/>
  <c r="L1812" i="3" s="1"/>
  <c r="M1812" i="3" s="1"/>
  <c r="N1812" i="3" s="1"/>
  <c r="F1808" i="3"/>
  <c r="G1808" i="3" s="1"/>
  <c r="H1808" i="3" s="1"/>
  <c r="I1808" i="3" s="1"/>
  <c r="J1808" i="3" s="1"/>
  <c r="K1808" i="3" s="1"/>
  <c r="L1808" i="3" s="1"/>
  <c r="M1808" i="3" s="1"/>
  <c r="N1808" i="3" s="1"/>
  <c r="F1800" i="3"/>
  <c r="G1800" i="3" s="1"/>
  <c r="H1800" i="3" s="1"/>
  <c r="I1800" i="3" s="1"/>
  <c r="J1800" i="3" s="1"/>
  <c r="K1800" i="3" s="1"/>
  <c r="L1800" i="3" s="1"/>
  <c r="M1800" i="3" s="1"/>
  <c r="N1800" i="3" s="1"/>
  <c r="F1796" i="3"/>
  <c r="G1796" i="3" s="1"/>
  <c r="H1796" i="3" s="1"/>
  <c r="I1796" i="3" s="1"/>
  <c r="J1796" i="3" s="1"/>
  <c r="K1796" i="3" s="1"/>
  <c r="L1796" i="3" s="1"/>
  <c r="M1796" i="3" s="1"/>
  <c r="N1796" i="3" s="1"/>
  <c r="F1791" i="3"/>
  <c r="G1791" i="3" s="1"/>
  <c r="H1791" i="3" s="1"/>
  <c r="I1791" i="3" s="1"/>
  <c r="J1791" i="3" s="1"/>
  <c r="K1791" i="3" s="1"/>
  <c r="L1791" i="3" s="1"/>
  <c r="M1791" i="3" s="1"/>
  <c r="N1791" i="3" s="1"/>
  <c r="F1786" i="3"/>
  <c r="F1758" i="3"/>
  <c r="G1758" i="3" s="1"/>
  <c r="H1758" i="3" s="1"/>
  <c r="I1758" i="3" s="1"/>
  <c r="J1758" i="3" s="1"/>
  <c r="K1758" i="3" s="1"/>
  <c r="L1758" i="3" s="1"/>
  <c r="M1758" i="3" s="1"/>
  <c r="N1758" i="3" s="1"/>
  <c r="F1752" i="3"/>
  <c r="G1752" i="3" s="1"/>
  <c r="H1752" i="3" s="1"/>
  <c r="I1752" i="3" s="1"/>
  <c r="J1752" i="3" s="1"/>
  <c r="K1752" i="3" s="1"/>
  <c r="L1752" i="3" s="1"/>
  <c r="M1752" i="3" s="1"/>
  <c r="N1752" i="3" s="1"/>
  <c r="F1746" i="3"/>
  <c r="G1746" i="3" s="1"/>
  <c r="H1746" i="3" s="1"/>
  <c r="I1746" i="3" s="1"/>
  <c r="J1746" i="3" s="1"/>
  <c r="K1746" i="3" s="1"/>
  <c r="L1746" i="3" s="1"/>
  <c r="M1746" i="3" s="1"/>
  <c r="N1746" i="3" s="1"/>
  <c r="F1742" i="3"/>
  <c r="G1742" i="3" s="1"/>
  <c r="H1742" i="3" s="1"/>
  <c r="I1742" i="3" s="1"/>
  <c r="J1742" i="3" s="1"/>
  <c r="K1742" i="3" s="1"/>
  <c r="L1742" i="3" s="1"/>
  <c r="M1742" i="3" s="1"/>
  <c r="N1742" i="3" s="1"/>
  <c r="F1720" i="3"/>
  <c r="G1720" i="3" s="1"/>
  <c r="H1720" i="3" s="1"/>
  <c r="I1720" i="3" s="1"/>
  <c r="J1720" i="3" s="1"/>
  <c r="K1720" i="3" s="1"/>
  <c r="L1720" i="3" s="1"/>
  <c r="M1720" i="3" s="1"/>
  <c r="N1720" i="3" s="1"/>
  <c r="F1702" i="3"/>
  <c r="G1702" i="3" s="1"/>
  <c r="H1702" i="3" s="1"/>
  <c r="I1702" i="3" s="1"/>
  <c r="J1702" i="3" s="1"/>
  <c r="K1702" i="3" s="1"/>
  <c r="L1702" i="3" s="1"/>
  <c r="M1702" i="3" s="1"/>
  <c r="N1702" i="3" s="1"/>
  <c r="F1696" i="3"/>
  <c r="G1696" i="3" s="1"/>
  <c r="H1696" i="3" s="1"/>
  <c r="I1696" i="3" s="1"/>
  <c r="J1696" i="3" s="1"/>
  <c r="K1696" i="3" s="1"/>
  <c r="L1696" i="3" s="1"/>
  <c r="M1696" i="3" s="1"/>
  <c r="N1696" i="3" s="1"/>
  <c r="F1691" i="3"/>
  <c r="G1691" i="3" s="1"/>
  <c r="H1691" i="3" s="1"/>
  <c r="I1691" i="3" s="1"/>
  <c r="J1691" i="3" s="1"/>
  <c r="K1691" i="3" s="1"/>
  <c r="L1691" i="3" s="1"/>
  <c r="M1691" i="3" s="1"/>
  <c r="N1691" i="3" s="1"/>
  <c r="F1648" i="3"/>
  <c r="G1648" i="3" s="1"/>
  <c r="H1648" i="3" s="1"/>
  <c r="I1648" i="3" s="1"/>
  <c r="J1648" i="3" s="1"/>
  <c r="K1648" i="3" s="1"/>
  <c r="L1648" i="3" s="1"/>
  <c r="M1648" i="3" s="1"/>
  <c r="N1648" i="3" s="1"/>
  <c r="F1641" i="3"/>
  <c r="G1641" i="3" s="1"/>
  <c r="H1641" i="3" s="1"/>
  <c r="I1641" i="3" s="1"/>
  <c r="J1641" i="3" s="1"/>
  <c r="K1641" i="3" s="1"/>
  <c r="L1641" i="3" s="1"/>
  <c r="M1641" i="3" s="1"/>
  <c r="N1641" i="3" s="1"/>
  <c r="F1635" i="3"/>
  <c r="G1635" i="3" s="1"/>
  <c r="H1635" i="3" s="1"/>
  <c r="I1635" i="3" s="1"/>
  <c r="J1635" i="3" s="1"/>
  <c r="K1635" i="3" s="1"/>
  <c r="L1635" i="3" s="1"/>
  <c r="M1635" i="3" s="1"/>
  <c r="N1635" i="3" s="1"/>
  <c r="F1630" i="3"/>
  <c r="G1630" i="3" s="1"/>
  <c r="H1630" i="3" s="1"/>
  <c r="I1630" i="3" s="1"/>
  <c r="J1630" i="3" s="1"/>
  <c r="K1630" i="3" s="1"/>
  <c r="L1630" i="3" s="1"/>
  <c r="M1630" i="3" s="1"/>
  <c r="N1630" i="3" s="1"/>
  <c r="F1624" i="3"/>
  <c r="G1624" i="3" s="1"/>
  <c r="H1624" i="3" s="1"/>
  <c r="I1624" i="3" s="1"/>
  <c r="J1624" i="3" s="1"/>
  <c r="K1624" i="3" s="1"/>
  <c r="L1624" i="3" s="1"/>
  <c r="M1624" i="3" s="1"/>
  <c r="N1624" i="3" s="1"/>
  <c r="F1619" i="3"/>
  <c r="F1588" i="3"/>
  <c r="G1588" i="3" s="1"/>
  <c r="H1588" i="3" s="1"/>
  <c r="I1588" i="3" s="1"/>
  <c r="J1588" i="3" s="1"/>
  <c r="K1588" i="3" s="1"/>
  <c r="L1588" i="3" s="1"/>
  <c r="M1588" i="3" s="1"/>
  <c r="N1588" i="3" s="1"/>
  <c r="F1584" i="3"/>
  <c r="G1584" i="3" s="1"/>
  <c r="H1584" i="3" s="1"/>
  <c r="I1584" i="3" s="1"/>
  <c r="J1584" i="3" s="1"/>
  <c r="K1584" i="3" s="1"/>
  <c r="L1584" i="3" s="1"/>
  <c r="M1584" i="3" s="1"/>
  <c r="N1584" i="3" s="1"/>
  <c r="F1580" i="3"/>
  <c r="G1580" i="3" s="1"/>
  <c r="H1580" i="3" s="1"/>
  <c r="I1580" i="3" s="1"/>
  <c r="J1580" i="3" s="1"/>
  <c r="K1580" i="3" s="1"/>
  <c r="L1580" i="3" s="1"/>
  <c r="M1580" i="3" s="1"/>
  <c r="N1580" i="3" s="1"/>
  <c r="F1576" i="3"/>
  <c r="G1576" i="3" s="1"/>
  <c r="H1576" i="3" s="1"/>
  <c r="I1576" i="3" s="1"/>
  <c r="J1576" i="3" s="1"/>
  <c r="K1576" i="3" s="1"/>
  <c r="L1576" i="3" s="1"/>
  <c r="M1576" i="3" s="1"/>
  <c r="N1576" i="3" s="1"/>
  <c r="F1572" i="3"/>
  <c r="G1572" i="3" s="1"/>
  <c r="H1572" i="3" s="1"/>
  <c r="I1572" i="3" s="1"/>
  <c r="J1572" i="3" s="1"/>
  <c r="K1572" i="3" s="1"/>
  <c r="L1572" i="3" s="1"/>
  <c r="M1572" i="3" s="1"/>
  <c r="N1572" i="3" s="1"/>
  <c r="F1548" i="3"/>
  <c r="G1548" i="3" s="1"/>
  <c r="H1548" i="3" s="1"/>
  <c r="I1548" i="3" s="1"/>
  <c r="J1548" i="3" s="1"/>
  <c r="K1548" i="3" s="1"/>
  <c r="L1548" i="3" s="1"/>
  <c r="M1548" i="3" s="1"/>
  <c r="N1548" i="3" s="1"/>
  <c r="F1543" i="3"/>
  <c r="G1543" i="3" s="1"/>
  <c r="H1543" i="3" s="1"/>
  <c r="I1543" i="3" s="1"/>
  <c r="J1543" i="3" s="1"/>
  <c r="K1543" i="3" s="1"/>
  <c r="L1543" i="3" s="1"/>
  <c r="M1543" i="3" s="1"/>
  <c r="N1543" i="3" s="1"/>
  <c r="F1539" i="3"/>
  <c r="G1539" i="3" s="1"/>
  <c r="H1539" i="3" s="1"/>
  <c r="I1539" i="3" s="1"/>
  <c r="J1539" i="3" s="1"/>
  <c r="K1539" i="3" s="1"/>
  <c r="L1539" i="3" s="1"/>
  <c r="M1539" i="3" s="1"/>
  <c r="N1539" i="3" s="1"/>
  <c r="F1535" i="3"/>
  <c r="G1535" i="3" s="1"/>
  <c r="H1535" i="3" s="1"/>
  <c r="I1535" i="3" s="1"/>
  <c r="J1535" i="3" s="1"/>
  <c r="K1535" i="3" s="1"/>
  <c r="L1535" i="3" s="1"/>
  <c r="M1535" i="3" s="1"/>
  <c r="N1535" i="3" s="1"/>
  <c r="F1531" i="3"/>
  <c r="G1531" i="3" s="1"/>
  <c r="H1531" i="3" s="1"/>
  <c r="I1531" i="3" s="1"/>
  <c r="J1531" i="3" s="1"/>
  <c r="K1531" i="3" s="1"/>
  <c r="L1531" i="3" s="1"/>
  <c r="M1531" i="3" s="1"/>
  <c r="N1531" i="3" s="1"/>
  <c r="F1527" i="3"/>
  <c r="G1527" i="3" s="1"/>
  <c r="H1527" i="3" s="1"/>
  <c r="I1527" i="3" s="1"/>
  <c r="J1527" i="3" s="1"/>
  <c r="K1527" i="3" s="1"/>
  <c r="L1527" i="3" s="1"/>
  <c r="M1527" i="3" s="1"/>
  <c r="N1527" i="3" s="1"/>
  <c r="F1483" i="3"/>
  <c r="G1483" i="3" s="1"/>
  <c r="H1483" i="3" s="1"/>
  <c r="I1483" i="3" s="1"/>
  <c r="J1483" i="3" s="1"/>
  <c r="K1483" i="3" s="1"/>
  <c r="L1483" i="3" s="1"/>
  <c r="M1483" i="3" s="1"/>
  <c r="N1483" i="3" s="1"/>
  <c r="F1478" i="3"/>
  <c r="G1478" i="3" s="1"/>
  <c r="H1478" i="3" s="1"/>
  <c r="I1478" i="3" s="1"/>
  <c r="J1478" i="3" s="1"/>
  <c r="K1478" i="3" s="1"/>
  <c r="L1478" i="3" s="1"/>
  <c r="M1478" i="3" s="1"/>
  <c r="N1478" i="3" s="1"/>
  <c r="F1474" i="3"/>
  <c r="G1474" i="3" s="1"/>
  <c r="H1474" i="3" s="1"/>
  <c r="I1474" i="3" s="1"/>
  <c r="J1474" i="3" s="1"/>
  <c r="K1474" i="3" s="1"/>
  <c r="L1474" i="3" s="1"/>
  <c r="M1474" i="3" s="1"/>
  <c r="N1474" i="3" s="1"/>
  <c r="F1468" i="3"/>
  <c r="G1468" i="3" s="1"/>
  <c r="H1468" i="3" s="1"/>
  <c r="I1468" i="3" s="1"/>
  <c r="J1468" i="3" s="1"/>
  <c r="K1468" i="3" s="1"/>
  <c r="L1468" i="3" s="1"/>
  <c r="M1468" i="3" s="1"/>
  <c r="N1468" i="3" s="1"/>
  <c r="F1463" i="3"/>
  <c r="G1463" i="3" s="1"/>
  <c r="H1463" i="3" s="1"/>
  <c r="I1463" i="3" s="1"/>
  <c r="J1463" i="3" s="1"/>
  <c r="K1463" i="3" s="1"/>
  <c r="L1463" i="3" s="1"/>
  <c r="M1463" i="3" s="1"/>
  <c r="N1463" i="3" s="1"/>
  <c r="F1456" i="3"/>
  <c r="G1456" i="3" s="1"/>
  <c r="H1456" i="3" s="1"/>
  <c r="I1456" i="3" s="1"/>
  <c r="J1456" i="3" s="1"/>
  <c r="K1456" i="3" s="1"/>
  <c r="L1456" i="3" s="1"/>
  <c r="M1456" i="3" s="1"/>
  <c r="N1456" i="3" s="1"/>
  <c r="F1451" i="3"/>
  <c r="G1451" i="3" s="1"/>
  <c r="H1451" i="3" s="1"/>
  <c r="I1451" i="3" s="1"/>
  <c r="J1451" i="3" s="1"/>
  <c r="K1451" i="3" s="1"/>
  <c r="L1451" i="3" s="1"/>
  <c r="M1451" i="3" s="1"/>
  <c r="N1451" i="3" s="1"/>
  <c r="F1445" i="3"/>
  <c r="G1445" i="3" s="1"/>
  <c r="H1445" i="3" s="1"/>
  <c r="I1445" i="3" s="1"/>
  <c r="J1445" i="3" s="1"/>
  <c r="K1445" i="3" s="1"/>
  <c r="L1445" i="3" s="1"/>
  <c r="M1445" i="3" s="1"/>
  <c r="N1445" i="3" s="1"/>
  <c r="F1441" i="3"/>
  <c r="G1441" i="3" s="1"/>
  <c r="H1441" i="3" s="1"/>
  <c r="I1441" i="3" s="1"/>
  <c r="J1441" i="3" s="1"/>
  <c r="K1441" i="3" s="1"/>
  <c r="L1441" i="3" s="1"/>
  <c r="M1441" i="3" s="1"/>
  <c r="N1441" i="3" s="1"/>
  <c r="F1436" i="3"/>
  <c r="G1436" i="3" s="1"/>
  <c r="H1436" i="3" s="1"/>
  <c r="I1436" i="3" s="1"/>
  <c r="J1436" i="3" s="1"/>
  <c r="K1436" i="3" s="1"/>
  <c r="L1436" i="3" s="1"/>
  <c r="M1436" i="3" s="1"/>
  <c r="N1436" i="3" s="1"/>
  <c r="F1431" i="3"/>
  <c r="G1431" i="3" s="1"/>
  <c r="H1431" i="3" s="1"/>
  <c r="I1431" i="3" s="1"/>
  <c r="J1431" i="3" s="1"/>
  <c r="K1431" i="3" s="1"/>
  <c r="L1431" i="3" s="1"/>
  <c r="M1431" i="3" s="1"/>
  <c r="N1431" i="3" s="1"/>
  <c r="F1427" i="3"/>
  <c r="G1427" i="3" s="1"/>
  <c r="H1427" i="3" s="1"/>
  <c r="I1427" i="3" s="1"/>
  <c r="J1427" i="3" s="1"/>
  <c r="K1427" i="3" s="1"/>
  <c r="L1427" i="3" s="1"/>
  <c r="M1427" i="3" s="1"/>
  <c r="N1427" i="3" s="1"/>
  <c r="F1423" i="3"/>
  <c r="F1414" i="3"/>
  <c r="G1414" i="3" s="1"/>
  <c r="H1414" i="3" s="1"/>
  <c r="I1414" i="3" s="1"/>
  <c r="J1414" i="3" s="1"/>
  <c r="K1414" i="3" s="1"/>
  <c r="L1414" i="3" s="1"/>
  <c r="M1414" i="3" s="1"/>
  <c r="N1414" i="3" s="1"/>
  <c r="F1410" i="3"/>
  <c r="G1410" i="3" s="1"/>
  <c r="H1410" i="3" s="1"/>
  <c r="I1410" i="3" s="1"/>
  <c r="J1410" i="3" s="1"/>
  <c r="K1410" i="3" s="1"/>
  <c r="L1410" i="3" s="1"/>
  <c r="M1410" i="3" s="1"/>
  <c r="N1410" i="3" s="1"/>
  <c r="F1405" i="3"/>
  <c r="G1405" i="3" s="1"/>
  <c r="H1405" i="3" s="1"/>
  <c r="I1405" i="3" s="1"/>
  <c r="J1405" i="3" s="1"/>
  <c r="K1405" i="3" s="1"/>
  <c r="L1405" i="3" s="1"/>
  <c r="M1405" i="3" s="1"/>
  <c r="N1405" i="3" s="1"/>
  <c r="F1401" i="3"/>
  <c r="F1395" i="3"/>
  <c r="G1395" i="3" s="1"/>
  <c r="H1395" i="3" s="1"/>
  <c r="I1395" i="3" s="1"/>
  <c r="J1395" i="3" s="1"/>
  <c r="K1395" i="3" s="1"/>
  <c r="L1395" i="3" s="1"/>
  <c r="M1395" i="3" s="1"/>
  <c r="N1395" i="3" s="1"/>
  <c r="F1391" i="3"/>
  <c r="G1391" i="3" s="1"/>
  <c r="H1391" i="3" s="1"/>
  <c r="I1391" i="3" s="1"/>
  <c r="J1391" i="3" s="1"/>
  <c r="K1391" i="3" s="1"/>
  <c r="L1391" i="3" s="1"/>
  <c r="M1391" i="3" s="1"/>
  <c r="N1391" i="3" s="1"/>
  <c r="F1387" i="3"/>
  <c r="G1387" i="3" s="1"/>
  <c r="H1387" i="3" s="1"/>
  <c r="I1387" i="3" s="1"/>
  <c r="J1387" i="3" s="1"/>
  <c r="K1387" i="3" s="1"/>
  <c r="L1387" i="3" s="1"/>
  <c r="M1387" i="3" s="1"/>
  <c r="N1387" i="3" s="1"/>
  <c r="F1383" i="3"/>
  <c r="G1383" i="3" s="1"/>
  <c r="H1383" i="3" s="1"/>
  <c r="I1383" i="3" s="1"/>
  <c r="J1383" i="3" s="1"/>
  <c r="K1383" i="3" s="1"/>
  <c r="L1383" i="3" s="1"/>
  <c r="M1383" i="3" s="1"/>
  <c r="N1383" i="3" s="1"/>
  <c r="F1378" i="3"/>
  <c r="F1366" i="3"/>
  <c r="G1366" i="3" s="1"/>
  <c r="H1366" i="3" s="1"/>
  <c r="I1366" i="3" s="1"/>
  <c r="J1366" i="3" s="1"/>
  <c r="K1366" i="3" s="1"/>
  <c r="L1366" i="3" s="1"/>
  <c r="M1366" i="3" s="1"/>
  <c r="N1366" i="3" s="1"/>
  <c r="F1354" i="3"/>
  <c r="G1354" i="3" s="1"/>
  <c r="H1354" i="3" s="1"/>
  <c r="I1354" i="3" s="1"/>
  <c r="J1354" i="3" s="1"/>
  <c r="K1354" i="3" s="1"/>
  <c r="L1354" i="3" s="1"/>
  <c r="M1354" i="3" s="1"/>
  <c r="N1354" i="3" s="1"/>
  <c r="F2032" i="3"/>
  <c r="G2032" i="3" s="1"/>
  <c r="H2032" i="3" s="1"/>
  <c r="I2032" i="3" s="1"/>
  <c r="J2032" i="3" s="1"/>
  <c r="K2032" i="3" s="1"/>
  <c r="L2032" i="3" s="1"/>
  <c r="M2032" i="3" s="1"/>
  <c r="N2032" i="3" s="1"/>
  <c r="F2028" i="3"/>
  <c r="G2028" i="3" s="1"/>
  <c r="H2028" i="3" s="1"/>
  <c r="I2028" i="3" s="1"/>
  <c r="J2028" i="3" s="1"/>
  <c r="K2028" i="3" s="1"/>
  <c r="L2028" i="3" s="1"/>
  <c r="M2028" i="3" s="1"/>
  <c r="N2028" i="3" s="1"/>
  <c r="F2024" i="3"/>
  <c r="G2024" i="3" s="1"/>
  <c r="H2024" i="3" s="1"/>
  <c r="I2024" i="3" s="1"/>
  <c r="J2024" i="3" s="1"/>
  <c r="K2024" i="3" s="1"/>
  <c r="L2024" i="3" s="1"/>
  <c r="M2024" i="3" s="1"/>
  <c r="N2024" i="3" s="1"/>
  <c r="F2020" i="3"/>
  <c r="G2020" i="3" s="1"/>
  <c r="H2020" i="3" s="1"/>
  <c r="I2020" i="3" s="1"/>
  <c r="J2020" i="3" s="1"/>
  <c r="K2020" i="3" s="1"/>
  <c r="L2020" i="3" s="1"/>
  <c r="M2020" i="3" s="1"/>
  <c r="N2020" i="3" s="1"/>
  <c r="F2015" i="3"/>
  <c r="G2015" i="3" s="1"/>
  <c r="H2015" i="3" s="1"/>
  <c r="I2015" i="3" s="1"/>
  <c r="J2015" i="3" s="1"/>
  <c r="K2015" i="3" s="1"/>
  <c r="L2015" i="3" s="1"/>
  <c r="M2015" i="3" s="1"/>
  <c r="N2015" i="3" s="1"/>
  <c r="F2011" i="3"/>
  <c r="G2011" i="3" s="1"/>
  <c r="H2011" i="3" s="1"/>
  <c r="I2011" i="3" s="1"/>
  <c r="J2011" i="3" s="1"/>
  <c r="K2011" i="3" s="1"/>
  <c r="L2011" i="3" s="1"/>
  <c r="M2011" i="3" s="1"/>
  <c r="N2011" i="3" s="1"/>
  <c r="F2003" i="3"/>
  <c r="F1997" i="3"/>
  <c r="G1997" i="3" s="1"/>
  <c r="H1997" i="3" s="1"/>
  <c r="I1997" i="3" s="1"/>
  <c r="J1997" i="3" s="1"/>
  <c r="K1997" i="3" s="1"/>
  <c r="L1997" i="3" s="1"/>
  <c r="M1997" i="3" s="1"/>
  <c r="N1997" i="3" s="1"/>
  <c r="F1993" i="3"/>
  <c r="G1993" i="3" s="1"/>
  <c r="H1993" i="3" s="1"/>
  <c r="I1993" i="3" s="1"/>
  <c r="J1993" i="3" s="1"/>
  <c r="K1993" i="3" s="1"/>
  <c r="L1993" i="3" s="1"/>
  <c r="M1993" i="3" s="1"/>
  <c r="N1993" i="3" s="1"/>
  <c r="F1989" i="3"/>
  <c r="G1989" i="3" s="1"/>
  <c r="H1989" i="3" s="1"/>
  <c r="I1989" i="3" s="1"/>
  <c r="J1989" i="3" s="1"/>
  <c r="K1989" i="3" s="1"/>
  <c r="L1989" i="3" s="1"/>
  <c r="M1989" i="3" s="1"/>
  <c r="N1989" i="3" s="1"/>
  <c r="F1982" i="3"/>
  <c r="G1982" i="3" s="1"/>
  <c r="H1982" i="3" s="1"/>
  <c r="I1982" i="3" s="1"/>
  <c r="J1982" i="3" s="1"/>
  <c r="K1982" i="3" s="1"/>
  <c r="L1982" i="3" s="1"/>
  <c r="M1982" i="3" s="1"/>
  <c r="N1982" i="3" s="1"/>
  <c r="F1976" i="3"/>
  <c r="G1976" i="3" s="1"/>
  <c r="H1976" i="3" s="1"/>
  <c r="I1976" i="3" s="1"/>
  <c r="J1976" i="3" s="1"/>
  <c r="K1976" i="3" s="1"/>
  <c r="L1976" i="3" s="1"/>
  <c r="M1976" i="3" s="1"/>
  <c r="N1976" i="3" s="1"/>
  <c r="F1970" i="3"/>
  <c r="F1921" i="3"/>
  <c r="G1921" i="3" s="1"/>
  <c r="H1921" i="3" s="1"/>
  <c r="I1921" i="3" s="1"/>
  <c r="J1921" i="3" s="1"/>
  <c r="K1921" i="3" s="1"/>
  <c r="L1921" i="3" s="1"/>
  <c r="M1921" i="3" s="1"/>
  <c r="N1921" i="3" s="1"/>
  <c r="F1917" i="3"/>
  <c r="G1917" i="3" s="1"/>
  <c r="H1917" i="3" s="1"/>
  <c r="I1917" i="3" s="1"/>
  <c r="J1917" i="3" s="1"/>
  <c r="K1917" i="3" s="1"/>
  <c r="L1917" i="3" s="1"/>
  <c r="M1917" i="3" s="1"/>
  <c r="N1917" i="3" s="1"/>
  <c r="F1912" i="3"/>
  <c r="G1912" i="3" s="1"/>
  <c r="H1912" i="3" s="1"/>
  <c r="I1912" i="3" s="1"/>
  <c r="J1912" i="3" s="1"/>
  <c r="K1912" i="3" s="1"/>
  <c r="L1912" i="3" s="1"/>
  <c r="M1912" i="3" s="1"/>
  <c r="N1912" i="3" s="1"/>
  <c r="F1907" i="3"/>
  <c r="G1907" i="3" s="1"/>
  <c r="H1907" i="3" s="1"/>
  <c r="I1907" i="3" s="1"/>
  <c r="J1907" i="3" s="1"/>
  <c r="K1907" i="3" s="1"/>
  <c r="L1907" i="3" s="1"/>
  <c r="M1907" i="3" s="1"/>
  <c r="N1907" i="3" s="1"/>
  <c r="F1902" i="3"/>
  <c r="G1902" i="3" s="1"/>
  <c r="H1902" i="3" s="1"/>
  <c r="I1902" i="3" s="1"/>
  <c r="J1902" i="3" s="1"/>
  <c r="K1902" i="3" s="1"/>
  <c r="L1902" i="3" s="1"/>
  <c r="M1902" i="3" s="1"/>
  <c r="N1902" i="3" s="1"/>
  <c r="F1898" i="3"/>
  <c r="G1898" i="3" s="1"/>
  <c r="H1898" i="3" s="1"/>
  <c r="I1898" i="3" s="1"/>
  <c r="J1898" i="3" s="1"/>
  <c r="K1898" i="3" s="1"/>
  <c r="L1898" i="3" s="1"/>
  <c r="M1898" i="3" s="1"/>
  <c r="N1898" i="3" s="1"/>
  <c r="F1894" i="3"/>
  <c r="G1894" i="3" s="1"/>
  <c r="H1894" i="3" s="1"/>
  <c r="I1894" i="3" s="1"/>
  <c r="J1894" i="3" s="1"/>
  <c r="K1894" i="3" s="1"/>
  <c r="L1894" i="3" s="1"/>
  <c r="M1894" i="3" s="1"/>
  <c r="N1894" i="3" s="1"/>
  <c r="F1888" i="3"/>
  <c r="G1888" i="3" s="1"/>
  <c r="H1888" i="3" s="1"/>
  <c r="I1888" i="3" s="1"/>
  <c r="J1888" i="3" s="1"/>
  <c r="K1888" i="3" s="1"/>
  <c r="L1888" i="3" s="1"/>
  <c r="M1888" i="3" s="1"/>
  <c r="N1888" i="3" s="1"/>
  <c r="F1881" i="3"/>
  <c r="G1881" i="3" s="1"/>
  <c r="H1881" i="3" s="1"/>
  <c r="I1881" i="3" s="1"/>
  <c r="J1881" i="3" s="1"/>
  <c r="K1881" i="3" s="1"/>
  <c r="L1881" i="3" s="1"/>
  <c r="M1881" i="3" s="1"/>
  <c r="N1881" i="3" s="1"/>
  <c r="F1824" i="3"/>
  <c r="G1824" i="3" s="1"/>
  <c r="H1824" i="3" s="1"/>
  <c r="I1824" i="3" s="1"/>
  <c r="J1824" i="3" s="1"/>
  <c r="K1824" i="3" s="1"/>
  <c r="L1824" i="3" s="1"/>
  <c r="M1824" i="3" s="1"/>
  <c r="N1824" i="3" s="1"/>
  <c r="F1819" i="3"/>
  <c r="G1819" i="3" s="1"/>
  <c r="H1819" i="3" s="1"/>
  <c r="I1819" i="3" s="1"/>
  <c r="J1819" i="3" s="1"/>
  <c r="K1819" i="3" s="1"/>
  <c r="L1819" i="3" s="1"/>
  <c r="M1819" i="3" s="1"/>
  <c r="N1819" i="3" s="1"/>
  <c r="F1815" i="3"/>
  <c r="G1815" i="3" s="1"/>
  <c r="H1815" i="3" s="1"/>
  <c r="I1815" i="3" s="1"/>
  <c r="J1815" i="3" s="1"/>
  <c r="K1815" i="3" s="1"/>
  <c r="L1815" i="3" s="1"/>
  <c r="M1815" i="3" s="1"/>
  <c r="N1815" i="3" s="1"/>
  <c r="F1811" i="3"/>
  <c r="G1811" i="3" s="1"/>
  <c r="H1811" i="3" s="1"/>
  <c r="I1811" i="3" s="1"/>
  <c r="J1811" i="3" s="1"/>
  <c r="K1811" i="3" s="1"/>
  <c r="L1811" i="3" s="1"/>
  <c r="M1811" i="3" s="1"/>
  <c r="N1811" i="3" s="1"/>
  <c r="F1806" i="3"/>
  <c r="G1806" i="3" s="1"/>
  <c r="H1806" i="3" s="1"/>
  <c r="I1806" i="3" s="1"/>
  <c r="J1806" i="3" s="1"/>
  <c r="K1806" i="3" s="1"/>
  <c r="L1806" i="3" s="1"/>
  <c r="M1806" i="3" s="1"/>
  <c r="N1806" i="3" s="1"/>
  <c r="F1799" i="3"/>
  <c r="G1799" i="3" s="1"/>
  <c r="H1799" i="3" s="1"/>
  <c r="I1799" i="3" s="1"/>
  <c r="J1799" i="3" s="1"/>
  <c r="K1799" i="3" s="1"/>
  <c r="L1799" i="3" s="1"/>
  <c r="M1799" i="3" s="1"/>
  <c r="N1799" i="3" s="1"/>
  <c r="F1795" i="3"/>
  <c r="G1795" i="3" s="1"/>
  <c r="H1795" i="3" s="1"/>
  <c r="I1795" i="3" s="1"/>
  <c r="J1795" i="3" s="1"/>
  <c r="K1795" i="3" s="1"/>
  <c r="L1795" i="3" s="1"/>
  <c r="M1795" i="3" s="1"/>
  <c r="N1795" i="3" s="1"/>
  <c r="F1790" i="3"/>
  <c r="G1790" i="3" s="1"/>
  <c r="H1790" i="3" s="1"/>
  <c r="I1790" i="3" s="1"/>
  <c r="J1790" i="3" s="1"/>
  <c r="K1790" i="3" s="1"/>
  <c r="L1790" i="3" s="1"/>
  <c r="M1790" i="3" s="1"/>
  <c r="N1790" i="3" s="1"/>
  <c r="F1764" i="3"/>
  <c r="G1764" i="3" s="1"/>
  <c r="H1764" i="3" s="1"/>
  <c r="I1764" i="3" s="1"/>
  <c r="J1764" i="3" s="1"/>
  <c r="K1764" i="3" s="1"/>
  <c r="L1764" i="3" s="1"/>
  <c r="M1764" i="3" s="1"/>
  <c r="N1764" i="3" s="1"/>
  <c r="F1757" i="3"/>
  <c r="G1757" i="3" s="1"/>
  <c r="H1757" i="3" s="1"/>
  <c r="I1757" i="3" s="1"/>
  <c r="J1757" i="3" s="1"/>
  <c r="K1757" i="3" s="1"/>
  <c r="L1757" i="3" s="1"/>
  <c r="M1757" i="3" s="1"/>
  <c r="N1757" i="3" s="1"/>
  <c r="F1750" i="3"/>
  <c r="G1750" i="3" s="1"/>
  <c r="H1750" i="3" s="1"/>
  <c r="I1750" i="3" s="1"/>
  <c r="J1750" i="3" s="1"/>
  <c r="K1750" i="3" s="1"/>
  <c r="L1750" i="3" s="1"/>
  <c r="M1750" i="3" s="1"/>
  <c r="N1750" i="3" s="1"/>
  <c r="F1745" i="3"/>
  <c r="G1745" i="3" s="1"/>
  <c r="H1745" i="3" s="1"/>
  <c r="I1745" i="3" s="1"/>
  <c r="J1745" i="3" s="1"/>
  <c r="K1745" i="3" s="1"/>
  <c r="L1745" i="3" s="1"/>
  <c r="M1745" i="3" s="1"/>
  <c r="N1745" i="3" s="1"/>
  <c r="F1741" i="3"/>
  <c r="G1741" i="3" s="1"/>
  <c r="H1741" i="3" s="1"/>
  <c r="I1741" i="3" s="1"/>
  <c r="J1741" i="3" s="1"/>
  <c r="K1741" i="3" s="1"/>
  <c r="L1741" i="3" s="1"/>
  <c r="M1741" i="3" s="1"/>
  <c r="N1741" i="3" s="1"/>
  <c r="F1719" i="3"/>
  <c r="G1719" i="3" s="1"/>
  <c r="H1719" i="3" s="1"/>
  <c r="I1719" i="3" s="1"/>
  <c r="J1719" i="3" s="1"/>
  <c r="K1719" i="3" s="1"/>
  <c r="L1719" i="3" s="1"/>
  <c r="M1719" i="3" s="1"/>
  <c r="N1719" i="3" s="1"/>
  <c r="F1700" i="3"/>
  <c r="G1700" i="3" s="1"/>
  <c r="H1700" i="3" s="1"/>
  <c r="I1700" i="3" s="1"/>
  <c r="J1700" i="3" s="1"/>
  <c r="K1700" i="3" s="1"/>
  <c r="L1700" i="3" s="1"/>
  <c r="M1700" i="3" s="1"/>
  <c r="N1700" i="3" s="1"/>
  <c r="F1695" i="3"/>
  <c r="G1695" i="3" s="1"/>
  <c r="H1695" i="3" s="1"/>
  <c r="I1695" i="3" s="1"/>
  <c r="J1695" i="3" s="1"/>
  <c r="K1695" i="3" s="1"/>
  <c r="L1695" i="3" s="1"/>
  <c r="M1695" i="3" s="1"/>
  <c r="N1695" i="3" s="1"/>
  <c r="F1689" i="3"/>
  <c r="G1689" i="3" s="1"/>
  <c r="H1689" i="3" s="1"/>
  <c r="I1689" i="3" s="1"/>
  <c r="J1689" i="3" s="1"/>
  <c r="K1689" i="3" s="1"/>
  <c r="L1689" i="3" s="1"/>
  <c r="M1689" i="3" s="1"/>
  <c r="N1689" i="3" s="1"/>
  <c r="F1646" i="3"/>
  <c r="G1646" i="3" s="1"/>
  <c r="H1646" i="3" s="1"/>
  <c r="I1646" i="3" s="1"/>
  <c r="J1646" i="3" s="1"/>
  <c r="K1646" i="3" s="1"/>
  <c r="L1646" i="3" s="1"/>
  <c r="M1646" i="3" s="1"/>
  <c r="N1646" i="3" s="1"/>
  <c r="F1640" i="3"/>
  <c r="G1640" i="3" s="1"/>
  <c r="H1640" i="3" s="1"/>
  <c r="I1640" i="3" s="1"/>
  <c r="J1640" i="3" s="1"/>
  <c r="K1640" i="3" s="1"/>
  <c r="L1640" i="3" s="1"/>
  <c r="M1640" i="3" s="1"/>
  <c r="N1640" i="3" s="1"/>
  <c r="F1634" i="3"/>
  <c r="G1634" i="3" s="1"/>
  <c r="H1634" i="3" s="1"/>
  <c r="I1634" i="3" s="1"/>
  <c r="J1634" i="3" s="1"/>
  <c r="K1634" i="3" s="1"/>
  <c r="L1634" i="3" s="1"/>
  <c r="M1634" i="3" s="1"/>
  <c r="N1634" i="3" s="1"/>
  <c r="F1629" i="3"/>
  <c r="G1629" i="3" s="1"/>
  <c r="H1629" i="3" s="1"/>
  <c r="I1629" i="3" s="1"/>
  <c r="J1629" i="3" s="1"/>
  <c r="K1629" i="3" s="1"/>
  <c r="L1629" i="3" s="1"/>
  <c r="M1629" i="3" s="1"/>
  <c r="N1629" i="3" s="1"/>
  <c r="F1623" i="3"/>
  <c r="G1623" i="3" s="1"/>
  <c r="H1623" i="3" s="1"/>
  <c r="I1623" i="3" s="1"/>
  <c r="J1623" i="3" s="1"/>
  <c r="K1623" i="3" s="1"/>
  <c r="L1623" i="3" s="1"/>
  <c r="M1623" i="3" s="1"/>
  <c r="N1623" i="3" s="1"/>
  <c r="F1592" i="3"/>
  <c r="G1592" i="3" s="1"/>
  <c r="H1592" i="3" s="1"/>
  <c r="I1592" i="3" s="1"/>
  <c r="J1592" i="3" s="1"/>
  <c r="K1592" i="3" s="1"/>
  <c r="L1592" i="3" s="1"/>
  <c r="M1592" i="3" s="1"/>
  <c r="N1592" i="3" s="1"/>
  <c r="F1587" i="3"/>
  <c r="G1587" i="3" s="1"/>
  <c r="H1587" i="3" s="1"/>
  <c r="I1587" i="3" s="1"/>
  <c r="J1587" i="3" s="1"/>
  <c r="K1587" i="3" s="1"/>
  <c r="L1587" i="3" s="1"/>
  <c r="M1587" i="3" s="1"/>
  <c r="N1587" i="3" s="1"/>
  <c r="F1583" i="3"/>
  <c r="G1583" i="3" s="1"/>
  <c r="H1583" i="3" s="1"/>
  <c r="I1583" i="3" s="1"/>
  <c r="J1583" i="3" s="1"/>
  <c r="K1583" i="3" s="1"/>
  <c r="L1583" i="3" s="1"/>
  <c r="M1583" i="3" s="1"/>
  <c r="N1583" i="3" s="1"/>
  <c r="F1579" i="3"/>
  <c r="G1579" i="3" s="1"/>
  <c r="H1579" i="3" s="1"/>
  <c r="I1579" i="3" s="1"/>
  <c r="J1579" i="3" s="1"/>
  <c r="K1579" i="3" s="1"/>
  <c r="L1579" i="3" s="1"/>
  <c r="M1579" i="3" s="1"/>
  <c r="N1579" i="3" s="1"/>
  <c r="F1575" i="3"/>
  <c r="G1575" i="3" s="1"/>
  <c r="H1575" i="3" s="1"/>
  <c r="I1575" i="3" s="1"/>
  <c r="J1575" i="3" s="1"/>
  <c r="K1575" i="3" s="1"/>
  <c r="L1575" i="3" s="1"/>
  <c r="M1575" i="3" s="1"/>
  <c r="N1575" i="3" s="1"/>
  <c r="F1571" i="3"/>
  <c r="G1571" i="3" s="1"/>
  <c r="H1571" i="3" s="1"/>
  <c r="I1571" i="3" s="1"/>
  <c r="J1571" i="3" s="1"/>
  <c r="K1571" i="3" s="1"/>
  <c r="L1571" i="3" s="1"/>
  <c r="M1571" i="3" s="1"/>
  <c r="N1571" i="3" s="1"/>
  <c r="F1547" i="3"/>
  <c r="F1542" i="3"/>
  <c r="G1542" i="3" s="1"/>
  <c r="H1542" i="3" s="1"/>
  <c r="I1542" i="3" s="1"/>
  <c r="J1542" i="3" s="1"/>
  <c r="K1542" i="3" s="1"/>
  <c r="L1542" i="3" s="1"/>
  <c r="M1542" i="3" s="1"/>
  <c r="N1542" i="3" s="1"/>
  <c r="F1538" i="3"/>
  <c r="G1538" i="3" s="1"/>
  <c r="H1538" i="3" s="1"/>
  <c r="I1538" i="3" s="1"/>
  <c r="J1538" i="3" s="1"/>
  <c r="K1538" i="3" s="1"/>
  <c r="L1538" i="3" s="1"/>
  <c r="M1538" i="3" s="1"/>
  <c r="N1538" i="3" s="1"/>
  <c r="F1534" i="3"/>
  <c r="G1534" i="3" s="1"/>
  <c r="H1534" i="3" s="1"/>
  <c r="I1534" i="3" s="1"/>
  <c r="J1534" i="3" s="1"/>
  <c r="K1534" i="3" s="1"/>
  <c r="L1534" i="3" s="1"/>
  <c r="M1534" i="3" s="1"/>
  <c r="N1534" i="3" s="1"/>
  <c r="F1530" i="3"/>
  <c r="G1530" i="3" s="1"/>
  <c r="H1530" i="3" s="1"/>
  <c r="I1530" i="3" s="1"/>
  <c r="J1530" i="3" s="1"/>
  <c r="K1530" i="3" s="1"/>
  <c r="L1530" i="3" s="1"/>
  <c r="M1530" i="3" s="1"/>
  <c r="N1530" i="3" s="1"/>
  <c r="F1526" i="3"/>
  <c r="F1482" i="3"/>
  <c r="F1477" i="3"/>
  <c r="G1477" i="3" s="1"/>
  <c r="H1477" i="3" s="1"/>
  <c r="I1477" i="3" s="1"/>
  <c r="J1477" i="3" s="1"/>
  <c r="K1477" i="3" s="1"/>
  <c r="L1477" i="3" s="1"/>
  <c r="M1477" i="3" s="1"/>
  <c r="N1477" i="3" s="1"/>
  <c r="F1473" i="3"/>
  <c r="F1467" i="3"/>
  <c r="G1467" i="3" s="1"/>
  <c r="H1467" i="3" s="1"/>
  <c r="I1467" i="3" s="1"/>
  <c r="J1467" i="3" s="1"/>
  <c r="K1467" i="3" s="1"/>
  <c r="L1467" i="3" s="1"/>
  <c r="M1467" i="3" s="1"/>
  <c r="N1467" i="3" s="1"/>
  <c r="F1461" i="3"/>
  <c r="G1461" i="3" s="1"/>
  <c r="H1461" i="3" s="1"/>
  <c r="I1461" i="3" s="1"/>
  <c r="J1461" i="3" s="1"/>
  <c r="K1461" i="3" s="1"/>
  <c r="L1461" i="3" s="1"/>
  <c r="M1461" i="3" s="1"/>
  <c r="N1461" i="3" s="1"/>
  <c r="F1454" i="3"/>
  <c r="G1454" i="3" s="1"/>
  <c r="H1454" i="3" s="1"/>
  <c r="I1454" i="3" s="1"/>
  <c r="J1454" i="3" s="1"/>
  <c r="K1454" i="3" s="1"/>
  <c r="L1454" i="3" s="1"/>
  <c r="M1454" i="3" s="1"/>
  <c r="N1454" i="3" s="1"/>
  <c r="F1449" i="3"/>
  <c r="G1449" i="3" s="1"/>
  <c r="H1449" i="3" s="1"/>
  <c r="I1449" i="3" s="1"/>
  <c r="J1449" i="3" s="1"/>
  <c r="K1449" i="3" s="1"/>
  <c r="L1449" i="3" s="1"/>
  <c r="M1449" i="3" s="1"/>
  <c r="N1449" i="3" s="1"/>
  <c r="F1444" i="3"/>
  <c r="G1444" i="3" s="1"/>
  <c r="H1444" i="3" s="1"/>
  <c r="I1444" i="3" s="1"/>
  <c r="J1444" i="3" s="1"/>
  <c r="K1444" i="3" s="1"/>
  <c r="L1444" i="3" s="1"/>
  <c r="M1444" i="3" s="1"/>
  <c r="N1444" i="3" s="1"/>
  <c r="F1440" i="3"/>
  <c r="G1440" i="3" s="1"/>
  <c r="H1440" i="3" s="1"/>
  <c r="I1440" i="3" s="1"/>
  <c r="J1440" i="3" s="1"/>
  <c r="K1440" i="3" s="1"/>
  <c r="L1440" i="3" s="1"/>
  <c r="M1440" i="3" s="1"/>
  <c r="N1440" i="3" s="1"/>
  <c r="F1435" i="3"/>
  <c r="G1435" i="3" s="1"/>
  <c r="H1435" i="3" s="1"/>
  <c r="I1435" i="3" s="1"/>
  <c r="J1435" i="3" s="1"/>
  <c r="K1435" i="3" s="1"/>
  <c r="L1435" i="3" s="1"/>
  <c r="M1435" i="3" s="1"/>
  <c r="N1435" i="3" s="1"/>
  <c r="F1430" i="3"/>
  <c r="G1430" i="3" s="1"/>
  <c r="H1430" i="3" s="1"/>
  <c r="I1430" i="3" s="1"/>
  <c r="J1430" i="3" s="1"/>
  <c r="K1430" i="3" s="1"/>
  <c r="L1430" i="3" s="1"/>
  <c r="M1430" i="3" s="1"/>
  <c r="N1430" i="3" s="1"/>
  <c r="F1426" i="3"/>
  <c r="G1426" i="3" s="1"/>
  <c r="H1426" i="3" s="1"/>
  <c r="I1426" i="3" s="1"/>
  <c r="J1426" i="3" s="1"/>
  <c r="K1426" i="3" s="1"/>
  <c r="L1426" i="3" s="1"/>
  <c r="M1426" i="3" s="1"/>
  <c r="N1426" i="3" s="1"/>
  <c r="F1421" i="3"/>
  <c r="G1421" i="3" s="1"/>
  <c r="H1421" i="3" s="1"/>
  <c r="I1421" i="3" s="1"/>
  <c r="J1421" i="3" s="1"/>
  <c r="K1421" i="3" s="1"/>
  <c r="L1421" i="3" s="1"/>
  <c r="M1421" i="3" s="1"/>
  <c r="N1421" i="3" s="1"/>
  <c r="F1413" i="3"/>
  <c r="G1413" i="3" s="1"/>
  <c r="H1413" i="3" s="1"/>
  <c r="I1413" i="3" s="1"/>
  <c r="J1413" i="3" s="1"/>
  <c r="K1413" i="3" s="1"/>
  <c r="L1413" i="3" s="1"/>
  <c r="M1413" i="3" s="1"/>
  <c r="N1413" i="3" s="1"/>
  <c r="F1409" i="3"/>
  <c r="F1404" i="3"/>
  <c r="G1404" i="3" s="1"/>
  <c r="H1404" i="3" s="1"/>
  <c r="I1404" i="3" s="1"/>
  <c r="J1404" i="3" s="1"/>
  <c r="K1404" i="3" s="1"/>
  <c r="L1404" i="3" s="1"/>
  <c r="M1404" i="3" s="1"/>
  <c r="N1404" i="3" s="1"/>
  <c r="F1398" i="3"/>
  <c r="G1398" i="3" s="1"/>
  <c r="H1398" i="3" s="1"/>
  <c r="I1398" i="3" s="1"/>
  <c r="J1398" i="3" s="1"/>
  <c r="K1398" i="3" s="1"/>
  <c r="L1398" i="3" s="1"/>
  <c r="M1398" i="3" s="1"/>
  <c r="N1398" i="3" s="1"/>
  <c r="F1394" i="3"/>
  <c r="G1394" i="3" s="1"/>
  <c r="H1394" i="3" s="1"/>
  <c r="I1394" i="3" s="1"/>
  <c r="J1394" i="3" s="1"/>
  <c r="K1394" i="3" s="1"/>
  <c r="L1394" i="3" s="1"/>
  <c r="M1394" i="3" s="1"/>
  <c r="N1394" i="3" s="1"/>
  <c r="F1390" i="3"/>
  <c r="G1390" i="3" s="1"/>
  <c r="H1390" i="3" s="1"/>
  <c r="I1390" i="3" s="1"/>
  <c r="J1390" i="3" s="1"/>
  <c r="K1390" i="3" s="1"/>
  <c r="L1390" i="3" s="1"/>
  <c r="M1390" i="3" s="1"/>
  <c r="N1390" i="3" s="1"/>
  <c r="F1386" i="3"/>
  <c r="G1386" i="3" s="1"/>
  <c r="H1386" i="3" s="1"/>
  <c r="I1386" i="3" s="1"/>
  <c r="J1386" i="3" s="1"/>
  <c r="K1386" i="3" s="1"/>
  <c r="L1386" i="3" s="1"/>
  <c r="M1386" i="3" s="1"/>
  <c r="N1386" i="3" s="1"/>
  <c r="F1382" i="3"/>
  <c r="G1382" i="3" s="1"/>
  <c r="H1382" i="3" s="1"/>
  <c r="I1382" i="3" s="1"/>
  <c r="J1382" i="3" s="1"/>
  <c r="K1382" i="3" s="1"/>
  <c r="L1382" i="3" s="1"/>
  <c r="M1382" i="3" s="1"/>
  <c r="N1382" i="3" s="1"/>
  <c r="F1370" i="3"/>
  <c r="G1370" i="3" s="1"/>
  <c r="H1370" i="3" s="1"/>
  <c r="I1370" i="3" s="1"/>
  <c r="J1370" i="3" s="1"/>
  <c r="K1370" i="3" s="1"/>
  <c r="L1370" i="3" s="1"/>
  <c r="M1370" i="3" s="1"/>
  <c r="N1370" i="3" s="1"/>
  <c r="F1364" i="3"/>
  <c r="G1364" i="3" s="1"/>
  <c r="H1364" i="3" s="1"/>
  <c r="I1364" i="3" s="1"/>
  <c r="J1364" i="3" s="1"/>
  <c r="K1364" i="3" s="1"/>
  <c r="L1364" i="3" s="1"/>
  <c r="M1364" i="3" s="1"/>
  <c r="N1364" i="3" s="1"/>
  <c r="F1352" i="3"/>
  <c r="G1352" i="3" s="1"/>
  <c r="H1352" i="3" s="1"/>
  <c r="I1352" i="3" s="1"/>
  <c r="J1352" i="3" s="1"/>
  <c r="K1352" i="3" s="1"/>
  <c r="L1352" i="3" s="1"/>
  <c r="M1352" i="3" s="1"/>
  <c r="N1352" i="3" s="1"/>
  <c r="F1347" i="3"/>
  <c r="G1347" i="3" s="1"/>
  <c r="H1347" i="3" s="1"/>
  <c r="I1347" i="3" s="1"/>
  <c r="J1347" i="3" s="1"/>
  <c r="K1347" i="3" s="1"/>
  <c r="L1347" i="3" s="1"/>
  <c r="M1347" i="3" s="1"/>
  <c r="N1347" i="3" s="1"/>
  <c r="F2031" i="3"/>
  <c r="G2031" i="3" s="1"/>
  <c r="H2031" i="3" s="1"/>
  <c r="I2031" i="3" s="1"/>
  <c r="J2031" i="3" s="1"/>
  <c r="K2031" i="3" s="1"/>
  <c r="L2031" i="3" s="1"/>
  <c r="M2031" i="3" s="1"/>
  <c r="N2031" i="3" s="1"/>
  <c r="F2027" i="3"/>
  <c r="G2027" i="3" s="1"/>
  <c r="H2027" i="3" s="1"/>
  <c r="I2027" i="3" s="1"/>
  <c r="J2027" i="3" s="1"/>
  <c r="K2027" i="3" s="1"/>
  <c r="L2027" i="3" s="1"/>
  <c r="M2027" i="3" s="1"/>
  <c r="N2027" i="3" s="1"/>
  <c r="F2023" i="3"/>
  <c r="G2023" i="3" s="1"/>
  <c r="H2023" i="3" s="1"/>
  <c r="I2023" i="3" s="1"/>
  <c r="J2023" i="3" s="1"/>
  <c r="K2023" i="3" s="1"/>
  <c r="L2023" i="3" s="1"/>
  <c r="M2023" i="3" s="1"/>
  <c r="N2023" i="3" s="1"/>
  <c r="F2019" i="3"/>
  <c r="G2019" i="3" s="1"/>
  <c r="H2019" i="3" s="1"/>
  <c r="I2019" i="3" s="1"/>
  <c r="J2019" i="3" s="1"/>
  <c r="K2019" i="3" s="1"/>
  <c r="L2019" i="3" s="1"/>
  <c r="M2019" i="3" s="1"/>
  <c r="N2019" i="3" s="1"/>
  <c r="F2014" i="3"/>
  <c r="G2014" i="3" s="1"/>
  <c r="H2014" i="3" s="1"/>
  <c r="I2014" i="3" s="1"/>
  <c r="J2014" i="3" s="1"/>
  <c r="K2014" i="3" s="1"/>
  <c r="L2014" i="3" s="1"/>
  <c r="M2014" i="3" s="1"/>
  <c r="N2014" i="3" s="1"/>
  <c r="F2009" i="3"/>
  <c r="G2009" i="3" s="1"/>
  <c r="H2009" i="3" s="1"/>
  <c r="I2009" i="3" s="1"/>
  <c r="J2009" i="3" s="1"/>
  <c r="K2009" i="3" s="1"/>
  <c r="L2009" i="3" s="1"/>
  <c r="M2009" i="3" s="1"/>
  <c r="N2009" i="3" s="1"/>
  <c r="F2001" i="3"/>
  <c r="G2001" i="3" s="1"/>
  <c r="H2001" i="3" s="1"/>
  <c r="I2001" i="3" s="1"/>
  <c r="J2001" i="3" s="1"/>
  <c r="K2001" i="3" s="1"/>
  <c r="L2001" i="3" s="1"/>
  <c r="M2001" i="3" s="1"/>
  <c r="N2001" i="3" s="1"/>
  <c r="F1996" i="3"/>
  <c r="G1996" i="3" s="1"/>
  <c r="H1996" i="3" s="1"/>
  <c r="I1996" i="3" s="1"/>
  <c r="J1996" i="3" s="1"/>
  <c r="K1996" i="3" s="1"/>
  <c r="L1996" i="3" s="1"/>
  <c r="M1996" i="3" s="1"/>
  <c r="N1996" i="3" s="1"/>
  <c r="F1992" i="3"/>
  <c r="G1992" i="3" s="1"/>
  <c r="H1992" i="3" s="1"/>
  <c r="I1992" i="3" s="1"/>
  <c r="J1992" i="3" s="1"/>
  <c r="K1992" i="3" s="1"/>
  <c r="L1992" i="3" s="1"/>
  <c r="M1992" i="3" s="1"/>
  <c r="N1992" i="3" s="1"/>
  <c r="F1988" i="3"/>
  <c r="G1988" i="3" s="1"/>
  <c r="H1988" i="3" s="1"/>
  <c r="I1988" i="3" s="1"/>
  <c r="J1988" i="3" s="1"/>
  <c r="K1988" i="3" s="1"/>
  <c r="L1988" i="3" s="1"/>
  <c r="M1988" i="3" s="1"/>
  <c r="N1988" i="3" s="1"/>
  <c r="F1981" i="3"/>
  <c r="G1981" i="3" s="1"/>
  <c r="H1981" i="3" s="1"/>
  <c r="I1981" i="3" s="1"/>
  <c r="J1981" i="3" s="1"/>
  <c r="K1981" i="3" s="1"/>
  <c r="L1981" i="3" s="1"/>
  <c r="M1981" i="3" s="1"/>
  <c r="N1981" i="3" s="1"/>
  <c r="F1974" i="3"/>
  <c r="G1974" i="3" s="1"/>
  <c r="H1974" i="3" s="1"/>
  <c r="I1974" i="3" s="1"/>
  <c r="J1974" i="3" s="1"/>
  <c r="K1974" i="3" s="1"/>
  <c r="L1974" i="3" s="1"/>
  <c r="M1974" i="3" s="1"/>
  <c r="N1974" i="3" s="1"/>
  <c r="F1925" i="3"/>
  <c r="G1925" i="3" s="1"/>
  <c r="H1925" i="3" s="1"/>
  <c r="I1925" i="3" s="1"/>
  <c r="J1925" i="3" s="1"/>
  <c r="K1925" i="3" s="1"/>
  <c r="L1925" i="3" s="1"/>
  <c r="M1925" i="3" s="1"/>
  <c r="N1925" i="3" s="1"/>
  <c r="F1920" i="3"/>
  <c r="F1916" i="3"/>
  <c r="G1916" i="3" s="1"/>
  <c r="H1916" i="3" s="1"/>
  <c r="I1916" i="3" s="1"/>
  <c r="J1916" i="3" s="1"/>
  <c r="K1916" i="3" s="1"/>
  <c r="L1916" i="3" s="1"/>
  <c r="M1916" i="3" s="1"/>
  <c r="N1916" i="3" s="1"/>
  <c r="F1911" i="3"/>
  <c r="G1911" i="3" s="1"/>
  <c r="H1911" i="3" s="1"/>
  <c r="I1911" i="3" s="1"/>
  <c r="J1911" i="3" s="1"/>
  <c r="K1911" i="3" s="1"/>
  <c r="L1911" i="3" s="1"/>
  <c r="M1911" i="3" s="1"/>
  <c r="N1911" i="3" s="1"/>
  <c r="F1905" i="3"/>
  <c r="G1905" i="3" s="1"/>
  <c r="H1905" i="3" s="1"/>
  <c r="I1905" i="3" s="1"/>
  <c r="J1905" i="3" s="1"/>
  <c r="K1905" i="3" s="1"/>
  <c r="L1905" i="3" s="1"/>
  <c r="M1905" i="3" s="1"/>
  <c r="N1905" i="3" s="1"/>
  <c r="F1901" i="3"/>
  <c r="G1901" i="3" s="1"/>
  <c r="H1901" i="3" s="1"/>
  <c r="I1901" i="3" s="1"/>
  <c r="J1901" i="3" s="1"/>
  <c r="K1901" i="3" s="1"/>
  <c r="L1901" i="3" s="1"/>
  <c r="M1901" i="3" s="1"/>
  <c r="N1901" i="3" s="1"/>
  <c r="F1897" i="3"/>
  <c r="G1897" i="3" s="1"/>
  <c r="H1897" i="3" s="1"/>
  <c r="I1897" i="3" s="1"/>
  <c r="J1897" i="3" s="1"/>
  <c r="K1897" i="3" s="1"/>
  <c r="L1897" i="3" s="1"/>
  <c r="M1897" i="3" s="1"/>
  <c r="N1897" i="3" s="1"/>
  <c r="F1893" i="3"/>
  <c r="G1893" i="3" s="1"/>
  <c r="H1893" i="3" s="1"/>
  <c r="I1893" i="3" s="1"/>
  <c r="J1893" i="3" s="1"/>
  <c r="K1893" i="3" s="1"/>
  <c r="L1893" i="3" s="1"/>
  <c r="M1893" i="3" s="1"/>
  <c r="N1893" i="3" s="1"/>
  <c r="F1886" i="3"/>
  <c r="G1886" i="3" s="1"/>
  <c r="H1886" i="3" s="1"/>
  <c r="I1886" i="3" s="1"/>
  <c r="J1886" i="3" s="1"/>
  <c r="K1886" i="3" s="1"/>
  <c r="L1886" i="3" s="1"/>
  <c r="M1886" i="3" s="1"/>
  <c r="N1886" i="3" s="1"/>
  <c r="F1879" i="3"/>
  <c r="G1879" i="3" s="1"/>
  <c r="H1879" i="3" s="1"/>
  <c r="I1879" i="3" s="1"/>
  <c r="J1879" i="3" s="1"/>
  <c r="K1879" i="3" s="1"/>
  <c r="L1879" i="3" s="1"/>
  <c r="M1879" i="3" s="1"/>
  <c r="N1879" i="3" s="1"/>
  <c r="F1823" i="3"/>
  <c r="G1823" i="3" s="1"/>
  <c r="H1823" i="3" s="1"/>
  <c r="I1823" i="3" s="1"/>
  <c r="J1823" i="3" s="1"/>
  <c r="K1823" i="3" s="1"/>
  <c r="L1823" i="3" s="1"/>
  <c r="M1823" i="3" s="1"/>
  <c r="N1823" i="3" s="1"/>
  <c r="F1818" i="3"/>
  <c r="G1818" i="3" s="1"/>
  <c r="H1818" i="3" s="1"/>
  <c r="I1818" i="3" s="1"/>
  <c r="J1818" i="3" s="1"/>
  <c r="K1818" i="3" s="1"/>
  <c r="L1818" i="3" s="1"/>
  <c r="M1818" i="3" s="1"/>
  <c r="N1818" i="3" s="1"/>
  <c r="F1814" i="3"/>
  <c r="G1814" i="3" s="1"/>
  <c r="H1814" i="3" s="1"/>
  <c r="I1814" i="3" s="1"/>
  <c r="J1814" i="3" s="1"/>
  <c r="K1814" i="3" s="1"/>
  <c r="L1814" i="3" s="1"/>
  <c r="M1814" i="3" s="1"/>
  <c r="N1814" i="3" s="1"/>
  <c r="F1810" i="3"/>
  <c r="G1810" i="3" s="1"/>
  <c r="H1810" i="3" s="1"/>
  <c r="I1810" i="3" s="1"/>
  <c r="J1810" i="3" s="1"/>
  <c r="K1810" i="3" s="1"/>
  <c r="L1810" i="3" s="1"/>
  <c r="M1810" i="3" s="1"/>
  <c r="N1810" i="3" s="1"/>
  <c r="F1805" i="3"/>
  <c r="G1805" i="3" s="1"/>
  <c r="H1805" i="3" s="1"/>
  <c r="I1805" i="3" s="1"/>
  <c r="J1805" i="3" s="1"/>
  <c r="K1805" i="3" s="1"/>
  <c r="L1805" i="3" s="1"/>
  <c r="M1805" i="3" s="1"/>
  <c r="N1805" i="3" s="1"/>
  <c r="F1798" i="3"/>
  <c r="G1798" i="3" s="1"/>
  <c r="H1798" i="3" s="1"/>
  <c r="I1798" i="3" s="1"/>
  <c r="J1798" i="3" s="1"/>
  <c r="K1798" i="3" s="1"/>
  <c r="L1798" i="3" s="1"/>
  <c r="M1798" i="3" s="1"/>
  <c r="N1798" i="3" s="1"/>
  <c r="F1794" i="3"/>
  <c r="G1794" i="3" s="1"/>
  <c r="H1794" i="3" s="1"/>
  <c r="I1794" i="3" s="1"/>
  <c r="J1794" i="3" s="1"/>
  <c r="K1794" i="3" s="1"/>
  <c r="L1794" i="3" s="1"/>
  <c r="M1794" i="3" s="1"/>
  <c r="N1794" i="3" s="1"/>
  <c r="F1788" i="3"/>
  <c r="G1788" i="3" s="1"/>
  <c r="H1788" i="3" s="1"/>
  <c r="I1788" i="3" s="1"/>
  <c r="J1788" i="3" s="1"/>
  <c r="K1788" i="3" s="1"/>
  <c r="L1788" i="3" s="1"/>
  <c r="M1788" i="3" s="1"/>
  <c r="N1788" i="3" s="1"/>
  <c r="F1762" i="3"/>
  <c r="G1762" i="3" s="1"/>
  <c r="H1762" i="3" s="1"/>
  <c r="I1762" i="3" s="1"/>
  <c r="J1762" i="3" s="1"/>
  <c r="K1762" i="3" s="1"/>
  <c r="L1762" i="3" s="1"/>
  <c r="M1762" i="3" s="1"/>
  <c r="N1762" i="3" s="1"/>
  <c r="F1755" i="3"/>
  <c r="G1755" i="3" s="1"/>
  <c r="H1755" i="3" s="1"/>
  <c r="I1755" i="3" s="1"/>
  <c r="J1755" i="3" s="1"/>
  <c r="K1755" i="3" s="1"/>
  <c r="L1755" i="3" s="1"/>
  <c r="M1755" i="3" s="1"/>
  <c r="N1755" i="3" s="1"/>
  <c r="F1748" i="3"/>
  <c r="G1748" i="3" s="1"/>
  <c r="H1748" i="3" s="1"/>
  <c r="I1748" i="3" s="1"/>
  <c r="J1748" i="3" s="1"/>
  <c r="K1748" i="3" s="1"/>
  <c r="L1748" i="3" s="1"/>
  <c r="M1748" i="3" s="1"/>
  <c r="N1748" i="3" s="1"/>
  <c r="F1744" i="3"/>
  <c r="G1744" i="3" s="1"/>
  <c r="H1744" i="3" s="1"/>
  <c r="I1744" i="3" s="1"/>
  <c r="J1744" i="3" s="1"/>
  <c r="K1744" i="3" s="1"/>
  <c r="L1744" i="3" s="1"/>
  <c r="M1744" i="3" s="1"/>
  <c r="N1744" i="3" s="1"/>
  <c r="F1740" i="3"/>
  <c r="G1740" i="3" s="1"/>
  <c r="H1740" i="3" s="1"/>
  <c r="I1740" i="3" s="1"/>
  <c r="J1740" i="3" s="1"/>
  <c r="K1740" i="3" s="1"/>
  <c r="L1740" i="3" s="1"/>
  <c r="M1740" i="3" s="1"/>
  <c r="N1740" i="3" s="1"/>
  <c r="F1722" i="3"/>
  <c r="G1722" i="3" s="1"/>
  <c r="H1722" i="3" s="1"/>
  <c r="I1722" i="3" s="1"/>
  <c r="J1722" i="3" s="1"/>
  <c r="K1722" i="3" s="1"/>
  <c r="L1722" i="3" s="1"/>
  <c r="M1722" i="3" s="1"/>
  <c r="N1722" i="3" s="1"/>
  <c r="F1718" i="3"/>
  <c r="G1718" i="3" s="1"/>
  <c r="F1699" i="3"/>
  <c r="G1699" i="3" s="1"/>
  <c r="H1699" i="3" s="1"/>
  <c r="I1699" i="3" s="1"/>
  <c r="J1699" i="3" s="1"/>
  <c r="K1699" i="3" s="1"/>
  <c r="L1699" i="3" s="1"/>
  <c r="M1699" i="3" s="1"/>
  <c r="N1699" i="3" s="1"/>
  <c r="F1694" i="3"/>
  <c r="G1694" i="3" s="1"/>
  <c r="H1694" i="3" s="1"/>
  <c r="I1694" i="3" s="1"/>
  <c r="J1694" i="3" s="1"/>
  <c r="K1694" i="3" s="1"/>
  <c r="L1694" i="3" s="1"/>
  <c r="M1694" i="3" s="1"/>
  <c r="N1694" i="3" s="1"/>
  <c r="F1688" i="3"/>
  <c r="F1644" i="3"/>
  <c r="B332" i="16" s="1"/>
  <c r="B344" i="16" s="1"/>
  <c r="B346" i="16" s="1"/>
  <c r="C19" i="11" s="1"/>
  <c r="D19" i="11" s="1"/>
  <c r="E19" i="11" s="1"/>
  <c r="F1639" i="3"/>
  <c r="G1639" i="3" s="1"/>
  <c r="H1639" i="3" s="1"/>
  <c r="I1639" i="3" s="1"/>
  <c r="J1639" i="3" s="1"/>
  <c r="K1639" i="3" s="1"/>
  <c r="L1639" i="3" s="1"/>
  <c r="M1639" i="3" s="1"/>
  <c r="N1639" i="3" s="1"/>
  <c r="F1633" i="3"/>
  <c r="G1633" i="3" s="1"/>
  <c r="H1633" i="3" s="1"/>
  <c r="I1633" i="3" s="1"/>
  <c r="J1633" i="3" s="1"/>
  <c r="K1633" i="3" s="1"/>
  <c r="L1633" i="3" s="1"/>
  <c r="M1633" i="3" s="1"/>
  <c r="N1633" i="3" s="1"/>
  <c r="F1627" i="3"/>
  <c r="G1627" i="3" s="1"/>
  <c r="H1627" i="3" s="1"/>
  <c r="I1627" i="3" s="1"/>
  <c r="J1627" i="3" s="1"/>
  <c r="K1627" i="3" s="1"/>
  <c r="L1627" i="3" s="1"/>
  <c r="M1627" i="3" s="1"/>
  <c r="N1627" i="3" s="1"/>
  <c r="F1622" i="3"/>
  <c r="G1622" i="3" s="1"/>
  <c r="H1622" i="3" s="1"/>
  <c r="I1622" i="3" s="1"/>
  <c r="J1622" i="3" s="1"/>
  <c r="K1622" i="3" s="1"/>
  <c r="L1622" i="3" s="1"/>
  <c r="M1622" i="3" s="1"/>
  <c r="N1622" i="3" s="1"/>
  <c r="F1591" i="3"/>
  <c r="G1591" i="3" s="1"/>
  <c r="H1591" i="3" s="1"/>
  <c r="I1591" i="3" s="1"/>
  <c r="J1591" i="3" s="1"/>
  <c r="K1591" i="3" s="1"/>
  <c r="L1591" i="3" s="1"/>
  <c r="M1591" i="3" s="1"/>
  <c r="N1591" i="3" s="1"/>
  <c r="F1586" i="3"/>
  <c r="G1586" i="3" s="1"/>
  <c r="H1586" i="3" s="1"/>
  <c r="I1586" i="3" s="1"/>
  <c r="J1586" i="3" s="1"/>
  <c r="K1586" i="3" s="1"/>
  <c r="L1586" i="3" s="1"/>
  <c r="M1586" i="3" s="1"/>
  <c r="N1586" i="3" s="1"/>
  <c r="F1582" i="3"/>
  <c r="G1582" i="3" s="1"/>
  <c r="H1582" i="3" s="1"/>
  <c r="I1582" i="3" s="1"/>
  <c r="J1582" i="3" s="1"/>
  <c r="K1582" i="3" s="1"/>
  <c r="L1582" i="3" s="1"/>
  <c r="M1582" i="3" s="1"/>
  <c r="N1582" i="3" s="1"/>
  <c r="F1578" i="3"/>
  <c r="G1578" i="3" s="1"/>
  <c r="H1578" i="3" s="1"/>
  <c r="I1578" i="3" s="1"/>
  <c r="J1578" i="3" s="1"/>
  <c r="K1578" i="3" s="1"/>
  <c r="L1578" i="3" s="1"/>
  <c r="M1578" i="3" s="1"/>
  <c r="N1578" i="3" s="1"/>
  <c r="F1574" i="3"/>
  <c r="G1574" i="3" s="1"/>
  <c r="H1574" i="3" s="1"/>
  <c r="I1574" i="3" s="1"/>
  <c r="J1574" i="3" s="1"/>
  <c r="K1574" i="3" s="1"/>
  <c r="L1574" i="3" s="1"/>
  <c r="M1574" i="3" s="1"/>
  <c r="N1574" i="3" s="1"/>
  <c r="F1570" i="3"/>
  <c r="F1545" i="3"/>
  <c r="G1545" i="3" s="1"/>
  <c r="H1545" i="3" s="1"/>
  <c r="I1545" i="3" s="1"/>
  <c r="J1545" i="3" s="1"/>
  <c r="K1545" i="3" s="1"/>
  <c r="L1545" i="3" s="1"/>
  <c r="M1545" i="3" s="1"/>
  <c r="N1545" i="3" s="1"/>
  <c r="F1541" i="3"/>
  <c r="G1541" i="3" s="1"/>
  <c r="H1541" i="3" s="1"/>
  <c r="I1541" i="3" s="1"/>
  <c r="J1541" i="3" s="1"/>
  <c r="K1541" i="3" s="1"/>
  <c r="L1541" i="3" s="1"/>
  <c r="M1541" i="3" s="1"/>
  <c r="N1541" i="3" s="1"/>
  <c r="F1537" i="3"/>
  <c r="G1537" i="3" s="1"/>
  <c r="H1537" i="3" s="1"/>
  <c r="I1537" i="3" s="1"/>
  <c r="J1537" i="3" s="1"/>
  <c r="K1537" i="3" s="1"/>
  <c r="L1537" i="3" s="1"/>
  <c r="M1537" i="3" s="1"/>
  <c r="N1537" i="3" s="1"/>
  <c r="F1533" i="3"/>
  <c r="F1529" i="3"/>
  <c r="G1529" i="3" s="1"/>
  <c r="H1529" i="3" s="1"/>
  <c r="I1529" i="3" s="1"/>
  <c r="J1529" i="3" s="1"/>
  <c r="K1529" i="3" s="1"/>
  <c r="L1529" i="3" s="1"/>
  <c r="M1529" i="3" s="1"/>
  <c r="N1529" i="3" s="1"/>
  <c r="F1485" i="3"/>
  <c r="G1485" i="3" s="1"/>
  <c r="H1485" i="3" s="1"/>
  <c r="I1485" i="3" s="1"/>
  <c r="J1485" i="3" s="1"/>
  <c r="K1485" i="3" s="1"/>
  <c r="L1485" i="3" s="1"/>
  <c r="M1485" i="3" s="1"/>
  <c r="N1485" i="3" s="1"/>
  <c r="F1481" i="3"/>
  <c r="G1481" i="3" s="1"/>
  <c r="H1481" i="3" s="1"/>
  <c r="I1481" i="3" s="1"/>
  <c r="J1481" i="3" s="1"/>
  <c r="K1481" i="3" s="1"/>
  <c r="L1481" i="3" s="1"/>
  <c r="M1481" i="3" s="1"/>
  <c r="N1481" i="3" s="1"/>
  <c r="F1476" i="3"/>
  <c r="G1476" i="3" s="1"/>
  <c r="H1476" i="3" s="1"/>
  <c r="I1476" i="3" s="1"/>
  <c r="J1476" i="3" s="1"/>
  <c r="K1476" i="3" s="1"/>
  <c r="L1476" i="3" s="1"/>
  <c r="M1476" i="3" s="1"/>
  <c r="N1476" i="3" s="1"/>
  <c r="F1471" i="3"/>
  <c r="G1471" i="3" s="1"/>
  <c r="H1471" i="3" s="1"/>
  <c r="I1471" i="3" s="1"/>
  <c r="J1471" i="3" s="1"/>
  <c r="K1471" i="3" s="1"/>
  <c r="L1471" i="3" s="1"/>
  <c r="M1471" i="3" s="1"/>
  <c r="N1471" i="3" s="1"/>
  <c r="F1466" i="3"/>
  <c r="G1466" i="3" s="1"/>
  <c r="H1466" i="3" s="1"/>
  <c r="I1466" i="3" s="1"/>
  <c r="J1466" i="3" s="1"/>
  <c r="K1466" i="3" s="1"/>
  <c r="L1466" i="3" s="1"/>
  <c r="M1466" i="3" s="1"/>
  <c r="N1466" i="3" s="1"/>
  <c r="F1459" i="3"/>
  <c r="G1459" i="3" s="1"/>
  <c r="H1459" i="3" s="1"/>
  <c r="I1459" i="3" s="1"/>
  <c r="J1459" i="3" s="1"/>
  <c r="K1459" i="3" s="1"/>
  <c r="L1459" i="3" s="1"/>
  <c r="M1459" i="3" s="1"/>
  <c r="N1459" i="3" s="1"/>
  <c r="F1453" i="3"/>
  <c r="G1453" i="3" s="1"/>
  <c r="H1453" i="3" s="1"/>
  <c r="I1453" i="3" s="1"/>
  <c r="J1453" i="3" s="1"/>
  <c r="K1453" i="3" s="1"/>
  <c r="L1453" i="3" s="1"/>
  <c r="M1453" i="3" s="1"/>
  <c r="N1453" i="3" s="1"/>
  <c r="F1448" i="3"/>
  <c r="G1448" i="3" s="1"/>
  <c r="H1448" i="3" s="1"/>
  <c r="I1448" i="3" s="1"/>
  <c r="J1448" i="3" s="1"/>
  <c r="K1448" i="3" s="1"/>
  <c r="L1448" i="3" s="1"/>
  <c r="M1448" i="3" s="1"/>
  <c r="N1448" i="3" s="1"/>
  <c r="F1443" i="3"/>
  <c r="G1443" i="3" s="1"/>
  <c r="H1443" i="3" s="1"/>
  <c r="I1443" i="3" s="1"/>
  <c r="J1443" i="3" s="1"/>
  <c r="K1443" i="3" s="1"/>
  <c r="L1443" i="3" s="1"/>
  <c r="M1443" i="3" s="1"/>
  <c r="N1443" i="3" s="1"/>
  <c r="F1438" i="3"/>
  <c r="G1438" i="3" s="1"/>
  <c r="H1438" i="3" s="1"/>
  <c r="I1438" i="3" s="1"/>
  <c r="J1438" i="3" s="1"/>
  <c r="K1438" i="3" s="1"/>
  <c r="L1438" i="3" s="1"/>
  <c r="M1438" i="3" s="1"/>
  <c r="N1438" i="3" s="1"/>
  <c r="F1433" i="3"/>
  <c r="G1433" i="3" s="1"/>
  <c r="H1433" i="3" s="1"/>
  <c r="I1433" i="3" s="1"/>
  <c r="J1433" i="3" s="1"/>
  <c r="K1433" i="3" s="1"/>
  <c r="L1433" i="3" s="1"/>
  <c r="M1433" i="3" s="1"/>
  <c r="N1433" i="3" s="1"/>
  <c r="F1429" i="3"/>
  <c r="G1429" i="3" s="1"/>
  <c r="H1429" i="3" s="1"/>
  <c r="I1429" i="3" s="1"/>
  <c r="J1429" i="3" s="1"/>
  <c r="K1429" i="3" s="1"/>
  <c r="L1429" i="3" s="1"/>
  <c r="M1429" i="3" s="1"/>
  <c r="N1429" i="3" s="1"/>
  <c r="F1425" i="3"/>
  <c r="G1425" i="3" s="1"/>
  <c r="H1425" i="3" s="1"/>
  <c r="I1425" i="3" s="1"/>
  <c r="J1425" i="3" s="1"/>
  <c r="K1425" i="3" s="1"/>
  <c r="L1425" i="3" s="1"/>
  <c r="M1425" i="3" s="1"/>
  <c r="N1425" i="3" s="1"/>
  <c r="F1420" i="3"/>
  <c r="G1420" i="3" s="1"/>
  <c r="H1420" i="3" s="1"/>
  <c r="I1420" i="3" s="1"/>
  <c r="J1420" i="3" s="1"/>
  <c r="K1420" i="3" s="1"/>
  <c r="L1420" i="3" s="1"/>
  <c r="M1420" i="3" s="1"/>
  <c r="N1420" i="3" s="1"/>
  <c r="F1412" i="3"/>
  <c r="G1412" i="3" s="1"/>
  <c r="H1412" i="3" s="1"/>
  <c r="I1412" i="3" s="1"/>
  <c r="J1412" i="3" s="1"/>
  <c r="K1412" i="3" s="1"/>
  <c r="L1412" i="3" s="1"/>
  <c r="M1412" i="3" s="1"/>
  <c r="N1412" i="3" s="1"/>
  <c r="F1407" i="3"/>
  <c r="G1407" i="3" s="1"/>
  <c r="H1407" i="3" s="1"/>
  <c r="I1407" i="3" s="1"/>
  <c r="J1407" i="3" s="1"/>
  <c r="K1407" i="3" s="1"/>
  <c r="L1407" i="3" s="1"/>
  <c r="M1407" i="3" s="1"/>
  <c r="N1407" i="3" s="1"/>
  <c r="F1403" i="3"/>
  <c r="G1403" i="3" s="1"/>
  <c r="H1403" i="3" s="1"/>
  <c r="I1403" i="3" s="1"/>
  <c r="J1403" i="3" s="1"/>
  <c r="K1403" i="3" s="1"/>
  <c r="L1403" i="3" s="1"/>
  <c r="M1403" i="3" s="1"/>
  <c r="N1403" i="3" s="1"/>
  <c r="F1397" i="3"/>
  <c r="G1397" i="3" s="1"/>
  <c r="H1397" i="3" s="1"/>
  <c r="I1397" i="3" s="1"/>
  <c r="J1397" i="3" s="1"/>
  <c r="K1397" i="3" s="1"/>
  <c r="L1397" i="3" s="1"/>
  <c r="M1397" i="3" s="1"/>
  <c r="N1397" i="3" s="1"/>
  <c r="F1393" i="3"/>
  <c r="G1393" i="3" s="1"/>
  <c r="H1393" i="3" s="1"/>
  <c r="I1393" i="3" s="1"/>
  <c r="J1393" i="3" s="1"/>
  <c r="K1393" i="3" s="1"/>
  <c r="L1393" i="3" s="1"/>
  <c r="M1393" i="3" s="1"/>
  <c r="N1393" i="3" s="1"/>
  <c r="F1389" i="3"/>
  <c r="G1389" i="3" s="1"/>
  <c r="H1389" i="3" s="1"/>
  <c r="I1389" i="3" s="1"/>
  <c r="J1389" i="3" s="1"/>
  <c r="K1389" i="3" s="1"/>
  <c r="L1389" i="3" s="1"/>
  <c r="M1389" i="3" s="1"/>
  <c r="N1389" i="3" s="1"/>
  <c r="F1385" i="3"/>
  <c r="G1385" i="3" s="1"/>
  <c r="H1385" i="3" s="1"/>
  <c r="I1385" i="3" s="1"/>
  <c r="J1385" i="3" s="1"/>
  <c r="K1385" i="3" s="1"/>
  <c r="L1385" i="3" s="1"/>
  <c r="M1385" i="3" s="1"/>
  <c r="N1385" i="3" s="1"/>
  <c r="F1380" i="3"/>
  <c r="G1380" i="3" s="1"/>
  <c r="H1380" i="3" s="1"/>
  <c r="I1380" i="3" s="1"/>
  <c r="J1380" i="3" s="1"/>
  <c r="K1380" i="3" s="1"/>
  <c r="L1380" i="3" s="1"/>
  <c r="M1380" i="3" s="1"/>
  <c r="N1380" i="3" s="1"/>
  <c r="F1368" i="3"/>
  <c r="G1368" i="3" s="1"/>
  <c r="H1368" i="3" s="1"/>
  <c r="I1368" i="3" s="1"/>
  <c r="J1368" i="3" s="1"/>
  <c r="K1368" i="3" s="1"/>
  <c r="L1368" i="3" s="1"/>
  <c r="M1368" i="3" s="1"/>
  <c r="N1368" i="3" s="1"/>
  <c r="F1363" i="3"/>
  <c r="F1351" i="3"/>
  <c r="G1351" i="3" s="1"/>
  <c r="H1351" i="3" s="1"/>
  <c r="I1351" i="3" s="1"/>
  <c r="J1351" i="3" s="1"/>
  <c r="K1351" i="3" s="1"/>
  <c r="L1351" i="3" s="1"/>
  <c r="M1351" i="3" s="1"/>
  <c r="N1351" i="3" s="1"/>
  <c r="F1348" i="3"/>
  <c r="G1348" i="3" s="1"/>
  <c r="H1348" i="3" s="1"/>
  <c r="I1348" i="3" s="1"/>
  <c r="J1348" i="3" s="1"/>
  <c r="K1348" i="3" s="1"/>
  <c r="L1348" i="3" s="1"/>
  <c r="M1348" i="3" s="1"/>
  <c r="N1348" i="3" s="1"/>
  <c r="F1342" i="3"/>
  <c r="F1303" i="3"/>
  <c r="G1303" i="3" s="1"/>
  <c r="H1303" i="3" s="1"/>
  <c r="I1303" i="3" s="1"/>
  <c r="J1303" i="3" s="1"/>
  <c r="K1303" i="3" s="1"/>
  <c r="L1303" i="3" s="1"/>
  <c r="M1303" i="3" s="1"/>
  <c r="N1303" i="3" s="1"/>
  <c r="F1295" i="3"/>
  <c r="G1295" i="3" s="1"/>
  <c r="H1295" i="3" s="1"/>
  <c r="I1295" i="3" s="1"/>
  <c r="J1295" i="3" s="1"/>
  <c r="K1295" i="3" s="1"/>
  <c r="L1295" i="3" s="1"/>
  <c r="M1295" i="3" s="1"/>
  <c r="N1295" i="3" s="1"/>
  <c r="F1291" i="3"/>
  <c r="G1291" i="3" s="1"/>
  <c r="H1291" i="3" s="1"/>
  <c r="I1291" i="3" s="1"/>
  <c r="J1291" i="3" s="1"/>
  <c r="K1291" i="3" s="1"/>
  <c r="L1291" i="3" s="1"/>
  <c r="M1291" i="3" s="1"/>
  <c r="N1291" i="3" s="1"/>
  <c r="F1287" i="3"/>
  <c r="G1287" i="3" s="1"/>
  <c r="H1287" i="3" s="1"/>
  <c r="I1287" i="3" s="1"/>
  <c r="J1287" i="3" s="1"/>
  <c r="K1287" i="3" s="1"/>
  <c r="L1287" i="3" s="1"/>
  <c r="M1287" i="3" s="1"/>
  <c r="N1287" i="3" s="1"/>
  <c r="F1282" i="3"/>
  <c r="G1282" i="3" s="1"/>
  <c r="H1282" i="3" s="1"/>
  <c r="I1282" i="3" s="1"/>
  <c r="J1282" i="3" s="1"/>
  <c r="K1282" i="3" s="1"/>
  <c r="L1282" i="3" s="1"/>
  <c r="M1282" i="3" s="1"/>
  <c r="N1282" i="3" s="1"/>
  <c r="F1278" i="3"/>
  <c r="F1234" i="3"/>
  <c r="G1234" i="3" s="1"/>
  <c r="H1234" i="3" s="1"/>
  <c r="I1234" i="3" s="1"/>
  <c r="J1234" i="3" s="1"/>
  <c r="K1234" i="3" s="1"/>
  <c r="L1234" i="3" s="1"/>
  <c r="M1234" i="3" s="1"/>
  <c r="N1234" i="3" s="1"/>
  <c r="F1230" i="3"/>
  <c r="G1230" i="3" s="1"/>
  <c r="H1230" i="3" s="1"/>
  <c r="I1230" i="3" s="1"/>
  <c r="J1230" i="3" s="1"/>
  <c r="K1230" i="3" s="1"/>
  <c r="L1230" i="3" s="1"/>
  <c r="M1230" i="3" s="1"/>
  <c r="N1230" i="3" s="1"/>
  <c r="F1225" i="3"/>
  <c r="G1225" i="3" s="1"/>
  <c r="H1225" i="3" s="1"/>
  <c r="I1225" i="3" s="1"/>
  <c r="J1225" i="3" s="1"/>
  <c r="K1225" i="3" s="1"/>
  <c r="L1225" i="3" s="1"/>
  <c r="M1225" i="3" s="1"/>
  <c r="N1225" i="3" s="1"/>
  <c r="F1221" i="3"/>
  <c r="G1221" i="3" s="1"/>
  <c r="H1221" i="3" s="1"/>
  <c r="I1221" i="3" s="1"/>
  <c r="J1221" i="3" s="1"/>
  <c r="K1221" i="3" s="1"/>
  <c r="L1221" i="3" s="1"/>
  <c r="M1221" i="3" s="1"/>
  <c r="N1221" i="3" s="1"/>
  <c r="F1217" i="3"/>
  <c r="G1217" i="3" s="1"/>
  <c r="H1217" i="3" s="1"/>
  <c r="I1217" i="3" s="1"/>
  <c r="J1217" i="3" s="1"/>
  <c r="K1217" i="3" s="1"/>
  <c r="L1217" i="3" s="1"/>
  <c r="M1217" i="3" s="1"/>
  <c r="N1217" i="3" s="1"/>
  <c r="F1212" i="3"/>
  <c r="G1212" i="3" s="1"/>
  <c r="H1212" i="3" s="1"/>
  <c r="I1212" i="3" s="1"/>
  <c r="J1212" i="3" s="1"/>
  <c r="K1212" i="3" s="1"/>
  <c r="L1212" i="3" s="1"/>
  <c r="M1212" i="3" s="1"/>
  <c r="N1212" i="3" s="1"/>
  <c r="F1208" i="3"/>
  <c r="G1208" i="3" s="1"/>
  <c r="H1208" i="3" s="1"/>
  <c r="I1208" i="3" s="1"/>
  <c r="J1208" i="3" s="1"/>
  <c r="K1208" i="3" s="1"/>
  <c r="L1208" i="3" s="1"/>
  <c r="M1208" i="3" s="1"/>
  <c r="N1208" i="3" s="1"/>
  <c r="F1204" i="3"/>
  <c r="G1204" i="3" s="1"/>
  <c r="H1204" i="3" s="1"/>
  <c r="I1204" i="3" s="1"/>
  <c r="J1204" i="3" s="1"/>
  <c r="K1204" i="3" s="1"/>
  <c r="L1204" i="3" s="1"/>
  <c r="M1204" i="3" s="1"/>
  <c r="N1204" i="3" s="1"/>
  <c r="F1200" i="3"/>
  <c r="G1200" i="3" s="1"/>
  <c r="H1200" i="3" s="1"/>
  <c r="I1200" i="3" s="1"/>
  <c r="J1200" i="3" s="1"/>
  <c r="K1200" i="3" s="1"/>
  <c r="L1200" i="3" s="1"/>
  <c r="M1200" i="3" s="1"/>
  <c r="N1200" i="3" s="1"/>
  <c r="F1195" i="3"/>
  <c r="G1195" i="3" s="1"/>
  <c r="H1195" i="3" s="1"/>
  <c r="I1195" i="3" s="1"/>
  <c r="J1195" i="3" s="1"/>
  <c r="K1195" i="3" s="1"/>
  <c r="L1195" i="3" s="1"/>
  <c r="M1195" i="3" s="1"/>
  <c r="N1195" i="3" s="1"/>
  <c r="F1191" i="3"/>
  <c r="G1191" i="3" s="1"/>
  <c r="H1191" i="3" s="1"/>
  <c r="I1191" i="3" s="1"/>
  <c r="J1191" i="3" s="1"/>
  <c r="K1191" i="3" s="1"/>
  <c r="L1191" i="3" s="1"/>
  <c r="M1191" i="3" s="1"/>
  <c r="N1191" i="3" s="1"/>
  <c r="F1186" i="3"/>
  <c r="G1186" i="3" s="1"/>
  <c r="H1186" i="3" s="1"/>
  <c r="I1186" i="3" s="1"/>
  <c r="J1186" i="3" s="1"/>
  <c r="K1186" i="3" s="1"/>
  <c r="L1186" i="3" s="1"/>
  <c r="M1186" i="3" s="1"/>
  <c r="N1186" i="3" s="1"/>
  <c r="F1167" i="3"/>
  <c r="G1167" i="3" s="1"/>
  <c r="H1167" i="3" s="1"/>
  <c r="I1167" i="3" s="1"/>
  <c r="J1167" i="3" s="1"/>
  <c r="K1167" i="3" s="1"/>
  <c r="L1167" i="3" s="1"/>
  <c r="M1167" i="3" s="1"/>
  <c r="N1167" i="3" s="1"/>
  <c r="F1115" i="3"/>
  <c r="G1115" i="3" s="1"/>
  <c r="H1115" i="3" s="1"/>
  <c r="I1115" i="3" s="1"/>
  <c r="J1115" i="3" s="1"/>
  <c r="K1115" i="3" s="1"/>
  <c r="L1115" i="3" s="1"/>
  <c r="M1115" i="3" s="1"/>
  <c r="N1115" i="3" s="1"/>
  <c r="F1110" i="3"/>
  <c r="G1110" i="3" s="1"/>
  <c r="H1110" i="3" s="1"/>
  <c r="I1110" i="3" s="1"/>
  <c r="J1110" i="3" s="1"/>
  <c r="K1110" i="3" s="1"/>
  <c r="L1110" i="3" s="1"/>
  <c r="M1110" i="3" s="1"/>
  <c r="N1110" i="3" s="1"/>
  <c r="F1105" i="3"/>
  <c r="G1105" i="3" s="1"/>
  <c r="H1105" i="3" s="1"/>
  <c r="I1105" i="3" s="1"/>
  <c r="J1105" i="3" s="1"/>
  <c r="K1105" i="3" s="1"/>
  <c r="L1105" i="3" s="1"/>
  <c r="M1105" i="3" s="1"/>
  <c r="N1105" i="3" s="1"/>
  <c r="F1097" i="3"/>
  <c r="G1097" i="3" s="1"/>
  <c r="H1097" i="3" s="1"/>
  <c r="I1097" i="3" s="1"/>
  <c r="J1097" i="3" s="1"/>
  <c r="K1097" i="3" s="1"/>
  <c r="L1097" i="3" s="1"/>
  <c r="M1097" i="3" s="1"/>
  <c r="N1097" i="3" s="1"/>
  <c r="F1091" i="3"/>
  <c r="G1091" i="3" s="1"/>
  <c r="H1091" i="3" s="1"/>
  <c r="I1091" i="3" s="1"/>
  <c r="J1091" i="3" s="1"/>
  <c r="K1091" i="3" s="1"/>
  <c r="L1091" i="3" s="1"/>
  <c r="M1091" i="3" s="1"/>
  <c r="N1091" i="3" s="1"/>
  <c r="F1086" i="3"/>
  <c r="G1086" i="3" s="1"/>
  <c r="H1086" i="3" s="1"/>
  <c r="I1086" i="3" s="1"/>
  <c r="J1086" i="3" s="1"/>
  <c r="K1086" i="3" s="1"/>
  <c r="L1086" i="3" s="1"/>
  <c r="M1086" i="3" s="1"/>
  <c r="N1086" i="3" s="1"/>
  <c r="F1081" i="3"/>
  <c r="G1081" i="3" s="1"/>
  <c r="H1081" i="3" s="1"/>
  <c r="I1081" i="3" s="1"/>
  <c r="J1081" i="3" s="1"/>
  <c r="K1081" i="3" s="1"/>
  <c r="L1081" i="3" s="1"/>
  <c r="M1081" i="3" s="1"/>
  <c r="N1081" i="3" s="1"/>
  <c r="F1077" i="3"/>
  <c r="G1077" i="3" s="1"/>
  <c r="H1077" i="3" s="1"/>
  <c r="I1077" i="3" s="1"/>
  <c r="J1077" i="3" s="1"/>
  <c r="K1077" i="3" s="1"/>
  <c r="L1077" i="3" s="1"/>
  <c r="M1077" i="3" s="1"/>
  <c r="N1077" i="3" s="1"/>
  <c r="F1073" i="3"/>
  <c r="G1073" i="3" s="1"/>
  <c r="H1073" i="3" s="1"/>
  <c r="I1073" i="3" s="1"/>
  <c r="J1073" i="3" s="1"/>
  <c r="K1073" i="3" s="1"/>
  <c r="L1073" i="3" s="1"/>
  <c r="M1073" i="3" s="1"/>
  <c r="N1073" i="3" s="1"/>
  <c r="F1067" i="3"/>
  <c r="G1067" i="3" s="1"/>
  <c r="H1067" i="3" s="1"/>
  <c r="I1067" i="3" s="1"/>
  <c r="J1067" i="3" s="1"/>
  <c r="K1067" i="3" s="1"/>
  <c r="L1067" i="3" s="1"/>
  <c r="M1067" i="3" s="1"/>
  <c r="N1067" i="3" s="1"/>
  <c r="F1061" i="3"/>
  <c r="G1061" i="3" s="1"/>
  <c r="H1061" i="3" s="1"/>
  <c r="I1061" i="3" s="1"/>
  <c r="J1061" i="3" s="1"/>
  <c r="K1061" i="3" s="1"/>
  <c r="L1061" i="3" s="1"/>
  <c r="M1061" i="3" s="1"/>
  <c r="N1061" i="3" s="1"/>
  <c r="F1055" i="3"/>
  <c r="G1055" i="3" s="1"/>
  <c r="H1055" i="3" s="1"/>
  <c r="I1055" i="3" s="1"/>
  <c r="J1055" i="3" s="1"/>
  <c r="K1055" i="3" s="1"/>
  <c r="L1055" i="3" s="1"/>
  <c r="M1055" i="3" s="1"/>
  <c r="N1055" i="3" s="1"/>
  <c r="F1048" i="3"/>
  <c r="G1048" i="3" s="1"/>
  <c r="H1048" i="3" s="1"/>
  <c r="I1048" i="3" s="1"/>
  <c r="J1048" i="3" s="1"/>
  <c r="K1048" i="3" s="1"/>
  <c r="L1048" i="3" s="1"/>
  <c r="M1048" i="3" s="1"/>
  <c r="N1048" i="3" s="1"/>
  <c r="F1042" i="3"/>
  <c r="G1042" i="3" s="1"/>
  <c r="H1042" i="3" s="1"/>
  <c r="I1042" i="3" s="1"/>
  <c r="J1042" i="3" s="1"/>
  <c r="K1042" i="3" s="1"/>
  <c r="L1042" i="3" s="1"/>
  <c r="M1042" i="3" s="1"/>
  <c r="N1042" i="3" s="1"/>
  <c r="F1037" i="3"/>
  <c r="G1037" i="3" s="1"/>
  <c r="F1032" i="3"/>
  <c r="G1032" i="3" s="1"/>
  <c r="H1032" i="3" s="1"/>
  <c r="I1032" i="3" s="1"/>
  <c r="J1032" i="3" s="1"/>
  <c r="K1032" i="3" s="1"/>
  <c r="L1032" i="3" s="1"/>
  <c r="M1032" i="3" s="1"/>
  <c r="N1032" i="3" s="1"/>
  <c r="F1028" i="3"/>
  <c r="G1028" i="3" s="1"/>
  <c r="H1028" i="3" s="1"/>
  <c r="I1028" i="3" s="1"/>
  <c r="J1028" i="3" s="1"/>
  <c r="K1028" i="3" s="1"/>
  <c r="L1028" i="3" s="1"/>
  <c r="M1028" i="3" s="1"/>
  <c r="N1028" i="3" s="1"/>
  <c r="F1024" i="3"/>
  <c r="G1024" i="3" s="1"/>
  <c r="H1024" i="3" s="1"/>
  <c r="I1024" i="3" s="1"/>
  <c r="J1024" i="3" s="1"/>
  <c r="K1024" i="3" s="1"/>
  <c r="L1024" i="3" s="1"/>
  <c r="M1024" i="3" s="1"/>
  <c r="N1024" i="3" s="1"/>
  <c r="F1019" i="3"/>
  <c r="G1019" i="3" s="1"/>
  <c r="H1019" i="3" s="1"/>
  <c r="I1019" i="3" s="1"/>
  <c r="J1019" i="3" s="1"/>
  <c r="K1019" i="3" s="1"/>
  <c r="L1019" i="3" s="1"/>
  <c r="M1019" i="3" s="1"/>
  <c r="N1019" i="3" s="1"/>
  <c r="F1000" i="3"/>
  <c r="G1000" i="3" s="1"/>
  <c r="H1000" i="3" s="1"/>
  <c r="I1000" i="3" s="1"/>
  <c r="J1000" i="3" s="1"/>
  <c r="K1000" i="3" s="1"/>
  <c r="L1000" i="3" s="1"/>
  <c r="M1000" i="3" s="1"/>
  <c r="N1000" i="3" s="1"/>
  <c r="F994" i="3"/>
  <c r="G994" i="3" s="1"/>
  <c r="H994" i="3" s="1"/>
  <c r="I994" i="3" s="1"/>
  <c r="J994" i="3" s="1"/>
  <c r="K994" i="3" s="1"/>
  <c r="L994" i="3" s="1"/>
  <c r="M994" i="3" s="1"/>
  <c r="N994" i="3" s="1"/>
  <c r="F990" i="3"/>
  <c r="G990" i="3" s="1"/>
  <c r="H990" i="3" s="1"/>
  <c r="I990" i="3" s="1"/>
  <c r="J990" i="3" s="1"/>
  <c r="K990" i="3" s="1"/>
  <c r="L990" i="3" s="1"/>
  <c r="M990" i="3" s="1"/>
  <c r="N990" i="3" s="1"/>
  <c r="F986" i="3"/>
  <c r="G986" i="3" s="1"/>
  <c r="H986" i="3" s="1"/>
  <c r="I986" i="3" s="1"/>
  <c r="J986" i="3" s="1"/>
  <c r="K986" i="3" s="1"/>
  <c r="L986" i="3" s="1"/>
  <c r="M986" i="3" s="1"/>
  <c r="N986" i="3" s="1"/>
  <c r="F981" i="3"/>
  <c r="G981" i="3" s="1"/>
  <c r="H981" i="3" s="1"/>
  <c r="I981" i="3" s="1"/>
  <c r="J981" i="3" s="1"/>
  <c r="K981" i="3" s="1"/>
  <c r="L981" i="3" s="1"/>
  <c r="M981" i="3" s="1"/>
  <c r="N981" i="3" s="1"/>
  <c r="F977" i="3"/>
  <c r="G977" i="3" s="1"/>
  <c r="H977" i="3" s="1"/>
  <c r="I977" i="3" s="1"/>
  <c r="J977" i="3" s="1"/>
  <c r="K977" i="3" s="1"/>
  <c r="L977" i="3" s="1"/>
  <c r="M977" i="3" s="1"/>
  <c r="N977" i="3" s="1"/>
  <c r="F973" i="3"/>
  <c r="G973" i="3" s="1"/>
  <c r="H973" i="3" s="1"/>
  <c r="I973" i="3" s="1"/>
  <c r="J973" i="3" s="1"/>
  <c r="K973" i="3" s="1"/>
  <c r="L973" i="3" s="1"/>
  <c r="M973" i="3" s="1"/>
  <c r="N973" i="3" s="1"/>
  <c r="F969" i="3"/>
  <c r="G969" i="3" s="1"/>
  <c r="H969" i="3" s="1"/>
  <c r="I969" i="3" s="1"/>
  <c r="J969" i="3" s="1"/>
  <c r="K969" i="3" s="1"/>
  <c r="L969" i="3" s="1"/>
  <c r="M969" i="3" s="1"/>
  <c r="N969" i="3" s="1"/>
  <c r="F964" i="3"/>
  <c r="G964" i="3" s="1"/>
  <c r="H964" i="3" s="1"/>
  <c r="I964" i="3" s="1"/>
  <c r="J964" i="3" s="1"/>
  <c r="K964" i="3" s="1"/>
  <c r="L964" i="3" s="1"/>
  <c r="M964" i="3" s="1"/>
  <c r="N964" i="3" s="1"/>
  <c r="F960" i="3"/>
  <c r="G960" i="3" s="1"/>
  <c r="H960" i="3" s="1"/>
  <c r="I960" i="3" s="1"/>
  <c r="J960" i="3" s="1"/>
  <c r="K960" i="3" s="1"/>
  <c r="L960" i="3" s="1"/>
  <c r="M960" i="3" s="1"/>
  <c r="N960" i="3" s="1"/>
  <c r="F956" i="3"/>
  <c r="G956" i="3" s="1"/>
  <c r="H956" i="3" s="1"/>
  <c r="I956" i="3" s="1"/>
  <c r="J956" i="3" s="1"/>
  <c r="K956" i="3" s="1"/>
  <c r="L956" i="3" s="1"/>
  <c r="M956" i="3" s="1"/>
  <c r="N956" i="3" s="1"/>
  <c r="F911" i="3"/>
  <c r="G911" i="3" s="1"/>
  <c r="H911" i="3" s="1"/>
  <c r="I911" i="3" s="1"/>
  <c r="J911" i="3" s="1"/>
  <c r="K911" i="3" s="1"/>
  <c r="L911" i="3" s="1"/>
  <c r="M911" i="3" s="1"/>
  <c r="N911" i="3" s="1"/>
  <c r="F901" i="3"/>
  <c r="G901" i="3" s="1"/>
  <c r="H901" i="3" s="1"/>
  <c r="I901" i="3" s="1"/>
  <c r="J901" i="3" s="1"/>
  <c r="K901" i="3" s="1"/>
  <c r="L901" i="3" s="1"/>
  <c r="M901" i="3" s="1"/>
  <c r="N901" i="3" s="1"/>
  <c r="F896" i="3"/>
  <c r="G896" i="3" s="1"/>
  <c r="H896" i="3" s="1"/>
  <c r="I896" i="3" s="1"/>
  <c r="J896" i="3" s="1"/>
  <c r="K896" i="3" s="1"/>
  <c r="L896" i="3" s="1"/>
  <c r="M896" i="3" s="1"/>
  <c r="N896" i="3" s="1"/>
  <c r="F892" i="3"/>
  <c r="G892" i="3" s="1"/>
  <c r="H892" i="3" s="1"/>
  <c r="I892" i="3" s="1"/>
  <c r="J892" i="3" s="1"/>
  <c r="K892" i="3" s="1"/>
  <c r="L892" i="3" s="1"/>
  <c r="M892" i="3" s="1"/>
  <c r="N892" i="3" s="1"/>
  <c r="F888" i="3"/>
  <c r="G888" i="3" s="1"/>
  <c r="H888" i="3" s="1"/>
  <c r="I888" i="3" s="1"/>
  <c r="J888" i="3" s="1"/>
  <c r="K888" i="3" s="1"/>
  <c r="L888" i="3" s="1"/>
  <c r="M888" i="3" s="1"/>
  <c r="N888" i="3" s="1"/>
  <c r="F884" i="3"/>
  <c r="F879" i="3"/>
  <c r="G879" i="3" s="1"/>
  <c r="H879" i="3" s="1"/>
  <c r="I879" i="3" s="1"/>
  <c r="J879" i="3" s="1"/>
  <c r="K879" i="3" s="1"/>
  <c r="L879" i="3" s="1"/>
  <c r="M879" i="3" s="1"/>
  <c r="N879" i="3" s="1"/>
  <c r="F874" i="3"/>
  <c r="G874" i="3" s="1"/>
  <c r="H874" i="3" s="1"/>
  <c r="I874" i="3" s="1"/>
  <c r="J874" i="3" s="1"/>
  <c r="K874" i="3" s="1"/>
  <c r="L874" i="3" s="1"/>
  <c r="M874" i="3" s="1"/>
  <c r="N874" i="3" s="1"/>
  <c r="F869" i="3"/>
  <c r="F863" i="3"/>
  <c r="F858" i="3"/>
  <c r="G858" i="3" s="1"/>
  <c r="H858" i="3" s="1"/>
  <c r="I858" i="3" s="1"/>
  <c r="J858" i="3" s="1"/>
  <c r="K858" i="3" s="1"/>
  <c r="L858" i="3" s="1"/>
  <c r="M858" i="3" s="1"/>
  <c r="N858" i="3" s="1"/>
  <c r="F854" i="3"/>
  <c r="G854" i="3" s="1"/>
  <c r="H854" i="3" s="1"/>
  <c r="I854" i="3" s="1"/>
  <c r="J854" i="3" s="1"/>
  <c r="K854" i="3" s="1"/>
  <c r="L854" i="3" s="1"/>
  <c r="M854" i="3" s="1"/>
  <c r="N854" i="3" s="1"/>
  <c r="F849" i="3"/>
  <c r="G849" i="3" s="1"/>
  <c r="H849" i="3" s="1"/>
  <c r="I849" i="3" s="1"/>
  <c r="J849" i="3" s="1"/>
  <c r="K849" i="3" s="1"/>
  <c r="L849" i="3" s="1"/>
  <c r="M849" i="3" s="1"/>
  <c r="N849" i="3" s="1"/>
  <c r="F845" i="3"/>
  <c r="G845" i="3" s="1"/>
  <c r="H845" i="3" s="1"/>
  <c r="I845" i="3" s="1"/>
  <c r="J845" i="3" s="1"/>
  <c r="K845" i="3" s="1"/>
  <c r="L845" i="3" s="1"/>
  <c r="M845" i="3" s="1"/>
  <c r="N845" i="3" s="1"/>
  <c r="F840" i="3"/>
  <c r="G840" i="3" s="1"/>
  <c r="H840" i="3" s="1"/>
  <c r="I840" i="3" s="1"/>
  <c r="J840" i="3" s="1"/>
  <c r="K840" i="3" s="1"/>
  <c r="L840" i="3" s="1"/>
  <c r="M840" i="3" s="1"/>
  <c r="N840" i="3" s="1"/>
  <c r="F833" i="3"/>
  <c r="G833" i="3" s="1"/>
  <c r="H833" i="3" s="1"/>
  <c r="I833" i="3" s="1"/>
  <c r="J833" i="3" s="1"/>
  <c r="K833" i="3" s="1"/>
  <c r="L833" i="3" s="1"/>
  <c r="M833" i="3" s="1"/>
  <c r="N833" i="3" s="1"/>
  <c r="F829" i="3"/>
  <c r="G829" i="3" s="1"/>
  <c r="H829" i="3" s="1"/>
  <c r="I829" i="3" s="1"/>
  <c r="J829" i="3" s="1"/>
  <c r="K829" i="3" s="1"/>
  <c r="L829" i="3" s="1"/>
  <c r="M829" i="3" s="1"/>
  <c r="N829" i="3" s="1"/>
  <c r="F824" i="3"/>
  <c r="G824" i="3" s="1"/>
  <c r="H824" i="3" s="1"/>
  <c r="I824" i="3" s="1"/>
  <c r="J824" i="3" s="1"/>
  <c r="K824" i="3" s="1"/>
  <c r="L824" i="3" s="1"/>
  <c r="M824" i="3" s="1"/>
  <c r="N824" i="3" s="1"/>
  <c r="F819" i="3"/>
  <c r="G819" i="3" s="1"/>
  <c r="H819" i="3" s="1"/>
  <c r="I819" i="3" s="1"/>
  <c r="J819" i="3" s="1"/>
  <c r="K819" i="3" s="1"/>
  <c r="L819" i="3" s="1"/>
  <c r="M819" i="3" s="1"/>
  <c r="N819" i="3" s="1"/>
  <c r="F815" i="3"/>
  <c r="G815" i="3" s="1"/>
  <c r="H815" i="3" s="1"/>
  <c r="I815" i="3" s="1"/>
  <c r="J815" i="3" s="1"/>
  <c r="K815" i="3" s="1"/>
  <c r="L815" i="3" s="1"/>
  <c r="M815" i="3" s="1"/>
  <c r="N815" i="3" s="1"/>
  <c r="F788" i="3"/>
  <c r="G788" i="3" s="1"/>
  <c r="H788" i="3" s="1"/>
  <c r="I788" i="3" s="1"/>
  <c r="J788" i="3" s="1"/>
  <c r="K788" i="3" s="1"/>
  <c r="L788" i="3" s="1"/>
  <c r="M788" i="3" s="1"/>
  <c r="N788" i="3" s="1"/>
  <c r="F784" i="3"/>
  <c r="G784" i="3" s="1"/>
  <c r="H784" i="3" s="1"/>
  <c r="I784" i="3" s="1"/>
  <c r="J784" i="3" s="1"/>
  <c r="K784" i="3" s="1"/>
  <c r="L784" i="3" s="1"/>
  <c r="M784" i="3" s="1"/>
  <c r="N784" i="3" s="1"/>
  <c r="F779" i="3"/>
  <c r="G779" i="3" s="1"/>
  <c r="H779" i="3" s="1"/>
  <c r="I779" i="3" s="1"/>
  <c r="J779" i="3" s="1"/>
  <c r="K779" i="3" s="1"/>
  <c r="L779" i="3" s="1"/>
  <c r="M779" i="3" s="1"/>
  <c r="N779" i="3" s="1"/>
  <c r="F775" i="3"/>
  <c r="G775" i="3" s="1"/>
  <c r="H775" i="3" s="1"/>
  <c r="I775" i="3" s="1"/>
  <c r="J775" i="3" s="1"/>
  <c r="K775" i="3" s="1"/>
  <c r="L775" i="3" s="1"/>
  <c r="M775" i="3" s="1"/>
  <c r="N775" i="3" s="1"/>
  <c r="F770" i="3"/>
  <c r="G770" i="3" s="1"/>
  <c r="H770" i="3" s="1"/>
  <c r="I770" i="3" s="1"/>
  <c r="J770" i="3" s="1"/>
  <c r="K770" i="3" s="1"/>
  <c r="L770" i="3" s="1"/>
  <c r="M770" i="3" s="1"/>
  <c r="N770" i="3" s="1"/>
  <c r="F766" i="3"/>
  <c r="G766" i="3" s="1"/>
  <c r="H766" i="3" s="1"/>
  <c r="I766" i="3" s="1"/>
  <c r="J766" i="3" s="1"/>
  <c r="K766" i="3" s="1"/>
  <c r="L766" i="3" s="1"/>
  <c r="M766" i="3" s="1"/>
  <c r="N766" i="3" s="1"/>
  <c r="F761" i="3"/>
  <c r="G761" i="3" s="1"/>
  <c r="H761" i="3" s="1"/>
  <c r="I761" i="3" s="1"/>
  <c r="J761" i="3" s="1"/>
  <c r="K761" i="3" s="1"/>
  <c r="L761" i="3" s="1"/>
  <c r="M761" i="3" s="1"/>
  <c r="N761" i="3" s="1"/>
  <c r="F736" i="3"/>
  <c r="G736" i="3" s="1"/>
  <c r="H736" i="3" s="1"/>
  <c r="I736" i="3" s="1"/>
  <c r="J736" i="3" s="1"/>
  <c r="K736" i="3" s="1"/>
  <c r="L736" i="3" s="1"/>
  <c r="M736" i="3" s="1"/>
  <c r="N736" i="3" s="1"/>
  <c r="F730" i="3"/>
  <c r="G730" i="3" s="1"/>
  <c r="H730" i="3" s="1"/>
  <c r="I730" i="3" s="1"/>
  <c r="J730" i="3" s="1"/>
  <c r="K730" i="3" s="1"/>
  <c r="L730" i="3" s="1"/>
  <c r="M730" i="3" s="1"/>
  <c r="N730" i="3" s="1"/>
  <c r="F726" i="3"/>
  <c r="G726" i="3" s="1"/>
  <c r="H726" i="3" s="1"/>
  <c r="I726" i="3" s="1"/>
  <c r="J726" i="3" s="1"/>
  <c r="K726" i="3" s="1"/>
  <c r="L726" i="3" s="1"/>
  <c r="M726" i="3" s="1"/>
  <c r="N726" i="3" s="1"/>
  <c r="F722" i="3"/>
  <c r="G722" i="3" s="1"/>
  <c r="H722" i="3" s="1"/>
  <c r="I722" i="3" s="1"/>
  <c r="J722" i="3" s="1"/>
  <c r="K722" i="3" s="1"/>
  <c r="L722" i="3" s="1"/>
  <c r="M722" i="3" s="1"/>
  <c r="N722" i="3" s="1"/>
  <c r="F718" i="3"/>
  <c r="G718" i="3" s="1"/>
  <c r="H718" i="3" s="1"/>
  <c r="I718" i="3" s="1"/>
  <c r="J718" i="3" s="1"/>
  <c r="K718" i="3" s="1"/>
  <c r="L718" i="3" s="1"/>
  <c r="M718" i="3" s="1"/>
  <c r="N718" i="3" s="1"/>
  <c r="F710" i="3"/>
  <c r="G710" i="3" s="1"/>
  <c r="H710" i="3" s="1"/>
  <c r="I710" i="3" s="1"/>
  <c r="J710" i="3" s="1"/>
  <c r="K710" i="3" s="1"/>
  <c r="L710" i="3" s="1"/>
  <c r="M710" i="3" s="1"/>
  <c r="N710" i="3" s="1"/>
  <c r="F705" i="3"/>
  <c r="F1345" i="3"/>
  <c r="G1345" i="3" s="1"/>
  <c r="H1345" i="3" s="1"/>
  <c r="I1345" i="3" s="1"/>
  <c r="J1345" i="3" s="1"/>
  <c r="K1345" i="3" s="1"/>
  <c r="L1345" i="3" s="1"/>
  <c r="M1345" i="3" s="1"/>
  <c r="N1345" i="3" s="1"/>
  <c r="F1306" i="3"/>
  <c r="G1306" i="3" s="1"/>
  <c r="H1306" i="3" s="1"/>
  <c r="I1306" i="3" s="1"/>
  <c r="J1306" i="3" s="1"/>
  <c r="K1306" i="3" s="1"/>
  <c r="L1306" i="3" s="1"/>
  <c r="M1306" i="3" s="1"/>
  <c r="N1306" i="3" s="1"/>
  <c r="F1302" i="3"/>
  <c r="G1302" i="3" s="1"/>
  <c r="H1302" i="3" s="1"/>
  <c r="I1302" i="3" s="1"/>
  <c r="J1302" i="3" s="1"/>
  <c r="K1302" i="3" s="1"/>
  <c r="L1302" i="3" s="1"/>
  <c r="M1302" i="3" s="1"/>
  <c r="N1302" i="3" s="1"/>
  <c r="F1294" i="3"/>
  <c r="G1294" i="3" s="1"/>
  <c r="H1294" i="3" s="1"/>
  <c r="I1294" i="3" s="1"/>
  <c r="J1294" i="3" s="1"/>
  <c r="K1294" i="3" s="1"/>
  <c r="L1294" i="3" s="1"/>
  <c r="M1294" i="3" s="1"/>
  <c r="N1294" i="3" s="1"/>
  <c r="F1290" i="3"/>
  <c r="G1290" i="3" s="1"/>
  <c r="H1290" i="3" s="1"/>
  <c r="I1290" i="3" s="1"/>
  <c r="J1290" i="3" s="1"/>
  <c r="K1290" i="3" s="1"/>
  <c r="L1290" i="3" s="1"/>
  <c r="M1290" i="3" s="1"/>
  <c r="N1290" i="3" s="1"/>
  <c r="F1286" i="3"/>
  <c r="G1286" i="3" s="1"/>
  <c r="H1286" i="3" s="1"/>
  <c r="I1286" i="3" s="1"/>
  <c r="J1286" i="3" s="1"/>
  <c r="K1286" i="3" s="1"/>
  <c r="L1286" i="3" s="1"/>
  <c r="M1286" i="3" s="1"/>
  <c r="N1286" i="3" s="1"/>
  <c r="F1281" i="3"/>
  <c r="G1281" i="3" s="1"/>
  <c r="H1281" i="3" s="1"/>
  <c r="I1281" i="3" s="1"/>
  <c r="J1281" i="3" s="1"/>
  <c r="K1281" i="3" s="1"/>
  <c r="L1281" i="3" s="1"/>
  <c r="M1281" i="3" s="1"/>
  <c r="N1281" i="3" s="1"/>
  <c r="F1276" i="3"/>
  <c r="F1233" i="3"/>
  <c r="G1233" i="3" s="1"/>
  <c r="H1233" i="3" s="1"/>
  <c r="I1233" i="3" s="1"/>
  <c r="J1233" i="3" s="1"/>
  <c r="K1233" i="3" s="1"/>
  <c r="L1233" i="3" s="1"/>
  <c r="M1233" i="3" s="1"/>
  <c r="N1233" i="3" s="1"/>
  <c r="F1229" i="3"/>
  <c r="G1229" i="3" s="1"/>
  <c r="H1229" i="3" s="1"/>
  <c r="I1229" i="3" s="1"/>
  <c r="J1229" i="3" s="1"/>
  <c r="K1229" i="3" s="1"/>
  <c r="L1229" i="3" s="1"/>
  <c r="M1229" i="3" s="1"/>
  <c r="N1229" i="3" s="1"/>
  <c r="F1224" i="3"/>
  <c r="G1224" i="3" s="1"/>
  <c r="H1224" i="3" s="1"/>
  <c r="I1224" i="3" s="1"/>
  <c r="J1224" i="3" s="1"/>
  <c r="K1224" i="3" s="1"/>
  <c r="L1224" i="3" s="1"/>
  <c r="M1224" i="3" s="1"/>
  <c r="N1224" i="3" s="1"/>
  <c r="F1220" i="3"/>
  <c r="G1220" i="3" s="1"/>
  <c r="H1220" i="3" s="1"/>
  <c r="I1220" i="3" s="1"/>
  <c r="J1220" i="3" s="1"/>
  <c r="K1220" i="3" s="1"/>
  <c r="L1220" i="3" s="1"/>
  <c r="M1220" i="3" s="1"/>
  <c r="N1220" i="3" s="1"/>
  <c r="F1215" i="3"/>
  <c r="G1215" i="3" s="1"/>
  <c r="H1215" i="3" s="1"/>
  <c r="I1215" i="3" s="1"/>
  <c r="J1215" i="3" s="1"/>
  <c r="K1215" i="3" s="1"/>
  <c r="L1215" i="3" s="1"/>
  <c r="M1215" i="3" s="1"/>
  <c r="N1215" i="3" s="1"/>
  <c r="F1211" i="3"/>
  <c r="G1211" i="3" s="1"/>
  <c r="H1211" i="3" s="1"/>
  <c r="I1211" i="3" s="1"/>
  <c r="J1211" i="3" s="1"/>
  <c r="K1211" i="3" s="1"/>
  <c r="L1211" i="3" s="1"/>
  <c r="M1211" i="3" s="1"/>
  <c r="N1211" i="3" s="1"/>
  <c r="F1207" i="3"/>
  <c r="G1207" i="3" s="1"/>
  <c r="H1207" i="3" s="1"/>
  <c r="I1207" i="3" s="1"/>
  <c r="J1207" i="3" s="1"/>
  <c r="K1207" i="3" s="1"/>
  <c r="L1207" i="3" s="1"/>
  <c r="M1207" i="3" s="1"/>
  <c r="N1207" i="3" s="1"/>
  <c r="F1203" i="3"/>
  <c r="G1203" i="3" s="1"/>
  <c r="H1203" i="3" s="1"/>
  <c r="I1203" i="3" s="1"/>
  <c r="J1203" i="3" s="1"/>
  <c r="K1203" i="3" s="1"/>
  <c r="L1203" i="3" s="1"/>
  <c r="M1203" i="3" s="1"/>
  <c r="N1203" i="3" s="1"/>
  <c r="F1199" i="3"/>
  <c r="G1199" i="3" s="1"/>
  <c r="H1199" i="3" s="1"/>
  <c r="I1199" i="3" s="1"/>
  <c r="J1199" i="3" s="1"/>
  <c r="K1199" i="3" s="1"/>
  <c r="L1199" i="3" s="1"/>
  <c r="M1199" i="3" s="1"/>
  <c r="N1199" i="3" s="1"/>
  <c r="F1194" i="3"/>
  <c r="G1194" i="3" s="1"/>
  <c r="H1194" i="3" s="1"/>
  <c r="I1194" i="3" s="1"/>
  <c r="J1194" i="3" s="1"/>
  <c r="K1194" i="3" s="1"/>
  <c r="L1194" i="3" s="1"/>
  <c r="M1194" i="3" s="1"/>
  <c r="N1194" i="3" s="1"/>
  <c r="F1190" i="3"/>
  <c r="G1190" i="3" s="1"/>
  <c r="H1190" i="3" s="1"/>
  <c r="I1190" i="3" s="1"/>
  <c r="J1190" i="3" s="1"/>
  <c r="K1190" i="3" s="1"/>
  <c r="L1190" i="3" s="1"/>
  <c r="M1190" i="3" s="1"/>
  <c r="N1190" i="3" s="1"/>
  <c r="F1184" i="3"/>
  <c r="G1184" i="3" s="1"/>
  <c r="H1184" i="3" s="1"/>
  <c r="I1184" i="3" s="1"/>
  <c r="J1184" i="3" s="1"/>
  <c r="K1184" i="3" s="1"/>
  <c r="L1184" i="3" s="1"/>
  <c r="M1184" i="3" s="1"/>
  <c r="N1184" i="3" s="1"/>
  <c r="F1166" i="3"/>
  <c r="G1166" i="3" s="1"/>
  <c r="H1166" i="3" s="1"/>
  <c r="I1166" i="3" s="1"/>
  <c r="J1166" i="3" s="1"/>
  <c r="K1166" i="3" s="1"/>
  <c r="L1166" i="3" s="1"/>
  <c r="M1166" i="3" s="1"/>
  <c r="N1166" i="3" s="1"/>
  <c r="F1114" i="3"/>
  <c r="G1114" i="3" s="1"/>
  <c r="H1114" i="3" s="1"/>
  <c r="I1114" i="3" s="1"/>
  <c r="J1114" i="3" s="1"/>
  <c r="K1114" i="3" s="1"/>
  <c r="L1114" i="3" s="1"/>
  <c r="M1114" i="3" s="1"/>
  <c r="N1114" i="3" s="1"/>
  <c r="F1109" i="3"/>
  <c r="G1109" i="3" s="1"/>
  <c r="H1109" i="3" s="1"/>
  <c r="I1109" i="3" s="1"/>
  <c r="J1109" i="3" s="1"/>
  <c r="K1109" i="3" s="1"/>
  <c r="L1109" i="3" s="1"/>
  <c r="M1109" i="3" s="1"/>
  <c r="N1109" i="3" s="1"/>
  <c r="F1101" i="3"/>
  <c r="G1101" i="3" s="1"/>
  <c r="H1101" i="3" s="1"/>
  <c r="I1101" i="3" s="1"/>
  <c r="J1101" i="3" s="1"/>
  <c r="K1101" i="3" s="1"/>
  <c r="L1101" i="3" s="1"/>
  <c r="M1101" i="3" s="1"/>
  <c r="N1101" i="3" s="1"/>
  <c r="F1095" i="3"/>
  <c r="G1095" i="3" s="1"/>
  <c r="H1095" i="3" s="1"/>
  <c r="I1095" i="3" s="1"/>
  <c r="J1095" i="3" s="1"/>
  <c r="K1095" i="3" s="1"/>
  <c r="L1095" i="3" s="1"/>
  <c r="M1095" i="3" s="1"/>
  <c r="N1095" i="3" s="1"/>
  <c r="F1090" i="3"/>
  <c r="G1090" i="3" s="1"/>
  <c r="H1090" i="3" s="1"/>
  <c r="I1090" i="3" s="1"/>
  <c r="J1090" i="3" s="1"/>
  <c r="K1090" i="3" s="1"/>
  <c r="L1090" i="3" s="1"/>
  <c r="M1090" i="3" s="1"/>
  <c r="N1090" i="3" s="1"/>
  <c r="F1084" i="3"/>
  <c r="G1084" i="3" s="1"/>
  <c r="H1084" i="3" s="1"/>
  <c r="I1084" i="3" s="1"/>
  <c r="J1084" i="3" s="1"/>
  <c r="K1084" i="3" s="1"/>
  <c r="L1084" i="3" s="1"/>
  <c r="M1084" i="3" s="1"/>
  <c r="N1084" i="3" s="1"/>
  <c r="F1080" i="3"/>
  <c r="G1080" i="3" s="1"/>
  <c r="H1080" i="3" s="1"/>
  <c r="I1080" i="3" s="1"/>
  <c r="J1080" i="3" s="1"/>
  <c r="K1080" i="3" s="1"/>
  <c r="L1080" i="3" s="1"/>
  <c r="M1080" i="3" s="1"/>
  <c r="N1080" i="3" s="1"/>
  <c r="F1076" i="3"/>
  <c r="G1076" i="3" s="1"/>
  <c r="H1076" i="3" s="1"/>
  <c r="I1076" i="3" s="1"/>
  <c r="J1076" i="3" s="1"/>
  <c r="K1076" i="3" s="1"/>
  <c r="L1076" i="3" s="1"/>
  <c r="M1076" i="3" s="1"/>
  <c r="N1076" i="3" s="1"/>
  <c r="F1071" i="3"/>
  <c r="G1071" i="3" s="1"/>
  <c r="H1071" i="3" s="1"/>
  <c r="I1071" i="3" s="1"/>
  <c r="J1071" i="3" s="1"/>
  <c r="K1071" i="3" s="1"/>
  <c r="L1071" i="3" s="1"/>
  <c r="M1071" i="3" s="1"/>
  <c r="N1071" i="3" s="1"/>
  <c r="F1066" i="3"/>
  <c r="G1066" i="3" s="1"/>
  <c r="H1066" i="3" s="1"/>
  <c r="I1066" i="3" s="1"/>
  <c r="J1066" i="3" s="1"/>
  <c r="K1066" i="3" s="1"/>
  <c r="L1066" i="3" s="1"/>
  <c r="M1066" i="3" s="1"/>
  <c r="N1066" i="3" s="1"/>
  <c r="F1059" i="3"/>
  <c r="G1059" i="3" s="1"/>
  <c r="H1059" i="3" s="1"/>
  <c r="I1059" i="3" s="1"/>
  <c r="J1059" i="3" s="1"/>
  <c r="K1059" i="3" s="1"/>
  <c r="L1059" i="3" s="1"/>
  <c r="M1059" i="3" s="1"/>
  <c r="N1059" i="3" s="1"/>
  <c r="F1053" i="3"/>
  <c r="G1053" i="3" s="1"/>
  <c r="H1053" i="3" s="1"/>
  <c r="I1053" i="3" s="1"/>
  <c r="J1053" i="3" s="1"/>
  <c r="K1053" i="3" s="1"/>
  <c r="L1053" i="3" s="1"/>
  <c r="M1053" i="3" s="1"/>
  <c r="N1053" i="3" s="1"/>
  <c r="F1047" i="3"/>
  <c r="G1047" i="3" s="1"/>
  <c r="H1047" i="3" s="1"/>
  <c r="I1047" i="3" s="1"/>
  <c r="J1047" i="3" s="1"/>
  <c r="K1047" i="3" s="1"/>
  <c r="L1047" i="3" s="1"/>
  <c r="M1047" i="3" s="1"/>
  <c r="N1047" i="3" s="1"/>
  <c r="F1040" i="3"/>
  <c r="G1040" i="3" s="1"/>
  <c r="H1040" i="3" s="1"/>
  <c r="I1040" i="3" s="1"/>
  <c r="J1040" i="3" s="1"/>
  <c r="K1040" i="3" s="1"/>
  <c r="L1040" i="3" s="1"/>
  <c r="M1040" i="3" s="1"/>
  <c r="N1040" i="3" s="1"/>
  <c r="F1036" i="3"/>
  <c r="G1036" i="3" s="1"/>
  <c r="H1036" i="3" s="1"/>
  <c r="I1036" i="3" s="1"/>
  <c r="J1036" i="3" s="1"/>
  <c r="K1036" i="3" s="1"/>
  <c r="L1036" i="3" s="1"/>
  <c r="M1036" i="3" s="1"/>
  <c r="N1036" i="3" s="1"/>
  <c r="F1031" i="3"/>
  <c r="F1027" i="3"/>
  <c r="G1027" i="3" s="1"/>
  <c r="H1027" i="3" s="1"/>
  <c r="I1027" i="3" s="1"/>
  <c r="J1027" i="3" s="1"/>
  <c r="K1027" i="3" s="1"/>
  <c r="L1027" i="3" s="1"/>
  <c r="M1027" i="3" s="1"/>
  <c r="N1027" i="3" s="1"/>
  <c r="F1023" i="3"/>
  <c r="G1023" i="3" s="1"/>
  <c r="H1023" i="3" s="1"/>
  <c r="I1023" i="3" s="1"/>
  <c r="J1023" i="3" s="1"/>
  <c r="K1023" i="3" s="1"/>
  <c r="L1023" i="3" s="1"/>
  <c r="M1023" i="3" s="1"/>
  <c r="N1023" i="3" s="1"/>
  <c r="F1018" i="3"/>
  <c r="G1018" i="3" s="1"/>
  <c r="H1018" i="3" s="1"/>
  <c r="I1018" i="3" s="1"/>
  <c r="J1018" i="3" s="1"/>
  <c r="K1018" i="3" s="1"/>
  <c r="L1018" i="3" s="1"/>
  <c r="M1018" i="3" s="1"/>
  <c r="N1018" i="3" s="1"/>
  <c r="F998" i="3"/>
  <c r="G998" i="3" s="1"/>
  <c r="H998" i="3" s="1"/>
  <c r="I998" i="3" s="1"/>
  <c r="J998" i="3" s="1"/>
  <c r="K998" i="3" s="1"/>
  <c r="L998" i="3" s="1"/>
  <c r="M998" i="3" s="1"/>
  <c r="N998" i="3" s="1"/>
  <c r="F993" i="3"/>
  <c r="G993" i="3" s="1"/>
  <c r="H993" i="3" s="1"/>
  <c r="I993" i="3" s="1"/>
  <c r="J993" i="3" s="1"/>
  <c r="K993" i="3" s="1"/>
  <c r="L993" i="3" s="1"/>
  <c r="M993" i="3" s="1"/>
  <c r="N993" i="3" s="1"/>
  <c r="F989" i="3"/>
  <c r="G989" i="3" s="1"/>
  <c r="H989" i="3" s="1"/>
  <c r="I989" i="3" s="1"/>
  <c r="J989" i="3" s="1"/>
  <c r="K989" i="3" s="1"/>
  <c r="L989" i="3" s="1"/>
  <c r="M989" i="3" s="1"/>
  <c r="N989" i="3" s="1"/>
  <c r="F985" i="3"/>
  <c r="G985" i="3" s="1"/>
  <c r="H985" i="3" s="1"/>
  <c r="I985" i="3" s="1"/>
  <c r="J985" i="3" s="1"/>
  <c r="K985" i="3" s="1"/>
  <c r="L985" i="3" s="1"/>
  <c r="M985" i="3" s="1"/>
  <c r="N985" i="3" s="1"/>
  <c r="F980" i="3"/>
  <c r="G980" i="3" s="1"/>
  <c r="H980" i="3" s="1"/>
  <c r="I980" i="3" s="1"/>
  <c r="J980" i="3" s="1"/>
  <c r="K980" i="3" s="1"/>
  <c r="L980" i="3" s="1"/>
  <c r="M980" i="3" s="1"/>
  <c r="N980" i="3" s="1"/>
  <c r="F976" i="3"/>
  <c r="G976" i="3" s="1"/>
  <c r="H976" i="3" s="1"/>
  <c r="I976" i="3" s="1"/>
  <c r="J976" i="3" s="1"/>
  <c r="K976" i="3" s="1"/>
  <c r="L976" i="3" s="1"/>
  <c r="M976" i="3" s="1"/>
  <c r="N976" i="3" s="1"/>
  <c r="F972" i="3"/>
  <c r="G972" i="3" s="1"/>
  <c r="H972" i="3" s="1"/>
  <c r="I972" i="3" s="1"/>
  <c r="J972" i="3" s="1"/>
  <c r="K972" i="3" s="1"/>
  <c r="L972" i="3" s="1"/>
  <c r="M972" i="3" s="1"/>
  <c r="N972" i="3" s="1"/>
  <c r="F968" i="3"/>
  <c r="G968" i="3" s="1"/>
  <c r="H968" i="3" s="1"/>
  <c r="I968" i="3" s="1"/>
  <c r="J968" i="3" s="1"/>
  <c r="K968" i="3" s="1"/>
  <c r="L968" i="3" s="1"/>
  <c r="M968" i="3" s="1"/>
  <c r="N968" i="3" s="1"/>
  <c r="F963" i="3"/>
  <c r="G963" i="3" s="1"/>
  <c r="H963" i="3" s="1"/>
  <c r="I963" i="3" s="1"/>
  <c r="J963" i="3" s="1"/>
  <c r="K963" i="3" s="1"/>
  <c r="L963" i="3" s="1"/>
  <c r="M963" i="3" s="1"/>
  <c r="N963" i="3" s="1"/>
  <c r="F959" i="3"/>
  <c r="G959" i="3" s="1"/>
  <c r="H959" i="3" s="1"/>
  <c r="I959" i="3" s="1"/>
  <c r="J959" i="3" s="1"/>
  <c r="K959" i="3" s="1"/>
  <c r="L959" i="3" s="1"/>
  <c r="M959" i="3" s="1"/>
  <c r="N959" i="3" s="1"/>
  <c r="F955" i="3"/>
  <c r="G955" i="3" s="1"/>
  <c r="H955" i="3" s="1"/>
  <c r="I955" i="3" s="1"/>
  <c r="J955" i="3" s="1"/>
  <c r="K955" i="3" s="1"/>
  <c r="L955" i="3" s="1"/>
  <c r="M955" i="3" s="1"/>
  <c r="N955" i="3" s="1"/>
  <c r="F909" i="3"/>
  <c r="F899" i="3"/>
  <c r="G899" i="3" s="1"/>
  <c r="H899" i="3" s="1"/>
  <c r="I899" i="3" s="1"/>
  <c r="J899" i="3" s="1"/>
  <c r="K899" i="3" s="1"/>
  <c r="L899" i="3" s="1"/>
  <c r="M899" i="3" s="1"/>
  <c r="N899" i="3" s="1"/>
  <c r="F895" i="3"/>
  <c r="G895" i="3" s="1"/>
  <c r="H895" i="3" s="1"/>
  <c r="I895" i="3" s="1"/>
  <c r="J895" i="3" s="1"/>
  <c r="K895" i="3" s="1"/>
  <c r="L895" i="3" s="1"/>
  <c r="M895" i="3" s="1"/>
  <c r="N895" i="3" s="1"/>
  <c r="F891" i="3"/>
  <c r="G891" i="3" s="1"/>
  <c r="H891" i="3" s="1"/>
  <c r="I891" i="3" s="1"/>
  <c r="J891" i="3" s="1"/>
  <c r="K891" i="3" s="1"/>
  <c r="L891" i="3" s="1"/>
  <c r="M891" i="3" s="1"/>
  <c r="N891" i="3" s="1"/>
  <c r="F887" i="3"/>
  <c r="G887" i="3" s="1"/>
  <c r="H887" i="3" s="1"/>
  <c r="I887" i="3" s="1"/>
  <c r="J887" i="3" s="1"/>
  <c r="K887" i="3" s="1"/>
  <c r="L887" i="3" s="1"/>
  <c r="M887" i="3" s="1"/>
  <c r="N887" i="3" s="1"/>
  <c r="F882" i="3"/>
  <c r="G882" i="3" s="1"/>
  <c r="H882" i="3" s="1"/>
  <c r="I882" i="3" s="1"/>
  <c r="J882" i="3" s="1"/>
  <c r="K882" i="3" s="1"/>
  <c r="L882" i="3" s="1"/>
  <c r="M882" i="3" s="1"/>
  <c r="N882" i="3" s="1"/>
  <c r="F878" i="3"/>
  <c r="G878" i="3" s="1"/>
  <c r="H878" i="3" s="1"/>
  <c r="I878" i="3" s="1"/>
  <c r="J878" i="3" s="1"/>
  <c r="K878" i="3" s="1"/>
  <c r="L878" i="3" s="1"/>
  <c r="M878" i="3" s="1"/>
  <c r="N878" i="3" s="1"/>
  <c r="F873" i="3"/>
  <c r="G873" i="3" s="1"/>
  <c r="H873" i="3" s="1"/>
  <c r="I873" i="3" s="1"/>
  <c r="J873" i="3" s="1"/>
  <c r="K873" i="3" s="1"/>
  <c r="L873" i="3" s="1"/>
  <c r="M873" i="3" s="1"/>
  <c r="N873" i="3" s="1"/>
  <c r="F867" i="3"/>
  <c r="F861" i="3"/>
  <c r="G861" i="3" s="1"/>
  <c r="H861" i="3" s="1"/>
  <c r="I861" i="3" s="1"/>
  <c r="J861" i="3" s="1"/>
  <c r="K861" i="3" s="1"/>
  <c r="L861" i="3" s="1"/>
  <c r="M861" i="3" s="1"/>
  <c r="N861" i="3" s="1"/>
  <c r="F857" i="3"/>
  <c r="G857" i="3" s="1"/>
  <c r="H857" i="3" s="1"/>
  <c r="I857" i="3" s="1"/>
  <c r="J857" i="3" s="1"/>
  <c r="K857" i="3" s="1"/>
  <c r="L857" i="3" s="1"/>
  <c r="M857" i="3" s="1"/>
  <c r="N857" i="3" s="1"/>
  <c r="F853" i="3"/>
  <c r="F848" i="3"/>
  <c r="G848" i="3" s="1"/>
  <c r="H848" i="3" s="1"/>
  <c r="I848" i="3" s="1"/>
  <c r="J848" i="3" s="1"/>
  <c r="K848" i="3" s="1"/>
  <c r="L848" i="3" s="1"/>
  <c r="M848" i="3" s="1"/>
  <c r="N848" i="3" s="1"/>
  <c r="F844" i="3"/>
  <c r="G844" i="3" s="1"/>
  <c r="H844" i="3" s="1"/>
  <c r="I844" i="3" s="1"/>
  <c r="J844" i="3" s="1"/>
  <c r="K844" i="3" s="1"/>
  <c r="L844" i="3" s="1"/>
  <c r="M844" i="3" s="1"/>
  <c r="N844" i="3" s="1"/>
  <c r="F838" i="3"/>
  <c r="G838" i="3" s="1"/>
  <c r="H838" i="3" s="1"/>
  <c r="I838" i="3" s="1"/>
  <c r="J838" i="3" s="1"/>
  <c r="K838" i="3" s="1"/>
  <c r="L838" i="3" s="1"/>
  <c r="M838" i="3" s="1"/>
  <c r="N838" i="3" s="1"/>
  <c r="F832" i="3"/>
  <c r="G832" i="3" s="1"/>
  <c r="H832" i="3" s="1"/>
  <c r="I832" i="3" s="1"/>
  <c r="J832" i="3" s="1"/>
  <c r="K832" i="3" s="1"/>
  <c r="L832" i="3" s="1"/>
  <c r="M832" i="3" s="1"/>
  <c r="N832" i="3" s="1"/>
  <c r="F828" i="3"/>
  <c r="G828" i="3" s="1"/>
  <c r="H828" i="3" s="1"/>
  <c r="I828" i="3" s="1"/>
  <c r="J828" i="3" s="1"/>
  <c r="K828" i="3" s="1"/>
  <c r="L828" i="3" s="1"/>
  <c r="M828" i="3" s="1"/>
  <c r="N828" i="3" s="1"/>
  <c r="F822" i="3"/>
  <c r="G822" i="3" s="1"/>
  <c r="H822" i="3" s="1"/>
  <c r="I822" i="3" s="1"/>
  <c r="J822" i="3" s="1"/>
  <c r="K822" i="3" s="1"/>
  <c r="L822" i="3" s="1"/>
  <c r="M822" i="3" s="1"/>
  <c r="N822" i="3" s="1"/>
  <c r="F818" i="3"/>
  <c r="G818" i="3" s="1"/>
  <c r="H818" i="3" s="1"/>
  <c r="I818" i="3" s="1"/>
  <c r="J818" i="3" s="1"/>
  <c r="K818" i="3" s="1"/>
  <c r="L818" i="3" s="1"/>
  <c r="M818" i="3" s="1"/>
  <c r="N818" i="3" s="1"/>
  <c r="F814" i="3"/>
  <c r="G814" i="3" s="1"/>
  <c r="H814" i="3" s="1"/>
  <c r="I814" i="3" s="1"/>
  <c r="J814" i="3" s="1"/>
  <c r="K814" i="3" s="1"/>
  <c r="L814" i="3" s="1"/>
  <c r="M814" i="3" s="1"/>
  <c r="N814" i="3" s="1"/>
  <c r="F787" i="3"/>
  <c r="G787" i="3" s="1"/>
  <c r="H787" i="3" s="1"/>
  <c r="I787" i="3" s="1"/>
  <c r="J787" i="3" s="1"/>
  <c r="K787" i="3" s="1"/>
  <c r="L787" i="3" s="1"/>
  <c r="M787" i="3" s="1"/>
  <c r="N787" i="3" s="1"/>
  <c r="F783" i="3"/>
  <c r="G783" i="3" s="1"/>
  <c r="H783" i="3" s="1"/>
  <c r="I783" i="3" s="1"/>
  <c r="J783" i="3" s="1"/>
  <c r="K783" i="3" s="1"/>
  <c r="L783" i="3" s="1"/>
  <c r="M783" i="3" s="1"/>
  <c r="N783" i="3" s="1"/>
  <c r="F778" i="3"/>
  <c r="G778" i="3" s="1"/>
  <c r="H778" i="3" s="1"/>
  <c r="I778" i="3" s="1"/>
  <c r="J778" i="3" s="1"/>
  <c r="K778" i="3" s="1"/>
  <c r="L778" i="3" s="1"/>
  <c r="M778" i="3" s="1"/>
  <c r="N778" i="3" s="1"/>
  <c r="F773" i="3"/>
  <c r="G773" i="3" s="1"/>
  <c r="H773" i="3" s="1"/>
  <c r="I773" i="3" s="1"/>
  <c r="J773" i="3" s="1"/>
  <c r="K773" i="3" s="1"/>
  <c r="L773" i="3" s="1"/>
  <c r="M773" i="3" s="1"/>
  <c r="N773" i="3" s="1"/>
  <c r="F769" i="3"/>
  <c r="G769" i="3" s="1"/>
  <c r="H769" i="3" s="1"/>
  <c r="I769" i="3" s="1"/>
  <c r="J769" i="3" s="1"/>
  <c r="K769" i="3" s="1"/>
  <c r="L769" i="3" s="1"/>
  <c r="M769" i="3" s="1"/>
  <c r="N769" i="3" s="1"/>
  <c r="F765" i="3"/>
  <c r="G765" i="3" s="1"/>
  <c r="H765" i="3" s="1"/>
  <c r="I765" i="3" s="1"/>
  <c r="J765" i="3" s="1"/>
  <c r="K765" i="3" s="1"/>
  <c r="L765" i="3" s="1"/>
  <c r="M765" i="3" s="1"/>
  <c r="N765" i="3" s="1"/>
  <c r="F760" i="3"/>
  <c r="F735" i="3"/>
  <c r="G735" i="3" s="1"/>
  <c r="H735" i="3" s="1"/>
  <c r="I735" i="3" s="1"/>
  <c r="J735" i="3" s="1"/>
  <c r="K735" i="3" s="1"/>
  <c r="L735" i="3" s="1"/>
  <c r="M735" i="3" s="1"/>
  <c r="N735" i="3" s="1"/>
  <c r="F729" i="3"/>
  <c r="G729" i="3" s="1"/>
  <c r="H729" i="3" s="1"/>
  <c r="I729" i="3" s="1"/>
  <c r="J729" i="3" s="1"/>
  <c r="K729" i="3" s="1"/>
  <c r="L729" i="3" s="1"/>
  <c r="M729" i="3" s="1"/>
  <c r="N729" i="3" s="1"/>
  <c r="F725" i="3"/>
  <c r="G725" i="3" s="1"/>
  <c r="H725" i="3" s="1"/>
  <c r="I725" i="3" s="1"/>
  <c r="J725" i="3" s="1"/>
  <c r="K725" i="3" s="1"/>
  <c r="L725" i="3" s="1"/>
  <c r="M725" i="3" s="1"/>
  <c r="N725" i="3" s="1"/>
  <c r="F721" i="3"/>
  <c r="G721" i="3" s="1"/>
  <c r="H721" i="3" s="1"/>
  <c r="I721" i="3" s="1"/>
  <c r="J721" i="3" s="1"/>
  <c r="K721" i="3" s="1"/>
  <c r="L721" i="3" s="1"/>
  <c r="M721" i="3" s="1"/>
  <c r="N721" i="3" s="1"/>
  <c r="F716" i="3"/>
  <c r="G716" i="3" s="1"/>
  <c r="H716" i="3" s="1"/>
  <c r="I716" i="3" s="1"/>
  <c r="J716" i="3" s="1"/>
  <c r="K716" i="3" s="1"/>
  <c r="L716" i="3" s="1"/>
  <c r="M716" i="3" s="1"/>
  <c r="N716" i="3" s="1"/>
  <c r="F709" i="3"/>
  <c r="G709" i="3" s="1"/>
  <c r="H709" i="3" s="1"/>
  <c r="I709" i="3" s="1"/>
  <c r="J709" i="3" s="1"/>
  <c r="K709" i="3" s="1"/>
  <c r="L709" i="3" s="1"/>
  <c r="M709" i="3" s="1"/>
  <c r="N709" i="3" s="1"/>
  <c r="F697" i="3"/>
  <c r="G697" i="3" s="1"/>
  <c r="H697" i="3" s="1"/>
  <c r="I697" i="3" s="1"/>
  <c r="J697" i="3" s="1"/>
  <c r="K697" i="3" s="1"/>
  <c r="L697" i="3" s="1"/>
  <c r="M697" i="3" s="1"/>
  <c r="N697" i="3" s="1"/>
  <c r="F1344" i="3"/>
  <c r="G1344" i="3" s="1"/>
  <c r="H1344" i="3" s="1"/>
  <c r="I1344" i="3" s="1"/>
  <c r="J1344" i="3" s="1"/>
  <c r="K1344" i="3" s="1"/>
  <c r="L1344" i="3" s="1"/>
  <c r="M1344" i="3" s="1"/>
  <c r="N1344" i="3" s="1"/>
  <c r="F1305" i="3"/>
  <c r="G1305" i="3" s="1"/>
  <c r="H1305" i="3" s="1"/>
  <c r="I1305" i="3" s="1"/>
  <c r="J1305" i="3" s="1"/>
  <c r="K1305" i="3" s="1"/>
  <c r="L1305" i="3" s="1"/>
  <c r="M1305" i="3" s="1"/>
  <c r="N1305" i="3" s="1"/>
  <c r="F1300" i="3"/>
  <c r="G1300" i="3" s="1"/>
  <c r="H1300" i="3" s="1"/>
  <c r="I1300" i="3" s="1"/>
  <c r="J1300" i="3" s="1"/>
  <c r="K1300" i="3" s="1"/>
  <c r="L1300" i="3" s="1"/>
  <c r="M1300" i="3" s="1"/>
  <c r="N1300" i="3" s="1"/>
  <c r="F1293" i="3"/>
  <c r="G1293" i="3" s="1"/>
  <c r="H1293" i="3" s="1"/>
  <c r="I1293" i="3" s="1"/>
  <c r="J1293" i="3" s="1"/>
  <c r="K1293" i="3" s="1"/>
  <c r="L1293" i="3" s="1"/>
  <c r="M1293" i="3" s="1"/>
  <c r="N1293" i="3" s="1"/>
  <c r="F1289" i="3"/>
  <c r="G1289" i="3" s="1"/>
  <c r="H1289" i="3" s="1"/>
  <c r="I1289" i="3" s="1"/>
  <c r="J1289" i="3" s="1"/>
  <c r="K1289" i="3" s="1"/>
  <c r="L1289" i="3" s="1"/>
  <c r="M1289" i="3" s="1"/>
  <c r="N1289" i="3" s="1"/>
  <c r="F1285" i="3"/>
  <c r="G1285" i="3" s="1"/>
  <c r="H1285" i="3" s="1"/>
  <c r="I1285" i="3" s="1"/>
  <c r="J1285" i="3" s="1"/>
  <c r="K1285" i="3" s="1"/>
  <c r="L1285" i="3" s="1"/>
  <c r="M1285" i="3" s="1"/>
  <c r="N1285" i="3" s="1"/>
  <c r="F1280" i="3"/>
  <c r="G1280" i="3" s="1"/>
  <c r="H1280" i="3" s="1"/>
  <c r="I1280" i="3" s="1"/>
  <c r="J1280" i="3" s="1"/>
  <c r="K1280" i="3" s="1"/>
  <c r="L1280" i="3" s="1"/>
  <c r="M1280" i="3" s="1"/>
  <c r="N1280" i="3" s="1"/>
  <c r="F1239" i="3"/>
  <c r="G1239" i="3" s="1"/>
  <c r="H1239" i="3" s="1"/>
  <c r="I1239" i="3" s="1"/>
  <c r="J1239" i="3" s="1"/>
  <c r="K1239" i="3" s="1"/>
  <c r="L1239" i="3" s="1"/>
  <c r="M1239" i="3" s="1"/>
  <c r="N1239" i="3" s="1"/>
  <c r="F1232" i="3"/>
  <c r="G1232" i="3" s="1"/>
  <c r="H1232" i="3" s="1"/>
  <c r="I1232" i="3" s="1"/>
  <c r="J1232" i="3" s="1"/>
  <c r="K1232" i="3" s="1"/>
  <c r="L1232" i="3" s="1"/>
  <c r="M1232" i="3" s="1"/>
  <c r="N1232" i="3" s="1"/>
  <c r="F1227" i="3"/>
  <c r="G1227" i="3" s="1"/>
  <c r="H1227" i="3" s="1"/>
  <c r="I1227" i="3" s="1"/>
  <c r="J1227" i="3" s="1"/>
  <c r="K1227" i="3" s="1"/>
  <c r="L1227" i="3" s="1"/>
  <c r="M1227" i="3" s="1"/>
  <c r="N1227" i="3" s="1"/>
  <c r="F1223" i="3"/>
  <c r="G1223" i="3" s="1"/>
  <c r="H1223" i="3" s="1"/>
  <c r="I1223" i="3" s="1"/>
  <c r="J1223" i="3" s="1"/>
  <c r="K1223" i="3" s="1"/>
  <c r="L1223" i="3" s="1"/>
  <c r="M1223" i="3" s="1"/>
  <c r="N1223" i="3" s="1"/>
  <c r="F1219" i="3"/>
  <c r="G1219" i="3" s="1"/>
  <c r="H1219" i="3" s="1"/>
  <c r="I1219" i="3" s="1"/>
  <c r="J1219" i="3" s="1"/>
  <c r="K1219" i="3" s="1"/>
  <c r="L1219" i="3" s="1"/>
  <c r="M1219" i="3" s="1"/>
  <c r="N1219" i="3" s="1"/>
  <c r="F1214" i="3"/>
  <c r="G1214" i="3" s="1"/>
  <c r="H1214" i="3" s="1"/>
  <c r="I1214" i="3" s="1"/>
  <c r="J1214" i="3" s="1"/>
  <c r="K1214" i="3" s="1"/>
  <c r="L1214" i="3" s="1"/>
  <c r="M1214" i="3" s="1"/>
  <c r="N1214" i="3" s="1"/>
  <c r="F1210" i="3"/>
  <c r="G1210" i="3" s="1"/>
  <c r="H1210" i="3" s="1"/>
  <c r="I1210" i="3" s="1"/>
  <c r="J1210" i="3" s="1"/>
  <c r="K1210" i="3" s="1"/>
  <c r="L1210" i="3" s="1"/>
  <c r="M1210" i="3" s="1"/>
  <c r="N1210" i="3" s="1"/>
  <c r="F1206" i="3"/>
  <c r="G1206" i="3" s="1"/>
  <c r="H1206" i="3" s="1"/>
  <c r="I1206" i="3" s="1"/>
  <c r="J1206" i="3" s="1"/>
  <c r="K1206" i="3" s="1"/>
  <c r="L1206" i="3" s="1"/>
  <c r="M1206" i="3" s="1"/>
  <c r="N1206" i="3" s="1"/>
  <c r="F1202" i="3"/>
  <c r="G1202" i="3" s="1"/>
  <c r="H1202" i="3" s="1"/>
  <c r="I1202" i="3" s="1"/>
  <c r="J1202" i="3" s="1"/>
  <c r="K1202" i="3" s="1"/>
  <c r="L1202" i="3" s="1"/>
  <c r="M1202" i="3" s="1"/>
  <c r="N1202" i="3" s="1"/>
  <c r="F1198" i="3"/>
  <c r="G1198" i="3" s="1"/>
  <c r="H1198" i="3" s="1"/>
  <c r="I1198" i="3" s="1"/>
  <c r="J1198" i="3" s="1"/>
  <c r="K1198" i="3" s="1"/>
  <c r="L1198" i="3" s="1"/>
  <c r="M1198" i="3" s="1"/>
  <c r="N1198" i="3" s="1"/>
  <c r="F1193" i="3"/>
  <c r="G1193" i="3" s="1"/>
  <c r="H1193" i="3" s="1"/>
  <c r="I1193" i="3" s="1"/>
  <c r="J1193" i="3" s="1"/>
  <c r="K1193" i="3" s="1"/>
  <c r="L1193" i="3" s="1"/>
  <c r="M1193" i="3" s="1"/>
  <c r="N1193" i="3" s="1"/>
  <c r="F1189" i="3"/>
  <c r="G1189" i="3" s="1"/>
  <c r="H1189" i="3" s="1"/>
  <c r="I1189" i="3" s="1"/>
  <c r="J1189" i="3" s="1"/>
  <c r="K1189" i="3" s="1"/>
  <c r="L1189" i="3" s="1"/>
  <c r="M1189" i="3" s="1"/>
  <c r="N1189" i="3" s="1"/>
  <c r="F1183" i="3"/>
  <c r="F1165" i="3"/>
  <c r="F1112" i="3"/>
  <c r="G1112" i="3" s="1"/>
  <c r="H1112" i="3" s="1"/>
  <c r="I1112" i="3" s="1"/>
  <c r="J1112" i="3" s="1"/>
  <c r="K1112" i="3" s="1"/>
  <c r="L1112" i="3" s="1"/>
  <c r="M1112" i="3" s="1"/>
  <c r="N1112" i="3" s="1"/>
  <c r="F1108" i="3"/>
  <c r="G1108" i="3" s="1"/>
  <c r="H1108" i="3" s="1"/>
  <c r="I1108" i="3" s="1"/>
  <c r="J1108" i="3" s="1"/>
  <c r="K1108" i="3" s="1"/>
  <c r="L1108" i="3" s="1"/>
  <c r="M1108" i="3" s="1"/>
  <c r="N1108" i="3" s="1"/>
  <c r="F1100" i="3"/>
  <c r="G1100" i="3" s="1"/>
  <c r="H1100" i="3" s="1"/>
  <c r="I1100" i="3" s="1"/>
  <c r="J1100" i="3" s="1"/>
  <c r="K1100" i="3" s="1"/>
  <c r="L1100" i="3" s="1"/>
  <c r="M1100" i="3" s="1"/>
  <c r="N1100" i="3" s="1"/>
  <c r="F1094" i="3"/>
  <c r="G1094" i="3" s="1"/>
  <c r="H1094" i="3" s="1"/>
  <c r="I1094" i="3" s="1"/>
  <c r="J1094" i="3" s="1"/>
  <c r="K1094" i="3" s="1"/>
  <c r="L1094" i="3" s="1"/>
  <c r="M1094" i="3" s="1"/>
  <c r="N1094" i="3" s="1"/>
  <c r="F1089" i="3"/>
  <c r="G1089" i="3" s="1"/>
  <c r="H1089" i="3" s="1"/>
  <c r="I1089" i="3" s="1"/>
  <c r="J1089" i="3" s="1"/>
  <c r="K1089" i="3" s="1"/>
  <c r="L1089" i="3" s="1"/>
  <c r="M1089" i="3" s="1"/>
  <c r="N1089" i="3" s="1"/>
  <c r="F1083" i="3"/>
  <c r="G1083" i="3" s="1"/>
  <c r="H1083" i="3" s="1"/>
  <c r="I1083" i="3" s="1"/>
  <c r="J1083" i="3" s="1"/>
  <c r="K1083" i="3" s="1"/>
  <c r="L1083" i="3" s="1"/>
  <c r="M1083" i="3" s="1"/>
  <c r="N1083" i="3" s="1"/>
  <c r="F1079" i="3"/>
  <c r="G1079" i="3" s="1"/>
  <c r="H1079" i="3" s="1"/>
  <c r="I1079" i="3" s="1"/>
  <c r="J1079" i="3" s="1"/>
  <c r="K1079" i="3" s="1"/>
  <c r="L1079" i="3" s="1"/>
  <c r="M1079" i="3" s="1"/>
  <c r="N1079" i="3" s="1"/>
  <c r="F1075" i="3"/>
  <c r="G1075" i="3" s="1"/>
  <c r="H1075" i="3" s="1"/>
  <c r="I1075" i="3" s="1"/>
  <c r="J1075" i="3" s="1"/>
  <c r="K1075" i="3" s="1"/>
  <c r="L1075" i="3" s="1"/>
  <c r="M1075" i="3" s="1"/>
  <c r="N1075" i="3" s="1"/>
  <c r="F1069" i="3"/>
  <c r="G1069" i="3" s="1"/>
  <c r="H1069" i="3" s="1"/>
  <c r="I1069" i="3" s="1"/>
  <c r="J1069" i="3" s="1"/>
  <c r="K1069" i="3" s="1"/>
  <c r="L1069" i="3" s="1"/>
  <c r="M1069" i="3" s="1"/>
  <c r="N1069" i="3" s="1"/>
  <c r="F1064" i="3"/>
  <c r="G1064" i="3" s="1"/>
  <c r="H1064" i="3" s="1"/>
  <c r="I1064" i="3" s="1"/>
  <c r="J1064" i="3" s="1"/>
  <c r="K1064" i="3" s="1"/>
  <c r="L1064" i="3" s="1"/>
  <c r="M1064" i="3" s="1"/>
  <c r="N1064" i="3" s="1"/>
  <c r="F1058" i="3"/>
  <c r="G1058" i="3" s="1"/>
  <c r="H1058" i="3" s="1"/>
  <c r="I1058" i="3" s="1"/>
  <c r="J1058" i="3" s="1"/>
  <c r="K1058" i="3" s="1"/>
  <c r="L1058" i="3" s="1"/>
  <c r="M1058" i="3" s="1"/>
  <c r="N1058" i="3" s="1"/>
  <c r="F1052" i="3"/>
  <c r="G1052" i="3" s="1"/>
  <c r="H1052" i="3" s="1"/>
  <c r="I1052" i="3" s="1"/>
  <c r="J1052" i="3" s="1"/>
  <c r="K1052" i="3" s="1"/>
  <c r="L1052" i="3" s="1"/>
  <c r="M1052" i="3" s="1"/>
  <c r="N1052" i="3" s="1"/>
  <c r="F1045" i="3"/>
  <c r="G1045" i="3" s="1"/>
  <c r="H1045" i="3" s="1"/>
  <c r="I1045" i="3" s="1"/>
  <c r="J1045" i="3" s="1"/>
  <c r="K1045" i="3" s="1"/>
  <c r="L1045" i="3" s="1"/>
  <c r="M1045" i="3" s="1"/>
  <c r="N1045" i="3" s="1"/>
  <c r="F1039" i="3"/>
  <c r="G1039" i="3" s="1"/>
  <c r="H1039" i="3" s="1"/>
  <c r="I1039" i="3" s="1"/>
  <c r="J1039" i="3" s="1"/>
  <c r="K1039" i="3" s="1"/>
  <c r="L1039" i="3" s="1"/>
  <c r="M1039" i="3" s="1"/>
  <c r="N1039" i="3" s="1"/>
  <c r="F1034" i="3"/>
  <c r="G1034" i="3" s="1"/>
  <c r="H1034" i="3" s="1"/>
  <c r="I1034" i="3" s="1"/>
  <c r="J1034" i="3" s="1"/>
  <c r="K1034" i="3" s="1"/>
  <c r="L1034" i="3" s="1"/>
  <c r="M1034" i="3" s="1"/>
  <c r="N1034" i="3" s="1"/>
  <c r="F1030" i="3"/>
  <c r="G1030" i="3" s="1"/>
  <c r="H1030" i="3" s="1"/>
  <c r="I1030" i="3" s="1"/>
  <c r="J1030" i="3" s="1"/>
  <c r="K1030" i="3" s="1"/>
  <c r="L1030" i="3" s="1"/>
  <c r="M1030" i="3" s="1"/>
  <c r="N1030" i="3" s="1"/>
  <c r="F1026" i="3"/>
  <c r="G1026" i="3" s="1"/>
  <c r="H1026" i="3" s="1"/>
  <c r="I1026" i="3" s="1"/>
  <c r="J1026" i="3" s="1"/>
  <c r="K1026" i="3" s="1"/>
  <c r="L1026" i="3" s="1"/>
  <c r="M1026" i="3" s="1"/>
  <c r="N1026" i="3" s="1"/>
  <c r="F1022" i="3"/>
  <c r="G1022" i="3" s="1"/>
  <c r="H1022" i="3" s="1"/>
  <c r="I1022" i="3" s="1"/>
  <c r="J1022" i="3" s="1"/>
  <c r="K1022" i="3" s="1"/>
  <c r="L1022" i="3" s="1"/>
  <c r="M1022" i="3" s="1"/>
  <c r="N1022" i="3" s="1"/>
  <c r="F1016" i="3"/>
  <c r="G1016" i="3" s="1"/>
  <c r="H1016" i="3" s="1"/>
  <c r="I1016" i="3" s="1"/>
  <c r="J1016" i="3" s="1"/>
  <c r="K1016" i="3" s="1"/>
  <c r="L1016" i="3" s="1"/>
  <c r="M1016" i="3" s="1"/>
  <c r="N1016" i="3" s="1"/>
  <c r="F997" i="3"/>
  <c r="G997" i="3" s="1"/>
  <c r="H997" i="3" s="1"/>
  <c r="I997" i="3" s="1"/>
  <c r="J997" i="3" s="1"/>
  <c r="K997" i="3" s="1"/>
  <c r="L997" i="3" s="1"/>
  <c r="M997" i="3" s="1"/>
  <c r="N997" i="3" s="1"/>
  <c r="F992" i="3"/>
  <c r="G992" i="3" s="1"/>
  <c r="H992" i="3" s="1"/>
  <c r="I992" i="3" s="1"/>
  <c r="J992" i="3" s="1"/>
  <c r="K992" i="3" s="1"/>
  <c r="L992" i="3" s="1"/>
  <c r="M992" i="3" s="1"/>
  <c r="N992" i="3" s="1"/>
  <c r="F988" i="3"/>
  <c r="G988" i="3" s="1"/>
  <c r="H988" i="3" s="1"/>
  <c r="I988" i="3" s="1"/>
  <c r="J988" i="3" s="1"/>
  <c r="K988" i="3" s="1"/>
  <c r="L988" i="3" s="1"/>
  <c r="M988" i="3" s="1"/>
  <c r="N988" i="3" s="1"/>
  <c r="F983" i="3"/>
  <c r="G983" i="3" s="1"/>
  <c r="H983" i="3" s="1"/>
  <c r="I983" i="3" s="1"/>
  <c r="J983" i="3" s="1"/>
  <c r="K983" i="3" s="1"/>
  <c r="L983" i="3" s="1"/>
  <c r="M983" i="3" s="1"/>
  <c r="N983" i="3" s="1"/>
  <c r="F979" i="3"/>
  <c r="G979" i="3" s="1"/>
  <c r="H979" i="3" s="1"/>
  <c r="I979" i="3" s="1"/>
  <c r="J979" i="3" s="1"/>
  <c r="K979" i="3" s="1"/>
  <c r="L979" i="3" s="1"/>
  <c r="M979" i="3" s="1"/>
  <c r="N979" i="3" s="1"/>
  <c r="F975" i="3"/>
  <c r="G975" i="3" s="1"/>
  <c r="H975" i="3" s="1"/>
  <c r="I975" i="3" s="1"/>
  <c r="J975" i="3" s="1"/>
  <c r="K975" i="3" s="1"/>
  <c r="L975" i="3" s="1"/>
  <c r="M975" i="3" s="1"/>
  <c r="N975" i="3" s="1"/>
  <c r="F971" i="3"/>
  <c r="G971" i="3" s="1"/>
  <c r="H971" i="3" s="1"/>
  <c r="I971" i="3" s="1"/>
  <c r="J971" i="3" s="1"/>
  <c r="K971" i="3" s="1"/>
  <c r="L971" i="3" s="1"/>
  <c r="M971" i="3" s="1"/>
  <c r="N971" i="3" s="1"/>
  <c r="F966" i="3"/>
  <c r="G966" i="3" s="1"/>
  <c r="H966" i="3" s="1"/>
  <c r="I966" i="3" s="1"/>
  <c r="J966" i="3" s="1"/>
  <c r="K966" i="3" s="1"/>
  <c r="L966" i="3" s="1"/>
  <c r="M966" i="3" s="1"/>
  <c r="N966" i="3" s="1"/>
  <c r="F962" i="3"/>
  <c r="G962" i="3" s="1"/>
  <c r="H962" i="3" s="1"/>
  <c r="I962" i="3" s="1"/>
  <c r="J962" i="3" s="1"/>
  <c r="K962" i="3" s="1"/>
  <c r="L962" i="3" s="1"/>
  <c r="M962" i="3" s="1"/>
  <c r="N962" i="3" s="1"/>
  <c r="F958" i="3"/>
  <c r="G958" i="3" s="1"/>
  <c r="H958" i="3" s="1"/>
  <c r="I958" i="3" s="1"/>
  <c r="J958" i="3" s="1"/>
  <c r="K958" i="3" s="1"/>
  <c r="L958" i="3" s="1"/>
  <c r="M958" i="3" s="1"/>
  <c r="N958" i="3" s="1"/>
  <c r="F954" i="3"/>
  <c r="G954" i="3" s="1"/>
  <c r="H954" i="3" s="1"/>
  <c r="I954" i="3" s="1"/>
  <c r="J954" i="3" s="1"/>
  <c r="K954" i="3" s="1"/>
  <c r="L954" i="3" s="1"/>
  <c r="M954" i="3" s="1"/>
  <c r="N954" i="3" s="1"/>
  <c r="F907" i="3"/>
  <c r="G907" i="3" s="1"/>
  <c r="H907" i="3" s="1"/>
  <c r="I907" i="3" s="1"/>
  <c r="J907" i="3" s="1"/>
  <c r="K907" i="3" s="1"/>
  <c r="L907" i="3" s="1"/>
  <c r="M907" i="3" s="1"/>
  <c r="N907" i="3" s="1"/>
  <c r="F898" i="3"/>
  <c r="G898" i="3" s="1"/>
  <c r="H898" i="3" s="1"/>
  <c r="I898" i="3" s="1"/>
  <c r="J898" i="3" s="1"/>
  <c r="K898" i="3" s="1"/>
  <c r="L898" i="3" s="1"/>
  <c r="M898" i="3" s="1"/>
  <c r="N898" i="3" s="1"/>
  <c r="F894" i="3"/>
  <c r="G894" i="3" s="1"/>
  <c r="H894" i="3" s="1"/>
  <c r="I894" i="3" s="1"/>
  <c r="J894" i="3" s="1"/>
  <c r="K894" i="3" s="1"/>
  <c r="L894" i="3" s="1"/>
  <c r="M894" i="3" s="1"/>
  <c r="N894" i="3" s="1"/>
  <c r="F890" i="3"/>
  <c r="G890" i="3" s="1"/>
  <c r="H890" i="3" s="1"/>
  <c r="I890" i="3" s="1"/>
  <c r="J890" i="3" s="1"/>
  <c r="K890" i="3" s="1"/>
  <c r="L890" i="3" s="1"/>
  <c r="M890" i="3" s="1"/>
  <c r="N890" i="3" s="1"/>
  <c r="F886" i="3"/>
  <c r="G886" i="3" s="1"/>
  <c r="H886" i="3" s="1"/>
  <c r="I886" i="3" s="1"/>
  <c r="J886" i="3" s="1"/>
  <c r="K886" i="3" s="1"/>
  <c r="L886" i="3" s="1"/>
  <c r="M886" i="3" s="1"/>
  <c r="N886" i="3" s="1"/>
  <c r="F881" i="3"/>
  <c r="G881" i="3" s="1"/>
  <c r="H881" i="3" s="1"/>
  <c r="I881" i="3" s="1"/>
  <c r="J881" i="3" s="1"/>
  <c r="K881" i="3" s="1"/>
  <c r="L881" i="3" s="1"/>
  <c r="M881" i="3" s="1"/>
  <c r="N881" i="3" s="1"/>
  <c r="F877" i="3"/>
  <c r="G877" i="3" s="1"/>
  <c r="H877" i="3" s="1"/>
  <c r="I877" i="3" s="1"/>
  <c r="J877" i="3" s="1"/>
  <c r="K877" i="3" s="1"/>
  <c r="L877" i="3" s="1"/>
  <c r="M877" i="3" s="1"/>
  <c r="N877" i="3" s="1"/>
  <c r="F872" i="3"/>
  <c r="G872" i="3" s="1"/>
  <c r="H872" i="3" s="1"/>
  <c r="I872" i="3" s="1"/>
  <c r="J872" i="3" s="1"/>
  <c r="K872" i="3" s="1"/>
  <c r="L872" i="3" s="1"/>
  <c r="M872" i="3" s="1"/>
  <c r="N872" i="3" s="1"/>
  <c r="F865" i="3"/>
  <c r="G865" i="3" s="1"/>
  <c r="H865" i="3" s="1"/>
  <c r="I865" i="3" s="1"/>
  <c r="J865" i="3" s="1"/>
  <c r="K865" i="3" s="1"/>
  <c r="L865" i="3" s="1"/>
  <c r="M865" i="3" s="1"/>
  <c r="N865" i="3" s="1"/>
  <c r="F860" i="3"/>
  <c r="G860" i="3" s="1"/>
  <c r="H860" i="3" s="1"/>
  <c r="I860" i="3" s="1"/>
  <c r="J860" i="3" s="1"/>
  <c r="K860" i="3" s="1"/>
  <c r="L860" i="3" s="1"/>
  <c r="M860" i="3" s="1"/>
  <c r="N860" i="3" s="1"/>
  <c r="F856" i="3"/>
  <c r="G856" i="3" s="1"/>
  <c r="H856" i="3" s="1"/>
  <c r="I856" i="3" s="1"/>
  <c r="J856" i="3" s="1"/>
  <c r="K856" i="3" s="1"/>
  <c r="L856" i="3" s="1"/>
  <c r="M856" i="3" s="1"/>
  <c r="N856" i="3" s="1"/>
  <c r="F851" i="3"/>
  <c r="G851" i="3" s="1"/>
  <c r="H851" i="3" s="1"/>
  <c r="I851" i="3" s="1"/>
  <c r="J851" i="3" s="1"/>
  <c r="K851" i="3" s="1"/>
  <c r="L851" i="3" s="1"/>
  <c r="M851" i="3" s="1"/>
  <c r="N851" i="3" s="1"/>
  <c r="F847" i="3"/>
  <c r="G847" i="3" s="1"/>
  <c r="H847" i="3" s="1"/>
  <c r="I847" i="3" s="1"/>
  <c r="J847" i="3" s="1"/>
  <c r="K847" i="3" s="1"/>
  <c r="L847" i="3" s="1"/>
  <c r="M847" i="3" s="1"/>
  <c r="N847" i="3" s="1"/>
  <c r="F843" i="3"/>
  <c r="G843" i="3" s="1"/>
  <c r="H843" i="3" s="1"/>
  <c r="I843" i="3" s="1"/>
  <c r="J843" i="3" s="1"/>
  <c r="K843" i="3" s="1"/>
  <c r="L843" i="3" s="1"/>
  <c r="M843" i="3" s="1"/>
  <c r="N843" i="3" s="1"/>
  <c r="F836" i="3"/>
  <c r="G836" i="3" s="1"/>
  <c r="H836" i="3" s="1"/>
  <c r="I836" i="3" s="1"/>
  <c r="J836" i="3" s="1"/>
  <c r="K836" i="3" s="1"/>
  <c r="L836" i="3" s="1"/>
  <c r="M836" i="3" s="1"/>
  <c r="N836" i="3" s="1"/>
  <c r="F831" i="3"/>
  <c r="G831" i="3" s="1"/>
  <c r="H831" i="3" s="1"/>
  <c r="I831" i="3" s="1"/>
  <c r="J831" i="3" s="1"/>
  <c r="K831" i="3" s="1"/>
  <c r="L831" i="3" s="1"/>
  <c r="M831" i="3" s="1"/>
  <c r="N831" i="3" s="1"/>
  <c r="F827" i="3"/>
  <c r="G827" i="3" s="1"/>
  <c r="H827" i="3" s="1"/>
  <c r="I827" i="3" s="1"/>
  <c r="J827" i="3" s="1"/>
  <c r="K827" i="3" s="1"/>
  <c r="L827" i="3" s="1"/>
  <c r="M827" i="3" s="1"/>
  <c r="N827" i="3" s="1"/>
  <c r="F821" i="3"/>
  <c r="G821" i="3" s="1"/>
  <c r="H821" i="3" s="1"/>
  <c r="I821" i="3" s="1"/>
  <c r="J821" i="3" s="1"/>
  <c r="K821" i="3" s="1"/>
  <c r="L821" i="3" s="1"/>
  <c r="M821" i="3" s="1"/>
  <c r="N821" i="3" s="1"/>
  <c r="F817" i="3"/>
  <c r="G817" i="3" s="1"/>
  <c r="H817" i="3" s="1"/>
  <c r="I817" i="3" s="1"/>
  <c r="J817" i="3" s="1"/>
  <c r="K817" i="3" s="1"/>
  <c r="L817" i="3" s="1"/>
  <c r="M817" i="3" s="1"/>
  <c r="N817" i="3" s="1"/>
  <c r="F813" i="3"/>
  <c r="F786" i="3"/>
  <c r="G786" i="3" s="1"/>
  <c r="H786" i="3" s="1"/>
  <c r="I786" i="3" s="1"/>
  <c r="J786" i="3" s="1"/>
  <c r="K786" i="3" s="1"/>
  <c r="L786" i="3" s="1"/>
  <c r="M786" i="3" s="1"/>
  <c r="N786" i="3" s="1"/>
  <c r="F782" i="3"/>
  <c r="G782" i="3" s="1"/>
  <c r="H782" i="3" s="1"/>
  <c r="I782" i="3" s="1"/>
  <c r="J782" i="3" s="1"/>
  <c r="K782" i="3" s="1"/>
  <c r="L782" i="3" s="1"/>
  <c r="M782" i="3" s="1"/>
  <c r="N782" i="3" s="1"/>
  <c r="F777" i="3"/>
  <c r="G777" i="3" s="1"/>
  <c r="H777" i="3" s="1"/>
  <c r="I777" i="3" s="1"/>
  <c r="J777" i="3" s="1"/>
  <c r="K777" i="3" s="1"/>
  <c r="L777" i="3" s="1"/>
  <c r="M777" i="3" s="1"/>
  <c r="N777" i="3" s="1"/>
  <c r="F772" i="3"/>
  <c r="G772" i="3" s="1"/>
  <c r="H772" i="3" s="1"/>
  <c r="I772" i="3" s="1"/>
  <c r="J772" i="3" s="1"/>
  <c r="K772" i="3" s="1"/>
  <c r="L772" i="3" s="1"/>
  <c r="M772" i="3" s="1"/>
  <c r="N772" i="3" s="1"/>
  <c r="F768" i="3"/>
  <c r="G768" i="3" s="1"/>
  <c r="H768" i="3" s="1"/>
  <c r="I768" i="3" s="1"/>
  <c r="J768" i="3" s="1"/>
  <c r="K768" i="3" s="1"/>
  <c r="L768" i="3" s="1"/>
  <c r="M768" i="3" s="1"/>
  <c r="N768" i="3" s="1"/>
  <c r="F764" i="3"/>
  <c r="G764" i="3" s="1"/>
  <c r="H764" i="3" s="1"/>
  <c r="I764" i="3" s="1"/>
  <c r="J764" i="3" s="1"/>
  <c r="K764" i="3" s="1"/>
  <c r="L764" i="3" s="1"/>
  <c r="M764" i="3" s="1"/>
  <c r="N764" i="3" s="1"/>
  <c r="F740" i="3"/>
  <c r="G740" i="3" s="1"/>
  <c r="H740" i="3" s="1"/>
  <c r="I740" i="3" s="1"/>
  <c r="J740" i="3" s="1"/>
  <c r="K740" i="3" s="1"/>
  <c r="L740" i="3" s="1"/>
  <c r="M740" i="3" s="1"/>
  <c r="N740" i="3" s="1"/>
  <c r="F734" i="3"/>
  <c r="G734" i="3" s="1"/>
  <c r="H734" i="3" s="1"/>
  <c r="I734" i="3" s="1"/>
  <c r="J734" i="3" s="1"/>
  <c r="K734" i="3" s="1"/>
  <c r="L734" i="3" s="1"/>
  <c r="M734" i="3" s="1"/>
  <c r="N734" i="3" s="1"/>
  <c r="F728" i="3"/>
  <c r="G728" i="3" s="1"/>
  <c r="H728" i="3" s="1"/>
  <c r="I728" i="3" s="1"/>
  <c r="J728" i="3" s="1"/>
  <c r="K728" i="3" s="1"/>
  <c r="L728" i="3" s="1"/>
  <c r="M728" i="3" s="1"/>
  <c r="N728" i="3" s="1"/>
  <c r="F724" i="3"/>
  <c r="G724" i="3" s="1"/>
  <c r="H724" i="3" s="1"/>
  <c r="I724" i="3" s="1"/>
  <c r="J724" i="3" s="1"/>
  <c r="K724" i="3" s="1"/>
  <c r="L724" i="3" s="1"/>
  <c r="M724" i="3" s="1"/>
  <c r="N724" i="3" s="1"/>
  <c r="F720" i="3"/>
  <c r="G720" i="3" s="1"/>
  <c r="H720" i="3" s="1"/>
  <c r="I720" i="3" s="1"/>
  <c r="J720" i="3" s="1"/>
  <c r="K720" i="3" s="1"/>
  <c r="L720" i="3" s="1"/>
  <c r="M720" i="3" s="1"/>
  <c r="N720" i="3" s="1"/>
  <c r="F714" i="3"/>
  <c r="G714" i="3" s="1"/>
  <c r="H714" i="3" s="1"/>
  <c r="I714" i="3" s="1"/>
  <c r="J714" i="3" s="1"/>
  <c r="K714" i="3" s="1"/>
  <c r="L714" i="3" s="1"/>
  <c r="M714" i="3" s="1"/>
  <c r="N714" i="3" s="1"/>
  <c r="F707" i="3"/>
  <c r="G707" i="3" s="1"/>
  <c r="H707" i="3" s="1"/>
  <c r="I707" i="3" s="1"/>
  <c r="J707" i="3" s="1"/>
  <c r="K707" i="3" s="1"/>
  <c r="L707" i="3" s="1"/>
  <c r="M707" i="3" s="1"/>
  <c r="N707" i="3" s="1"/>
  <c r="F696" i="3"/>
  <c r="G696" i="3" s="1"/>
  <c r="H696" i="3" s="1"/>
  <c r="I696" i="3" s="1"/>
  <c r="J696" i="3" s="1"/>
  <c r="K696" i="3" s="1"/>
  <c r="L696" i="3" s="1"/>
  <c r="M696" i="3" s="1"/>
  <c r="N696" i="3" s="1"/>
  <c r="F1343" i="3"/>
  <c r="G1343" i="3" s="1"/>
  <c r="H1343" i="3" s="1"/>
  <c r="I1343" i="3" s="1"/>
  <c r="J1343" i="3" s="1"/>
  <c r="K1343" i="3" s="1"/>
  <c r="L1343" i="3" s="1"/>
  <c r="M1343" i="3" s="1"/>
  <c r="N1343" i="3" s="1"/>
  <c r="F1304" i="3"/>
  <c r="G1304" i="3" s="1"/>
  <c r="H1304" i="3" s="1"/>
  <c r="I1304" i="3" s="1"/>
  <c r="J1304" i="3" s="1"/>
  <c r="K1304" i="3" s="1"/>
  <c r="L1304" i="3" s="1"/>
  <c r="M1304" i="3" s="1"/>
  <c r="N1304" i="3" s="1"/>
  <c r="F1296" i="3"/>
  <c r="G1296" i="3" s="1"/>
  <c r="H1296" i="3" s="1"/>
  <c r="I1296" i="3" s="1"/>
  <c r="J1296" i="3" s="1"/>
  <c r="K1296" i="3" s="1"/>
  <c r="L1296" i="3" s="1"/>
  <c r="M1296" i="3" s="1"/>
  <c r="N1296" i="3" s="1"/>
  <c r="F1292" i="3"/>
  <c r="G1292" i="3" s="1"/>
  <c r="H1292" i="3" s="1"/>
  <c r="I1292" i="3" s="1"/>
  <c r="J1292" i="3" s="1"/>
  <c r="K1292" i="3" s="1"/>
  <c r="L1292" i="3" s="1"/>
  <c r="M1292" i="3" s="1"/>
  <c r="N1292" i="3" s="1"/>
  <c r="F1288" i="3"/>
  <c r="G1288" i="3" s="1"/>
  <c r="H1288" i="3" s="1"/>
  <c r="I1288" i="3" s="1"/>
  <c r="J1288" i="3" s="1"/>
  <c r="K1288" i="3" s="1"/>
  <c r="L1288" i="3" s="1"/>
  <c r="M1288" i="3" s="1"/>
  <c r="N1288" i="3" s="1"/>
  <c r="F1283" i="3"/>
  <c r="G1283" i="3" s="1"/>
  <c r="H1283" i="3" s="1"/>
  <c r="I1283" i="3" s="1"/>
  <c r="J1283" i="3" s="1"/>
  <c r="K1283" i="3" s="1"/>
  <c r="L1283" i="3" s="1"/>
  <c r="M1283" i="3" s="1"/>
  <c r="N1283" i="3" s="1"/>
  <c r="F1279" i="3"/>
  <c r="G1279" i="3" s="1"/>
  <c r="H1279" i="3" s="1"/>
  <c r="I1279" i="3" s="1"/>
  <c r="J1279" i="3" s="1"/>
  <c r="K1279" i="3" s="1"/>
  <c r="L1279" i="3" s="1"/>
  <c r="M1279" i="3" s="1"/>
  <c r="N1279" i="3" s="1"/>
  <c r="F1235" i="3"/>
  <c r="G1235" i="3" s="1"/>
  <c r="H1235" i="3" s="1"/>
  <c r="I1235" i="3" s="1"/>
  <c r="J1235" i="3" s="1"/>
  <c r="K1235" i="3" s="1"/>
  <c r="L1235" i="3" s="1"/>
  <c r="M1235" i="3" s="1"/>
  <c r="N1235" i="3" s="1"/>
  <c r="F1231" i="3"/>
  <c r="G1231" i="3" s="1"/>
  <c r="H1231" i="3" s="1"/>
  <c r="I1231" i="3" s="1"/>
  <c r="J1231" i="3" s="1"/>
  <c r="K1231" i="3" s="1"/>
  <c r="L1231" i="3" s="1"/>
  <c r="M1231" i="3" s="1"/>
  <c r="N1231" i="3" s="1"/>
  <c r="F1226" i="3"/>
  <c r="G1226" i="3" s="1"/>
  <c r="H1226" i="3" s="1"/>
  <c r="I1226" i="3" s="1"/>
  <c r="J1226" i="3" s="1"/>
  <c r="K1226" i="3" s="1"/>
  <c r="L1226" i="3" s="1"/>
  <c r="M1226" i="3" s="1"/>
  <c r="N1226" i="3" s="1"/>
  <c r="F1222" i="3"/>
  <c r="G1222" i="3" s="1"/>
  <c r="H1222" i="3" s="1"/>
  <c r="I1222" i="3" s="1"/>
  <c r="J1222" i="3" s="1"/>
  <c r="K1222" i="3" s="1"/>
  <c r="L1222" i="3" s="1"/>
  <c r="M1222" i="3" s="1"/>
  <c r="N1222" i="3" s="1"/>
  <c r="F1218" i="3"/>
  <c r="G1218" i="3" s="1"/>
  <c r="H1218" i="3" s="1"/>
  <c r="I1218" i="3" s="1"/>
  <c r="J1218" i="3" s="1"/>
  <c r="K1218" i="3" s="1"/>
  <c r="L1218" i="3" s="1"/>
  <c r="M1218" i="3" s="1"/>
  <c r="N1218" i="3" s="1"/>
  <c r="F1213" i="3"/>
  <c r="G1213" i="3" s="1"/>
  <c r="H1213" i="3" s="1"/>
  <c r="I1213" i="3" s="1"/>
  <c r="J1213" i="3" s="1"/>
  <c r="K1213" i="3" s="1"/>
  <c r="L1213" i="3" s="1"/>
  <c r="M1213" i="3" s="1"/>
  <c r="N1213" i="3" s="1"/>
  <c r="F1209" i="3"/>
  <c r="G1209" i="3" s="1"/>
  <c r="H1209" i="3" s="1"/>
  <c r="I1209" i="3" s="1"/>
  <c r="J1209" i="3" s="1"/>
  <c r="K1209" i="3" s="1"/>
  <c r="L1209" i="3" s="1"/>
  <c r="M1209" i="3" s="1"/>
  <c r="N1209" i="3" s="1"/>
  <c r="F1205" i="3"/>
  <c r="G1205" i="3" s="1"/>
  <c r="H1205" i="3" s="1"/>
  <c r="I1205" i="3" s="1"/>
  <c r="J1205" i="3" s="1"/>
  <c r="K1205" i="3" s="1"/>
  <c r="L1205" i="3" s="1"/>
  <c r="M1205" i="3" s="1"/>
  <c r="N1205" i="3" s="1"/>
  <c r="F1201" i="3"/>
  <c r="G1201" i="3" s="1"/>
  <c r="H1201" i="3" s="1"/>
  <c r="I1201" i="3" s="1"/>
  <c r="J1201" i="3" s="1"/>
  <c r="K1201" i="3" s="1"/>
  <c r="L1201" i="3" s="1"/>
  <c r="M1201" i="3" s="1"/>
  <c r="N1201" i="3" s="1"/>
  <c r="F1197" i="3"/>
  <c r="G1197" i="3" s="1"/>
  <c r="H1197" i="3" s="1"/>
  <c r="I1197" i="3" s="1"/>
  <c r="J1197" i="3" s="1"/>
  <c r="K1197" i="3" s="1"/>
  <c r="L1197" i="3" s="1"/>
  <c r="M1197" i="3" s="1"/>
  <c r="N1197" i="3" s="1"/>
  <c r="F1192" i="3"/>
  <c r="G1192" i="3" s="1"/>
  <c r="H1192" i="3" s="1"/>
  <c r="I1192" i="3" s="1"/>
  <c r="J1192" i="3" s="1"/>
  <c r="K1192" i="3" s="1"/>
  <c r="L1192" i="3" s="1"/>
  <c r="M1192" i="3" s="1"/>
  <c r="N1192" i="3" s="1"/>
  <c r="F1188" i="3"/>
  <c r="G1188" i="3" s="1"/>
  <c r="H1188" i="3" s="1"/>
  <c r="I1188" i="3" s="1"/>
  <c r="J1188" i="3" s="1"/>
  <c r="K1188" i="3" s="1"/>
  <c r="L1188" i="3" s="1"/>
  <c r="M1188" i="3" s="1"/>
  <c r="N1188" i="3" s="1"/>
  <c r="F1169" i="3"/>
  <c r="G1169" i="3" s="1"/>
  <c r="H1169" i="3" s="1"/>
  <c r="I1169" i="3" s="1"/>
  <c r="J1169" i="3" s="1"/>
  <c r="K1169" i="3" s="1"/>
  <c r="L1169" i="3" s="1"/>
  <c r="M1169" i="3" s="1"/>
  <c r="N1169" i="3" s="1"/>
  <c r="F1111" i="3"/>
  <c r="G1111" i="3" s="1"/>
  <c r="H1111" i="3" s="1"/>
  <c r="I1111" i="3" s="1"/>
  <c r="J1111" i="3" s="1"/>
  <c r="K1111" i="3" s="1"/>
  <c r="L1111" i="3" s="1"/>
  <c r="M1111" i="3" s="1"/>
  <c r="N1111" i="3" s="1"/>
  <c r="F1107" i="3"/>
  <c r="G1107" i="3" s="1"/>
  <c r="H1107" i="3" s="1"/>
  <c r="I1107" i="3" s="1"/>
  <c r="J1107" i="3" s="1"/>
  <c r="K1107" i="3" s="1"/>
  <c r="L1107" i="3" s="1"/>
  <c r="M1107" i="3" s="1"/>
  <c r="N1107" i="3" s="1"/>
  <c r="F1098" i="3"/>
  <c r="G1098" i="3" s="1"/>
  <c r="H1098" i="3" s="1"/>
  <c r="I1098" i="3" s="1"/>
  <c r="J1098" i="3" s="1"/>
  <c r="K1098" i="3" s="1"/>
  <c r="L1098" i="3" s="1"/>
  <c r="M1098" i="3" s="1"/>
  <c r="N1098" i="3" s="1"/>
  <c r="F1092" i="3"/>
  <c r="G1092" i="3" s="1"/>
  <c r="H1092" i="3" s="1"/>
  <c r="I1092" i="3" s="1"/>
  <c r="J1092" i="3" s="1"/>
  <c r="K1092" i="3" s="1"/>
  <c r="L1092" i="3" s="1"/>
  <c r="M1092" i="3" s="1"/>
  <c r="N1092" i="3" s="1"/>
  <c r="F1087" i="3"/>
  <c r="G1087" i="3" s="1"/>
  <c r="H1087" i="3" s="1"/>
  <c r="I1087" i="3" s="1"/>
  <c r="J1087" i="3" s="1"/>
  <c r="K1087" i="3" s="1"/>
  <c r="L1087" i="3" s="1"/>
  <c r="M1087" i="3" s="1"/>
  <c r="N1087" i="3" s="1"/>
  <c r="F1082" i="3"/>
  <c r="G1082" i="3" s="1"/>
  <c r="H1082" i="3" s="1"/>
  <c r="I1082" i="3" s="1"/>
  <c r="J1082" i="3" s="1"/>
  <c r="K1082" i="3" s="1"/>
  <c r="L1082" i="3" s="1"/>
  <c r="M1082" i="3" s="1"/>
  <c r="N1082" i="3" s="1"/>
  <c r="F1078" i="3"/>
  <c r="G1078" i="3" s="1"/>
  <c r="H1078" i="3" s="1"/>
  <c r="I1078" i="3" s="1"/>
  <c r="J1078" i="3" s="1"/>
  <c r="K1078" i="3" s="1"/>
  <c r="L1078" i="3" s="1"/>
  <c r="M1078" i="3" s="1"/>
  <c r="N1078" i="3" s="1"/>
  <c r="F1074" i="3"/>
  <c r="G1074" i="3" s="1"/>
  <c r="H1074" i="3" s="1"/>
  <c r="I1074" i="3" s="1"/>
  <c r="J1074" i="3" s="1"/>
  <c r="K1074" i="3" s="1"/>
  <c r="L1074" i="3" s="1"/>
  <c r="M1074" i="3" s="1"/>
  <c r="N1074" i="3" s="1"/>
  <c r="F1068" i="3"/>
  <c r="G1068" i="3" s="1"/>
  <c r="H1068" i="3" s="1"/>
  <c r="I1068" i="3" s="1"/>
  <c r="J1068" i="3" s="1"/>
  <c r="K1068" i="3" s="1"/>
  <c r="L1068" i="3" s="1"/>
  <c r="M1068" i="3" s="1"/>
  <c r="N1068" i="3" s="1"/>
  <c r="F1063" i="3"/>
  <c r="G1063" i="3" s="1"/>
  <c r="H1063" i="3" s="1"/>
  <c r="I1063" i="3" s="1"/>
  <c r="J1063" i="3" s="1"/>
  <c r="K1063" i="3" s="1"/>
  <c r="L1063" i="3" s="1"/>
  <c r="M1063" i="3" s="1"/>
  <c r="N1063" i="3" s="1"/>
  <c r="F1056" i="3"/>
  <c r="G1056" i="3" s="1"/>
  <c r="H1056" i="3" s="1"/>
  <c r="I1056" i="3" s="1"/>
  <c r="J1056" i="3" s="1"/>
  <c r="K1056" i="3" s="1"/>
  <c r="L1056" i="3" s="1"/>
  <c r="M1056" i="3" s="1"/>
  <c r="N1056" i="3" s="1"/>
  <c r="F1050" i="3"/>
  <c r="G1050" i="3" s="1"/>
  <c r="H1050" i="3" s="1"/>
  <c r="I1050" i="3" s="1"/>
  <c r="J1050" i="3" s="1"/>
  <c r="K1050" i="3" s="1"/>
  <c r="L1050" i="3" s="1"/>
  <c r="M1050" i="3" s="1"/>
  <c r="N1050" i="3" s="1"/>
  <c r="F1044" i="3"/>
  <c r="G1044" i="3" s="1"/>
  <c r="H1044" i="3" s="1"/>
  <c r="I1044" i="3" s="1"/>
  <c r="J1044" i="3" s="1"/>
  <c r="K1044" i="3" s="1"/>
  <c r="L1044" i="3" s="1"/>
  <c r="M1044" i="3" s="1"/>
  <c r="N1044" i="3" s="1"/>
  <c r="F1038" i="3"/>
  <c r="G1038" i="3" s="1"/>
  <c r="H1038" i="3" s="1"/>
  <c r="I1038" i="3" s="1"/>
  <c r="J1038" i="3" s="1"/>
  <c r="K1038" i="3" s="1"/>
  <c r="L1038" i="3" s="1"/>
  <c r="M1038" i="3" s="1"/>
  <c r="N1038" i="3" s="1"/>
  <c r="F1033" i="3"/>
  <c r="G1033" i="3" s="1"/>
  <c r="H1033" i="3" s="1"/>
  <c r="I1033" i="3" s="1"/>
  <c r="J1033" i="3" s="1"/>
  <c r="K1033" i="3" s="1"/>
  <c r="L1033" i="3" s="1"/>
  <c r="M1033" i="3" s="1"/>
  <c r="N1033" i="3" s="1"/>
  <c r="F1029" i="3"/>
  <c r="G1029" i="3" s="1"/>
  <c r="H1029" i="3" s="1"/>
  <c r="I1029" i="3" s="1"/>
  <c r="J1029" i="3" s="1"/>
  <c r="K1029" i="3" s="1"/>
  <c r="L1029" i="3" s="1"/>
  <c r="M1029" i="3" s="1"/>
  <c r="N1029" i="3" s="1"/>
  <c r="F1025" i="3"/>
  <c r="G1025" i="3" s="1"/>
  <c r="H1025" i="3" s="1"/>
  <c r="I1025" i="3" s="1"/>
  <c r="J1025" i="3" s="1"/>
  <c r="K1025" i="3" s="1"/>
  <c r="L1025" i="3" s="1"/>
  <c r="M1025" i="3" s="1"/>
  <c r="N1025" i="3" s="1"/>
  <c r="F1021" i="3"/>
  <c r="G1021" i="3" s="1"/>
  <c r="H1021" i="3" s="1"/>
  <c r="I1021" i="3" s="1"/>
  <c r="J1021" i="3" s="1"/>
  <c r="K1021" i="3" s="1"/>
  <c r="L1021" i="3" s="1"/>
  <c r="M1021" i="3" s="1"/>
  <c r="N1021" i="3" s="1"/>
  <c r="F1014" i="3"/>
  <c r="F995" i="3"/>
  <c r="G995" i="3" s="1"/>
  <c r="H995" i="3" s="1"/>
  <c r="I995" i="3" s="1"/>
  <c r="J995" i="3" s="1"/>
  <c r="K995" i="3" s="1"/>
  <c r="L995" i="3" s="1"/>
  <c r="M995" i="3" s="1"/>
  <c r="N995" i="3" s="1"/>
  <c r="F991" i="3"/>
  <c r="G991" i="3" s="1"/>
  <c r="H991" i="3" s="1"/>
  <c r="I991" i="3" s="1"/>
  <c r="J991" i="3" s="1"/>
  <c r="K991" i="3" s="1"/>
  <c r="L991" i="3" s="1"/>
  <c r="M991" i="3" s="1"/>
  <c r="N991" i="3" s="1"/>
  <c r="F987" i="3"/>
  <c r="G987" i="3" s="1"/>
  <c r="H987" i="3" s="1"/>
  <c r="I987" i="3" s="1"/>
  <c r="J987" i="3" s="1"/>
  <c r="K987" i="3" s="1"/>
  <c r="L987" i="3" s="1"/>
  <c r="M987" i="3" s="1"/>
  <c r="N987" i="3" s="1"/>
  <c r="F982" i="3"/>
  <c r="G982" i="3" s="1"/>
  <c r="H982" i="3" s="1"/>
  <c r="I982" i="3" s="1"/>
  <c r="J982" i="3" s="1"/>
  <c r="K982" i="3" s="1"/>
  <c r="L982" i="3" s="1"/>
  <c r="M982" i="3" s="1"/>
  <c r="N982" i="3" s="1"/>
  <c r="F978" i="3"/>
  <c r="G978" i="3" s="1"/>
  <c r="H978" i="3" s="1"/>
  <c r="I978" i="3" s="1"/>
  <c r="J978" i="3" s="1"/>
  <c r="K978" i="3" s="1"/>
  <c r="L978" i="3" s="1"/>
  <c r="M978" i="3" s="1"/>
  <c r="N978" i="3" s="1"/>
  <c r="F974" i="3"/>
  <c r="G974" i="3" s="1"/>
  <c r="H974" i="3" s="1"/>
  <c r="I974" i="3" s="1"/>
  <c r="J974" i="3" s="1"/>
  <c r="K974" i="3" s="1"/>
  <c r="L974" i="3" s="1"/>
  <c r="M974" i="3" s="1"/>
  <c r="N974" i="3" s="1"/>
  <c r="F970" i="3"/>
  <c r="G970" i="3" s="1"/>
  <c r="H970" i="3" s="1"/>
  <c r="I970" i="3" s="1"/>
  <c r="J970" i="3" s="1"/>
  <c r="K970" i="3" s="1"/>
  <c r="L970" i="3" s="1"/>
  <c r="M970" i="3" s="1"/>
  <c r="N970" i="3" s="1"/>
  <c r="F965" i="3"/>
  <c r="G965" i="3" s="1"/>
  <c r="H965" i="3" s="1"/>
  <c r="I965" i="3" s="1"/>
  <c r="J965" i="3" s="1"/>
  <c r="K965" i="3" s="1"/>
  <c r="L965" i="3" s="1"/>
  <c r="M965" i="3" s="1"/>
  <c r="N965" i="3" s="1"/>
  <c r="F961" i="3"/>
  <c r="G961" i="3" s="1"/>
  <c r="H961" i="3" s="1"/>
  <c r="I961" i="3" s="1"/>
  <c r="J961" i="3" s="1"/>
  <c r="K961" i="3" s="1"/>
  <c r="L961" i="3" s="1"/>
  <c r="M961" i="3" s="1"/>
  <c r="N961" i="3" s="1"/>
  <c r="F957" i="3"/>
  <c r="G957" i="3" s="1"/>
  <c r="H957" i="3" s="1"/>
  <c r="I957" i="3" s="1"/>
  <c r="J957" i="3" s="1"/>
  <c r="K957" i="3" s="1"/>
  <c r="L957" i="3" s="1"/>
  <c r="M957" i="3" s="1"/>
  <c r="N957" i="3" s="1"/>
  <c r="F953" i="3"/>
  <c r="F903" i="3"/>
  <c r="G903" i="3" s="1"/>
  <c r="H903" i="3" s="1"/>
  <c r="I903" i="3" s="1"/>
  <c r="J903" i="3" s="1"/>
  <c r="K903" i="3" s="1"/>
  <c r="L903" i="3" s="1"/>
  <c r="M903" i="3" s="1"/>
  <c r="N903" i="3" s="1"/>
  <c r="F897" i="3"/>
  <c r="G897" i="3" s="1"/>
  <c r="H897" i="3" s="1"/>
  <c r="I897" i="3" s="1"/>
  <c r="J897" i="3" s="1"/>
  <c r="K897" i="3" s="1"/>
  <c r="L897" i="3" s="1"/>
  <c r="M897" i="3" s="1"/>
  <c r="N897" i="3" s="1"/>
  <c r="F893" i="3"/>
  <c r="G893" i="3" s="1"/>
  <c r="H893" i="3" s="1"/>
  <c r="I893" i="3" s="1"/>
  <c r="J893" i="3" s="1"/>
  <c r="K893" i="3" s="1"/>
  <c r="L893" i="3" s="1"/>
  <c r="M893" i="3" s="1"/>
  <c r="N893" i="3" s="1"/>
  <c r="F889" i="3"/>
  <c r="G889" i="3" s="1"/>
  <c r="H889" i="3" s="1"/>
  <c r="I889" i="3" s="1"/>
  <c r="J889" i="3" s="1"/>
  <c r="K889" i="3" s="1"/>
  <c r="L889" i="3" s="1"/>
  <c r="M889" i="3" s="1"/>
  <c r="N889" i="3" s="1"/>
  <c r="F885" i="3"/>
  <c r="G885" i="3" s="1"/>
  <c r="H885" i="3" s="1"/>
  <c r="I885" i="3" s="1"/>
  <c r="J885" i="3" s="1"/>
  <c r="K885" i="3" s="1"/>
  <c r="L885" i="3" s="1"/>
  <c r="M885" i="3" s="1"/>
  <c r="N885" i="3" s="1"/>
  <c r="F880" i="3"/>
  <c r="G880" i="3" s="1"/>
  <c r="H880" i="3" s="1"/>
  <c r="I880" i="3" s="1"/>
  <c r="J880" i="3" s="1"/>
  <c r="K880" i="3" s="1"/>
  <c r="L880" i="3" s="1"/>
  <c r="M880" i="3" s="1"/>
  <c r="N880" i="3" s="1"/>
  <c r="F876" i="3"/>
  <c r="B394" i="16" s="1"/>
  <c r="F870" i="3"/>
  <c r="G870" i="3" s="1"/>
  <c r="H870" i="3" s="1"/>
  <c r="I870" i="3" s="1"/>
  <c r="J870" i="3" s="1"/>
  <c r="K870" i="3" s="1"/>
  <c r="L870" i="3" s="1"/>
  <c r="M870" i="3" s="1"/>
  <c r="N870" i="3" s="1"/>
  <c r="F864" i="3"/>
  <c r="G864" i="3" s="1"/>
  <c r="H864" i="3" s="1"/>
  <c r="I864" i="3" s="1"/>
  <c r="J864" i="3" s="1"/>
  <c r="K864" i="3" s="1"/>
  <c r="L864" i="3" s="1"/>
  <c r="M864" i="3" s="1"/>
  <c r="N864" i="3" s="1"/>
  <c r="F859" i="3"/>
  <c r="G859" i="3" s="1"/>
  <c r="H859" i="3" s="1"/>
  <c r="I859" i="3" s="1"/>
  <c r="J859" i="3" s="1"/>
  <c r="K859" i="3" s="1"/>
  <c r="L859" i="3" s="1"/>
  <c r="M859" i="3" s="1"/>
  <c r="N859" i="3" s="1"/>
  <c r="F855" i="3"/>
  <c r="G855" i="3" s="1"/>
  <c r="H855" i="3" s="1"/>
  <c r="I855" i="3" s="1"/>
  <c r="J855" i="3" s="1"/>
  <c r="K855" i="3" s="1"/>
  <c r="L855" i="3" s="1"/>
  <c r="M855" i="3" s="1"/>
  <c r="N855" i="3" s="1"/>
  <c r="F850" i="3"/>
  <c r="G850" i="3" s="1"/>
  <c r="H850" i="3" s="1"/>
  <c r="I850" i="3" s="1"/>
  <c r="J850" i="3" s="1"/>
  <c r="K850" i="3" s="1"/>
  <c r="L850" i="3" s="1"/>
  <c r="M850" i="3" s="1"/>
  <c r="N850" i="3" s="1"/>
  <c r="F846" i="3"/>
  <c r="G846" i="3" s="1"/>
  <c r="H846" i="3" s="1"/>
  <c r="I846" i="3" s="1"/>
  <c r="J846" i="3" s="1"/>
  <c r="K846" i="3" s="1"/>
  <c r="L846" i="3" s="1"/>
  <c r="M846" i="3" s="1"/>
  <c r="N846" i="3" s="1"/>
  <c r="F842" i="3"/>
  <c r="F835" i="3"/>
  <c r="F830" i="3"/>
  <c r="G830" i="3" s="1"/>
  <c r="H830" i="3" s="1"/>
  <c r="I830" i="3" s="1"/>
  <c r="J830" i="3" s="1"/>
  <c r="K830" i="3" s="1"/>
  <c r="L830" i="3" s="1"/>
  <c r="M830" i="3" s="1"/>
  <c r="N830" i="3" s="1"/>
  <c r="F826" i="3"/>
  <c r="F820" i="3"/>
  <c r="G820" i="3" s="1"/>
  <c r="H820" i="3" s="1"/>
  <c r="I820" i="3" s="1"/>
  <c r="J820" i="3" s="1"/>
  <c r="K820" i="3" s="1"/>
  <c r="L820" i="3" s="1"/>
  <c r="M820" i="3" s="1"/>
  <c r="N820" i="3" s="1"/>
  <c r="F816" i="3"/>
  <c r="G816" i="3" s="1"/>
  <c r="H816" i="3" s="1"/>
  <c r="I816" i="3" s="1"/>
  <c r="J816" i="3" s="1"/>
  <c r="K816" i="3" s="1"/>
  <c r="L816" i="3" s="1"/>
  <c r="M816" i="3" s="1"/>
  <c r="N816" i="3" s="1"/>
  <c r="F790" i="3"/>
  <c r="G790" i="3" s="1"/>
  <c r="H790" i="3" s="1"/>
  <c r="I790" i="3" s="1"/>
  <c r="J790" i="3" s="1"/>
  <c r="K790" i="3" s="1"/>
  <c r="L790" i="3" s="1"/>
  <c r="M790" i="3" s="1"/>
  <c r="N790" i="3" s="1"/>
  <c r="F785" i="3"/>
  <c r="G785" i="3" s="1"/>
  <c r="H785" i="3" s="1"/>
  <c r="I785" i="3" s="1"/>
  <c r="J785" i="3" s="1"/>
  <c r="K785" i="3" s="1"/>
  <c r="L785" i="3" s="1"/>
  <c r="M785" i="3" s="1"/>
  <c r="N785" i="3" s="1"/>
  <c r="F780" i="3"/>
  <c r="G780" i="3" s="1"/>
  <c r="H780" i="3" s="1"/>
  <c r="I780" i="3" s="1"/>
  <c r="J780" i="3" s="1"/>
  <c r="K780" i="3" s="1"/>
  <c r="L780" i="3" s="1"/>
  <c r="M780" i="3" s="1"/>
  <c r="N780" i="3" s="1"/>
  <c r="F776" i="3"/>
  <c r="G776" i="3" s="1"/>
  <c r="H776" i="3" s="1"/>
  <c r="I776" i="3" s="1"/>
  <c r="J776" i="3" s="1"/>
  <c r="K776" i="3" s="1"/>
  <c r="L776" i="3" s="1"/>
  <c r="M776" i="3" s="1"/>
  <c r="N776" i="3" s="1"/>
  <c r="F771" i="3"/>
  <c r="G771" i="3" s="1"/>
  <c r="H771" i="3" s="1"/>
  <c r="I771" i="3" s="1"/>
  <c r="J771" i="3" s="1"/>
  <c r="K771" i="3" s="1"/>
  <c r="L771" i="3" s="1"/>
  <c r="M771" i="3" s="1"/>
  <c r="N771" i="3" s="1"/>
  <c r="F767" i="3"/>
  <c r="G767" i="3" s="1"/>
  <c r="H767" i="3" s="1"/>
  <c r="I767" i="3" s="1"/>
  <c r="J767" i="3" s="1"/>
  <c r="K767" i="3" s="1"/>
  <c r="L767" i="3" s="1"/>
  <c r="M767" i="3" s="1"/>
  <c r="N767" i="3" s="1"/>
  <c r="F762" i="3"/>
  <c r="G762" i="3" s="1"/>
  <c r="H762" i="3" s="1"/>
  <c r="I762" i="3" s="1"/>
  <c r="J762" i="3" s="1"/>
  <c r="K762" i="3" s="1"/>
  <c r="L762" i="3" s="1"/>
  <c r="M762" i="3" s="1"/>
  <c r="N762" i="3" s="1"/>
  <c r="F732" i="3"/>
  <c r="G732" i="3" s="1"/>
  <c r="H732" i="3" s="1"/>
  <c r="I732" i="3" s="1"/>
  <c r="J732" i="3" s="1"/>
  <c r="K732" i="3" s="1"/>
  <c r="L732" i="3" s="1"/>
  <c r="M732" i="3" s="1"/>
  <c r="N732" i="3" s="1"/>
  <c r="F727" i="3"/>
  <c r="G727" i="3" s="1"/>
  <c r="H727" i="3" s="1"/>
  <c r="I727" i="3" s="1"/>
  <c r="J727" i="3" s="1"/>
  <c r="K727" i="3" s="1"/>
  <c r="L727" i="3" s="1"/>
  <c r="M727" i="3" s="1"/>
  <c r="N727" i="3" s="1"/>
  <c r="F723" i="3"/>
  <c r="G723" i="3" s="1"/>
  <c r="H723" i="3" s="1"/>
  <c r="I723" i="3" s="1"/>
  <c r="J723" i="3" s="1"/>
  <c r="K723" i="3" s="1"/>
  <c r="L723" i="3" s="1"/>
  <c r="M723" i="3" s="1"/>
  <c r="N723" i="3" s="1"/>
  <c r="F719" i="3"/>
  <c r="G719" i="3" s="1"/>
  <c r="H719" i="3" s="1"/>
  <c r="I719" i="3" s="1"/>
  <c r="J719" i="3" s="1"/>
  <c r="K719" i="3" s="1"/>
  <c r="L719" i="3" s="1"/>
  <c r="M719" i="3" s="1"/>
  <c r="N719" i="3" s="1"/>
  <c r="F712" i="3"/>
  <c r="G712" i="3" s="1"/>
  <c r="H712" i="3" s="1"/>
  <c r="I712" i="3" s="1"/>
  <c r="J712" i="3" s="1"/>
  <c r="K712" i="3" s="1"/>
  <c r="L712" i="3" s="1"/>
  <c r="M712" i="3" s="1"/>
  <c r="N712" i="3" s="1"/>
  <c r="F706" i="3"/>
  <c r="G706" i="3" s="1"/>
  <c r="H706" i="3" s="1"/>
  <c r="I706" i="3" s="1"/>
  <c r="J706" i="3" s="1"/>
  <c r="K706" i="3" s="1"/>
  <c r="L706" i="3" s="1"/>
  <c r="M706" i="3" s="1"/>
  <c r="N706" i="3" s="1"/>
  <c r="F694" i="3"/>
  <c r="G694" i="3" s="1"/>
  <c r="H694" i="3" s="1"/>
  <c r="I694" i="3" s="1"/>
  <c r="J694" i="3" s="1"/>
  <c r="K694" i="3" s="1"/>
  <c r="L694" i="3" s="1"/>
  <c r="M694" i="3" s="1"/>
  <c r="N694" i="3" s="1"/>
  <c r="F693" i="3"/>
  <c r="G693" i="3" s="1"/>
  <c r="H693" i="3" s="1"/>
  <c r="I693" i="3" s="1"/>
  <c r="J693" i="3" s="1"/>
  <c r="K693" i="3" s="1"/>
  <c r="L693" i="3" s="1"/>
  <c r="M693" i="3" s="1"/>
  <c r="N693" i="3" s="1"/>
  <c r="F689" i="3"/>
  <c r="G689" i="3" s="1"/>
  <c r="H689" i="3" s="1"/>
  <c r="I689" i="3" s="1"/>
  <c r="J689" i="3" s="1"/>
  <c r="K689" i="3" s="1"/>
  <c r="L689" i="3" s="1"/>
  <c r="M689" i="3" s="1"/>
  <c r="N689" i="3" s="1"/>
  <c r="F684" i="3"/>
  <c r="G684" i="3" s="1"/>
  <c r="H684" i="3" s="1"/>
  <c r="I684" i="3" s="1"/>
  <c r="J684" i="3" s="1"/>
  <c r="K684" i="3" s="1"/>
  <c r="L684" i="3" s="1"/>
  <c r="M684" i="3" s="1"/>
  <c r="N684" i="3" s="1"/>
  <c r="F678" i="3"/>
  <c r="G678" i="3" s="1"/>
  <c r="H678" i="3" s="1"/>
  <c r="I678" i="3" s="1"/>
  <c r="J678" i="3" s="1"/>
  <c r="K678" i="3" s="1"/>
  <c r="L678" i="3" s="1"/>
  <c r="M678" i="3" s="1"/>
  <c r="N678" i="3" s="1"/>
  <c r="F672" i="3"/>
  <c r="F653" i="3"/>
  <c r="G653" i="3" s="1"/>
  <c r="H653" i="3" s="1"/>
  <c r="I653" i="3" s="1"/>
  <c r="J653" i="3" s="1"/>
  <c r="K653" i="3" s="1"/>
  <c r="L653" i="3" s="1"/>
  <c r="M653" i="3" s="1"/>
  <c r="N653" i="3" s="1"/>
  <c r="F649" i="3"/>
  <c r="G649" i="3" s="1"/>
  <c r="H649" i="3" s="1"/>
  <c r="I649" i="3" s="1"/>
  <c r="J649" i="3" s="1"/>
  <c r="K649" i="3" s="1"/>
  <c r="L649" i="3" s="1"/>
  <c r="M649" i="3" s="1"/>
  <c r="N649" i="3" s="1"/>
  <c r="F644" i="3"/>
  <c r="G644" i="3" s="1"/>
  <c r="H644" i="3" s="1"/>
  <c r="I644" i="3" s="1"/>
  <c r="J644" i="3" s="1"/>
  <c r="K644" i="3" s="1"/>
  <c r="L644" i="3" s="1"/>
  <c r="M644" i="3" s="1"/>
  <c r="N644" i="3" s="1"/>
  <c r="F640" i="3"/>
  <c r="G640" i="3" s="1"/>
  <c r="H640" i="3" s="1"/>
  <c r="I640" i="3" s="1"/>
  <c r="J640" i="3" s="1"/>
  <c r="K640" i="3" s="1"/>
  <c r="L640" i="3" s="1"/>
  <c r="M640" i="3" s="1"/>
  <c r="N640" i="3" s="1"/>
  <c r="F636" i="3"/>
  <c r="G636" i="3" s="1"/>
  <c r="H636" i="3" s="1"/>
  <c r="I636" i="3" s="1"/>
  <c r="J636" i="3" s="1"/>
  <c r="K636" i="3" s="1"/>
  <c r="L636" i="3" s="1"/>
  <c r="M636" i="3" s="1"/>
  <c r="N636" i="3" s="1"/>
  <c r="F630" i="3"/>
  <c r="G630" i="3" s="1"/>
  <c r="H630" i="3" s="1"/>
  <c r="I630" i="3" s="1"/>
  <c r="J630" i="3" s="1"/>
  <c r="K630" i="3" s="1"/>
  <c r="L630" i="3" s="1"/>
  <c r="M630" i="3" s="1"/>
  <c r="N630" i="3" s="1"/>
  <c r="F625" i="3"/>
  <c r="G625" i="3" s="1"/>
  <c r="H625" i="3" s="1"/>
  <c r="I625" i="3" s="1"/>
  <c r="J625" i="3" s="1"/>
  <c r="K625" i="3" s="1"/>
  <c r="L625" i="3" s="1"/>
  <c r="M625" i="3" s="1"/>
  <c r="N625" i="3" s="1"/>
  <c r="F620" i="3"/>
  <c r="G620" i="3" s="1"/>
  <c r="H620" i="3" s="1"/>
  <c r="I620" i="3" s="1"/>
  <c r="J620" i="3" s="1"/>
  <c r="K620" i="3" s="1"/>
  <c r="L620" i="3" s="1"/>
  <c r="M620" i="3" s="1"/>
  <c r="N620" i="3" s="1"/>
  <c r="F615" i="3"/>
  <c r="G615" i="3" s="1"/>
  <c r="H615" i="3" s="1"/>
  <c r="I615" i="3" s="1"/>
  <c r="J615" i="3" s="1"/>
  <c r="K615" i="3" s="1"/>
  <c r="L615" i="3" s="1"/>
  <c r="M615" i="3" s="1"/>
  <c r="N615" i="3" s="1"/>
  <c r="F610" i="3"/>
  <c r="G610" i="3" s="1"/>
  <c r="H610" i="3" s="1"/>
  <c r="I610" i="3" s="1"/>
  <c r="J610" i="3" s="1"/>
  <c r="K610" i="3" s="1"/>
  <c r="L610" i="3" s="1"/>
  <c r="M610" i="3" s="1"/>
  <c r="N610" i="3" s="1"/>
  <c r="F606" i="3"/>
  <c r="G606" i="3" s="1"/>
  <c r="H606" i="3" s="1"/>
  <c r="I606" i="3" s="1"/>
  <c r="J606" i="3" s="1"/>
  <c r="K606" i="3" s="1"/>
  <c r="L606" i="3" s="1"/>
  <c r="M606" i="3" s="1"/>
  <c r="N606" i="3" s="1"/>
  <c r="F602" i="3"/>
  <c r="G602" i="3" s="1"/>
  <c r="H602" i="3" s="1"/>
  <c r="I602" i="3" s="1"/>
  <c r="J602" i="3" s="1"/>
  <c r="K602" i="3" s="1"/>
  <c r="L602" i="3" s="1"/>
  <c r="M602" i="3" s="1"/>
  <c r="N602" i="3" s="1"/>
  <c r="F583" i="3"/>
  <c r="G583" i="3" s="1"/>
  <c r="H583" i="3" s="1"/>
  <c r="I583" i="3" s="1"/>
  <c r="J583" i="3" s="1"/>
  <c r="K583" i="3" s="1"/>
  <c r="L583" i="3" s="1"/>
  <c r="M583" i="3" s="1"/>
  <c r="N583" i="3" s="1"/>
  <c r="F575" i="3"/>
  <c r="G575" i="3" s="1"/>
  <c r="H575" i="3" s="1"/>
  <c r="I575" i="3" s="1"/>
  <c r="J575" i="3" s="1"/>
  <c r="K575" i="3" s="1"/>
  <c r="L575" i="3" s="1"/>
  <c r="M575" i="3" s="1"/>
  <c r="N575" i="3" s="1"/>
  <c r="F529" i="3"/>
  <c r="G529" i="3" s="1"/>
  <c r="H529" i="3" s="1"/>
  <c r="I529" i="3" s="1"/>
  <c r="J529" i="3" s="1"/>
  <c r="K529" i="3" s="1"/>
  <c r="L529" i="3" s="1"/>
  <c r="M529" i="3" s="1"/>
  <c r="N529" i="3" s="1"/>
  <c r="F523" i="3"/>
  <c r="G523" i="3" s="1"/>
  <c r="H523" i="3" s="1"/>
  <c r="I523" i="3" s="1"/>
  <c r="J523" i="3" s="1"/>
  <c r="K523" i="3" s="1"/>
  <c r="L523" i="3" s="1"/>
  <c r="M523" i="3" s="1"/>
  <c r="N523" i="3" s="1"/>
  <c r="F518" i="3"/>
  <c r="G518" i="3" s="1"/>
  <c r="H518" i="3" s="1"/>
  <c r="I518" i="3" s="1"/>
  <c r="J518" i="3" s="1"/>
  <c r="K518" i="3" s="1"/>
  <c r="L518" i="3" s="1"/>
  <c r="M518" i="3" s="1"/>
  <c r="N518" i="3" s="1"/>
  <c r="F512" i="3"/>
  <c r="G512" i="3" s="1"/>
  <c r="H512" i="3" s="1"/>
  <c r="I512" i="3" s="1"/>
  <c r="J512" i="3" s="1"/>
  <c r="K512" i="3" s="1"/>
  <c r="L512" i="3" s="1"/>
  <c r="M512" i="3" s="1"/>
  <c r="N512" i="3" s="1"/>
  <c r="F507" i="3"/>
  <c r="G507" i="3" s="1"/>
  <c r="H507" i="3" s="1"/>
  <c r="I507" i="3" s="1"/>
  <c r="J507" i="3" s="1"/>
  <c r="K507" i="3" s="1"/>
  <c r="L507" i="3" s="1"/>
  <c r="M507" i="3" s="1"/>
  <c r="N507" i="3" s="1"/>
  <c r="F502" i="3"/>
  <c r="G502" i="3" s="1"/>
  <c r="H502" i="3" s="1"/>
  <c r="I502" i="3" s="1"/>
  <c r="J502" i="3" s="1"/>
  <c r="K502" i="3" s="1"/>
  <c r="L502" i="3" s="1"/>
  <c r="M502" i="3" s="1"/>
  <c r="N502" i="3" s="1"/>
  <c r="F497" i="3"/>
  <c r="G497" i="3" s="1"/>
  <c r="H497" i="3" s="1"/>
  <c r="I497" i="3" s="1"/>
  <c r="J497" i="3" s="1"/>
  <c r="K497" i="3" s="1"/>
  <c r="L497" i="3" s="1"/>
  <c r="M497" i="3" s="1"/>
  <c r="N497" i="3" s="1"/>
  <c r="F468" i="3"/>
  <c r="G468" i="3" s="1"/>
  <c r="H468" i="3" s="1"/>
  <c r="I468" i="3" s="1"/>
  <c r="J468" i="3" s="1"/>
  <c r="K468" i="3" s="1"/>
  <c r="L468" i="3" s="1"/>
  <c r="M468" i="3" s="1"/>
  <c r="N468" i="3" s="1"/>
  <c r="F462" i="3"/>
  <c r="F458" i="3"/>
  <c r="G458" i="3" s="1"/>
  <c r="H458" i="3" s="1"/>
  <c r="I458" i="3" s="1"/>
  <c r="J458" i="3" s="1"/>
  <c r="K458" i="3" s="1"/>
  <c r="L458" i="3" s="1"/>
  <c r="M458" i="3" s="1"/>
  <c r="N458" i="3" s="1"/>
  <c r="F454" i="3"/>
  <c r="G454" i="3" s="1"/>
  <c r="H454" i="3" s="1"/>
  <c r="I454" i="3" s="1"/>
  <c r="J454" i="3" s="1"/>
  <c r="K454" i="3" s="1"/>
  <c r="L454" i="3" s="1"/>
  <c r="M454" i="3" s="1"/>
  <c r="N454" i="3" s="1"/>
  <c r="F450" i="3"/>
  <c r="G450" i="3" s="1"/>
  <c r="H450" i="3" s="1"/>
  <c r="I450" i="3" s="1"/>
  <c r="J450" i="3" s="1"/>
  <c r="K450" i="3" s="1"/>
  <c r="L450" i="3" s="1"/>
  <c r="M450" i="3" s="1"/>
  <c r="N450" i="3" s="1"/>
  <c r="F446" i="3"/>
  <c r="G446" i="3" s="1"/>
  <c r="H446" i="3" s="1"/>
  <c r="I446" i="3" s="1"/>
  <c r="J446" i="3" s="1"/>
  <c r="K446" i="3" s="1"/>
  <c r="L446" i="3" s="1"/>
  <c r="M446" i="3" s="1"/>
  <c r="N446" i="3" s="1"/>
  <c r="F441" i="3"/>
  <c r="F396" i="3"/>
  <c r="G396" i="3" s="1"/>
  <c r="H396" i="3" s="1"/>
  <c r="I396" i="3" s="1"/>
  <c r="J396" i="3" s="1"/>
  <c r="K396" i="3" s="1"/>
  <c r="L396" i="3" s="1"/>
  <c r="M396" i="3" s="1"/>
  <c r="N396" i="3" s="1"/>
  <c r="F389" i="3"/>
  <c r="G389" i="3" s="1"/>
  <c r="H389" i="3" s="1"/>
  <c r="I389" i="3" s="1"/>
  <c r="J389" i="3" s="1"/>
  <c r="K389" i="3" s="1"/>
  <c r="L389" i="3" s="1"/>
  <c r="M389" i="3" s="1"/>
  <c r="N389" i="3" s="1"/>
  <c r="F384" i="3"/>
  <c r="G384" i="3" s="1"/>
  <c r="H384" i="3" s="1"/>
  <c r="I384" i="3" s="1"/>
  <c r="J384" i="3" s="1"/>
  <c r="K384" i="3" s="1"/>
  <c r="L384" i="3" s="1"/>
  <c r="M384" i="3" s="1"/>
  <c r="N384" i="3" s="1"/>
  <c r="F378" i="3"/>
  <c r="G378" i="3" s="1"/>
  <c r="H378" i="3" s="1"/>
  <c r="I378" i="3" s="1"/>
  <c r="J378" i="3" s="1"/>
  <c r="K378" i="3" s="1"/>
  <c r="L378" i="3" s="1"/>
  <c r="M378" i="3" s="1"/>
  <c r="N378" i="3" s="1"/>
  <c r="F373" i="3"/>
  <c r="G373" i="3" s="1"/>
  <c r="H373" i="3" s="1"/>
  <c r="I373" i="3" s="1"/>
  <c r="J373" i="3" s="1"/>
  <c r="K373" i="3" s="1"/>
  <c r="L373" i="3" s="1"/>
  <c r="M373" i="3" s="1"/>
  <c r="N373" i="3" s="1"/>
  <c r="F368" i="3"/>
  <c r="G368" i="3" s="1"/>
  <c r="H368" i="3" s="1"/>
  <c r="I368" i="3" s="1"/>
  <c r="J368" i="3" s="1"/>
  <c r="K368" i="3" s="1"/>
  <c r="L368" i="3" s="1"/>
  <c r="M368" i="3" s="1"/>
  <c r="N368" i="3" s="1"/>
  <c r="F363" i="3"/>
  <c r="G363" i="3" s="1"/>
  <c r="H363" i="3" s="1"/>
  <c r="I363" i="3" s="1"/>
  <c r="J363" i="3" s="1"/>
  <c r="K363" i="3" s="1"/>
  <c r="L363" i="3" s="1"/>
  <c r="M363" i="3" s="1"/>
  <c r="N363" i="3" s="1"/>
  <c r="F359" i="3"/>
  <c r="G359" i="3" s="1"/>
  <c r="H359" i="3" s="1"/>
  <c r="I359" i="3" s="1"/>
  <c r="J359" i="3" s="1"/>
  <c r="K359" i="3" s="1"/>
  <c r="L359" i="3" s="1"/>
  <c r="M359" i="3" s="1"/>
  <c r="N359" i="3" s="1"/>
  <c r="F355" i="3"/>
  <c r="G355" i="3" s="1"/>
  <c r="H355" i="3" s="1"/>
  <c r="I355" i="3" s="1"/>
  <c r="J355" i="3" s="1"/>
  <c r="K355" i="3" s="1"/>
  <c r="L355" i="3" s="1"/>
  <c r="M355" i="3" s="1"/>
  <c r="N355" i="3" s="1"/>
  <c r="F351" i="3"/>
  <c r="G351" i="3" s="1"/>
  <c r="H351" i="3" s="1"/>
  <c r="I351" i="3" s="1"/>
  <c r="J351" i="3" s="1"/>
  <c r="K351" i="3" s="1"/>
  <c r="L351" i="3" s="1"/>
  <c r="M351" i="3" s="1"/>
  <c r="N351" i="3" s="1"/>
  <c r="F346" i="3"/>
  <c r="G346" i="3" s="1"/>
  <c r="H346" i="3" s="1"/>
  <c r="I346" i="3" s="1"/>
  <c r="J346" i="3" s="1"/>
  <c r="K346" i="3" s="1"/>
  <c r="L346" i="3" s="1"/>
  <c r="M346" i="3" s="1"/>
  <c r="N346" i="3" s="1"/>
  <c r="F341" i="3"/>
  <c r="G341" i="3" s="1"/>
  <c r="H341" i="3" s="1"/>
  <c r="I341" i="3" s="1"/>
  <c r="J341" i="3" s="1"/>
  <c r="K341" i="3" s="1"/>
  <c r="L341" i="3" s="1"/>
  <c r="M341" i="3" s="1"/>
  <c r="N341" i="3" s="1"/>
  <c r="F336" i="3"/>
  <c r="G336" i="3" s="1"/>
  <c r="H336" i="3" s="1"/>
  <c r="I336" i="3" s="1"/>
  <c r="J336" i="3" s="1"/>
  <c r="K336" i="3" s="1"/>
  <c r="L336" i="3" s="1"/>
  <c r="M336" i="3" s="1"/>
  <c r="N336" i="3" s="1"/>
  <c r="F331" i="3"/>
  <c r="G331" i="3" s="1"/>
  <c r="H331" i="3" s="1"/>
  <c r="I331" i="3" s="1"/>
  <c r="J331" i="3" s="1"/>
  <c r="K331" i="3" s="1"/>
  <c r="L331" i="3" s="1"/>
  <c r="M331" i="3" s="1"/>
  <c r="N331" i="3" s="1"/>
  <c r="F326" i="3"/>
  <c r="G326" i="3" s="1"/>
  <c r="H326" i="3" s="1"/>
  <c r="I326" i="3" s="1"/>
  <c r="J326" i="3" s="1"/>
  <c r="K326" i="3" s="1"/>
  <c r="L326" i="3" s="1"/>
  <c r="M326" i="3" s="1"/>
  <c r="N326" i="3" s="1"/>
  <c r="F321" i="3"/>
  <c r="G321" i="3" s="1"/>
  <c r="H321" i="3" s="1"/>
  <c r="I321" i="3" s="1"/>
  <c r="J321" i="3" s="1"/>
  <c r="K321" i="3" s="1"/>
  <c r="L321" i="3" s="1"/>
  <c r="M321" i="3" s="1"/>
  <c r="N321" i="3" s="1"/>
  <c r="F311" i="3"/>
  <c r="G311" i="3" s="1"/>
  <c r="H311" i="3" s="1"/>
  <c r="I311" i="3" s="1"/>
  <c r="J311" i="3" s="1"/>
  <c r="K311" i="3" s="1"/>
  <c r="L311" i="3" s="1"/>
  <c r="M311" i="3" s="1"/>
  <c r="N311" i="3" s="1"/>
  <c r="F307" i="3"/>
  <c r="G307" i="3" s="1"/>
  <c r="H307" i="3" s="1"/>
  <c r="I307" i="3" s="1"/>
  <c r="J307" i="3" s="1"/>
  <c r="K307" i="3" s="1"/>
  <c r="L307" i="3" s="1"/>
  <c r="M307" i="3" s="1"/>
  <c r="N307" i="3" s="1"/>
  <c r="F303" i="3"/>
  <c r="G303" i="3" s="1"/>
  <c r="H303" i="3" s="1"/>
  <c r="I303" i="3" s="1"/>
  <c r="J303" i="3" s="1"/>
  <c r="K303" i="3" s="1"/>
  <c r="L303" i="3" s="1"/>
  <c r="M303" i="3" s="1"/>
  <c r="N303" i="3" s="1"/>
  <c r="F298" i="3"/>
  <c r="G298" i="3" s="1"/>
  <c r="H298" i="3" s="1"/>
  <c r="I298" i="3" s="1"/>
  <c r="J298" i="3" s="1"/>
  <c r="K298" i="3" s="1"/>
  <c r="L298" i="3" s="1"/>
  <c r="M298" i="3" s="1"/>
  <c r="N298" i="3" s="1"/>
  <c r="F277" i="3"/>
  <c r="G277" i="3" s="1"/>
  <c r="H277" i="3" s="1"/>
  <c r="I277" i="3" s="1"/>
  <c r="J277" i="3" s="1"/>
  <c r="K277" i="3" s="1"/>
  <c r="L277" i="3" s="1"/>
  <c r="M277" i="3" s="1"/>
  <c r="N277" i="3" s="1"/>
  <c r="F269" i="3"/>
  <c r="G269" i="3" s="1"/>
  <c r="H269" i="3" s="1"/>
  <c r="I269" i="3" s="1"/>
  <c r="J269" i="3" s="1"/>
  <c r="K269" i="3" s="1"/>
  <c r="L269" i="3" s="1"/>
  <c r="M269" i="3" s="1"/>
  <c r="N269" i="3" s="1"/>
  <c r="F264" i="3"/>
  <c r="G264" i="3" s="1"/>
  <c r="H264" i="3" s="1"/>
  <c r="I264" i="3" s="1"/>
  <c r="J264" i="3" s="1"/>
  <c r="K264" i="3" s="1"/>
  <c r="L264" i="3" s="1"/>
  <c r="M264" i="3" s="1"/>
  <c r="N264" i="3" s="1"/>
  <c r="F259" i="3"/>
  <c r="G259" i="3" s="1"/>
  <c r="H259" i="3" s="1"/>
  <c r="I259" i="3" s="1"/>
  <c r="J259" i="3" s="1"/>
  <c r="K259" i="3" s="1"/>
  <c r="L259" i="3" s="1"/>
  <c r="M259" i="3" s="1"/>
  <c r="N259" i="3" s="1"/>
  <c r="F254" i="3"/>
  <c r="G254" i="3" s="1"/>
  <c r="H254" i="3" s="1"/>
  <c r="I254" i="3" s="1"/>
  <c r="J254" i="3" s="1"/>
  <c r="K254" i="3" s="1"/>
  <c r="L254" i="3" s="1"/>
  <c r="M254" i="3" s="1"/>
  <c r="N254" i="3" s="1"/>
  <c r="F249" i="3"/>
  <c r="G249" i="3" s="1"/>
  <c r="H249" i="3" s="1"/>
  <c r="I249" i="3" s="1"/>
  <c r="J249" i="3" s="1"/>
  <c r="K249" i="3" s="1"/>
  <c r="L249" i="3" s="1"/>
  <c r="M249" i="3" s="1"/>
  <c r="N249" i="3" s="1"/>
  <c r="F244" i="3"/>
  <c r="G244" i="3" s="1"/>
  <c r="H244" i="3" s="1"/>
  <c r="I244" i="3" s="1"/>
  <c r="J244" i="3" s="1"/>
  <c r="K244" i="3" s="1"/>
  <c r="L244" i="3" s="1"/>
  <c r="M244" i="3" s="1"/>
  <c r="N244" i="3" s="1"/>
  <c r="F240" i="3"/>
  <c r="G240" i="3" s="1"/>
  <c r="H240" i="3" s="1"/>
  <c r="I240" i="3" s="1"/>
  <c r="J240" i="3" s="1"/>
  <c r="K240" i="3" s="1"/>
  <c r="L240" i="3" s="1"/>
  <c r="M240" i="3" s="1"/>
  <c r="N240" i="3" s="1"/>
  <c r="F235" i="3"/>
  <c r="G235" i="3" s="1"/>
  <c r="H235" i="3" s="1"/>
  <c r="I235" i="3" s="1"/>
  <c r="J235" i="3" s="1"/>
  <c r="K235" i="3" s="1"/>
  <c r="L235" i="3" s="1"/>
  <c r="M235" i="3" s="1"/>
  <c r="N235" i="3" s="1"/>
  <c r="F231" i="3"/>
  <c r="G231" i="3" s="1"/>
  <c r="H231" i="3" s="1"/>
  <c r="I231" i="3" s="1"/>
  <c r="J231" i="3" s="1"/>
  <c r="K231" i="3" s="1"/>
  <c r="L231" i="3" s="1"/>
  <c r="M231" i="3" s="1"/>
  <c r="N231" i="3" s="1"/>
  <c r="F227" i="3"/>
  <c r="G227" i="3" s="1"/>
  <c r="H227" i="3" s="1"/>
  <c r="I227" i="3" s="1"/>
  <c r="J227" i="3" s="1"/>
  <c r="K227" i="3" s="1"/>
  <c r="L227" i="3" s="1"/>
  <c r="M227" i="3" s="1"/>
  <c r="N227" i="3" s="1"/>
  <c r="F223" i="3"/>
  <c r="G223" i="3" s="1"/>
  <c r="H223" i="3" s="1"/>
  <c r="I223" i="3" s="1"/>
  <c r="J223" i="3" s="1"/>
  <c r="K223" i="3" s="1"/>
  <c r="L223" i="3" s="1"/>
  <c r="M223" i="3" s="1"/>
  <c r="N223" i="3" s="1"/>
  <c r="F201" i="3"/>
  <c r="G201" i="3" s="1"/>
  <c r="H201" i="3" s="1"/>
  <c r="I201" i="3" s="1"/>
  <c r="J201" i="3" s="1"/>
  <c r="K201" i="3" s="1"/>
  <c r="L201" i="3" s="1"/>
  <c r="M201" i="3" s="1"/>
  <c r="N201" i="3" s="1"/>
  <c r="F194" i="3"/>
  <c r="G194" i="3" s="1"/>
  <c r="H194" i="3" s="1"/>
  <c r="I194" i="3" s="1"/>
  <c r="J194" i="3" s="1"/>
  <c r="K194" i="3" s="1"/>
  <c r="L194" i="3" s="1"/>
  <c r="M194" i="3" s="1"/>
  <c r="N194" i="3" s="1"/>
  <c r="F190" i="3"/>
  <c r="G190" i="3" s="1"/>
  <c r="H190" i="3" s="1"/>
  <c r="I190" i="3" s="1"/>
  <c r="J190" i="3" s="1"/>
  <c r="K190" i="3" s="1"/>
  <c r="L190" i="3" s="1"/>
  <c r="M190" i="3" s="1"/>
  <c r="N190" i="3" s="1"/>
  <c r="F185" i="3"/>
  <c r="G185" i="3" s="1"/>
  <c r="H185" i="3" s="1"/>
  <c r="I185" i="3" s="1"/>
  <c r="J185" i="3" s="1"/>
  <c r="K185" i="3" s="1"/>
  <c r="L185" i="3" s="1"/>
  <c r="M185" i="3" s="1"/>
  <c r="N185" i="3" s="1"/>
  <c r="F181" i="3"/>
  <c r="G181" i="3" s="1"/>
  <c r="H181" i="3" s="1"/>
  <c r="I181" i="3" s="1"/>
  <c r="J181" i="3" s="1"/>
  <c r="K181" i="3" s="1"/>
  <c r="L181" i="3" s="1"/>
  <c r="M181" i="3" s="1"/>
  <c r="N181" i="3" s="1"/>
  <c r="F177" i="3"/>
  <c r="G177" i="3" s="1"/>
  <c r="H177" i="3" s="1"/>
  <c r="I177" i="3" s="1"/>
  <c r="J177" i="3" s="1"/>
  <c r="K177" i="3" s="1"/>
  <c r="L177" i="3" s="1"/>
  <c r="M177" i="3" s="1"/>
  <c r="N177" i="3" s="1"/>
  <c r="F134" i="3"/>
  <c r="G134" i="3" s="1"/>
  <c r="H134" i="3" s="1"/>
  <c r="I134" i="3" s="1"/>
  <c r="J134" i="3" s="1"/>
  <c r="K134" i="3" s="1"/>
  <c r="L134" i="3" s="1"/>
  <c r="M134" i="3" s="1"/>
  <c r="N134" i="3" s="1"/>
  <c r="F130" i="3"/>
  <c r="G130" i="3" s="1"/>
  <c r="H130" i="3" s="1"/>
  <c r="I130" i="3" s="1"/>
  <c r="J130" i="3" s="1"/>
  <c r="K130" i="3" s="1"/>
  <c r="L130" i="3" s="1"/>
  <c r="M130" i="3" s="1"/>
  <c r="N130" i="3" s="1"/>
  <c r="F126" i="3"/>
  <c r="G126" i="3" s="1"/>
  <c r="H126" i="3" s="1"/>
  <c r="I126" i="3" s="1"/>
  <c r="J126" i="3" s="1"/>
  <c r="K126" i="3" s="1"/>
  <c r="L126" i="3" s="1"/>
  <c r="M126" i="3" s="1"/>
  <c r="N126" i="3" s="1"/>
  <c r="F121" i="3"/>
  <c r="G121" i="3" s="1"/>
  <c r="H121" i="3" s="1"/>
  <c r="I121" i="3" s="1"/>
  <c r="J121" i="3" s="1"/>
  <c r="K121" i="3" s="1"/>
  <c r="L121" i="3" s="1"/>
  <c r="M121" i="3" s="1"/>
  <c r="N121" i="3" s="1"/>
  <c r="F117" i="3"/>
  <c r="G117" i="3" s="1"/>
  <c r="H117" i="3" s="1"/>
  <c r="I117" i="3" s="1"/>
  <c r="J117" i="3" s="1"/>
  <c r="K117" i="3" s="1"/>
  <c r="L117" i="3" s="1"/>
  <c r="M117" i="3" s="1"/>
  <c r="N117" i="3" s="1"/>
  <c r="F110" i="3"/>
  <c r="G110" i="3" s="1"/>
  <c r="H110" i="3" s="1"/>
  <c r="I110" i="3" s="1"/>
  <c r="J110" i="3" s="1"/>
  <c r="K110" i="3" s="1"/>
  <c r="L110" i="3" s="1"/>
  <c r="M110" i="3" s="1"/>
  <c r="N110" i="3" s="1"/>
  <c r="F106" i="3"/>
  <c r="G106" i="3" s="1"/>
  <c r="H106" i="3" s="1"/>
  <c r="I106" i="3" s="1"/>
  <c r="J106" i="3" s="1"/>
  <c r="K106" i="3" s="1"/>
  <c r="L106" i="3" s="1"/>
  <c r="M106" i="3" s="1"/>
  <c r="N106" i="3" s="1"/>
  <c r="F102" i="3"/>
  <c r="G102" i="3" s="1"/>
  <c r="H102" i="3" s="1"/>
  <c r="I102" i="3" s="1"/>
  <c r="J102" i="3" s="1"/>
  <c r="K102" i="3" s="1"/>
  <c r="L102" i="3" s="1"/>
  <c r="M102" i="3" s="1"/>
  <c r="N102" i="3" s="1"/>
  <c r="F90" i="3"/>
  <c r="G90" i="3" s="1"/>
  <c r="H90" i="3" s="1"/>
  <c r="I90" i="3" s="1"/>
  <c r="J90" i="3" s="1"/>
  <c r="K90" i="3" s="1"/>
  <c r="L90" i="3" s="1"/>
  <c r="M90" i="3" s="1"/>
  <c r="N90" i="3" s="1"/>
  <c r="F85" i="3"/>
  <c r="G85" i="3" s="1"/>
  <c r="H85" i="3" s="1"/>
  <c r="I85" i="3" s="1"/>
  <c r="J85" i="3" s="1"/>
  <c r="K85" i="3" s="1"/>
  <c r="L85" i="3" s="1"/>
  <c r="M85" i="3" s="1"/>
  <c r="N85" i="3" s="1"/>
  <c r="F80" i="3"/>
  <c r="G80" i="3" s="1"/>
  <c r="H80" i="3" s="1"/>
  <c r="I80" i="3" s="1"/>
  <c r="J80" i="3" s="1"/>
  <c r="K80" i="3" s="1"/>
  <c r="L80" i="3" s="1"/>
  <c r="M80" i="3" s="1"/>
  <c r="N80" i="3" s="1"/>
  <c r="F75" i="3"/>
  <c r="G75" i="3" s="1"/>
  <c r="H75" i="3" s="1"/>
  <c r="I75" i="3" s="1"/>
  <c r="J75" i="3" s="1"/>
  <c r="K75" i="3" s="1"/>
  <c r="L75" i="3" s="1"/>
  <c r="M75" i="3" s="1"/>
  <c r="N75" i="3" s="1"/>
  <c r="F63" i="3"/>
  <c r="G63" i="3" s="1"/>
  <c r="H63" i="3" s="1"/>
  <c r="I63" i="3" s="1"/>
  <c r="J63" i="3" s="1"/>
  <c r="K63" i="3" s="1"/>
  <c r="L63" i="3" s="1"/>
  <c r="M63" i="3" s="1"/>
  <c r="N63" i="3" s="1"/>
  <c r="F58" i="3"/>
  <c r="G58" i="3" s="1"/>
  <c r="H58" i="3" s="1"/>
  <c r="I58" i="3" s="1"/>
  <c r="J58" i="3" s="1"/>
  <c r="K58" i="3" s="1"/>
  <c r="L58" i="3" s="1"/>
  <c r="M58" i="3" s="1"/>
  <c r="N58" i="3" s="1"/>
  <c r="F692" i="3"/>
  <c r="G692" i="3" s="1"/>
  <c r="H692" i="3" s="1"/>
  <c r="I692" i="3" s="1"/>
  <c r="J692" i="3" s="1"/>
  <c r="K692" i="3" s="1"/>
  <c r="L692" i="3" s="1"/>
  <c r="M692" i="3" s="1"/>
  <c r="N692" i="3" s="1"/>
  <c r="F687" i="3"/>
  <c r="G687" i="3" s="1"/>
  <c r="H687" i="3" s="1"/>
  <c r="I687" i="3" s="1"/>
  <c r="J687" i="3" s="1"/>
  <c r="K687" i="3" s="1"/>
  <c r="L687" i="3" s="1"/>
  <c r="M687" i="3" s="1"/>
  <c r="N687" i="3" s="1"/>
  <c r="F682" i="3"/>
  <c r="G682" i="3" s="1"/>
  <c r="H682" i="3" s="1"/>
  <c r="I682" i="3" s="1"/>
  <c r="J682" i="3" s="1"/>
  <c r="K682" i="3" s="1"/>
  <c r="L682" i="3" s="1"/>
  <c r="M682" i="3" s="1"/>
  <c r="N682" i="3" s="1"/>
  <c r="F676" i="3"/>
  <c r="G676" i="3" s="1"/>
  <c r="H676" i="3" s="1"/>
  <c r="I676" i="3" s="1"/>
  <c r="J676" i="3" s="1"/>
  <c r="K676" i="3" s="1"/>
  <c r="L676" i="3" s="1"/>
  <c r="M676" i="3" s="1"/>
  <c r="N676" i="3" s="1"/>
  <c r="F656" i="3"/>
  <c r="G656" i="3" s="1"/>
  <c r="H656" i="3" s="1"/>
  <c r="I656" i="3" s="1"/>
  <c r="J656" i="3" s="1"/>
  <c r="K656" i="3" s="1"/>
  <c r="L656" i="3" s="1"/>
  <c r="M656" i="3" s="1"/>
  <c r="N656" i="3" s="1"/>
  <c r="F652" i="3"/>
  <c r="G652" i="3" s="1"/>
  <c r="H652" i="3" s="1"/>
  <c r="I652" i="3" s="1"/>
  <c r="J652" i="3" s="1"/>
  <c r="K652" i="3" s="1"/>
  <c r="L652" i="3" s="1"/>
  <c r="M652" i="3" s="1"/>
  <c r="N652" i="3" s="1"/>
  <c r="F647" i="3"/>
  <c r="G647" i="3" s="1"/>
  <c r="H647" i="3" s="1"/>
  <c r="I647" i="3" s="1"/>
  <c r="J647" i="3" s="1"/>
  <c r="K647" i="3" s="1"/>
  <c r="L647" i="3" s="1"/>
  <c r="M647" i="3" s="1"/>
  <c r="N647" i="3" s="1"/>
  <c r="F643" i="3"/>
  <c r="G643" i="3" s="1"/>
  <c r="H643" i="3" s="1"/>
  <c r="I643" i="3" s="1"/>
  <c r="J643" i="3" s="1"/>
  <c r="K643" i="3" s="1"/>
  <c r="L643" i="3" s="1"/>
  <c r="M643" i="3" s="1"/>
  <c r="N643" i="3" s="1"/>
  <c r="F639" i="3"/>
  <c r="G639" i="3" s="1"/>
  <c r="H639" i="3" s="1"/>
  <c r="I639" i="3" s="1"/>
  <c r="J639" i="3" s="1"/>
  <c r="K639" i="3" s="1"/>
  <c r="L639" i="3" s="1"/>
  <c r="M639" i="3" s="1"/>
  <c r="N639" i="3" s="1"/>
  <c r="F634" i="3"/>
  <c r="G634" i="3" s="1"/>
  <c r="H634" i="3" s="1"/>
  <c r="I634" i="3" s="1"/>
  <c r="J634" i="3" s="1"/>
  <c r="K634" i="3" s="1"/>
  <c r="L634" i="3" s="1"/>
  <c r="M634" i="3" s="1"/>
  <c r="N634" i="3" s="1"/>
  <c r="F629" i="3"/>
  <c r="G629" i="3" s="1"/>
  <c r="H629" i="3" s="1"/>
  <c r="I629" i="3" s="1"/>
  <c r="J629" i="3" s="1"/>
  <c r="K629" i="3" s="1"/>
  <c r="L629" i="3" s="1"/>
  <c r="M629" i="3" s="1"/>
  <c r="N629" i="3" s="1"/>
  <c r="F623" i="3"/>
  <c r="G623" i="3" s="1"/>
  <c r="H623" i="3" s="1"/>
  <c r="I623" i="3" s="1"/>
  <c r="J623" i="3" s="1"/>
  <c r="K623" i="3" s="1"/>
  <c r="L623" i="3" s="1"/>
  <c r="M623" i="3" s="1"/>
  <c r="N623" i="3" s="1"/>
  <c r="F619" i="3"/>
  <c r="G619" i="3" s="1"/>
  <c r="H619" i="3" s="1"/>
  <c r="I619" i="3" s="1"/>
  <c r="J619" i="3" s="1"/>
  <c r="K619" i="3" s="1"/>
  <c r="L619" i="3" s="1"/>
  <c r="M619" i="3" s="1"/>
  <c r="N619" i="3" s="1"/>
  <c r="F614" i="3"/>
  <c r="G614" i="3" s="1"/>
  <c r="H614" i="3" s="1"/>
  <c r="I614" i="3" s="1"/>
  <c r="J614" i="3" s="1"/>
  <c r="K614" i="3" s="1"/>
  <c r="L614" i="3" s="1"/>
  <c r="M614" i="3" s="1"/>
  <c r="N614" i="3" s="1"/>
  <c r="F609" i="3"/>
  <c r="G609" i="3" s="1"/>
  <c r="H609" i="3" s="1"/>
  <c r="I609" i="3" s="1"/>
  <c r="J609" i="3" s="1"/>
  <c r="K609" i="3" s="1"/>
  <c r="L609" i="3" s="1"/>
  <c r="M609" i="3" s="1"/>
  <c r="N609" i="3" s="1"/>
  <c r="F605" i="3"/>
  <c r="G605" i="3" s="1"/>
  <c r="H605" i="3" s="1"/>
  <c r="I605" i="3" s="1"/>
  <c r="J605" i="3" s="1"/>
  <c r="K605" i="3" s="1"/>
  <c r="L605" i="3" s="1"/>
  <c r="M605" i="3" s="1"/>
  <c r="N605" i="3" s="1"/>
  <c r="F600" i="3"/>
  <c r="G600" i="3" s="1"/>
  <c r="H600" i="3" s="1"/>
  <c r="I600" i="3" s="1"/>
  <c r="J600" i="3" s="1"/>
  <c r="K600" i="3" s="1"/>
  <c r="L600" i="3" s="1"/>
  <c r="M600" i="3" s="1"/>
  <c r="N600" i="3" s="1"/>
  <c r="F579" i="3"/>
  <c r="G579" i="3" s="1"/>
  <c r="H579" i="3" s="1"/>
  <c r="I579" i="3" s="1"/>
  <c r="J579" i="3" s="1"/>
  <c r="K579" i="3" s="1"/>
  <c r="L579" i="3" s="1"/>
  <c r="M579" i="3" s="1"/>
  <c r="N579" i="3" s="1"/>
  <c r="F574" i="3"/>
  <c r="G574" i="3" s="1"/>
  <c r="H574" i="3" s="1"/>
  <c r="I574" i="3" s="1"/>
  <c r="J574" i="3" s="1"/>
  <c r="K574" i="3" s="1"/>
  <c r="L574" i="3" s="1"/>
  <c r="M574" i="3" s="1"/>
  <c r="N574" i="3" s="1"/>
  <c r="F527" i="3"/>
  <c r="G527" i="3" s="1"/>
  <c r="H527" i="3" s="1"/>
  <c r="I527" i="3" s="1"/>
  <c r="J527" i="3" s="1"/>
  <c r="K527" i="3" s="1"/>
  <c r="L527" i="3" s="1"/>
  <c r="M527" i="3" s="1"/>
  <c r="N527" i="3" s="1"/>
  <c r="F522" i="3"/>
  <c r="G522" i="3" s="1"/>
  <c r="H522" i="3" s="1"/>
  <c r="I522" i="3" s="1"/>
  <c r="J522" i="3" s="1"/>
  <c r="K522" i="3" s="1"/>
  <c r="L522" i="3" s="1"/>
  <c r="M522" i="3" s="1"/>
  <c r="N522" i="3" s="1"/>
  <c r="F517" i="3"/>
  <c r="G517" i="3" s="1"/>
  <c r="H517" i="3" s="1"/>
  <c r="I517" i="3" s="1"/>
  <c r="J517" i="3" s="1"/>
  <c r="K517" i="3" s="1"/>
  <c r="L517" i="3" s="1"/>
  <c r="M517" i="3" s="1"/>
  <c r="N517" i="3" s="1"/>
  <c r="F511" i="3"/>
  <c r="G511" i="3" s="1"/>
  <c r="H511" i="3" s="1"/>
  <c r="I511" i="3" s="1"/>
  <c r="J511" i="3" s="1"/>
  <c r="K511" i="3" s="1"/>
  <c r="L511" i="3" s="1"/>
  <c r="M511" i="3" s="1"/>
  <c r="N511" i="3" s="1"/>
  <c r="F506" i="3"/>
  <c r="G506" i="3" s="1"/>
  <c r="H506" i="3" s="1"/>
  <c r="I506" i="3" s="1"/>
  <c r="J506" i="3" s="1"/>
  <c r="K506" i="3" s="1"/>
  <c r="L506" i="3" s="1"/>
  <c r="M506" i="3" s="1"/>
  <c r="N506" i="3" s="1"/>
  <c r="F501" i="3"/>
  <c r="G501" i="3" s="1"/>
  <c r="H501" i="3" s="1"/>
  <c r="I501" i="3" s="1"/>
  <c r="J501" i="3" s="1"/>
  <c r="K501" i="3" s="1"/>
  <c r="L501" i="3" s="1"/>
  <c r="M501" i="3" s="1"/>
  <c r="N501" i="3" s="1"/>
  <c r="F496" i="3"/>
  <c r="G496" i="3" s="1"/>
  <c r="H496" i="3" s="1"/>
  <c r="I496" i="3" s="1"/>
  <c r="J496" i="3" s="1"/>
  <c r="K496" i="3" s="1"/>
  <c r="L496" i="3" s="1"/>
  <c r="M496" i="3" s="1"/>
  <c r="N496" i="3" s="1"/>
  <c r="F466" i="3"/>
  <c r="G466" i="3" s="1"/>
  <c r="H466" i="3" s="1"/>
  <c r="I466" i="3" s="1"/>
  <c r="J466" i="3" s="1"/>
  <c r="K466" i="3" s="1"/>
  <c r="L466" i="3" s="1"/>
  <c r="M466" i="3" s="1"/>
  <c r="N466" i="3" s="1"/>
  <c r="F461" i="3"/>
  <c r="G461" i="3" s="1"/>
  <c r="H461" i="3" s="1"/>
  <c r="I461" i="3" s="1"/>
  <c r="J461" i="3" s="1"/>
  <c r="K461" i="3" s="1"/>
  <c r="L461" i="3" s="1"/>
  <c r="M461" i="3" s="1"/>
  <c r="N461" i="3" s="1"/>
  <c r="F457" i="3"/>
  <c r="G457" i="3" s="1"/>
  <c r="H457" i="3" s="1"/>
  <c r="I457" i="3" s="1"/>
  <c r="J457" i="3" s="1"/>
  <c r="K457" i="3" s="1"/>
  <c r="L457" i="3" s="1"/>
  <c r="M457" i="3" s="1"/>
  <c r="N457" i="3" s="1"/>
  <c r="F453" i="3"/>
  <c r="G453" i="3" s="1"/>
  <c r="H453" i="3" s="1"/>
  <c r="I453" i="3" s="1"/>
  <c r="J453" i="3" s="1"/>
  <c r="K453" i="3" s="1"/>
  <c r="L453" i="3" s="1"/>
  <c r="M453" i="3" s="1"/>
  <c r="N453" i="3" s="1"/>
  <c r="F449" i="3"/>
  <c r="G449" i="3" s="1"/>
  <c r="H449" i="3" s="1"/>
  <c r="I449" i="3" s="1"/>
  <c r="J449" i="3" s="1"/>
  <c r="K449" i="3" s="1"/>
  <c r="L449" i="3" s="1"/>
  <c r="M449" i="3" s="1"/>
  <c r="N449" i="3" s="1"/>
  <c r="F445" i="3"/>
  <c r="G445" i="3" s="1"/>
  <c r="H445" i="3" s="1"/>
  <c r="I445" i="3" s="1"/>
  <c r="J445" i="3" s="1"/>
  <c r="K445" i="3" s="1"/>
  <c r="L445" i="3" s="1"/>
  <c r="M445" i="3" s="1"/>
  <c r="N445" i="3" s="1"/>
  <c r="F401" i="3"/>
  <c r="G401" i="3" s="1"/>
  <c r="H401" i="3" s="1"/>
  <c r="I401" i="3" s="1"/>
  <c r="J401" i="3" s="1"/>
  <c r="K401" i="3" s="1"/>
  <c r="L401" i="3" s="1"/>
  <c r="M401" i="3" s="1"/>
  <c r="N401" i="3" s="1"/>
  <c r="F393" i="3"/>
  <c r="G393" i="3" s="1"/>
  <c r="H393" i="3" s="1"/>
  <c r="I393" i="3" s="1"/>
  <c r="J393" i="3" s="1"/>
  <c r="K393" i="3" s="1"/>
  <c r="L393" i="3" s="1"/>
  <c r="M393" i="3" s="1"/>
  <c r="N393" i="3" s="1"/>
  <c r="F388" i="3"/>
  <c r="G388" i="3" s="1"/>
  <c r="H388" i="3" s="1"/>
  <c r="I388" i="3" s="1"/>
  <c r="J388" i="3" s="1"/>
  <c r="K388" i="3" s="1"/>
  <c r="L388" i="3" s="1"/>
  <c r="M388" i="3" s="1"/>
  <c r="N388" i="3" s="1"/>
  <c r="F382" i="3"/>
  <c r="G382" i="3" s="1"/>
  <c r="H382" i="3" s="1"/>
  <c r="I382" i="3" s="1"/>
  <c r="J382" i="3" s="1"/>
  <c r="K382" i="3" s="1"/>
  <c r="L382" i="3" s="1"/>
  <c r="M382" i="3" s="1"/>
  <c r="N382" i="3" s="1"/>
  <c r="F377" i="3"/>
  <c r="G377" i="3" s="1"/>
  <c r="H377" i="3" s="1"/>
  <c r="I377" i="3" s="1"/>
  <c r="J377" i="3" s="1"/>
  <c r="K377" i="3" s="1"/>
  <c r="L377" i="3" s="1"/>
  <c r="M377" i="3" s="1"/>
  <c r="N377" i="3" s="1"/>
  <c r="F372" i="3"/>
  <c r="G372" i="3" s="1"/>
  <c r="H372" i="3" s="1"/>
  <c r="I372" i="3" s="1"/>
  <c r="J372" i="3" s="1"/>
  <c r="K372" i="3" s="1"/>
  <c r="L372" i="3" s="1"/>
  <c r="M372" i="3" s="1"/>
  <c r="N372" i="3" s="1"/>
  <c r="F366" i="3"/>
  <c r="G366" i="3" s="1"/>
  <c r="H366" i="3" s="1"/>
  <c r="I366" i="3" s="1"/>
  <c r="J366" i="3" s="1"/>
  <c r="K366" i="3" s="1"/>
  <c r="L366" i="3" s="1"/>
  <c r="M366" i="3" s="1"/>
  <c r="N366" i="3" s="1"/>
  <c r="F362" i="3"/>
  <c r="G362" i="3" s="1"/>
  <c r="H362" i="3" s="1"/>
  <c r="I362" i="3" s="1"/>
  <c r="J362" i="3" s="1"/>
  <c r="K362" i="3" s="1"/>
  <c r="L362" i="3" s="1"/>
  <c r="M362" i="3" s="1"/>
  <c r="N362" i="3" s="1"/>
  <c r="F358" i="3"/>
  <c r="G358" i="3" s="1"/>
  <c r="H358" i="3" s="1"/>
  <c r="I358" i="3" s="1"/>
  <c r="J358" i="3" s="1"/>
  <c r="K358" i="3" s="1"/>
  <c r="L358" i="3" s="1"/>
  <c r="M358" i="3" s="1"/>
  <c r="N358" i="3" s="1"/>
  <c r="F354" i="3"/>
  <c r="G354" i="3" s="1"/>
  <c r="H354" i="3" s="1"/>
  <c r="I354" i="3" s="1"/>
  <c r="J354" i="3" s="1"/>
  <c r="K354" i="3" s="1"/>
  <c r="L354" i="3" s="1"/>
  <c r="M354" i="3" s="1"/>
  <c r="N354" i="3" s="1"/>
  <c r="F350" i="3"/>
  <c r="G350" i="3" s="1"/>
  <c r="H350" i="3" s="1"/>
  <c r="I350" i="3" s="1"/>
  <c r="J350" i="3" s="1"/>
  <c r="K350" i="3" s="1"/>
  <c r="L350" i="3" s="1"/>
  <c r="M350" i="3" s="1"/>
  <c r="N350" i="3" s="1"/>
  <c r="F345" i="3"/>
  <c r="G345" i="3" s="1"/>
  <c r="H345" i="3" s="1"/>
  <c r="I345" i="3" s="1"/>
  <c r="J345" i="3" s="1"/>
  <c r="K345" i="3" s="1"/>
  <c r="L345" i="3" s="1"/>
  <c r="M345" i="3" s="1"/>
  <c r="N345" i="3" s="1"/>
  <c r="F340" i="3"/>
  <c r="G340" i="3" s="1"/>
  <c r="H340" i="3" s="1"/>
  <c r="I340" i="3" s="1"/>
  <c r="J340" i="3" s="1"/>
  <c r="K340" i="3" s="1"/>
  <c r="L340" i="3" s="1"/>
  <c r="M340" i="3" s="1"/>
  <c r="N340" i="3" s="1"/>
  <c r="F335" i="3"/>
  <c r="G335" i="3" s="1"/>
  <c r="H335" i="3" s="1"/>
  <c r="I335" i="3" s="1"/>
  <c r="J335" i="3" s="1"/>
  <c r="K335" i="3" s="1"/>
  <c r="L335" i="3" s="1"/>
  <c r="M335" i="3" s="1"/>
  <c r="N335" i="3" s="1"/>
  <c r="F329" i="3"/>
  <c r="G329" i="3" s="1"/>
  <c r="H329" i="3" s="1"/>
  <c r="I329" i="3" s="1"/>
  <c r="J329" i="3" s="1"/>
  <c r="K329" i="3" s="1"/>
  <c r="L329" i="3" s="1"/>
  <c r="M329" i="3" s="1"/>
  <c r="N329" i="3" s="1"/>
  <c r="F324" i="3"/>
  <c r="G324" i="3" s="1"/>
  <c r="H324" i="3" s="1"/>
  <c r="I324" i="3" s="1"/>
  <c r="J324" i="3" s="1"/>
  <c r="K324" i="3" s="1"/>
  <c r="L324" i="3" s="1"/>
  <c r="M324" i="3" s="1"/>
  <c r="N324" i="3" s="1"/>
  <c r="F319" i="3"/>
  <c r="G319" i="3" s="1"/>
  <c r="H319" i="3" s="1"/>
  <c r="I319" i="3" s="1"/>
  <c r="J319" i="3" s="1"/>
  <c r="K319" i="3" s="1"/>
  <c r="L319" i="3" s="1"/>
  <c r="M319" i="3" s="1"/>
  <c r="N319" i="3" s="1"/>
  <c r="F314" i="3"/>
  <c r="G314" i="3" s="1"/>
  <c r="H314" i="3" s="1"/>
  <c r="I314" i="3" s="1"/>
  <c r="J314" i="3" s="1"/>
  <c r="K314" i="3" s="1"/>
  <c r="L314" i="3" s="1"/>
  <c r="M314" i="3" s="1"/>
  <c r="N314" i="3" s="1"/>
  <c r="F310" i="3"/>
  <c r="G310" i="3" s="1"/>
  <c r="H310" i="3" s="1"/>
  <c r="I310" i="3" s="1"/>
  <c r="J310" i="3" s="1"/>
  <c r="K310" i="3" s="1"/>
  <c r="L310" i="3" s="1"/>
  <c r="M310" i="3" s="1"/>
  <c r="N310" i="3" s="1"/>
  <c r="F306" i="3"/>
  <c r="G306" i="3" s="1"/>
  <c r="H306" i="3" s="1"/>
  <c r="I306" i="3" s="1"/>
  <c r="J306" i="3" s="1"/>
  <c r="K306" i="3" s="1"/>
  <c r="L306" i="3" s="1"/>
  <c r="M306" i="3" s="1"/>
  <c r="N306" i="3" s="1"/>
  <c r="F302" i="3"/>
  <c r="G302" i="3" s="1"/>
  <c r="H302" i="3" s="1"/>
  <c r="I302" i="3" s="1"/>
  <c r="J302" i="3" s="1"/>
  <c r="K302" i="3" s="1"/>
  <c r="L302" i="3" s="1"/>
  <c r="M302" i="3" s="1"/>
  <c r="N302" i="3" s="1"/>
  <c r="F297" i="3"/>
  <c r="G297" i="3" s="1"/>
  <c r="H297" i="3" s="1"/>
  <c r="I297" i="3" s="1"/>
  <c r="J297" i="3" s="1"/>
  <c r="K297" i="3" s="1"/>
  <c r="L297" i="3" s="1"/>
  <c r="M297" i="3" s="1"/>
  <c r="N297" i="3" s="1"/>
  <c r="F276" i="3"/>
  <c r="G276" i="3" s="1"/>
  <c r="H276" i="3" s="1"/>
  <c r="I276" i="3" s="1"/>
  <c r="J276" i="3" s="1"/>
  <c r="K276" i="3" s="1"/>
  <c r="L276" i="3" s="1"/>
  <c r="M276" i="3" s="1"/>
  <c r="N276" i="3" s="1"/>
  <c r="F267" i="3"/>
  <c r="G267" i="3" s="1"/>
  <c r="H267" i="3" s="1"/>
  <c r="I267" i="3" s="1"/>
  <c r="J267" i="3" s="1"/>
  <c r="K267" i="3" s="1"/>
  <c r="L267" i="3" s="1"/>
  <c r="M267" i="3" s="1"/>
  <c r="N267" i="3" s="1"/>
  <c r="F263" i="3"/>
  <c r="G263" i="3" s="1"/>
  <c r="H263" i="3" s="1"/>
  <c r="I263" i="3" s="1"/>
  <c r="J263" i="3" s="1"/>
  <c r="K263" i="3" s="1"/>
  <c r="L263" i="3" s="1"/>
  <c r="M263" i="3" s="1"/>
  <c r="N263" i="3" s="1"/>
  <c r="F257" i="3"/>
  <c r="G257" i="3" s="1"/>
  <c r="H257" i="3" s="1"/>
  <c r="I257" i="3" s="1"/>
  <c r="J257" i="3" s="1"/>
  <c r="K257" i="3" s="1"/>
  <c r="L257" i="3" s="1"/>
  <c r="M257" i="3" s="1"/>
  <c r="N257" i="3" s="1"/>
  <c r="F253" i="3"/>
  <c r="G253" i="3" s="1"/>
  <c r="H253" i="3" s="1"/>
  <c r="I253" i="3" s="1"/>
  <c r="J253" i="3" s="1"/>
  <c r="K253" i="3" s="1"/>
  <c r="L253" i="3" s="1"/>
  <c r="M253" i="3" s="1"/>
  <c r="N253" i="3" s="1"/>
  <c r="F248" i="3"/>
  <c r="G248" i="3" s="1"/>
  <c r="H248" i="3" s="1"/>
  <c r="I248" i="3" s="1"/>
  <c r="J248" i="3" s="1"/>
  <c r="K248" i="3" s="1"/>
  <c r="L248" i="3" s="1"/>
  <c r="M248" i="3" s="1"/>
  <c r="N248" i="3" s="1"/>
  <c r="F243" i="3"/>
  <c r="G243" i="3" s="1"/>
  <c r="H243" i="3" s="1"/>
  <c r="I243" i="3" s="1"/>
  <c r="J243" i="3" s="1"/>
  <c r="K243" i="3" s="1"/>
  <c r="L243" i="3" s="1"/>
  <c r="M243" i="3" s="1"/>
  <c r="N243" i="3" s="1"/>
  <c r="F239" i="3"/>
  <c r="G239" i="3" s="1"/>
  <c r="H239" i="3" s="1"/>
  <c r="I239" i="3" s="1"/>
  <c r="J239" i="3" s="1"/>
  <c r="K239" i="3" s="1"/>
  <c r="L239" i="3" s="1"/>
  <c r="M239" i="3" s="1"/>
  <c r="N239" i="3" s="1"/>
  <c r="F234" i="3"/>
  <c r="G234" i="3" s="1"/>
  <c r="H234" i="3" s="1"/>
  <c r="I234" i="3" s="1"/>
  <c r="J234" i="3" s="1"/>
  <c r="K234" i="3" s="1"/>
  <c r="L234" i="3" s="1"/>
  <c r="M234" i="3" s="1"/>
  <c r="N234" i="3" s="1"/>
  <c r="F230" i="3"/>
  <c r="G230" i="3" s="1"/>
  <c r="H230" i="3" s="1"/>
  <c r="I230" i="3" s="1"/>
  <c r="J230" i="3" s="1"/>
  <c r="K230" i="3" s="1"/>
  <c r="L230" i="3" s="1"/>
  <c r="M230" i="3" s="1"/>
  <c r="N230" i="3" s="1"/>
  <c r="F226" i="3"/>
  <c r="G226" i="3" s="1"/>
  <c r="H226" i="3" s="1"/>
  <c r="I226" i="3" s="1"/>
  <c r="J226" i="3" s="1"/>
  <c r="K226" i="3" s="1"/>
  <c r="L226" i="3" s="1"/>
  <c r="M226" i="3" s="1"/>
  <c r="N226" i="3" s="1"/>
  <c r="F221" i="3"/>
  <c r="G221" i="3" s="1"/>
  <c r="H221" i="3" s="1"/>
  <c r="I221" i="3" s="1"/>
  <c r="J221" i="3" s="1"/>
  <c r="K221" i="3" s="1"/>
  <c r="L221" i="3" s="1"/>
  <c r="M221" i="3" s="1"/>
  <c r="N221" i="3" s="1"/>
  <c r="F200" i="3"/>
  <c r="G200" i="3" s="1"/>
  <c r="H200" i="3" s="1"/>
  <c r="I200" i="3" s="1"/>
  <c r="J200" i="3" s="1"/>
  <c r="K200" i="3" s="1"/>
  <c r="L200" i="3" s="1"/>
  <c r="M200" i="3" s="1"/>
  <c r="N200" i="3" s="1"/>
  <c r="F193" i="3"/>
  <c r="G193" i="3" s="1"/>
  <c r="H193" i="3" s="1"/>
  <c r="I193" i="3" s="1"/>
  <c r="J193" i="3" s="1"/>
  <c r="K193" i="3" s="1"/>
  <c r="L193" i="3" s="1"/>
  <c r="M193" i="3" s="1"/>
  <c r="N193" i="3" s="1"/>
  <c r="F189" i="3"/>
  <c r="G189" i="3" s="1"/>
  <c r="H189" i="3" s="1"/>
  <c r="I189" i="3" s="1"/>
  <c r="J189" i="3" s="1"/>
  <c r="K189" i="3" s="1"/>
  <c r="L189" i="3" s="1"/>
  <c r="M189" i="3" s="1"/>
  <c r="N189" i="3" s="1"/>
  <c r="F184" i="3"/>
  <c r="G184" i="3" s="1"/>
  <c r="H184" i="3" s="1"/>
  <c r="I184" i="3" s="1"/>
  <c r="J184" i="3" s="1"/>
  <c r="K184" i="3" s="1"/>
  <c r="L184" i="3" s="1"/>
  <c r="M184" i="3" s="1"/>
  <c r="N184" i="3" s="1"/>
  <c r="F180" i="3"/>
  <c r="G180" i="3" s="1"/>
  <c r="H180" i="3" s="1"/>
  <c r="I180" i="3" s="1"/>
  <c r="J180" i="3" s="1"/>
  <c r="K180" i="3" s="1"/>
  <c r="L180" i="3" s="1"/>
  <c r="M180" i="3" s="1"/>
  <c r="N180" i="3" s="1"/>
  <c r="F175" i="3"/>
  <c r="F133" i="3"/>
  <c r="G133" i="3" s="1"/>
  <c r="H133" i="3" s="1"/>
  <c r="I133" i="3" s="1"/>
  <c r="J133" i="3" s="1"/>
  <c r="K133" i="3" s="1"/>
  <c r="L133" i="3" s="1"/>
  <c r="M133" i="3" s="1"/>
  <c r="N133" i="3" s="1"/>
  <c r="F129" i="3"/>
  <c r="G129" i="3" s="1"/>
  <c r="H129" i="3" s="1"/>
  <c r="I129" i="3" s="1"/>
  <c r="J129" i="3" s="1"/>
  <c r="K129" i="3" s="1"/>
  <c r="L129" i="3" s="1"/>
  <c r="M129" i="3" s="1"/>
  <c r="N129" i="3" s="1"/>
  <c r="F125" i="3"/>
  <c r="G125" i="3" s="1"/>
  <c r="H125" i="3" s="1"/>
  <c r="I125" i="3" s="1"/>
  <c r="J125" i="3" s="1"/>
  <c r="K125" i="3" s="1"/>
  <c r="L125" i="3" s="1"/>
  <c r="M125" i="3" s="1"/>
  <c r="N125" i="3" s="1"/>
  <c r="F120" i="3"/>
  <c r="G120" i="3" s="1"/>
  <c r="H120" i="3" s="1"/>
  <c r="I120" i="3" s="1"/>
  <c r="J120" i="3" s="1"/>
  <c r="K120" i="3" s="1"/>
  <c r="L120" i="3" s="1"/>
  <c r="M120" i="3" s="1"/>
  <c r="N120" i="3" s="1"/>
  <c r="F115" i="3"/>
  <c r="G115" i="3" s="1"/>
  <c r="H115" i="3" s="1"/>
  <c r="I115" i="3" s="1"/>
  <c r="J115" i="3" s="1"/>
  <c r="K115" i="3" s="1"/>
  <c r="L115" i="3" s="1"/>
  <c r="M115" i="3" s="1"/>
  <c r="N115" i="3" s="1"/>
  <c r="F109" i="3"/>
  <c r="G109" i="3" s="1"/>
  <c r="H109" i="3" s="1"/>
  <c r="I109" i="3" s="1"/>
  <c r="J109" i="3" s="1"/>
  <c r="K109" i="3" s="1"/>
  <c r="L109" i="3" s="1"/>
  <c r="M109" i="3" s="1"/>
  <c r="N109" i="3" s="1"/>
  <c r="F105" i="3"/>
  <c r="G105" i="3" s="1"/>
  <c r="H105" i="3" s="1"/>
  <c r="I105" i="3" s="1"/>
  <c r="J105" i="3" s="1"/>
  <c r="K105" i="3" s="1"/>
  <c r="L105" i="3" s="1"/>
  <c r="M105" i="3" s="1"/>
  <c r="N105" i="3" s="1"/>
  <c r="F101" i="3"/>
  <c r="G101" i="3" s="1"/>
  <c r="H101" i="3" s="1"/>
  <c r="I101" i="3" s="1"/>
  <c r="J101" i="3" s="1"/>
  <c r="K101" i="3" s="1"/>
  <c r="L101" i="3" s="1"/>
  <c r="M101" i="3" s="1"/>
  <c r="N101" i="3" s="1"/>
  <c r="F89" i="3"/>
  <c r="G89" i="3" s="1"/>
  <c r="H89" i="3" s="1"/>
  <c r="I89" i="3" s="1"/>
  <c r="J89" i="3" s="1"/>
  <c r="K89" i="3" s="1"/>
  <c r="L89" i="3" s="1"/>
  <c r="M89" i="3" s="1"/>
  <c r="N89" i="3" s="1"/>
  <c r="F84" i="3"/>
  <c r="G84" i="3" s="1"/>
  <c r="H84" i="3" s="1"/>
  <c r="I84" i="3" s="1"/>
  <c r="J84" i="3" s="1"/>
  <c r="K84" i="3" s="1"/>
  <c r="L84" i="3" s="1"/>
  <c r="M84" i="3" s="1"/>
  <c r="N84" i="3" s="1"/>
  <c r="F79" i="3"/>
  <c r="G79" i="3" s="1"/>
  <c r="H79" i="3" s="1"/>
  <c r="I79" i="3" s="1"/>
  <c r="J79" i="3" s="1"/>
  <c r="K79" i="3" s="1"/>
  <c r="L79" i="3" s="1"/>
  <c r="M79" i="3" s="1"/>
  <c r="N79" i="3" s="1"/>
  <c r="F73" i="3"/>
  <c r="G73" i="3" s="1"/>
  <c r="H73" i="3" s="1"/>
  <c r="I73" i="3" s="1"/>
  <c r="J73" i="3" s="1"/>
  <c r="K73" i="3" s="1"/>
  <c r="L73" i="3" s="1"/>
  <c r="M73" i="3" s="1"/>
  <c r="N73" i="3" s="1"/>
  <c r="F62" i="3"/>
  <c r="G62" i="3" s="1"/>
  <c r="H62" i="3" s="1"/>
  <c r="I62" i="3" s="1"/>
  <c r="J62" i="3" s="1"/>
  <c r="K62" i="3" s="1"/>
  <c r="L62" i="3" s="1"/>
  <c r="M62" i="3" s="1"/>
  <c r="N62" i="3" s="1"/>
  <c r="F57" i="3"/>
  <c r="G57" i="3" s="1"/>
  <c r="H57" i="3" s="1"/>
  <c r="I57" i="3" s="1"/>
  <c r="J57" i="3" s="1"/>
  <c r="K57" i="3" s="1"/>
  <c r="L57" i="3" s="1"/>
  <c r="M57" i="3" s="1"/>
  <c r="N57" i="3" s="1"/>
  <c r="F691" i="3"/>
  <c r="G691" i="3" s="1"/>
  <c r="H691" i="3" s="1"/>
  <c r="I691" i="3" s="1"/>
  <c r="J691" i="3" s="1"/>
  <c r="K691" i="3" s="1"/>
  <c r="L691" i="3" s="1"/>
  <c r="M691" i="3" s="1"/>
  <c r="N691" i="3" s="1"/>
  <c r="F686" i="3"/>
  <c r="G686" i="3" s="1"/>
  <c r="H686" i="3" s="1"/>
  <c r="I686" i="3" s="1"/>
  <c r="J686" i="3" s="1"/>
  <c r="K686" i="3" s="1"/>
  <c r="L686" i="3" s="1"/>
  <c r="M686" i="3" s="1"/>
  <c r="N686" i="3" s="1"/>
  <c r="F681" i="3"/>
  <c r="G681" i="3" s="1"/>
  <c r="H681" i="3" s="1"/>
  <c r="I681" i="3" s="1"/>
  <c r="J681" i="3" s="1"/>
  <c r="K681" i="3" s="1"/>
  <c r="L681" i="3" s="1"/>
  <c r="M681" i="3" s="1"/>
  <c r="N681" i="3" s="1"/>
  <c r="F675" i="3"/>
  <c r="G675" i="3" s="1"/>
  <c r="H675" i="3" s="1"/>
  <c r="I675" i="3" s="1"/>
  <c r="J675" i="3" s="1"/>
  <c r="K675" i="3" s="1"/>
  <c r="L675" i="3" s="1"/>
  <c r="M675" i="3" s="1"/>
  <c r="N675" i="3" s="1"/>
  <c r="F655" i="3"/>
  <c r="G655" i="3" s="1"/>
  <c r="H655" i="3" s="1"/>
  <c r="I655" i="3" s="1"/>
  <c r="J655" i="3" s="1"/>
  <c r="K655" i="3" s="1"/>
  <c r="L655" i="3" s="1"/>
  <c r="M655" i="3" s="1"/>
  <c r="N655" i="3" s="1"/>
  <c r="F651" i="3"/>
  <c r="G651" i="3" s="1"/>
  <c r="H651" i="3" s="1"/>
  <c r="I651" i="3" s="1"/>
  <c r="J651" i="3" s="1"/>
  <c r="K651" i="3" s="1"/>
  <c r="L651" i="3" s="1"/>
  <c r="M651" i="3" s="1"/>
  <c r="N651" i="3" s="1"/>
  <c r="F646" i="3"/>
  <c r="G646" i="3" s="1"/>
  <c r="H646" i="3" s="1"/>
  <c r="I646" i="3" s="1"/>
  <c r="J646" i="3" s="1"/>
  <c r="K646" i="3" s="1"/>
  <c r="L646" i="3" s="1"/>
  <c r="M646" i="3" s="1"/>
  <c r="N646" i="3" s="1"/>
  <c r="F642" i="3"/>
  <c r="G642" i="3" s="1"/>
  <c r="H642" i="3" s="1"/>
  <c r="I642" i="3" s="1"/>
  <c r="J642" i="3" s="1"/>
  <c r="K642" i="3" s="1"/>
  <c r="L642" i="3" s="1"/>
  <c r="M642" i="3" s="1"/>
  <c r="N642" i="3" s="1"/>
  <c r="F638" i="3"/>
  <c r="G638" i="3" s="1"/>
  <c r="H638" i="3" s="1"/>
  <c r="I638" i="3" s="1"/>
  <c r="J638" i="3" s="1"/>
  <c r="K638" i="3" s="1"/>
  <c r="L638" i="3" s="1"/>
  <c r="M638" i="3" s="1"/>
  <c r="N638" i="3" s="1"/>
  <c r="F633" i="3"/>
  <c r="G633" i="3" s="1"/>
  <c r="H633" i="3" s="1"/>
  <c r="I633" i="3" s="1"/>
  <c r="J633" i="3" s="1"/>
  <c r="K633" i="3" s="1"/>
  <c r="L633" i="3" s="1"/>
  <c r="M633" i="3" s="1"/>
  <c r="N633" i="3" s="1"/>
  <c r="F627" i="3"/>
  <c r="G627" i="3" s="1"/>
  <c r="H627" i="3" s="1"/>
  <c r="I627" i="3" s="1"/>
  <c r="J627" i="3" s="1"/>
  <c r="K627" i="3" s="1"/>
  <c r="L627" i="3" s="1"/>
  <c r="M627" i="3" s="1"/>
  <c r="N627" i="3" s="1"/>
  <c r="F622" i="3"/>
  <c r="G622" i="3" s="1"/>
  <c r="H622" i="3" s="1"/>
  <c r="I622" i="3" s="1"/>
  <c r="J622" i="3" s="1"/>
  <c r="K622" i="3" s="1"/>
  <c r="L622" i="3" s="1"/>
  <c r="M622" i="3" s="1"/>
  <c r="N622" i="3" s="1"/>
  <c r="F617" i="3"/>
  <c r="G617" i="3" s="1"/>
  <c r="H617" i="3" s="1"/>
  <c r="I617" i="3" s="1"/>
  <c r="J617" i="3" s="1"/>
  <c r="K617" i="3" s="1"/>
  <c r="L617" i="3" s="1"/>
  <c r="M617" i="3" s="1"/>
  <c r="N617" i="3" s="1"/>
  <c r="F612" i="3"/>
  <c r="G612" i="3" s="1"/>
  <c r="H612" i="3" s="1"/>
  <c r="I612" i="3" s="1"/>
  <c r="J612" i="3" s="1"/>
  <c r="K612" i="3" s="1"/>
  <c r="L612" i="3" s="1"/>
  <c r="M612" i="3" s="1"/>
  <c r="N612" i="3" s="1"/>
  <c r="F608" i="3"/>
  <c r="G608" i="3" s="1"/>
  <c r="H608" i="3" s="1"/>
  <c r="I608" i="3" s="1"/>
  <c r="J608" i="3" s="1"/>
  <c r="K608" i="3" s="1"/>
  <c r="L608" i="3" s="1"/>
  <c r="M608" i="3" s="1"/>
  <c r="N608" i="3" s="1"/>
  <c r="F604" i="3"/>
  <c r="G604" i="3" s="1"/>
  <c r="H604" i="3" s="1"/>
  <c r="I604" i="3" s="1"/>
  <c r="J604" i="3" s="1"/>
  <c r="K604" i="3" s="1"/>
  <c r="L604" i="3" s="1"/>
  <c r="M604" i="3" s="1"/>
  <c r="N604" i="3" s="1"/>
  <c r="F599" i="3"/>
  <c r="G599" i="3" s="1"/>
  <c r="H599" i="3" s="1"/>
  <c r="I599" i="3" s="1"/>
  <c r="J599" i="3" s="1"/>
  <c r="K599" i="3" s="1"/>
  <c r="L599" i="3" s="1"/>
  <c r="M599" i="3" s="1"/>
  <c r="N599" i="3" s="1"/>
  <c r="F577" i="3"/>
  <c r="G577" i="3" s="1"/>
  <c r="H577" i="3" s="1"/>
  <c r="I577" i="3" s="1"/>
  <c r="J577" i="3" s="1"/>
  <c r="K577" i="3" s="1"/>
  <c r="L577" i="3" s="1"/>
  <c r="M577" i="3" s="1"/>
  <c r="N577" i="3" s="1"/>
  <c r="F573" i="3"/>
  <c r="F525" i="3"/>
  <c r="G525" i="3" s="1"/>
  <c r="H525" i="3" s="1"/>
  <c r="I525" i="3" s="1"/>
  <c r="J525" i="3" s="1"/>
  <c r="K525" i="3" s="1"/>
  <c r="L525" i="3" s="1"/>
  <c r="M525" i="3" s="1"/>
  <c r="N525" i="3" s="1"/>
  <c r="F521" i="3"/>
  <c r="G521" i="3" s="1"/>
  <c r="H521" i="3" s="1"/>
  <c r="I521" i="3" s="1"/>
  <c r="J521" i="3" s="1"/>
  <c r="K521" i="3" s="1"/>
  <c r="L521" i="3" s="1"/>
  <c r="M521" i="3" s="1"/>
  <c r="N521" i="3" s="1"/>
  <c r="F516" i="3"/>
  <c r="G516" i="3" s="1"/>
  <c r="H516" i="3" s="1"/>
  <c r="I516" i="3" s="1"/>
  <c r="J516" i="3" s="1"/>
  <c r="K516" i="3" s="1"/>
  <c r="L516" i="3" s="1"/>
  <c r="M516" i="3" s="1"/>
  <c r="N516" i="3" s="1"/>
  <c r="F510" i="3"/>
  <c r="G510" i="3" s="1"/>
  <c r="H510" i="3" s="1"/>
  <c r="I510" i="3" s="1"/>
  <c r="J510" i="3" s="1"/>
  <c r="K510" i="3" s="1"/>
  <c r="L510" i="3" s="1"/>
  <c r="M510" i="3" s="1"/>
  <c r="N510" i="3" s="1"/>
  <c r="F505" i="3"/>
  <c r="G505" i="3" s="1"/>
  <c r="H505" i="3" s="1"/>
  <c r="I505" i="3" s="1"/>
  <c r="J505" i="3" s="1"/>
  <c r="K505" i="3" s="1"/>
  <c r="L505" i="3" s="1"/>
  <c r="M505" i="3" s="1"/>
  <c r="N505" i="3" s="1"/>
  <c r="F500" i="3"/>
  <c r="G500" i="3" s="1"/>
  <c r="H500" i="3" s="1"/>
  <c r="I500" i="3" s="1"/>
  <c r="J500" i="3" s="1"/>
  <c r="K500" i="3" s="1"/>
  <c r="L500" i="3" s="1"/>
  <c r="M500" i="3" s="1"/>
  <c r="N500" i="3" s="1"/>
  <c r="F495" i="3"/>
  <c r="G495" i="3" s="1"/>
  <c r="H495" i="3" s="1"/>
  <c r="I495" i="3" s="1"/>
  <c r="J495" i="3" s="1"/>
  <c r="K495" i="3" s="1"/>
  <c r="L495" i="3" s="1"/>
  <c r="M495" i="3" s="1"/>
  <c r="N495" i="3" s="1"/>
  <c r="F464" i="3"/>
  <c r="G464" i="3" s="1"/>
  <c r="H464" i="3" s="1"/>
  <c r="I464" i="3" s="1"/>
  <c r="J464" i="3" s="1"/>
  <c r="K464" i="3" s="1"/>
  <c r="L464" i="3" s="1"/>
  <c r="M464" i="3" s="1"/>
  <c r="N464" i="3" s="1"/>
  <c r="F460" i="3"/>
  <c r="G460" i="3" s="1"/>
  <c r="H460" i="3" s="1"/>
  <c r="I460" i="3" s="1"/>
  <c r="J460" i="3" s="1"/>
  <c r="K460" i="3" s="1"/>
  <c r="L460" i="3" s="1"/>
  <c r="M460" i="3" s="1"/>
  <c r="N460" i="3" s="1"/>
  <c r="F456" i="3"/>
  <c r="G456" i="3" s="1"/>
  <c r="H456" i="3" s="1"/>
  <c r="I456" i="3" s="1"/>
  <c r="J456" i="3" s="1"/>
  <c r="K456" i="3" s="1"/>
  <c r="L456" i="3" s="1"/>
  <c r="M456" i="3" s="1"/>
  <c r="N456" i="3" s="1"/>
  <c r="F452" i="3"/>
  <c r="G452" i="3" s="1"/>
  <c r="H452" i="3" s="1"/>
  <c r="I452" i="3" s="1"/>
  <c r="J452" i="3" s="1"/>
  <c r="K452" i="3" s="1"/>
  <c r="L452" i="3" s="1"/>
  <c r="M452" i="3" s="1"/>
  <c r="N452" i="3" s="1"/>
  <c r="F448" i="3"/>
  <c r="G448" i="3" s="1"/>
  <c r="H448" i="3" s="1"/>
  <c r="I448" i="3" s="1"/>
  <c r="J448" i="3" s="1"/>
  <c r="K448" i="3" s="1"/>
  <c r="L448" i="3" s="1"/>
  <c r="M448" i="3" s="1"/>
  <c r="N448" i="3" s="1"/>
  <c r="F444" i="3"/>
  <c r="G444" i="3" s="1"/>
  <c r="H444" i="3" s="1"/>
  <c r="I444" i="3" s="1"/>
  <c r="J444" i="3" s="1"/>
  <c r="K444" i="3" s="1"/>
  <c r="L444" i="3" s="1"/>
  <c r="M444" i="3" s="1"/>
  <c r="N444" i="3" s="1"/>
  <c r="F399" i="3"/>
  <c r="G399" i="3" s="1"/>
  <c r="H399" i="3" s="1"/>
  <c r="I399" i="3" s="1"/>
  <c r="J399" i="3" s="1"/>
  <c r="K399" i="3" s="1"/>
  <c r="L399" i="3" s="1"/>
  <c r="M399" i="3" s="1"/>
  <c r="N399" i="3" s="1"/>
  <c r="F392" i="3"/>
  <c r="G392" i="3" s="1"/>
  <c r="H392" i="3" s="1"/>
  <c r="I392" i="3" s="1"/>
  <c r="J392" i="3" s="1"/>
  <c r="K392" i="3" s="1"/>
  <c r="L392" i="3" s="1"/>
  <c r="M392" i="3" s="1"/>
  <c r="N392" i="3" s="1"/>
  <c r="F387" i="3"/>
  <c r="G387" i="3" s="1"/>
  <c r="H387" i="3" s="1"/>
  <c r="I387" i="3" s="1"/>
  <c r="J387" i="3" s="1"/>
  <c r="K387" i="3" s="1"/>
  <c r="L387" i="3" s="1"/>
  <c r="M387" i="3" s="1"/>
  <c r="N387" i="3" s="1"/>
  <c r="F381" i="3"/>
  <c r="G381" i="3" s="1"/>
  <c r="H381" i="3" s="1"/>
  <c r="I381" i="3" s="1"/>
  <c r="J381" i="3" s="1"/>
  <c r="K381" i="3" s="1"/>
  <c r="L381" i="3" s="1"/>
  <c r="M381" i="3" s="1"/>
  <c r="N381" i="3" s="1"/>
  <c r="F376" i="3"/>
  <c r="G376" i="3" s="1"/>
  <c r="H376" i="3" s="1"/>
  <c r="I376" i="3" s="1"/>
  <c r="J376" i="3" s="1"/>
  <c r="K376" i="3" s="1"/>
  <c r="L376" i="3" s="1"/>
  <c r="M376" i="3" s="1"/>
  <c r="N376" i="3" s="1"/>
  <c r="F371" i="3"/>
  <c r="G371" i="3" s="1"/>
  <c r="H371" i="3" s="1"/>
  <c r="I371" i="3" s="1"/>
  <c r="J371" i="3" s="1"/>
  <c r="K371" i="3" s="1"/>
  <c r="L371" i="3" s="1"/>
  <c r="M371" i="3" s="1"/>
  <c r="N371" i="3" s="1"/>
  <c r="F365" i="3"/>
  <c r="G365" i="3" s="1"/>
  <c r="H365" i="3" s="1"/>
  <c r="I365" i="3" s="1"/>
  <c r="J365" i="3" s="1"/>
  <c r="K365" i="3" s="1"/>
  <c r="L365" i="3" s="1"/>
  <c r="M365" i="3" s="1"/>
  <c r="N365" i="3" s="1"/>
  <c r="F361" i="3"/>
  <c r="G361" i="3" s="1"/>
  <c r="H361" i="3" s="1"/>
  <c r="I361" i="3" s="1"/>
  <c r="J361" i="3" s="1"/>
  <c r="K361" i="3" s="1"/>
  <c r="L361" i="3" s="1"/>
  <c r="M361" i="3" s="1"/>
  <c r="N361" i="3" s="1"/>
  <c r="F357" i="3"/>
  <c r="G357" i="3" s="1"/>
  <c r="H357" i="3" s="1"/>
  <c r="I357" i="3" s="1"/>
  <c r="J357" i="3" s="1"/>
  <c r="K357" i="3" s="1"/>
  <c r="L357" i="3" s="1"/>
  <c r="M357" i="3" s="1"/>
  <c r="N357" i="3" s="1"/>
  <c r="F353" i="3"/>
  <c r="G353" i="3" s="1"/>
  <c r="H353" i="3" s="1"/>
  <c r="I353" i="3" s="1"/>
  <c r="J353" i="3" s="1"/>
  <c r="K353" i="3" s="1"/>
  <c r="L353" i="3" s="1"/>
  <c r="M353" i="3" s="1"/>
  <c r="N353" i="3" s="1"/>
  <c r="F349" i="3"/>
  <c r="G349" i="3" s="1"/>
  <c r="H349" i="3" s="1"/>
  <c r="I349" i="3" s="1"/>
  <c r="J349" i="3" s="1"/>
  <c r="K349" i="3" s="1"/>
  <c r="L349" i="3" s="1"/>
  <c r="M349" i="3" s="1"/>
  <c r="N349" i="3" s="1"/>
  <c r="F343" i="3"/>
  <c r="G343" i="3" s="1"/>
  <c r="H343" i="3" s="1"/>
  <c r="I343" i="3" s="1"/>
  <c r="J343" i="3" s="1"/>
  <c r="K343" i="3" s="1"/>
  <c r="L343" i="3" s="1"/>
  <c r="M343" i="3" s="1"/>
  <c r="N343" i="3" s="1"/>
  <c r="F338" i="3"/>
  <c r="G338" i="3" s="1"/>
  <c r="H338" i="3" s="1"/>
  <c r="I338" i="3" s="1"/>
  <c r="J338" i="3" s="1"/>
  <c r="K338" i="3" s="1"/>
  <c r="L338" i="3" s="1"/>
  <c r="M338" i="3" s="1"/>
  <c r="N338" i="3" s="1"/>
  <c r="F334" i="3"/>
  <c r="G334" i="3" s="1"/>
  <c r="H334" i="3" s="1"/>
  <c r="I334" i="3" s="1"/>
  <c r="J334" i="3" s="1"/>
  <c r="K334" i="3" s="1"/>
  <c r="L334" i="3" s="1"/>
  <c r="M334" i="3" s="1"/>
  <c r="N334" i="3" s="1"/>
  <c r="F328" i="3"/>
  <c r="G328" i="3" s="1"/>
  <c r="H328" i="3" s="1"/>
  <c r="I328" i="3" s="1"/>
  <c r="J328" i="3" s="1"/>
  <c r="K328" i="3" s="1"/>
  <c r="L328" i="3" s="1"/>
  <c r="M328" i="3" s="1"/>
  <c r="N328" i="3" s="1"/>
  <c r="F323" i="3"/>
  <c r="G323" i="3" s="1"/>
  <c r="H323" i="3" s="1"/>
  <c r="I323" i="3" s="1"/>
  <c r="J323" i="3" s="1"/>
  <c r="K323" i="3" s="1"/>
  <c r="L323" i="3" s="1"/>
  <c r="M323" i="3" s="1"/>
  <c r="N323" i="3" s="1"/>
  <c r="F317" i="3"/>
  <c r="G317" i="3" s="1"/>
  <c r="H317" i="3" s="1"/>
  <c r="I317" i="3" s="1"/>
  <c r="J317" i="3" s="1"/>
  <c r="K317" i="3" s="1"/>
  <c r="L317" i="3" s="1"/>
  <c r="M317" i="3" s="1"/>
  <c r="N317" i="3" s="1"/>
  <c r="F313" i="3"/>
  <c r="G313" i="3" s="1"/>
  <c r="H313" i="3" s="1"/>
  <c r="I313" i="3" s="1"/>
  <c r="J313" i="3" s="1"/>
  <c r="K313" i="3" s="1"/>
  <c r="L313" i="3" s="1"/>
  <c r="M313" i="3" s="1"/>
  <c r="N313" i="3" s="1"/>
  <c r="F309" i="3"/>
  <c r="G309" i="3" s="1"/>
  <c r="H309" i="3" s="1"/>
  <c r="I309" i="3" s="1"/>
  <c r="J309" i="3" s="1"/>
  <c r="K309" i="3" s="1"/>
  <c r="L309" i="3" s="1"/>
  <c r="M309" i="3" s="1"/>
  <c r="N309" i="3" s="1"/>
  <c r="F305" i="3"/>
  <c r="G305" i="3" s="1"/>
  <c r="H305" i="3" s="1"/>
  <c r="I305" i="3" s="1"/>
  <c r="J305" i="3" s="1"/>
  <c r="K305" i="3" s="1"/>
  <c r="L305" i="3" s="1"/>
  <c r="M305" i="3" s="1"/>
  <c r="N305" i="3" s="1"/>
  <c r="F301" i="3"/>
  <c r="G301" i="3" s="1"/>
  <c r="H301" i="3" s="1"/>
  <c r="I301" i="3" s="1"/>
  <c r="J301" i="3" s="1"/>
  <c r="K301" i="3" s="1"/>
  <c r="L301" i="3" s="1"/>
  <c r="M301" i="3" s="1"/>
  <c r="N301" i="3" s="1"/>
  <c r="F296" i="3"/>
  <c r="G296" i="3" s="1"/>
  <c r="H296" i="3" s="1"/>
  <c r="I296" i="3" s="1"/>
  <c r="J296" i="3" s="1"/>
  <c r="K296" i="3" s="1"/>
  <c r="L296" i="3" s="1"/>
  <c r="M296" i="3" s="1"/>
  <c r="N296" i="3" s="1"/>
  <c r="F272" i="3"/>
  <c r="G272" i="3" s="1"/>
  <c r="H272" i="3" s="1"/>
  <c r="I272" i="3" s="1"/>
  <c r="J272" i="3" s="1"/>
  <c r="K272" i="3" s="1"/>
  <c r="L272" i="3" s="1"/>
  <c r="M272" i="3" s="1"/>
  <c r="N272" i="3" s="1"/>
  <c r="F266" i="3"/>
  <c r="G266" i="3" s="1"/>
  <c r="H266" i="3" s="1"/>
  <c r="I266" i="3" s="1"/>
  <c r="J266" i="3" s="1"/>
  <c r="K266" i="3" s="1"/>
  <c r="L266" i="3" s="1"/>
  <c r="M266" i="3" s="1"/>
  <c r="N266" i="3" s="1"/>
  <c r="F261" i="3"/>
  <c r="G261" i="3" s="1"/>
  <c r="H261" i="3" s="1"/>
  <c r="I261" i="3" s="1"/>
  <c r="J261" i="3" s="1"/>
  <c r="K261" i="3" s="1"/>
  <c r="L261" i="3" s="1"/>
  <c r="M261" i="3" s="1"/>
  <c r="N261" i="3" s="1"/>
  <c r="F256" i="3"/>
  <c r="G256" i="3" s="1"/>
  <c r="H256" i="3" s="1"/>
  <c r="I256" i="3" s="1"/>
  <c r="J256" i="3" s="1"/>
  <c r="K256" i="3" s="1"/>
  <c r="L256" i="3" s="1"/>
  <c r="M256" i="3" s="1"/>
  <c r="N256" i="3" s="1"/>
  <c r="F251" i="3"/>
  <c r="G251" i="3" s="1"/>
  <c r="H251" i="3" s="1"/>
  <c r="I251" i="3" s="1"/>
  <c r="J251" i="3" s="1"/>
  <c r="K251" i="3" s="1"/>
  <c r="L251" i="3" s="1"/>
  <c r="M251" i="3" s="1"/>
  <c r="N251" i="3" s="1"/>
  <c r="F247" i="3"/>
  <c r="G247" i="3" s="1"/>
  <c r="H247" i="3" s="1"/>
  <c r="I247" i="3" s="1"/>
  <c r="J247" i="3" s="1"/>
  <c r="K247" i="3" s="1"/>
  <c r="L247" i="3" s="1"/>
  <c r="M247" i="3" s="1"/>
  <c r="N247" i="3" s="1"/>
  <c r="F242" i="3"/>
  <c r="G242" i="3" s="1"/>
  <c r="H242" i="3" s="1"/>
  <c r="I242" i="3" s="1"/>
  <c r="J242" i="3" s="1"/>
  <c r="K242" i="3" s="1"/>
  <c r="L242" i="3" s="1"/>
  <c r="M242" i="3" s="1"/>
  <c r="N242" i="3" s="1"/>
  <c r="F237" i="3"/>
  <c r="G237" i="3" s="1"/>
  <c r="H237" i="3" s="1"/>
  <c r="I237" i="3" s="1"/>
  <c r="J237" i="3" s="1"/>
  <c r="K237" i="3" s="1"/>
  <c r="L237" i="3" s="1"/>
  <c r="M237" i="3" s="1"/>
  <c r="N237" i="3" s="1"/>
  <c r="F233" i="3"/>
  <c r="G233" i="3" s="1"/>
  <c r="H233" i="3" s="1"/>
  <c r="I233" i="3" s="1"/>
  <c r="J233" i="3" s="1"/>
  <c r="K233" i="3" s="1"/>
  <c r="L233" i="3" s="1"/>
  <c r="M233" i="3" s="1"/>
  <c r="N233" i="3" s="1"/>
  <c r="F229" i="3"/>
  <c r="G229" i="3" s="1"/>
  <c r="H229" i="3" s="1"/>
  <c r="I229" i="3" s="1"/>
  <c r="J229" i="3" s="1"/>
  <c r="K229" i="3" s="1"/>
  <c r="L229" i="3" s="1"/>
  <c r="M229" i="3" s="1"/>
  <c r="N229" i="3" s="1"/>
  <c r="F225" i="3"/>
  <c r="G225" i="3" s="1"/>
  <c r="H225" i="3" s="1"/>
  <c r="I225" i="3" s="1"/>
  <c r="J225" i="3" s="1"/>
  <c r="K225" i="3" s="1"/>
  <c r="L225" i="3" s="1"/>
  <c r="M225" i="3" s="1"/>
  <c r="N225" i="3" s="1"/>
  <c r="F220" i="3"/>
  <c r="G220" i="3" s="1"/>
  <c r="H220" i="3" s="1"/>
  <c r="I220" i="3" s="1"/>
  <c r="J220" i="3" s="1"/>
  <c r="K220" i="3" s="1"/>
  <c r="L220" i="3" s="1"/>
  <c r="M220" i="3" s="1"/>
  <c r="N220" i="3" s="1"/>
  <c r="F198" i="3"/>
  <c r="G198" i="3" s="1"/>
  <c r="H198" i="3" s="1"/>
  <c r="I198" i="3" s="1"/>
  <c r="J198" i="3" s="1"/>
  <c r="K198" i="3" s="1"/>
  <c r="L198" i="3" s="1"/>
  <c r="M198" i="3" s="1"/>
  <c r="N198" i="3" s="1"/>
  <c r="F192" i="3"/>
  <c r="G192" i="3" s="1"/>
  <c r="H192" i="3" s="1"/>
  <c r="I192" i="3" s="1"/>
  <c r="J192" i="3" s="1"/>
  <c r="K192" i="3" s="1"/>
  <c r="L192" i="3" s="1"/>
  <c r="M192" i="3" s="1"/>
  <c r="N192" i="3" s="1"/>
  <c r="F187" i="3"/>
  <c r="G187" i="3" s="1"/>
  <c r="H187" i="3" s="1"/>
  <c r="I187" i="3" s="1"/>
  <c r="J187" i="3" s="1"/>
  <c r="K187" i="3" s="1"/>
  <c r="L187" i="3" s="1"/>
  <c r="M187" i="3" s="1"/>
  <c r="N187" i="3" s="1"/>
  <c r="F183" i="3"/>
  <c r="G183" i="3" s="1"/>
  <c r="H183" i="3" s="1"/>
  <c r="I183" i="3" s="1"/>
  <c r="J183" i="3" s="1"/>
  <c r="K183" i="3" s="1"/>
  <c r="L183" i="3" s="1"/>
  <c r="M183" i="3" s="1"/>
  <c r="N183" i="3" s="1"/>
  <c r="F179" i="3"/>
  <c r="G179" i="3" s="1"/>
  <c r="H179" i="3" s="1"/>
  <c r="I179" i="3" s="1"/>
  <c r="J179" i="3" s="1"/>
  <c r="K179" i="3" s="1"/>
  <c r="L179" i="3" s="1"/>
  <c r="M179" i="3" s="1"/>
  <c r="N179" i="3" s="1"/>
  <c r="F137" i="3"/>
  <c r="G137" i="3" s="1"/>
  <c r="H137" i="3" s="1"/>
  <c r="I137" i="3" s="1"/>
  <c r="J137" i="3" s="1"/>
  <c r="K137" i="3" s="1"/>
  <c r="L137" i="3" s="1"/>
  <c r="M137" i="3" s="1"/>
  <c r="N137" i="3" s="1"/>
  <c r="F132" i="3"/>
  <c r="G132" i="3" s="1"/>
  <c r="H132" i="3" s="1"/>
  <c r="I132" i="3" s="1"/>
  <c r="J132" i="3" s="1"/>
  <c r="K132" i="3" s="1"/>
  <c r="L132" i="3" s="1"/>
  <c r="M132" i="3" s="1"/>
  <c r="N132" i="3" s="1"/>
  <c r="F128" i="3"/>
  <c r="G128" i="3" s="1"/>
  <c r="H128" i="3" s="1"/>
  <c r="I128" i="3" s="1"/>
  <c r="J128" i="3" s="1"/>
  <c r="K128" i="3" s="1"/>
  <c r="L128" i="3" s="1"/>
  <c r="M128" i="3" s="1"/>
  <c r="N128" i="3" s="1"/>
  <c r="F124" i="3"/>
  <c r="G124" i="3" s="1"/>
  <c r="H124" i="3" s="1"/>
  <c r="I124" i="3" s="1"/>
  <c r="J124" i="3" s="1"/>
  <c r="K124" i="3" s="1"/>
  <c r="L124" i="3" s="1"/>
  <c r="M124" i="3" s="1"/>
  <c r="N124" i="3" s="1"/>
  <c r="F119" i="3"/>
  <c r="G119" i="3" s="1"/>
  <c r="H119" i="3" s="1"/>
  <c r="I119" i="3" s="1"/>
  <c r="J119" i="3" s="1"/>
  <c r="K119" i="3" s="1"/>
  <c r="L119" i="3" s="1"/>
  <c r="M119" i="3" s="1"/>
  <c r="N119" i="3" s="1"/>
  <c r="F114" i="3"/>
  <c r="G114" i="3" s="1"/>
  <c r="H114" i="3" s="1"/>
  <c r="I114" i="3" s="1"/>
  <c r="J114" i="3" s="1"/>
  <c r="K114" i="3" s="1"/>
  <c r="L114" i="3" s="1"/>
  <c r="M114" i="3" s="1"/>
  <c r="N114" i="3" s="1"/>
  <c r="F108" i="3"/>
  <c r="G108" i="3" s="1"/>
  <c r="H108" i="3" s="1"/>
  <c r="I108" i="3" s="1"/>
  <c r="J108" i="3" s="1"/>
  <c r="K108" i="3" s="1"/>
  <c r="L108" i="3" s="1"/>
  <c r="M108" i="3" s="1"/>
  <c r="N108" i="3" s="1"/>
  <c r="F104" i="3"/>
  <c r="G104" i="3" s="1"/>
  <c r="H104" i="3" s="1"/>
  <c r="I104" i="3" s="1"/>
  <c r="J104" i="3" s="1"/>
  <c r="K104" i="3" s="1"/>
  <c r="L104" i="3" s="1"/>
  <c r="M104" i="3" s="1"/>
  <c r="N104" i="3" s="1"/>
  <c r="F99" i="3"/>
  <c r="G99" i="3" s="1"/>
  <c r="H99" i="3" s="1"/>
  <c r="I99" i="3" s="1"/>
  <c r="J99" i="3" s="1"/>
  <c r="K99" i="3" s="1"/>
  <c r="L99" i="3" s="1"/>
  <c r="M99" i="3" s="1"/>
  <c r="N99" i="3" s="1"/>
  <c r="F88" i="3"/>
  <c r="G88" i="3" s="1"/>
  <c r="H88" i="3" s="1"/>
  <c r="I88" i="3" s="1"/>
  <c r="J88" i="3" s="1"/>
  <c r="K88" i="3" s="1"/>
  <c r="L88" i="3" s="1"/>
  <c r="M88" i="3" s="1"/>
  <c r="N88" i="3" s="1"/>
  <c r="F82" i="3"/>
  <c r="G82" i="3" s="1"/>
  <c r="H82" i="3" s="1"/>
  <c r="I82" i="3" s="1"/>
  <c r="J82" i="3" s="1"/>
  <c r="K82" i="3" s="1"/>
  <c r="L82" i="3" s="1"/>
  <c r="M82" i="3" s="1"/>
  <c r="N82" i="3" s="1"/>
  <c r="F77" i="3"/>
  <c r="G77" i="3" s="1"/>
  <c r="H77" i="3" s="1"/>
  <c r="I77" i="3" s="1"/>
  <c r="J77" i="3" s="1"/>
  <c r="K77" i="3" s="1"/>
  <c r="L77" i="3" s="1"/>
  <c r="M77" i="3" s="1"/>
  <c r="N77" i="3" s="1"/>
  <c r="F72" i="3"/>
  <c r="G72" i="3" s="1"/>
  <c r="H72" i="3" s="1"/>
  <c r="I72" i="3" s="1"/>
  <c r="J72" i="3" s="1"/>
  <c r="K72" i="3" s="1"/>
  <c r="L72" i="3" s="1"/>
  <c r="M72" i="3" s="1"/>
  <c r="N72" i="3" s="1"/>
  <c r="F61" i="3"/>
  <c r="G61" i="3" s="1"/>
  <c r="H61" i="3" s="1"/>
  <c r="I61" i="3" s="1"/>
  <c r="J61" i="3" s="1"/>
  <c r="K61" i="3" s="1"/>
  <c r="L61" i="3" s="1"/>
  <c r="M61" i="3" s="1"/>
  <c r="N61" i="3" s="1"/>
  <c r="F690" i="3"/>
  <c r="G690" i="3" s="1"/>
  <c r="H690" i="3" s="1"/>
  <c r="I690" i="3" s="1"/>
  <c r="J690" i="3" s="1"/>
  <c r="K690" i="3" s="1"/>
  <c r="L690" i="3" s="1"/>
  <c r="M690" i="3" s="1"/>
  <c r="N690" i="3" s="1"/>
  <c r="F685" i="3"/>
  <c r="G685" i="3" s="1"/>
  <c r="H685" i="3" s="1"/>
  <c r="I685" i="3" s="1"/>
  <c r="J685" i="3" s="1"/>
  <c r="K685" i="3" s="1"/>
  <c r="L685" i="3" s="1"/>
  <c r="M685" i="3" s="1"/>
  <c r="N685" i="3" s="1"/>
  <c r="F679" i="3"/>
  <c r="G679" i="3" s="1"/>
  <c r="H679" i="3" s="1"/>
  <c r="I679" i="3" s="1"/>
  <c r="J679" i="3" s="1"/>
  <c r="K679" i="3" s="1"/>
  <c r="L679" i="3" s="1"/>
  <c r="M679" i="3" s="1"/>
  <c r="N679" i="3" s="1"/>
  <c r="F673" i="3"/>
  <c r="G673" i="3" s="1"/>
  <c r="H673" i="3" s="1"/>
  <c r="I673" i="3" s="1"/>
  <c r="J673" i="3" s="1"/>
  <c r="K673" i="3" s="1"/>
  <c r="L673" i="3" s="1"/>
  <c r="M673" i="3" s="1"/>
  <c r="N673" i="3" s="1"/>
  <c r="F654" i="3"/>
  <c r="G654" i="3" s="1"/>
  <c r="H654" i="3" s="1"/>
  <c r="I654" i="3" s="1"/>
  <c r="J654" i="3" s="1"/>
  <c r="K654" i="3" s="1"/>
  <c r="L654" i="3" s="1"/>
  <c r="M654" i="3" s="1"/>
  <c r="N654" i="3" s="1"/>
  <c r="F650" i="3"/>
  <c r="G650" i="3" s="1"/>
  <c r="H650" i="3" s="1"/>
  <c r="I650" i="3" s="1"/>
  <c r="J650" i="3" s="1"/>
  <c r="K650" i="3" s="1"/>
  <c r="L650" i="3" s="1"/>
  <c r="M650" i="3" s="1"/>
  <c r="N650" i="3" s="1"/>
  <c r="F645" i="3"/>
  <c r="G645" i="3" s="1"/>
  <c r="H645" i="3" s="1"/>
  <c r="I645" i="3" s="1"/>
  <c r="J645" i="3" s="1"/>
  <c r="K645" i="3" s="1"/>
  <c r="L645" i="3" s="1"/>
  <c r="M645" i="3" s="1"/>
  <c r="N645" i="3" s="1"/>
  <c r="F641" i="3"/>
  <c r="G641" i="3" s="1"/>
  <c r="H641" i="3" s="1"/>
  <c r="I641" i="3" s="1"/>
  <c r="J641" i="3" s="1"/>
  <c r="K641" i="3" s="1"/>
  <c r="L641" i="3" s="1"/>
  <c r="M641" i="3" s="1"/>
  <c r="N641" i="3" s="1"/>
  <c r="F637" i="3"/>
  <c r="G637" i="3" s="1"/>
  <c r="H637" i="3" s="1"/>
  <c r="I637" i="3" s="1"/>
  <c r="J637" i="3" s="1"/>
  <c r="K637" i="3" s="1"/>
  <c r="L637" i="3" s="1"/>
  <c r="M637" i="3" s="1"/>
  <c r="N637" i="3" s="1"/>
  <c r="F631" i="3"/>
  <c r="G631" i="3" s="1"/>
  <c r="H631" i="3" s="1"/>
  <c r="I631" i="3" s="1"/>
  <c r="J631" i="3" s="1"/>
  <c r="K631" i="3" s="1"/>
  <c r="L631" i="3" s="1"/>
  <c r="M631" i="3" s="1"/>
  <c r="N631" i="3" s="1"/>
  <c r="F626" i="3"/>
  <c r="G626" i="3" s="1"/>
  <c r="H626" i="3" s="1"/>
  <c r="I626" i="3" s="1"/>
  <c r="J626" i="3" s="1"/>
  <c r="K626" i="3" s="1"/>
  <c r="L626" i="3" s="1"/>
  <c r="M626" i="3" s="1"/>
  <c r="N626" i="3" s="1"/>
  <c r="F621" i="3"/>
  <c r="G621" i="3" s="1"/>
  <c r="H621" i="3" s="1"/>
  <c r="I621" i="3" s="1"/>
  <c r="J621" i="3" s="1"/>
  <c r="K621" i="3" s="1"/>
  <c r="L621" i="3" s="1"/>
  <c r="M621" i="3" s="1"/>
  <c r="N621" i="3" s="1"/>
  <c r="F616" i="3"/>
  <c r="G616" i="3" s="1"/>
  <c r="F611" i="3"/>
  <c r="G611" i="3" s="1"/>
  <c r="H611" i="3" s="1"/>
  <c r="I611" i="3" s="1"/>
  <c r="J611" i="3" s="1"/>
  <c r="K611" i="3" s="1"/>
  <c r="L611" i="3" s="1"/>
  <c r="M611" i="3" s="1"/>
  <c r="N611" i="3" s="1"/>
  <c r="F607" i="3"/>
  <c r="G607" i="3" s="1"/>
  <c r="H607" i="3" s="1"/>
  <c r="I607" i="3" s="1"/>
  <c r="J607" i="3" s="1"/>
  <c r="K607" i="3" s="1"/>
  <c r="L607" i="3" s="1"/>
  <c r="M607" i="3" s="1"/>
  <c r="N607" i="3" s="1"/>
  <c r="F603" i="3"/>
  <c r="G603" i="3" s="1"/>
  <c r="H603" i="3" s="1"/>
  <c r="I603" i="3" s="1"/>
  <c r="J603" i="3" s="1"/>
  <c r="K603" i="3" s="1"/>
  <c r="L603" i="3" s="1"/>
  <c r="M603" i="3" s="1"/>
  <c r="N603" i="3" s="1"/>
  <c r="F598" i="3"/>
  <c r="F576" i="3"/>
  <c r="G576" i="3" s="1"/>
  <c r="H576" i="3" s="1"/>
  <c r="I576" i="3" s="1"/>
  <c r="J576" i="3" s="1"/>
  <c r="K576" i="3" s="1"/>
  <c r="L576" i="3" s="1"/>
  <c r="M576" i="3" s="1"/>
  <c r="N576" i="3" s="1"/>
  <c r="F571" i="3"/>
  <c r="G571" i="3" s="1"/>
  <c r="F524" i="3"/>
  <c r="G524" i="3" s="1"/>
  <c r="H524" i="3" s="1"/>
  <c r="I524" i="3" s="1"/>
  <c r="J524" i="3" s="1"/>
  <c r="K524" i="3" s="1"/>
  <c r="L524" i="3" s="1"/>
  <c r="M524" i="3" s="1"/>
  <c r="N524" i="3" s="1"/>
  <c r="F519" i="3"/>
  <c r="G519" i="3" s="1"/>
  <c r="H519" i="3" s="1"/>
  <c r="I519" i="3" s="1"/>
  <c r="J519" i="3" s="1"/>
  <c r="K519" i="3" s="1"/>
  <c r="L519" i="3" s="1"/>
  <c r="M519" i="3" s="1"/>
  <c r="N519" i="3" s="1"/>
  <c r="F515" i="3"/>
  <c r="G515" i="3" s="1"/>
  <c r="H515" i="3" s="1"/>
  <c r="I515" i="3" s="1"/>
  <c r="J515" i="3" s="1"/>
  <c r="K515" i="3" s="1"/>
  <c r="L515" i="3" s="1"/>
  <c r="M515" i="3" s="1"/>
  <c r="N515" i="3" s="1"/>
  <c r="F509" i="3"/>
  <c r="G509" i="3" s="1"/>
  <c r="H509" i="3" s="1"/>
  <c r="I509" i="3" s="1"/>
  <c r="J509" i="3" s="1"/>
  <c r="K509" i="3" s="1"/>
  <c r="L509" i="3" s="1"/>
  <c r="M509" i="3" s="1"/>
  <c r="N509" i="3" s="1"/>
  <c r="F503" i="3"/>
  <c r="G503" i="3" s="1"/>
  <c r="H503" i="3" s="1"/>
  <c r="I503" i="3" s="1"/>
  <c r="J503" i="3" s="1"/>
  <c r="K503" i="3" s="1"/>
  <c r="L503" i="3" s="1"/>
  <c r="M503" i="3" s="1"/>
  <c r="N503" i="3" s="1"/>
  <c r="F498" i="3"/>
  <c r="G498" i="3" s="1"/>
  <c r="H498" i="3" s="1"/>
  <c r="I498" i="3" s="1"/>
  <c r="J498" i="3" s="1"/>
  <c r="K498" i="3" s="1"/>
  <c r="L498" i="3" s="1"/>
  <c r="M498" i="3" s="1"/>
  <c r="N498" i="3" s="1"/>
  <c r="F493" i="3"/>
  <c r="G493" i="3" s="1"/>
  <c r="F463" i="3"/>
  <c r="G463" i="3" s="1"/>
  <c r="H463" i="3" s="1"/>
  <c r="I463" i="3" s="1"/>
  <c r="J463" i="3" s="1"/>
  <c r="K463" i="3" s="1"/>
  <c r="L463" i="3" s="1"/>
  <c r="M463" i="3" s="1"/>
  <c r="N463" i="3" s="1"/>
  <c r="F459" i="3"/>
  <c r="G459" i="3" s="1"/>
  <c r="H459" i="3" s="1"/>
  <c r="I459" i="3" s="1"/>
  <c r="J459" i="3" s="1"/>
  <c r="K459" i="3" s="1"/>
  <c r="L459" i="3" s="1"/>
  <c r="M459" i="3" s="1"/>
  <c r="N459" i="3" s="1"/>
  <c r="F455" i="3"/>
  <c r="G455" i="3" s="1"/>
  <c r="H455" i="3" s="1"/>
  <c r="I455" i="3" s="1"/>
  <c r="J455" i="3" s="1"/>
  <c r="K455" i="3" s="1"/>
  <c r="L455" i="3" s="1"/>
  <c r="M455" i="3" s="1"/>
  <c r="N455" i="3" s="1"/>
  <c r="F451" i="3"/>
  <c r="G451" i="3" s="1"/>
  <c r="H451" i="3" s="1"/>
  <c r="I451" i="3" s="1"/>
  <c r="J451" i="3" s="1"/>
  <c r="K451" i="3" s="1"/>
  <c r="L451" i="3" s="1"/>
  <c r="M451" i="3" s="1"/>
  <c r="N451" i="3" s="1"/>
  <c r="F447" i="3"/>
  <c r="G447" i="3" s="1"/>
  <c r="H447" i="3" s="1"/>
  <c r="I447" i="3" s="1"/>
  <c r="J447" i="3" s="1"/>
  <c r="K447" i="3" s="1"/>
  <c r="L447" i="3" s="1"/>
  <c r="M447" i="3" s="1"/>
  <c r="N447" i="3" s="1"/>
  <c r="F443" i="3"/>
  <c r="G443" i="3" s="1"/>
  <c r="H443" i="3" s="1"/>
  <c r="I443" i="3" s="1"/>
  <c r="J443" i="3" s="1"/>
  <c r="K443" i="3" s="1"/>
  <c r="L443" i="3" s="1"/>
  <c r="M443" i="3" s="1"/>
  <c r="N443" i="3" s="1"/>
  <c r="F398" i="3"/>
  <c r="G398" i="3" s="1"/>
  <c r="H398" i="3" s="1"/>
  <c r="I398" i="3" s="1"/>
  <c r="J398" i="3" s="1"/>
  <c r="K398" i="3" s="1"/>
  <c r="L398" i="3" s="1"/>
  <c r="M398" i="3" s="1"/>
  <c r="N398" i="3" s="1"/>
  <c r="F390" i="3"/>
  <c r="G390" i="3" s="1"/>
  <c r="H390" i="3" s="1"/>
  <c r="I390" i="3" s="1"/>
  <c r="J390" i="3" s="1"/>
  <c r="K390" i="3" s="1"/>
  <c r="L390" i="3" s="1"/>
  <c r="M390" i="3" s="1"/>
  <c r="N390" i="3" s="1"/>
  <c r="F386" i="3"/>
  <c r="G386" i="3" s="1"/>
  <c r="H386" i="3" s="1"/>
  <c r="I386" i="3" s="1"/>
  <c r="J386" i="3" s="1"/>
  <c r="K386" i="3" s="1"/>
  <c r="L386" i="3" s="1"/>
  <c r="M386" i="3" s="1"/>
  <c r="N386" i="3" s="1"/>
  <c r="F379" i="3"/>
  <c r="G379" i="3" s="1"/>
  <c r="H379" i="3" s="1"/>
  <c r="I379" i="3" s="1"/>
  <c r="J379" i="3" s="1"/>
  <c r="K379" i="3" s="1"/>
  <c r="L379" i="3" s="1"/>
  <c r="M379" i="3" s="1"/>
  <c r="N379" i="3" s="1"/>
  <c r="F375" i="3"/>
  <c r="G375" i="3" s="1"/>
  <c r="H375" i="3" s="1"/>
  <c r="I375" i="3" s="1"/>
  <c r="J375" i="3" s="1"/>
  <c r="K375" i="3" s="1"/>
  <c r="L375" i="3" s="1"/>
  <c r="M375" i="3" s="1"/>
  <c r="N375" i="3" s="1"/>
  <c r="F369" i="3"/>
  <c r="G369" i="3" s="1"/>
  <c r="H369" i="3" s="1"/>
  <c r="I369" i="3" s="1"/>
  <c r="J369" i="3" s="1"/>
  <c r="K369" i="3" s="1"/>
  <c r="L369" i="3" s="1"/>
  <c r="M369" i="3" s="1"/>
  <c r="N369" i="3" s="1"/>
  <c r="F364" i="3"/>
  <c r="G364" i="3" s="1"/>
  <c r="H364" i="3" s="1"/>
  <c r="I364" i="3" s="1"/>
  <c r="J364" i="3" s="1"/>
  <c r="K364" i="3" s="1"/>
  <c r="L364" i="3" s="1"/>
  <c r="M364" i="3" s="1"/>
  <c r="N364" i="3" s="1"/>
  <c r="F360" i="3"/>
  <c r="G360" i="3" s="1"/>
  <c r="H360" i="3" s="1"/>
  <c r="I360" i="3" s="1"/>
  <c r="J360" i="3" s="1"/>
  <c r="K360" i="3" s="1"/>
  <c r="L360" i="3" s="1"/>
  <c r="M360" i="3" s="1"/>
  <c r="N360" i="3" s="1"/>
  <c r="F356" i="3"/>
  <c r="G356" i="3" s="1"/>
  <c r="H356" i="3" s="1"/>
  <c r="I356" i="3" s="1"/>
  <c r="J356" i="3" s="1"/>
  <c r="K356" i="3" s="1"/>
  <c r="L356" i="3" s="1"/>
  <c r="M356" i="3" s="1"/>
  <c r="N356" i="3" s="1"/>
  <c r="F352" i="3"/>
  <c r="G352" i="3" s="1"/>
  <c r="H352" i="3" s="1"/>
  <c r="I352" i="3" s="1"/>
  <c r="J352" i="3" s="1"/>
  <c r="K352" i="3" s="1"/>
  <c r="L352" i="3" s="1"/>
  <c r="M352" i="3" s="1"/>
  <c r="N352" i="3" s="1"/>
  <c r="F347" i="3"/>
  <c r="G347" i="3" s="1"/>
  <c r="H347" i="3" s="1"/>
  <c r="I347" i="3" s="1"/>
  <c r="J347" i="3" s="1"/>
  <c r="K347" i="3" s="1"/>
  <c r="L347" i="3" s="1"/>
  <c r="M347" i="3" s="1"/>
  <c r="N347" i="3" s="1"/>
  <c r="F342" i="3"/>
  <c r="G342" i="3" s="1"/>
  <c r="H342" i="3" s="1"/>
  <c r="I342" i="3" s="1"/>
  <c r="J342" i="3" s="1"/>
  <c r="K342" i="3" s="1"/>
  <c r="L342" i="3" s="1"/>
  <c r="M342" i="3" s="1"/>
  <c r="N342" i="3" s="1"/>
  <c r="F337" i="3"/>
  <c r="G337" i="3" s="1"/>
  <c r="H337" i="3" s="1"/>
  <c r="I337" i="3" s="1"/>
  <c r="J337" i="3" s="1"/>
  <c r="K337" i="3" s="1"/>
  <c r="L337" i="3" s="1"/>
  <c r="M337" i="3" s="1"/>
  <c r="N337" i="3" s="1"/>
  <c r="F332" i="3"/>
  <c r="G332" i="3" s="1"/>
  <c r="H332" i="3" s="1"/>
  <c r="I332" i="3" s="1"/>
  <c r="J332" i="3" s="1"/>
  <c r="K332" i="3" s="1"/>
  <c r="L332" i="3" s="1"/>
  <c r="M332" i="3" s="1"/>
  <c r="N332" i="3" s="1"/>
  <c r="F327" i="3"/>
  <c r="G327" i="3" s="1"/>
  <c r="H327" i="3" s="1"/>
  <c r="I327" i="3" s="1"/>
  <c r="J327" i="3" s="1"/>
  <c r="K327" i="3" s="1"/>
  <c r="L327" i="3" s="1"/>
  <c r="M327" i="3" s="1"/>
  <c r="N327" i="3" s="1"/>
  <c r="F322" i="3"/>
  <c r="G322" i="3" s="1"/>
  <c r="H322" i="3" s="1"/>
  <c r="I322" i="3" s="1"/>
  <c r="J322" i="3" s="1"/>
  <c r="K322" i="3" s="1"/>
  <c r="L322" i="3" s="1"/>
  <c r="M322" i="3" s="1"/>
  <c r="N322" i="3" s="1"/>
  <c r="F316" i="3"/>
  <c r="G316" i="3" s="1"/>
  <c r="H316" i="3" s="1"/>
  <c r="I316" i="3" s="1"/>
  <c r="J316" i="3" s="1"/>
  <c r="K316" i="3" s="1"/>
  <c r="L316" i="3" s="1"/>
  <c r="M316" i="3" s="1"/>
  <c r="N316" i="3" s="1"/>
  <c r="F312" i="3"/>
  <c r="G312" i="3" s="1"/>
  <c r="H312" i="3" s="1"/>
  <c r="I312" i="3" s="1"/>
  <c r="J312" i="3" s="1"/>
  <c r="K312" i="3" s="1"/>
  <c r="L312" i="3" s="1"/>
  <c r="M312" i="3" s="1"/>
  <c r="N312" i="3" s="1"/>
  <c r="F308" i="3"/>
  <c r="G308" i="3" s="1"/>
  <c r="H308" i="3" s="1"/>
  <c r="I308" i="3" s="1"/>
  <c r="J308" i="3" s="1"/>
  <c r="K308" i="3" s="1"/>
  <c r="L308" i="3" s="1"/>
  <c r="M308" i="3" s="1"/>
  <c r="N308" i="3" s="1"/>
  <c r="F304" i="3"/>
  <c r="G304" i="3" s="1"/>
  <c r="H304" i="3" s="1"/>
  <c r="I304" i="3" s="1"/>
  <c r="J304" i="3" s="1"/>
  <c r="K304" i="3" s="1"/>
  <c r="L304" i="3" s="1"/>
  <c r="M304" i="3" s="1"/>
  <c r="N304" i="3" s="1"/>
  <c r="F300" i="3"/>
  <c r="G300" i="3" s="1"/>
  <c r="H300" i="3" s="1"/>
  <c r="I300" i="3" s="1"/>
  <c r="J300" i="3" s="1"/>
  <c r="K300" i="3" s="1"/>
  <c r="L300" i="3" s="1"/>
  <c r="M300" i="3" s="1"/>
  <c r="N300" i="3" s="1"/>
  <c r="F294" i="3"/>
  <c r="G294" i="3" s="1"/>
  <c r="F270" i="3"/>
  <c r="G270" i="3" s="1"/>
  <c r="H270" i="3" s="1"/>
  <c r="I270" i="3" s="1"/>
  <c r="J270" i="3" s="1"/>
  <c r="K270" i="3" s="1"/>
  <c r="L270" i="3" s="1"/>
  <c r="M270" i="3" s="1"/>
  <c r="N270" i="3" s="1"/>
  <c r="F265" i="3"/>
  <c r="G265" i="3" s="1"/>
  <c r="H265" i="3" s="1"/>
  <c r="I265" i="3" s="1"/>
  <c r="J265" i="3" s="1"/>
  <c r="K265" i="3" s="1"/>
  <c r="L265" i="3" s="1"/>
  <c r="M265" i="3" s="1"/>
  <c r="N265" i="3" s="1"/>
  <c r="F260" i="3"/>
  <c r="G260" i="3" s="1"/>
  <c r="H260" i="3" s="1"/>
  <c r="I260" i="3" s="1"/>
  <c r="J260" i="3" s="1"/>
  <c r="K260" i="3" s="1"/>
  <c r="L260" i="3" s="1"/>
  <c r="M260" i="3" s="1"/>
  <c r="N260" i="3" s="1"/>
  <c r="F255" i="3"/>
  <c r="G255" i="3" s="1"/>
  <c r="H255" i="3" s="1"/>
  <c r="I255" i="3" s="1"/>
  <c r="J255" i="3" s="1"/>
  <c r="K255" i="3" s="1"/>
  <c r="L255" i="3" s="1"/>
  <c r="M255" i="3" s="1"/>
  <c r="N255" i="3" s="1"/>
  <c r="F250" i="3"/>
  <c r="G250" i="3" s="1"/>
  <c r="H250" i="3" s="1"/>
  <c r="I250" i="3" s="1"/>
  <c r="J250" i="3" s="1"/>
  <c r="K250" i="3" s="1"/>
  <c r="L250" i="3" s="1"/>
  <c r="M250" i="3" s="1"/>
  <c r="N250" i="3" s="1"/>
  <c r="F245" i="3"/>
  <c r="G245" i="3" s="1"/>
  <c r="H245" i="3" s="1"/>
  <c r="I245" i="3" s="1"/>
  <c r="J245" i="3" s="1"/>
  <c r="K245" i="3" s="1"/>
  <c r="L245" i="3" s="1"/>
  <c r="M245" i="3" s="1"/>
  <c r="N245" i="3" s="1"/>
  <c r="F241" i="3"/>
  <c r="G241" i="3" s="1"/>
  <c r="H241" i="3" s="1"/>
  <c r="I241" i="3" s="1"/>
  <c r="J241" i="3" s="1"/>
  <c r="K241" i="3" s="1"/>
  <c r="L241" i="3" s="1"/>
  <c r="M241" i="3" s="1"/>
  <c r="N241" i="3" s="1"/>
  <c r="F236" i="3"/>
  <c r="G236" i="3" s="1"/>
  <c r="H236" i="3" s="1"/>
  <c r="I236" i="3" s="1"/>
  <c r="J236" i="3" s="1"/>
  <c r="K236" i="3" s="1"/>
  <c r="L236" i="3" s="1"/>
  <c r="M236" i="3" s="1"/>
  <c r="N236" i="3" s="1"/>
  <c r="F232" i="3"/>
  <c r="G232" i="3" s="1"/>
  <c r="H232" i="3" s="1"/>
  <c r="I232" i="3" s="1"/>
  <c r="J232" i="3" s="1"/>
  <c r="K232" i="3" s="1"/>
  <c r="L232" i="3" s="1"/>
  <c r="M232" i="3" s="1"/>
  <c r="N232" i="3" s="1"/>
  <c r="F228" i="3"/>
  <c r="G228" i="3" s="1"/>
  <c r="H228" i="3" s="1"/>
  <c r="I228" i="3" s="1"/>
  <c r="J228" i="3" s="1"/>
  <c r="K228" i="3" s="1"/>
  <c r="L228" i="3" s="1"/>
  <c r="M228" i="3" s="1"/>
  <c r="N228" i="3" s="1"/>
  <c r="F224" i="3"/>
  <c r="G224" i="3" s="1"/>
  <c r="H224" i="3" s="1"/>
  <c r="I224" i="3" s="1"/>
  <c r="J224" i="3" s="1"/>
  <c r="K224" i="3" s="1"/>
  <c r="L224" i="3" s="1"/>
  <c r="M224" i="3" s="1"/>
  <c r="N224" i="3" s="1"/>
  <c r="F219" i="3"/>
  <c r="G219" i="3" s="1"/>
  <c r="F195" i="3"/>
  <c r="G195" i="3" s="1"/>
  <c r="H195" i="3" s="1"/>
  <c r="I195" i="3" s="1"/>
  <c r="J195" i="3" s="1"/>
  <c r="K195" i="3" s="1"/>
  <c r="L195" i="3" s="1"/>
  <c r="M195" i="3" s="1"/>
  <c r="N195" i="3" s="1"/>
  <c r="F191" i="3"/>
  <c r="G191" i="3" s="1"/>
  <c r="H191" i="3" s="1"/>
  <c r="I191" i="3" s="1"/>
  <c r="J191" i="3" s="1"/>
  <c r="K191" i="3" s="1"/>
  <c r="L191" i="3" s="1"/>
  <c r="M191" i="3" s="1"/>
  <c r="N191" i="3" s="1"/>
  <c r="F186" i="3"/>
  <c r="G186" i="3" s="1"/>
  <c r="H186" i="3" s="1"/>
  <c r="I186" i="3" s="1"/>
  <c r="J186" i="3" s="1"/>
  <c r="K186" i="3" s="1"/>
  <c r="L186" i="3" s="1"/>
  <c r="M186" i="3" s="1"/>
  <c r="N186" i="3" s="1"/>
  <c r="F182" i="3"/>
  <c r="G182" i="3" s="1"/>
  <c r="H182" i="3" s="1"/>
  <c r="I182" i="3" s="1"/>
  <c r="J182" i="3" s="1"/>
  <c r="K182" i="3" s="1"/>
  <c r="L182" i="3" s="1"/>
  <c r="M182" i="3" s="1"/>
  <c r="N182" i="3" s="1"/>
  <c r="F178" i="3"/>
  <c r="G178" i="3" s="1"/>
  <c r="H178" i="3" s="1"/>
  <c r="I178" i="3" s="1"/>
  <c r="J178" i="3" s="1"/>
  <c r="K178" i="3" s="1"/>
  <c r="L178" i="3" s="1"/>
  <c r="M178" i="3" s="1"/>
  <c r="N178" i="3" s="1"/>
  <c r="F135" i="3"/>
  <c r="G135" i="3" s="1"/>
  <c r="H135" i="3" s="1"/>
  <c r="I135" i="3" s="1"/>
  <c r="J135" i="3" s="1"/>
  <c r="K135" i="3" s="1"/>
  <c r="L135" i="3" s="1"/>
  <c r="M135" i="3" s="1"/>
  <c r="N135" i="3" s="1"/>
  <c r="F131" i="3"/>
  <c r="G131" i="3" s="1"/>
  <c r="H131" i="3" s="1"/>
  <c r="I131" i="3" s="1"/>
  <c r="J131" i="3" s="1"/>
  <c r="K131" i="3" s="1"/>
  <c r="L131" i="3" s="1"/>
  <c r="M131" i="3" s="1"/>
  <c r="N131" i="3" s="1"/>
  <c r="F127" i="3"/>
  <c r="G127" i="3" s="1"/>
  <c r="H127" i="3" s="1"/>
  <c r="I127" i="3" s="1"/>
  <c r="J127" i="3" s="1"/>
  <c r="K127" i="3" s="1"/>
  <c r="L127" i="3" s="1"/>
  <c r="M127" i="3" s="1"/>
  <c r="N127" i="3" s="1"/>
  <c r="F123" i="3"/>
  <c r="G123" i="3" s="1"/>
  <c r="H123" i="3" s="1"/>
  <c r="I123" i="3" s="1"/>
  <c r="J123" i="3" s="1"/>
  <c r="K123" i="3" s="1"/>
  <c r="L123" i="3" s="1"/>
  <c r="M123" i="3" s="1"/>
  <c r="N123" i="3" s="1"/>
  <c r="F118" i="3"/>
  <c r="G118" i="3" s="1"/>
  <c r="H118" i="3" s="1"/>
  <c r="I118" i="3" s="1"/>
  <c r="J118" i="3" s="1"/>
  <c r="K118" i="3" s="1"/>
  <c r="L118" i="3" s="1"/>
  <c r="M118" i="3" s="1"/>
  <c r="N118" i="3" s="1"/>
  <c r="F112" i="3"/>
  <c r="G112" i="3" s="1"/>
  <c r="H112" i="3" s="1"/>
  <c r="I112" i="3" s="1"/>
  <c r="J112" i="3" s="1"/>
  <c r="K112" i="3" s="1"/>
  <c r="L112" i="3" s="1"/>
  <c r="M112" i="3" s="1"/>
  <c r="N112" i="3" s="1"/>
  <c r="F107" i="3"/>
  <c r="G107" i="3" s="1"/>
  <c r="H107" i="3" s="1"/>
  <c r="I107" i="3" s="1"/>
  <c r="J107" i="3" s="1"/>
  <c r="K107" i="3" s="1"/>
  <c r="L107" i="3" s="1"/>
  <c r="M107" i="3" s="1"/>
  <c r="N107" i="3" s="1"/>
  <c r="F103" i="3"/>
  <c r="G103" i="3" s="1"/>
  <c r="H103" i="3" s="1"/>
  <c r="I103" i="3" s="1"/>
  <c r="J103" i="3" s="1"/>
  <c r="K103" i="3" s="1"/>
  <c r="L103" i="3" s="1"/>
  <c r="M103" i="3" s="1"/>
  <c r="N103" i="3" s="1"/>
  <c r="F98" i="3"/>
  <c r="G98" i="3" s="1"/>
  <c r="F87" i="3"/>
  <c r="G87" i="3" s="1"/>
  <c r="H87" i="3" s="1"/>
  <c r="I87" i="3" s="1"/>
  <c r="J87" i="3" s="1"/>
  <c r="K87" i="3" s="1"/>
  <c r="L87" i="3" s="1"/>
  <c r="M87" i="3" s="1"/>
  <c r="N87" i="3" s="1"/>
  <c r="F81" i="3"/>
  <c r="G81" i="3" s="1"/>
  <c r="H81" i="3" s="1"/>
  <c r="I81" i="3" s="1"/>
  <c r="J81" i="3" s="1"/>
  <c r="K81" i="3" s="1"/>
  <c r="L81" i="3" s="1"/>
  <c r="M81" i="3" s="1"/>
  <c r="N81" i="3" s="1"/>
  <c r="F76" i="3"/>
  <c r="G76" i="3" s="1"/>
  <c r="H76" i="3" s="1"/>
  <c r="I76" i="3" s="1"/>
  <c r="J76" i="3" s="1"/>
  <c r="K76" i="3" s="1"/>
  <c r="L76" i="3" s="1"/>
  <c r="M76" i="3" s="1"/>
  <c r="N76" i="3" s="1"/>
  <c r="F71" i="3"/>
  <c r="G71" i="3" s="1"/>
  <c r="F60" i="3"/>
  <c r="G60" i="3" s="1"/>
  <c r="H60" i="3" s="1"/>
  <c r="I60" i="3" s="1"/>
  <c r="J60" i="3" s="1"/>
  <c r="K60" i="3" s="1"/>
  <c r="L60" i="3" s="1"/>
  <c r="M60" i="3" s="1"/>
  <c r="N60" i="3" s="1"/>
  <c r="F13" i="3"/>
  <c r="G13" i="3" s="1"/>
  <c r="H13" i="3" s="1"/>
  <c r="I13" i="3" s="1"/>
  <c r="J13" i="3" s="1"/>
  <c r="K13" i="3" s="1"/>
  <c r="L13" i="3" s="1"/>
  <c r="M13" i="3" s="1"/>
  <c r="N13" i="3" s="1"/>
  <c r="F18" i="3"/>
  <c r="G18" i="3" s="1"/>
  <c r="H18" i="3" s="1"/>
  <c r="I18" i="3" s="1"/>
  <c r="J18" i="3" s="1"/>
  <c r="K18" i="3" s="1"/>
  <c r="L18" i="3" s="1"/>
  <c r="M18" i="3" s="1"/>
  <c r="N18" i="3" s="1"/>
  <c r="F25" i="3"/>
  <c r="G25" i="3" s="1"/>
  <c r="H25" i="3" s="1"/>
  <c r="I25" i="3" s="1"/>
  <c r="J25" i="3" s="1"/>
  <c r="K25" i="3" s="1"/>
  <c r="L25" i="3" s="1"/>
  <c r="M25" i="3" s="1"/>
  <c r="N25" i="3" s="1"/>
  <c r="F30" i="3"/>
  <c r="G30" i="3" s="1"/>
  <c r="H30" i="3" s="1"/>
  <c r="I30" i="3" s="1"/>
  <c r="J30" i="3" s="1"/>
  <c r="K30" i="3" s="1"/>
  <c r="L30" i="3" s="1"/>
  <c r="M30" i="3" s="1"/>
  <c r="N30" i="3" s="1"/>
  <c r="F35" i="3"/>
  <c r="G35" i="3" s="1"/>
  <c r="H35" i="3" s="1"/>
  <c r="I35" i="3" s="1"/>
  <c r="J35" i="3" s="1"/>
  <c r="K35" i="3" s="1"/>
  <c r="L35" i="3" s="1"/>
  <c r="M35" i="3" s="1"/>
  <c r="N35" i="3" s="1"/>
  <c r="F41" i="3"/>
  <c r="G41" i="3" s="1"/>
  <c r="H41" i="3" s="1"/>
  <c r="I41" i="3" s="1"/>
  <c r="J41" i="3" s="1"/>
  <c r="K41" i="3" s="1"/>
  <c r="L41" i="3" s="1"/>
  <c r="M41" i="3" s="1"/>
  <c r="N41" i="3" s="1"/>
  <c r="F46" i="3"/>
  <c r="G46" i="3" s="1"/>
  <c r="H46" i="3" s="1"/>
  <c r="I46" i="3" s="1"/>
  <c r="J46" i="3" s="1"/>
  <c r="K46" i="3" s="1"/>
  <c r="L46" i="3" s="1"/>
  <c r="M46" i="3" s="1"/>
  <c r="N46" i="3" s="1"/>
  <c r="F50" i="3"/>
  <c r="G50" i="3" s="1"/>
  <c r="H50" i="3" s="1"/>
  <c r="I50" i="3" s="1"/>
  <c r="J50" i="3" s="1"/>
  <c r="K50" i="3" s="1"/>
  <c r="L50" i="3" s="1"/>
  <c r="M50" i="3" s="1"/>
  <c r="N50" i="3" s="1"/>
  <c r="F54" i="3"/>
  <c r="G54" i="3" s="1"/>
  <c r="H54" i="3" s="1"/>
  <c r="I54" i="3" s="1"/>
  <c r="J54" i="3" s="1"/>
  <c r="K54" i="3" s="1"/>
  <c r="L54" i="3" s="1"/>
  <c r="M54" i="3" s="1"/>
  <c r="N54" i="3" s="1"/>
  <c r="I34" i="3"/>
  <c r="J34" i="3" s="1"/>
  <c r="K34" i="3" s="1"/>
  <c r="L34" i="3" s="1"/>
  <c r="M34" i="3" s="1"/>
  <c r="N34" i="3" s="1"/>
  <c r="I39" i="3"/>
  <c r="J39" i="3" s="1"/>
  <c r="K39" i="3" s="1"/>
  <c r="L39" i="3" s="1"/>
  <c r="M39" i="3" s="1"/>
  <c r="N39" i="3" s="1"/>
  <c r="F15" i="3"/>
  <c r="G15" i="3" s="1"/>
  <c r="H15" i="3" s="1"/>
  <c r="I15" i="3" s="1"/>
  <c r="J15" i="3" s="1"/>
  <c r="K15" i="3" s="1"/>
  <c r="L15" i="3" s="1"/>
  <c r="M15" i="3" s="1"/>
  <c r="N15" i="3" s="1"/>
  <c r="F20" i="3"/>
  <c r="G20" i="3" s="1"/>
  <c r="H20" i="3" s="1"/>
  <c r="I20" i="3" s="1"/>
  <c r="J20" i="3" s="1"/>
  <c r="K20" i="3" s="1"/>
  <c r="L20" i="3" s="1"/>
  <c r="M20" i="3" s="1"/>
  <c r="N20" i="3" s="1"/>
  <c r="F27" i="3"/>
  <c r="G27" i="3" s="1"/>
  <c r="H27" i="3" s="1"/>
  <c r="I27" i="3" s="1"/>
  <c r="J27" i="3" s="1"/>
  <c r="K27" i="3" s="1"/>
  <c r="L27" i="3" s="1"/>
  <c r="M27" i="3" s="1"/>
  <c r="N27" i="3" s="1"/>
  <c r="F32" i="3"/>
  <c r="G32" i="3" s="1"/>
  <c r="H32" i="3" s="1"/>
  <c r="I32" i="3" s="1"/>
  <c r="J32" i="3" s="1"/>
  <c r="K32" i="3" s="1"/>
  <c r="L32" i="3" s="1"/>
  <c r="M32" i="3" s="1"/>
  <c r="N32" i="3" s="1"/>
  <c r="F36" i="3"/>
  <c r="G36" i="3" s="1"/>
  <c r="H36" i="3" s="1"/>
  <c r="I36" i="3" s="1"/>
  <c r="J36" i="3" s="1"/>
  <c r="K36" i="3" s="1"/>
  <c r="L36" i="3" s="1"/>
  <c r="M36" i="3" s="1"/>
  <c r="N36" i="3" s="1"/>
  <c r="F42" i="3"/>
  <c r="G42" i="3" s="1"/>
  <c r="H42" i="3" s="1"/>
  <c r="I42" i="3" s="1"/>
  <c r="J42" i="3" s="1"/>
  <c r="K42" i="3" s="1"/>
  <c r="L42" i="3" s="1"/>
  <c r="M42" i="3" s="1"/>
  <c r="N42" i="3" s="1"/>
  <c r="F47" i="3"/>
  <c r="G47" i="3" s="1"/>
  <c r="H47" i="3" s="1"/>
  <c r="I47" i="3" s="1"/>
  <c r="J47" i="3" s="1"/>
  <c r="K47" i="3" s="1"/>
  <c r="L47" i="3" s="1"/>
  <c r="M47" i="3" s="1"/>
  <c r="N47" i="3" s="1"/>
  <c r="F51" i="3"/>
  <c r="G51" i="3" s="1"/>
  <c r="H51" i="3" s="1"/>
  <c r="I51" i="3" s="1"/>
  <c r="J51" i="3" s="1"/>
  <c r="K51" i="3" s="1"/>
  <c r="L51" i="3" s="1"/>
  <c r="M51" i="3" s="1"/>
  <c r="N51" i="3" s="1"/>
  <c r="F55" i="3"/>
  <c r="G55" i="3" s="1"/>
  <c r="H55" i="3" s="1"/>
  <c r="I55" i="3" s="1"/>
  <c r="J55" i="3" s="1"/>
  <c r="K55" i="3" s="1"/>
  <c r="L55" i="3" s="1"/>
  <c r="M55" i="3" s="1"/>
  <c r="N55" i="3" s="1"/>
  <c r="I23" i="3"/>
  <c r="J23" i="3" s="1"/>
  <c r="K23" i="3" s="1"/>
  <c r="L23" i="3" s="1"/>
  <c r="M23" i="3" s="1"/>
  <c r="N23" i="3" s="1"/>
  <c r="I45" i="3"/>
  <c r="J45" i="3" s="1"/>
  <c r="K45" i="3" s="1"/>
  <c r="L45" i="3" s="1"/>
  <c r="M45" i="3" s="1"/>
  <c r="N45" i="3" s="1"/>
  <c r="G1734" i="3"/>
  <c r="H1734" i="3" s="1"/>
  <c r="I1734" i="3" s="1"/>
  <c r="J1734" i="3" s="1"/>
  <c r="K1734" i="3" s="1"/>
  <c r="L1734" i="3" s="1"/>
  <c r="M1734" i="3" s="1"/>
  <c r="N1734" i="3" s="1"/>
  <c r="G1730" i="3"/>
  <c r="H1730" i="3" s="1"/>
  <c r="I1730" i="3" s="1"/>
  <c r="J1730" i="3" s="1"/>
  <c r="K1730" i="3" s="1"/>
  <c r="L1730" i="3" s="1"/>
  <c r="M1730" i="3" s="1"/>
  <c r="N1730" i="3" s="1"/>
  <c r="G1726" i="3"/>
  <c r="H1726" i="3" s="1"/>
  <c r="I1726" i="3" s="1"/>
  <c r="J1726" i="3" s="1"/>
  <c r="K1726" i="3" s="1"/>
  <c r="L1726" i="3" s="1"/>
  <c r="M1726" i="3" s="1"/>
  <c r="N1726" i="3" s="1"/>
  <c r="G1737" i="3"/>
  <c r="H1737" i="3" s="1"/>
  <c r="I1737" i="3" s="1"/>
  <c r="J1737" i="3" s="1"/>
  <c r="K1737" i="3" s="1"/>
  <c r="L1737" i="3" s="1"/>
  <c r="M1737" i="3" s="1"/>
  <c r="N1737" i="3" s="1"/>
  <c r="G1733" i="3"/>
  <c r="H1733" i="3" s="1"/>
  <c r="I1733" i="3" s="1"/>
  <c r="J1733" i="3" s="1"/>
  <c r="K1733" i="3" s="1"/>
  <c r="L1733" i="3" s="1"/>
  <c r="M1733" i="3" s="1"/>
  <c r="N1733" i="3" s="1"/>
  <c r="G1729" i="3"/>
  <c r="H1729" i="3" s="1"/>
  <c r="I1729" i="3" s="1"/>
  <c r="J1729" i="3" s="1"/>
  <c r="K1729" i="3" s="1"/>
  <c r="L1729" i="3" s="1"/>
  <c r="M1729" i="3" s="1"/>
  <c r="N1729" i="3" s="1"/>
  <c r="G1725" i="3"/>
  <c r="H1725" i="3" s="1"/>
  <c r="I1725" i="3" s="1"/>
  <c r="J1725" i="3" s="1"/>
  <c r="K1725" i="3" s="1"/>
  <c r="L1725" i="3" s="1"/>
  <c r="M1725" i="3" s="1"/>
  <c r="N1725" i="3" s="1"/>
  <c r="G1736" i="3"/>
  <c r="H1736" i="3" s="1"/>
  <c r="I1736" i="3" s="1"/>
  <c r="J1736" i="3" s="1"/>
  <c r="K1736" i="3" s="1"/>
  <c r="L1736" i="3" s="1"/>
  <c r="M1736" i="3" s="1"/>
  <c r="N1736" i="3" s="1"/>
  <c r="G1732" i="3"/>
  <c r="H1732" i="3" s="1"/>
  <c r="I1732" i="3" s="1"/>
  <c r="J1732" i="3" s="1"/>
  <c r="K1732" i="3" s="1"/>
  <c r="L1732" i="3" s="1"/>
  <c r="M1732" i="3" s="1"/>
  <c r="N1732" i="3" s="1"/>
  <c r="G1728" i="3"/>
  <c r="H1728" i="3" s="1"/>
  <c r="I1728" i="3" s="1"/>
  <c r="J1728" i="3" s="1"/>
  <c r="K1728" i="3" s="1"/>
  <c r="L1728" i="3" s="1"/>
  <c r="M1728" i="3" s="1"/>
  <c r="N1728" i="3" s="1"/>
  <c r="G1724" i="3"/>
  <c r="H1724" i="3" s="1"/>
  <c r="I1724" i="3" s="1"/>
  <c r="J1724" i="3" s="1"/>
  <c r="K1724" i="3" s="1"/>
  <c r="L1724" i="3" s="1"/>
  <c r="M1724" i="3" s="1"/>
  <c r="N1724" i="3" s="1"/>
  <c r="G1735" i="3"/>
  <c r="H1735" i="3" s="1"/>
  <c r="I1735" i="3" s="1"/>
  <c r="J1735" i="3" s="1"/>
  <c r="K1735" i="3" s="1"/>
  <c r="L1735" i="3" s="1"/>
  <c r="M1735" i="3" s="1"/>
  <c r="N1735" i="3" s="1"/>
  <c r="G1731" i="3"/>
  <c r="H1731" i="3" s="1"/>
  <c r="I1731" i="3" s="1"/>
  <c r="J1731" i="3" s="1"/>
  <c r="K1731" i="3" s="1"/>
  <c r="L1731" i="3" s="1"/>
  <c r="M1731" i="3" s="1"/>
  <c r="N1731" i="3" s="1"/>
  <c r="G1727" i="3"/>
  <c r="H1727" i="3" s="1"/>
  <c r="I1727" i="3" s="1"/>
  <c r="J1727" i="3" s="1"/>
  <c r="K1727" i="3" s="1"/>
  <c r="L1727" i="3" s="1"/>
  <c r="M1727" i="3" s="1"/>
  <c r="N1727" i="3" s="1"/>
  <c r="G1164" i="3"/>
  <c r="H1164" i="3" s="1"/>
  <c r="G738" i="3"/>
  <c r="H738" i="3" s="1"/>
  <c r="G315" i="3"/>
  <c r="H315" i="3" s="1"/>
  <c r="I315" i="3" s="1"/>
  <c r="J315" i="3" s="1"/>
  <c r="K315" i="3" s="1"/>
  <c r="L315" i="3" s="1"/>
  <c r="M315" i="3" s="1"/>
  <c r="N315" i="3" s="1"/>
  <c r="F11" i="3"/>
  <c r="G11" i="3" s="1"/>
  <c r="H11" i="3" s="1"/>
  <c r="I11" i="3" s="1"/>
  <c r="J11" i="3" s="1"/>
  <c r="K11" i="3" s="1"/>
  <c r="L11" i="3" s="1"/>
  <c r="M11" i="3" s="1"/>
  <c r="N11" i="3" s="1"/>
  <c r="F16" i="3"/>
  <c r="G16" i="3" s="1"/>
  <c r="H16" i="3" s="1"/>
  <c r="I16" i="3" s="1"/>
  <c r="J16" i="3" s="1"/>
  <c r="K16" i="3" s="1"/>
  <c r="L16" i="3" s="1"/>
  <c r="M16" i="3" s="1"/>
  <c r="N16" i="3" s="1"/>
  <c r="F22" i="3"/>
  <c r="G22" i="3" s="1"/>
  <c r="H22" i="3" s="1"/>
  <c r="I22" i="3" s="1"/>
  <c r="J22" i="3" s="1"/>
  <c r="K22" i="3" s="1"/>
  <c r="L22" i="3" s="1"/>
  <c r="M22" i="3" s="1"/>
  <c r="N22" i="3" s="1"/>
  <c r="F28" i="3"/>
  <c r="G28" i="3" s="1"/>
  <c r="H28" i="3" s="1"/>
  <c r="I28" i="3" s="1"/>
  <c r="J28" i="3" s="1"/>
  <c r="K28" i="3" s="1"/>
  <c r="L28" i="3" s="1"/>
  <c r="M28" i="3" s="1"/>
  <c r="N28" i="3" s="1"/>
  <c r="F33" i="3"/>
  <c r="G33" i="3" s="1"/>
  <c r="H33" i="3" s="1"/>
  <c r="I33" i="3" s="1"/>
  <c r="J33" i="3" s="1"/>
  <c r="K33" i="3" s="1"/>
  <c r="L33" i="3" s="1"/>
  <c r="M33" i="3" s="1"/>
  <c r="N33" i="3" s="1"/>
  <c r="F38" i="3"/>
  <c r="G38" i="3" s="1"/>
  <c r="H38" i="3" s="1"/>
  <c r="I38" i="3" s="1"/>
  <c r="J38" i="3" s="1"/>
  <c r="K38" i="3" s="1"/>
  <c r="L38" i="3" s="1"/>
  <c r="M38" i="3" s="1"/>
  <c r="N38" i="3" s="1"/>
  <c r="F43" i="3"/>
  <c r="G43" i="3" s="1"/>
  <c r="H43" i="3" s="1"/>
  <c r="I43" i="3" s="1"/>
  <c r="J43" i="3" s="1"/>
  <c r="K43" i="3" s="1"/>
  <c r="L43" i="3" s="1"/>
  <c r="M43" i="3" s="1"/>
  <c r="N43" i="3" s="1"/>
  <c r="F48" i="3"/>
  <c r="G48" i="3" s="1"/>
  <c r="H48" i="3" s="1"/>
  <c r="I48" i="3" s="1"/>
  <c r="J48" i="3" s="1"/>
  <c r="K48" i="3" s="1"/>
  <c r="L48" i="3" s="1"/>
  <c r="M48" i="3" s="1"/>
  <c r="N48" i="3" s="1"/>
  <c r="F52" i="3"/>
  <c r="G52" i="3" s="1"/>
  <c r="H52" i="3" s="1"/>
  <c r="I52" i="3" s="1"/>
  <c r="J52" i="3" s="1"/>
  <c r="K52" i="3" s="1"/>
  <c r="L52" i="3" s="1"/>
  <c r="M52" i="3" s="1"/>
  <c r="N52" i="3" s="1"/>
  <c r="F56" i="3"/>
  <c r="G56" i="3" s="1"/>
  <c r="H56" i="3" s="1"/>
  <c r="I56" i="3" s="1"/>
  <c r="J56" i="3" s="1"/>
  <c r="K56" i="3" s="1"/>
  <c r="L56" i="3" s="1"/>
  <c r="M56" i="3" s="1"/>
  <c r="N56" i="3" s="1"/>
  <c r="G322" i="16"/>
  <c r="G329" i="16" s="1"/>
  <c r="F56" i="23"/>
  <c r="O55" i="25"/>
  <c r="N55" i="25" s="1"/>
  <c r="Q55" i="25" s="1"/>
  <c r="H44" i="25"/>
  <c r="K44" i="25" s="1"/>
  <c r="I45" i="25" s="1"/>
  <c r="E63" i="25"/>
  <c r="B65" i="25"/>
  <c r="B29" i="17"/>
  <c r="G1482" i="3"/>
  <c r="B30" i="17"/>
  <c r="F40" i="16"/>
  <c r="F47" i="16" s="1"/>
  <c r="L1133" i="3"/>
  <c r="L1158" i="3" s="1"/>
  <c r="G9" i="17"/>
  <c r="G16" i="17" s="1"/>
  <c r="G1031" i="3"/>
  <c r="B94" i="17"/>
  <c r="E391" i="16"/>
  <c r="G876" i="3"/>
  <c r="B114" i="16"/>
  <c r="B582" i="16"/>
  <c r="G1526" i="3"/>
  <c r="B2085" i="17"/>
  <c r="L2041" i="3"/>
  <c r="K2071" i="3"/>
  <c r="G2074" i="17" s="1"/>
  <c r="G2081" i="17" s="1"/>
  <c r="G2133" i="17" s="1"/>
  <c r="K16" i="23" s="1"/>
  <c r="B2016" i="17"/>
  <c r="L1841" i="3"/>
  <c r="K1801" i="3"/>
  <c r="F387" i="16"/>
  <c r="F77" i="17" s="1"/>
  <c r="F81" i="17" s="1"/>
  <c r="F1966" i="17" s="1"/>
  <c r="J12" i="23" s="1"/>
  <c r="B146" i="16"/>
  <c r="B51" i="16"/>
  <c r="F2035" i="17"/>
  <c r="J14" i="23" s="1"/>
  <c r="G384" i="16"/>
  <c r="G533" i="16"/>
  <c r="R25" i="11" s="1"/>
  <c r="S25" i="11" s="1"/>
  <c r="T25" i="11" s="1"/>
  <c r="H509" i="16"/>
  <c r="H516" i="16" s="1"/>
  <c r="G1970" i="3"/>
  <c r="L1932" i="3"/>
  <c r="K1962" i="3"/>
  <c r="G2005" i="17" s="1"/>
  <c r="G2012" i="17" s="1"/>
  <c r="G1876" i="3"/>
  <c r="L1833" i="3"/>
  <c r="K1868" i="3"/>
  <c r="G1786" i="3"/>
  <c r="G1688" i="3"/>
  <c r="F1706" i="3"/>
  <c r="G1619" i="3"/>
  <c r="F1652" i="3"/>
  <c r="L1656" i="3"/>
  <c r="K1682" i="3"/>
  <c r="L1710" i="3"/>
  <c r="K1712" i="3"/>
  <c r="L1770" i="3"/>
  <c r="K1780" i="3"/>
  <c r="G1570" i="3"/>
  <c r="F1595" i="3"/>
  <c r="L1599" i="3"/>
  <c r="K1613" i="3"/>
  <c r="G1276" i="3"/>
  <c r="F1309" i="3"/>
  <c r="G1342" i="3"/>
  <c r="G1378" i="3"/>
  <c r="F1493" i="3"/>
  <c r="L1497" i="3"/>
  <c r="K1520" i="3"/>
  <c r="G1547" i="3"/>
  <c r="G1363" i="3"/>
  <c r="L1555" i="3"/>
  <c r="K1564" i="3"/>
  <c r="L1313" i="3"/>
  <c r="K1336" i="3"/>
  <c r="G1183" i="3"/>
  <c r="F1242" i="3"/>
  <c r="B113" i="16" s="1"/>
  <c r="L1246" i="3"/>
  <c r="K1270" i="3"/>
  <c r="G103" i="16" s="1"/>
  <c r="G110" i="16" s="1"/>
  <c r="G813" i="3"/>
  <c r="G1165" i="3"/>
  <c r="H1165" i="3" s="1"/>
  <c r="I1165" i="3" s="1"/>
  <c r="J1165" i="3" s="1"/>
  <c r="K1165" i="3" s="1"/>
  <c r="L1165" i="3" s="1"/>
  <c r="M1165" i="3" s="1"/>
  <c r="N1165" i="3" s="1"/>
  <c r="F1171" i="3"/>
  <c r="M1126" i="3"/>
  <c r="G953" i="3"/>
  <c r="G1014" i="3"/>
  <c r="L1006" i="3"/>
  <c r="K1008" i="3"/>
  <c r="L931" i="3"/>
  <c r="K947" i="3"/>
  <c r="M1175" i="3"/>
  <c r="L1177" i="3"/>
  <c r="G760" i="3"/>
  <c r="F794" i="3"/>
  <c r="B145" i="16" s="1"/>
  <c r="L798" i="3"/>
  <c r="K807" i="3"/>
  <c r="G135" i="16" s="1"/>
  <c r="G142" i="16" s="1"/>
  <c r="G705" i="3"/>
  <c r="H705" i="3" s="1"/>
  <c r="I705" i="3" s="1"/>
  <c r="J705" i="3" s="1"/>
  <c r="K705" i="3" s="1"/>
  <c r="L705" i="3" s="1"/>
  <c r="M705" i="3" s="1"/>
  <c r="N705" i="3" s="1"/>
  <c r="F744" i="3"/>
  <c r="M752" i="3"/>
  <c r="L754" i="3"/>
  <c r="G598" i="3"/>
  <c r="G672" i="3"/>
  <c r="L475" i="3"/>
  <c r="K487" i="3"/>
  <c r="L535" i="3"/>
  <c r="K565" i="3"/>
  <c r="L590" i="3"/>
  <c r="K592" i="3"/>
  <c r="L662" i="3"/>
  <c r="K666" i="3"/>
  <c r="G175" i="3"/>
  <c r="G441" i="3"/>
  <c r="G10" i="3"/>
  <c r="L407" i="3"/>
  <c r="K435" i="3"/>
  <c r="K213" i="3"/>
  <c r="L283" i="3"/>
  <c r="K288" i="3"/>
  <c r="K145" i="3"/>
  <c r="AY118" i="10"/>
  <c r="AU118" i="10"/>
  <c r="AQ118" i="10"/>
  <c r="AM118" i="10"/>
  <c r="AI118" i="10"/>
  <c r="AE118" i="10"/>
  <c r="AA118" i="10"/>
  <c r="W118" i="10"/>
  <c r="S118" i="10"/>
  <c r="H65" i="10"/>
  <c r="BB116" i="10"/>
  <c r="BA116" i="10"/>
  <c r="AZ116" i="10"/>
  <c r="AX116" i="10"/>
  <c r="AW116" i="10"/>
  <c r="AV116" i="10"/>
  <c r="AT116" i="10"/>
  <c r="AS116" i="10"/>
  <c r="AR116" i="10"/>
  <c r="AP116" i="10"/>
  <c r="AO116" i="10"/>
  <c r="AN116" i="10"/>
  <c r="AL116" i="10"/>
  <c r="AK116" i="10"/>
  <c r="AJ116" i="10"/>
  <c r="AH116" i="10"/>
  <c r="AG116" i="10"/>
  <c r="AF116" i="10"/>
  <c r="AD116" i="10"/>
  <c r="AC116" i="10"/>
  <c r="AB116" i="10"/>
  <c r="Z116" i="10"/>
  <c r="Y116" i="10"/>
  <c r="X116" i="10"/>
  <c r="V116" i="10"/>
  <c r="U116" i="10"/>
  <c r="T116" i="10"/>
  <c r="R116" i="10"/>
  <c r="Q116" i="10"/>
  <c r="P116" i="10"/>
  <c r="M116" i="10"/>
  <c r="L116" i="10"/>
  <c r="K116" i="10"/>
  <c r="H116" i="10"/>
  <c r="E116" i="10"/>
  <c r="H103" i="10"/>
  <c r="BB98" i="10"/>
  <c r="BA98" i="10"/>
  <c r="AZ98" i="10"/>
  <c r="AX98" i="10"/>
  <c r="AW98" i="10"/>
  <c r="AV98" i="10"/>
  <c r="AT98" i="10"/>
  <c r="AS98" i="10"/>
  <c r="AR98" i="10"/>
  <c r="AP98" i="10"/>
  <c r="AO98" i="10"/>
  <c r="AN98" i="10"/>
  <c r="AL98" i="10"/>
  <c r="AK98" i="10"/>
  <c r="AJ98" i="10"/>
  <c r="AH98" i="10"/>
  <c r="AG98" i="10"/>
  <c r="AF98" i="10"/>
  <c r="AD98" i="10"/>
  <c r="AC98" i="10"/>
  <c r="AB98" i="10"/>
  <c r="Z98" i="10"/>
  <c r="Y98" i="10"/>
  <c r="X98" i="10"/>
  <c r="V98" i="10"/>
  <c r="U98" i="10"/>
  <c r="T98" i="10"/>
  <c r="R98" i="10"/>
  <c r="Q98" i="10"/>
  <c r="P98" i="10"/>
  <c r="M98" i="10"/>
  <c r="L98" i="10"/>
  <c r="K98" i="10"/>
  <c r="H98" i="10"/>
  <c r="G98" i="10"/>
  <c r="E98" i="10"/>
  <c r="H92" i="10"/>
  <c r="BB82" i="10"/>
  <c r="BA82" i="10"/>
  <c r="AZ82" i="10"/>
  <c r="AX82" i="10"/>
  <c r="AW82" i="10"/>
  <c r="AV82" i="10"/>
  <c r="AT82" i="10"/>
  <c r="AS82" i="10"/>
  <c r="AR82" i="10"/>
  <c r="AP82" i="10"/>
  <c r="AO82" i="10"/>
  <c r="AN82" i="10"/>
  <c r="AL82" i="10"/>
  <c r="AK82" i="10"/>
  <c r="AJ82" i="10"/>
  <c r="AH82" i="10"/>
  <c r="AG82" i="10"/>
  <c r="AF82" i="10"/>
  <c r="AD82" i="10"/>
  <c r="AC82" i="10"/>
  <c r="AB82" i="10"/>
  <c r="Z82" i="10"/>
  <c r="Y82" i="10"/>
  <c r="X82" i="10"/>
  <c r="V82" i="10"/>
  <c r="U82" i="10"/>
  <c r="T82" i="10"/>
  <c r="R82" i="10"/>
  <c r="Q82" i="10"/>
  <c r="P82" i="10"/>
  <c r="H80" i="10"/>
  <c r="H78" i="10"/>
  <c r="H77" i="10"/>
  <c r="H76" i="10"/>
  <c r="H75" i="10"/>
  <c r="H74" i="10"/>
  <c r="H73" i="10"/>
  <c r="H72" i="10"/>
  <c r="H71" i="10"/>
  <c r="H70" i="10"/>
  <c r="BB67" i="10"/>
  <c r="BA67" i="10"/>
  <c r="AZ67" i="10"/>
  <c r="AX67" i="10"/>
  <c r="AW67" i="10"/>
  <c r="AV67" i="10"/>
  <c r="AT67" i="10"/>
  <c r="AS67" i="10"/>
  <c r="AR67" i="10"/>
  <c r="AP67" i="10"/>
  <c r="AO67" i="10"/>
  <c r="AN67" i="10"/>
  <c r="AL67" i="10"/>
  <c r="AK67" i="10"/>
  <c r="AJ67" i="10"/>
  <c r="AH67" i="10"/>
  <c r="AG67" i="10"/>
  <c r="AF67" i="10"/>
  <c r="AD67" i="10"/>
  <c r="AC67" i="10"/>
  <c r="AB67" i="10"/>
  <c r="Z67" i="10"/>
  <c r="Y67" i="10"/>
  <c r="X67" i="10"/>
  <c r="V67" i="10"/>
  <c r="U67" i="10"/>
  <c r="T67" i="10"/>
  <c r="R67" i="10"/>
  <c r="Q67" i="10"/>
  <c r="P67" i="10"/>
  <c r="M67" i="10"/>
  <c r="L67" i="10"/>
  <c r="K67" i="10"/>
  <c r="E67" i="10"/>
  <c r="H67" i="10"/>
  <c r="E62" i="10"/>
  <c r="H60" i="10"/>
  <c r="H62" i="10" s="1"/>
  <c r="BB57" i="10"/>
  <c r="BA57" i="10"/>
  <c r="AZ57" i="10"/>
  <c r="AX57" i="10"/>
  <c r="AW57" i="10"/>
  <c r="AV57" i="10"/>
  <c r="AT57" i="10"/>
  <c r="AS57" i="10"/>
  <c r="AR57" i="10"/>
  <c r="AP57" i="10"/>
  <c r="AO57" i="10"/>
  <c r="AN57" i="10"/>
  <c r="AL57" i="10"/>
  <c r="AK57" i="10"/>
  <c r="AJ57" i="10"/>
  <c r="AH57" i="10"/>
  <c r="AG57" i="10"/>
  <c r="AF57" i="10"/>
  <c r="AD57" i="10"/>
  <c r="AC57" i="10"/>
  <c r="AB57" i="10"/>
  <c r="Z57" i="10"/>
  <c r="Y57" i="10"/>
  <c r="X57" i="10"/>
  <c r="V57" i="10"/>
  <c r="U57" i="10"/>
  <c r="T57" i="10"/>
  <c r="R57" i="10"/>
  <c r="Q57" i="10"/>
  <c r="P57" i="10"/>
  <c r="M57" i="10"/>
  <c r="L57" i="10"/>
  <c r="K57" i="10"/>
  <c r="E57" i="10"/>
  <c r="H54" i="10"/>
  <c r="H57" i="10" s="1"/>
  <c r="BB51" i="10"/>
  <c r="BA51" i="10"/>
  <c r="AZ51" i="10"/>
  <c r="AX51" i="10"/>
  <c r="AW51" i="10"/>
  <c r="AV51" i="10"/>
  <c r="AT51" i="10"/>
  <c r="AS51" i="10"/>
  <c r="AR51" i="10"/>
  <c r="AP51" i="10"/>
  <c r="AO51" i="10"/>
  <c r="AN51" i="10"/>
  <c r="AL51" i="10"/>
  <c r="AK51" i="10"/>
  <c r="AJ51" i="10"/>
  <c r="AH51" i="10"/>
  <c r="AG51" i="10"/>
  <c r="AF51" i="10"/>
  <c r="AD51" i="10"/>
  <c r="AC51" i="10"/>
  <c r="AB51" i="10"/>
  <c r="Z51" i="10"/>
  <c r="Y51" i="10"/>
  <c r="X51" i="10"/>
  <c r="V51" i="10"/>
  <c r="U51" i="10"/>
  <c r="T51" i="10"/>
  <c r="R51" i="10"/>
  <c r="Q51" i="10"/>
  <c r="P51" i="10"/>
  <c r="M51" i="10"/>
  <c r="L51" i="10"/>
  <c r="K51" i="10"/>
  <c r="E51" i="10"/>
  <c r="H48" i="10"/>
  <c r="H47" i="10"/>
  <c r="H46" i="10"/>
  <c r="H45" i="10"/>
  <c r="H44" i="10"/>
  <c r="BB41" i="10"/>
  <c r="BA41" i="10"/>
  <c r="N905" i="3" s="1"/>
  <c r="AZ41" i="10"/>
  <c r="AX41" i="10"/>
  <c r="AW41" i="10"/>
  <c r="M905" i="3" s="1"/>
  <c r="AV41" i="10"/>
  <c r="AT41" i="10"/>
  <c r="AS41" i="10"/>
  <c r="L905" i="3" s="1"/>
  <c r="AR41" i="10"/>
  <c r="AP41" i="10"/>
  <c r="AO41" i="10"/>
  <c r="K905" i="3" s="1"/>
  <c r="AN41" i="10"/>
  <c r="AL41" i="10"/>
  <c r="AK41" i="10"/>
  <c r="J905" i="3" s="1"/>
  <c r="AJ41" i="10"/>
  <c r="AH41" i="10"/>
  <c r="AG41" i="10"/>
  <c r="I905" i="3" s="1"/>
  <c r="AF41" i="10"/>
  <c r="AD41" i="10"/>
  <c r="AC41" i="10"/>
  <c r="H905" i="3" s="1"/>
  <c r="AB41" i="10"/>
  <c r="Z41" i="10"/>
  <c r="Z85" i="10" s="1"/>
  <c r="Y41" i="10"/>
  <c r="G905" i="3" s="1"/>
  <c r="X41" i="10"/>
  <c r="V41" i="10"/>
  <c r="U41" i="10"/>
  <c r="T41" i="10"/>
  <c r="R41" i="10"/>
  <c r="Q41" i="10"/>
  <c r="P41" i="10"/>
  <c r="P85" i="10" s="1"/>
  <c r="M41" i="10"/>
  <c r="L41" i="10"/>
  <c r="K41" i="10"/>
  <c r="E41" i="10"/>
  <c r="E85" i="10" s="1"/>
  <c r="H35" i="10"/>
  <c r="H34" i="10"/>
  <c r="H33" i="10"/>
  <c r="H32" i="10"/>
  <c r="H31" i="10"/>
  <c r="H30" i="10"/>
  <c r="BD25" i="10"/>
  <c r="BB23" i="10"/>
  <c r="BA23" i="10"/>
  <c r="AZ23" i="10"/>
  <c r="AX23" i="10"/>
  <c r="AW23" i="10"/>
  <c r="AV23" i="10"/>
  <c r="AT23" i="10"/>
  <c r="AS23" i="10"/>
  <c r="AR23" i="10"/>
  <c r="AP23" i="10"/>
  <c r="AO23" i="10"/>
  <c r="AN23" i="10"/>
  <c r="AL23" i="10"/>
  <c r="AK23" i="10"/>
  <c r="AJ23" i="10"/>
  <c r="AH23" i="10"/>
  <c r="AG23" i="10"/>
  <c r="AF23" i="10"/>
  <c r="AD23" i="10"/>
  <c r="AC23" i="10"/>
  <c r="AB23" i="10"/>
  <c r="Z23" i="10"/>
  <c r="Y23" i="10"/>
  <c r="X23" i="10"/>
  <c r="V23" i="10"/>
  <c r="U23" i="10"/>
  <c r="T23" i="10"/>
  <c r="R23" i="10"/>
  <c r="Q23" i="10"/>
  <c r="P23" i="10"/>
  <c r="M23" i="10"/>
  <c r="L23" i="10"/>
  <c r="K23" i="10"/>
  <c r="H23" i="10"/>
  <c r="E23" i="10"/>
  <c r="BB18" i="10"/>
  <c r="BA18" i="10"/>
  <c r="AZ18" i="10"/>
  <c r="AX18" i="10"/>
  <c r="AW18" i="10"/>
  <c r="AV18" i="10"/>
  <c r="AT18" i="10"/>
  <c r="AS18" i="10"/>
  <c r="AR18" i="10"/>
  <c r="AP18" i="10"/>
  <c r="AO18" i="10"/>
  <c r="AN18" i="10"/>
  <c r="AL18" i="10"/>
  <c r="AK18" i="10"/>
  <c r="AJ18" i="10"/>
  <c r="AH18" i="10"/>
  <c r="AG18" i="10"/>
  <c r="AF18" i="10"/>
  <c r="AD18" i="10"/>
  <c r="AC18" i="10"/>
  <c r="AB18" i="10"/>
  <c r="Z18" i="10"/>
  <c r="Y18" i="10"/>
  <c r="X18" i="10"/>
  <c r="V18" i="10"/>
  <c r="U18" i="10"/>
  <c r="T18" i="10"/>
  <c r="R18" i="10"/>
  <c r="Q18" i="10"/>
  <c r="P18" i="10"/>
  <c r="M18" i="10"/>
  <c r="L18" i="10"/>
  <c r="K18" i="10"/>
  <c r="H18" i="10"/>
  <c r="E18" i="10"/>
  <c r="BB13" i="10"/>
  <c r="BA13" i="10"/>
  <c r="AZ13" i="10"/>
  <c r="AZ25" i="10" s="1"/>
  <c r="AX13" i="10"/>
  <c r="AW13" i="10"/>
  <c r="AV13" i="10"/>
  <c r="AT13" i="10"/>
  <c r="AT25" i="10" s="1"/>
  <c r="AS13" i="10"/>
  <c r="AR13" i="10"/>
  <c r="AP13" i="10"/>
  <c r="AO13" i="10"/>
  <c r="AO25" i="10" s="1"/>
  <c r="AN13" i="10"/>
  <c r="AL13" i="10"/>
  <c r="AK13" i="10"/>
  <c r="AJ13" i="10"/>
  <c r="AJ25" i="10" s="1"/>
  <c r="AH13" i="10"/>
  <c r="AG13" i="10"/>
  <c r="AF13" i="10"/>
  <c r="AD13" i="10"/>
  <c r="AD25" i="10" s="1"/>
  <c r="AC13" i="10"/>
  <c r="AB13" i="10"/>
  <c r="Z13" i="10"/>
  <c r="Y13" i="10"/>
  <c r="Y25" i="10" s="1"/>
  <c r="X13" i="10"/>
  <c r="V13" i="10"/>
  <c r="U13" i="10"/>
  <c r="T13" i="10"/>
  <c r="T25" i="10" s="1"/>
  <c r="R13" i="10"/>
  <c r="Q13" i="10"/>
  <c r="P13" i="10"/>
  <c r="M13" i="10"/>
  <c r="M25" i="10" s="1"/>
  <c r="L13" i="10"/>
  <c r="K13" i="10"/>
  <c r="H13" i="10"/>
  <c r="E13" i="10"/>
  <c r="E25" i="10" s="1"/>
  <c r="O771" i="13"/>
  <c r="N771" i="13"/>
  <c r="M771" i="13"/>
  <c r="L771" i="13"/>
  <c r="K771" i="13"/>
  <c r="J771" i="13"/>
  <c r="I771" i="13"/>
  <c r="H771" i="13"/>
  <c r="G771" i="13"/>
  <c r="F771" i="13"/>
  <c r="O756" i="13"/>
  <c r="N756" i="13"/>
  <c r="M756" i="13"/>
  <c r="L756" i="13"/>
  <c r="K756" i="13"/>
  <c r="J756" i="13"/>
  <c r="I756" i="13"/>
  <c r="H756" i="13"/>
  <c r="G756" i="13"/>
  <c r="F752" i="13"/>
  <c r="F756" i="13" s="1"/>
  <c r="O746" i="13"/>
  <c r="N746" i="13"/>
  <c r="M746" i="13"/>
  <c r="L746" i="13"/>
  <c r="K746" i="13"/>
  <c r="J746" i="13"/>
  <c r="I746" i="13"/>
  <c r="H746" i="13"/>
  <c r="G746" i="13"/>
  <c r="F742" i="13"/>
  <c r="O737" i="13"/>
  <c r="N737" i="13"/>
  <c r="M737" i="13"/>
  <c r="L737" i="13"/>
  <c r="K737" i="13"/>
  <c r="J737" i="13"/>
  <c r="I737" i="13"/>
  <c r="H737" i="13"/>
  <c r="G737" i="13"/>
  <c r="F734" i="13"/>
  <c r="F730" i="13"/>
  <c r="F729" i="13"/>
  <c r="F728" i="13"/>
  <c r="O723" i="13"/>
  <c r="N723" i="13"/>
  <c r="M723" i="13"/>
  <c r="L723" i="13"/>
  <c r="K723" i="13"/>
  <c r="J723" i="13"/>
  <c r="I723" i="13"/>
  <c r="H723" i="13"/>
  <c r="G723" i="13"/>
  <c r="F717" i="13"/>
  <c r="F723" i="13" s="1"/>
  <c r="O705" i="13"/>
  <c r="N705" i="13"/>
  <c r="M705" i="13"/>
  <c r="L705" i="13"/>
  <c r="K705" i="13"/>
  <c r="J705" i="13"/>
  <c r="I705" i="13"/>
  <c r="H705" i="13"/>
  <c r="G705" i="13"/>
  <c r="F705" i="13"/>
  <c r="O692" i="13"/>
  <c r="N692" i="13"/>
  <c r="M692" i="13"/>
  <c r="L692" i="13"/>
  <c r="K692" i="13"/>
  <c r="J692" i="13"/>
  <c r="I692" i="13"/>
  <c r="H692" i="13"/>
  <c r="G692" i="13"/>
  <c r="F686" i="13"/>
  <c r="O679" i="13"/>
  <c r="N679" i="13"/>
  <c r="M679" i="13"/>
  <c r="L679" i="13"/>
  <c r="K679" i="13"/>
  <c r="J679" i="13"/>
  <c r="I679" i="13"/>
  <c r="H679" i="13"/>
  <c r="G679" i="13"/>
  <c r="F677" i="13"/>
  <c r="F669" i="13"/>
  <c r="O666" i="13"/>
  <c r="N666" i="13"/>
  <c r="M666" i="13"/>
  <c r="L666" i="13"/>
  <c r="K666" i="13"/>
  <c r="J666" i="13"/>
  <c r="I666" i="13"/>
  <c r="H666" i="13"/>
  <c r="G666" i="13"/>
  <c r="F662" i="13"/>
  <c r="F661" i="13"/>
  <c r="O656" i="13"/>
  <c r="N656" i="13"/>
  <c r="M656" i="13"/>
  <c r="L656" i="13"/>
  <c r="K656" i="13"/>
  <c r="J656" i="13"/>
  <c r="I656" i="13"/>
  <c r="H656" i="13"/>
  <c r="G656" i="13"/>
  <c r="F656" i="13"/>
  <c r="O643" i="13"/>
  <c r="N643" i="13"/>
  <c r="M643" i="13"/>
  <c r="L643" i="13"/>
  <c r="K643" i="13"/>
  <c r="J643" i="13"/>
  <c r="I643" i="13"/>
  <c r="H643" i="13"/>
  <c r="G643" i="13"/>
  <c r="F643" i="13"/>
  <c r="O637" i="13"/>
  <c r="N637" i="13"/>
  <c r="M637" i="13"/>
  <c r="L637" i="13"/>
  <c r="K637" i="13"/>
  <c r="J637" i="13"/>
  <c r="I637" i="13"/>
  <c r="H637" i="13"/>
  <c r="G637" i="13"/>
  <c r="F633" i="13"/>
  <c r="O626" i="13"/>
  <c r="N626" i="13"/>
  <c r="M626" i="13"/>
  <c r="L626" i="13"/>
  <c r="K626" i="13"/>
  <c r="J626" i="13"/>
  <c r="I626" i="13"/>
  <c r="H626" i="13"/>
  <c r="G626" i="13"/>
  <c r="F618" i="13"/>
  <c r="F616" i="13"/>
  <c r="F612" i="13"/>
  <c r="F611" i="13"/>
  <c r="F608" i="13"/>
  <c r="O591" i="13"/>
  <c r="N591" i="13"/>
  <c r="M591" i="13"/>
  <c r="L591" i="13"/>
  <c r="K591" i="13"/>
  <c r="J591" i="13"/>
  <c r="I591" i="13"/>
  <c r="H591" i="13"/>
  <c r="G591" i="13"/>
  <c r="F591" i="13"/>
  <c r="O583" i="13"/>
  <c r="N583" i="13"/>
  <c r="M583" i="13"/>
  <c r="L583" i="13"/>
  <c r="K583" i="13"/>
  <c r="J583" i="13"/>
  <c r="I583" i="13"/>
  <c r="H583" i="13"/>
  <c r="G583" i="13"/>
  <c r="F583" i="13"/>
  <c r="O565" i="13"/>
  <c r="N565" i="13"/>
  <c r="M565" i="13"/>
  <c r="L565" i="13"/>
  <c r="K565" i="13"/>
  <c r="J565" i="13"/>
  <c r="I565" i="13"/>
  <c r="H565" i="13"/>
  <c r="G565" i="13"/>
  <c r="F562" i="13"/>
  <c r="F565" i="13" s="1"/>
  <c r="O530" i="13"/>
  <c r="N530" i="13"/>
  <c r="M530" i="13"/>
  <c r="L530" i="13"/>
  <c r="K530" i="13"/>
  <c r="J530" i="13"/>
  <c r="I530" i="13"/>
  <c r="D115" i="16" s="1"/>
  <c r="H530" i="13"/>
  <c r="G530" i="13"/>
  <c r="B115" i="16" s="1"/>
  <c r="F530" i="13"/>
  <c r="O509" i="13"/>
  <c r="N509" i="13"/>
  <c r="M509" i="13"/>
  <c r="L509" i="13"/>
  <c r="K509" i="13"/>
  <c r="J509" i="13"/>
  <c r="I509" i="13"/>
  <c r="H509" i="13"/>
  <c r="G509" i="13"/>
  <c r="F505" i="13"/>
  <c r="F509" i="13" s="1"/>
  <c r="O498" i="13"/>
  <c r="N498" i="13"/>
  <c r="M498" i="13"/>
  <c r="L498" i="13"/>
  <c r="K498" i="13"/>
  <c r="J498" i="13"/>
  <c r="I498" i="13"/>
  <c r="H498" i="13"/>
  <c r="F35" i="22" s="1"/>
  <c r="G498" i="13"/>
  <c r="F482" i="13"/>
  <c r="F467" i="13"/>
  <c r="F450" i="13"/>
  <c r="F449" i="13"/>
  <c r="F429" i="13"/>
  <c r="O425" i="13"/>
  <c r="N425" i="13"/>
  <c r="M425" i="13"/>
  <c r="L425" i="13"/>
  <c r="K425" i="13"/>
  <c r="J425" i="13"/>
  <c r="I425" i="13"/>
  <c r="H425" i="13"/>
  <c r="G425" i="13"/>
  <c r="F425" i="13"/>
  <c r="O416" i="13"/>
  <c r="N416" i="13"/>
  <c r="M416" i="13"/>
  <c r="L416" i="13"/>
  <c r="K416" i="13"/>
  <c r="J416" i="13"/>
  <c r="I416" i="13"/>
  <c r="H416" i="13"/>
  <c r="F402" i="13"/>
  <c r="F390" i="13"/>
  <c r="F388" i="13"/>
  <c r="F378" i="13" s="1"/>
  <c r="F370" i="13"/>
  <c r="C333" i="13"/>
  <c r="C328" i="13"/>
  <c r="C300" i="13"/>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F200" i="13"/>
  <c r="F193" i="13"/>
  <c r="G182" i="13"/>
  <c r="F174" i="13"/>
  <c r="O107" i="13"/>
  <c r="N107" i="13"/>
  <c r="M107" i="13"/>
  <c r="L107" i="13"/>
  <c r="K107" i="13"/>
  <c r="J107" i="13"/>
  <c r="I107" i="13"/>
  <c r="H107" i="13"/>
  <c r="G107" i="13"/>
  <c r="F107" i="13"/>
  <c r="O43" i="13"/>
  <c r="N43" i="13"/>
  <c r="M43" i="13"/>
  <c r="L43" i="13"/>
  <c r="K43" i="13"/>
  <c r="J43" i="13"/>
  <c r="I43" i="13"/>
  <c r="H43" i="13"/>
  <c r="G43" i="13"/>
  <c r="F43" i="13"/>
  <c r="O32" i="13"/>
  <c r="N32" i="13"/>
  <c r="M32" i="13"/>
  <c r="L32" i="13"/>
  <c r="K32" i="13"/>
  <c r="J32" i="13"/>
  <c r="I32" i="13"/>
  <c r="H32" i="13"/>
  <c r="G32" i="13"/>
  <c r="F32" i="13"/>
  <c r="O27" i="13"/>
  <c r="N27" i="13"/>
  <c r="M27" i="13"/>
  <c r="L27" i="13"/>
  <c r="K27" i="13"/>
  <c r="J27" i="13"/>
  <c r="I27" i="13"/>
  <c r="H27" i="13"/>
  <c r="G27" i="13"/>
  <c r="F27" i="13"/>
  <c r="O22" i="13"/>
  <c r="N22" i="13"/>
  <c r="M22" i="13"/>
  <c r="L22" i="13"/>
  <c r="K22" i="13"/>
  <c r="J22" i="13"/>
  <c r="I22" i="13"/>
  <c r="H22" i="13"/>
  <c r="G22" i="13"/>
  <c r="F22" i="13"/>
  <c r="O10" i="13"/>
  <c r="N10" i="13"/>
  <c r="M10" i="13"/>
  <c r="L10" i="13"/>
  <c r="K10" i="13"/>
  <c r="J10" i="13"/>
  <c r="I10" i="13"/>
  <c r="H10" i="13"/>
  <c r="G10" i="13"/>
  <c r="F10" i="13"/>
  <c r="K108" i="6"/>
  <c r="J108" i="6"/>
  <c r="I108" i="6"/>
  <c r="H108" i="6"/>
  <c r="G108" i="6"/>
  <c r="F108" i="6"/>
  <c r="E108" i="6"/>
  <c r="D108" i="6"/>
  <c r="C108" i="6"/>
  <c r="K107" i="6"/>
  <c r="J107" i="6"/>
  <c r="I107" i="6"/>
  <c r="H107" i="6"/>
  <c r="G107" i="6"/>
  <c r="F107" i="6"/>
  <c r="E107" i="6"/>
  <c r="D107" i="6"/>
  <c r="C107" i="6"/>
  <c r="K106" i="6"/>
  <c r="J106" i="6"/>
  <c r="I106" i="6"/>
  <c r="H106" i="6"/>
  <c r="G106" i="6"/>
  <c r="F106" i="6"/>
  <c r="E106" i="6"/>
  <c r="D106" i="6"/>
  <c r="C106" i="6"/>
  <c r="B108" i="6"/>
  <c r="B107" i="6"/>
  <c r="B106" i="6"/>
  <c r="K78" i="6"/>
  <c r="J78" i="6"/>
  <c r="I78" i="6"/>
  <c r="H78" i="6"/>
  <c r="G78" i="6"/>
  <c r="F78" i="6"/>
  <c r="E78" i="6"/>
  <c r="D78" i="6"/>
  <c r="C78" i="6"/>
  <c r="K77" i="6"/>
  <c r="J77" i="6"/>
  <c r="I77" i="6"/>
  <c r="H77" i="6"/>
  <c r="G77" i="6"/>
  <c r="F77" i="6"/>
  <c r="E77" i="6"/>
  <c r="D77" i="6"/>
  <c r="C77" i="6"/>
  <c r="K76" i="6"/>
  <c r="J76" i="6"/>
  <c r="I76" i="6"/>
  <c r="H76" i="6"/>
  <c r="G76" i="6"/>
  <c r="F76" i="6"/>
  <c r="E76" i="6"/>
  <c r="D76" i="6"/>
  <c r="C76" i="6"/>
  <c r="B78" i="6"/>
  <c r="B77" i="6"/>
  <c r="B76" i="6"/>
  <c r="K46" i="6"/>
  <c r="J46" i="6"/>
  <c r="I46" i="6"/>
  <c r="H46" i="6"/>
  <c r="G46" i="6"/>
  <c r="F46" i="6"/>
  <c r="E46" i="6"/>
  <c r="D46" i="6"/>
  <c r="C46" i="6"/>
  <c r="K45" i="6"/>
  <c r="J45" i="6"/>
  <c r="I45" i="6"/>
  <c r="H45" i="6"/>
  <c r="G45" i="6"/>
  <c r="F45" i="6"/>
  <c r="B46" i="6"/>
  <c r="B45" i="6"/>
  <c r="F1357" i="3" l="1"/>
  <c r="F1766" i="3"/>
  <c r="F1829" i="3"/>
  <c r="F1928" i="3"/>
  <c r="B2015" i="17" s="1"/>
  <c r="F2037" i="3"/>
  <c r="B2084" i="17" s="1"/>
  <c r="C332" i="16"/>
  <c r="C344" i="16" s="1"/>
  <c r="C346" i="16" s="1"/>
  <c r="F19" i="11" s="1"/>
  <c r="G19" i="11" s="1"/>
  <c r="H19" i="11" s="1"/>
  <c r="F1372" i="3"/>
  <c r="G1644" i="3"/>
  <c r="G1652" i="3" s="1"/>
  <c r="F1552" i="3"/>
  <c r="E26" i="22"/>
  <c r="E27" i="22"/>
  <c r="B27" i="17"/>
  <c r="F1123" i="3"/>
  <c r="F403" i="3"/>
  <c r="F471" i="3"/>
  <c r="F1002" i="3"/>
  <c r="E17" i="22" s="1"/>
  <c r="F658" i="3"/>
  <c r="F203" i="3"/>
  <c r="F531" i="3"/>
  <c r="F92" i="3"/>
  <c r="K50" i="6"/>
  <c r="M33" i="22"/>
  <c r="M38" i="22" s="1"/>
  <c r="J50" i="6"/>
  <c r="L33" i="22"/>
  <c r="L38" i="22" s="1"/>
  <c r="I50" i="6"/>
  <c r="K33" i="22"/>
  <c r="K38" i="22" s="1"/>
  <c r="H50" i="6"/>
  <c r="J33" i="22"/>
  <c r="J38" i="22" s="1"/>
  <c r="G50" i="6"/>
  <c r="I33" i="22"/>
  <c r="I38" i="22" s="1"/>
  <c r="F50" i="6"/>
  <c r="H33" i="22"/>
  <c r="H38" i="22" s="1"/>
  <c r="F139" i="3"/>
  <c r="F65" i="3"/>
  <c r="F279" i="3"/>
  <c r="F699" i="3"/>
  <c r="F586" i="3"/>
  <c r="G842" i="3"/>
  <c r="E10" i="22"/>
  <c r="G1401" i="3"/>
  <c r="E18" i="22"/>
  <c r="G1423" i="3"/>
  <c r="E20" i="22"/>
  <c r="F7" i="22"/>
  <c r="G462" i="3"/>
  <c r="G826" i="3"/>
  <c r="E8" i="22"/>
  <c r="G1533" i="3"/>
  <c r="G1384" i="3"/>
  <c r="H322" i="16"/>
  <c r="H329" i="16" s="1"/>
  <c r="E7" i="22"/>
  <c r="G867" i="3"/>
  <c r="E13" i="22"/>
  <c r="G909" i="3"/>
  <c r="E16" i="22"/>
  <c r="G863" i="3"/>
  <c r="E12" i="22"/>
  <c r="G884" i="3"/>
  <c r="E15" i="22"/>
  <c r="G1920" i="3"/>
  <c r="F26" i="22" s="1"/>
  <c r="G1409" i="3"/>
  <c r="E19" i="22"/>
  <c r="G1473" i="3"/>
  <c r="E21" i="22"/>
  <c r="G2003" i="3"/>
  <c r="F27" i="22" s="1"/>
  <c r="G573" i="3"/>
  <c r="G586" i="3" s="1"/>
  <c r="G835" i="3"/>
  <c r="E9" i="22"/>
  <c r="G853" i="3"/>
  <c r="E11" i="22"/>
  <c r="G869" i="3"/>
  <c r="E14" i="22"/>
  <c r="G1278" i="3"/>
  <c r="G56" i="23"/>
  <c r="E50" i="6"/>
  <c r="G33" i="22"/>
  <c r="G38" i="22" s="1"/>
  <c r="D50" i="6"/>
  <c r="F33" i="22"/>
  <c r="F38" i="22" s="1"/>
  <c r="U85" i="10"/>
  <c r="F905" i="3"/>
  <c r="F927" i="3" s="1"/>
  <c r="O56" i="25"/>
  <c r="N56" i="25" s="1"/>
  <c r="Q56" i="25" s="1"/>
  <c r="H45" i="25"/>
  <c r="K45" i="25" s="1"/>
  <c r="I46" i="25" s="1"/>
  <c r="B126" i="16"/>
  <c r="B128" i="16" s="1"/>
  <c r="C12" i="11" s="1"/>
  <c r="F637" i="13"/>
  <c r="F787" i="13"/>
  <c r="F692" i="13"/>
  <c r="F786" i="13"/>
  <c r="F746" i="13"/>
  <c r="F794" i="13"/>
  <c r="F796" i="13" s="1"/>
  <c r="B158" i="16"/>
  <c r="B160" i="16" s="1"/>
  <c r="C13" i="11" s="1"/>
  <c r="D13" i="11" s="1"/>
  <c r="E13" i="11" s="1"/>
  <c r="B34" i="17"/>
  <c r="B36" i="17" s="1"/>
  <c r="C61" i="11" s="1"/>
  <c r="D61" i="11" s="1"/>
  <c r="E61" i="11" s="1"/>
  <c r="H1031" i="3"/>
  <c r="C94" i="17"/>
  <c r="M1133" i="3"/>
  <c r="H9" i="17"/>
  <c r="H16" i="17" s="1"/>
  <c r="H1482" i="3"/>
  <c r="C30" i="17"/>
  <c r="H616" i="3"/>
  <c r="C27" i="17"/>
  <c r="H1037" i="3"/>
  <c r="C29" i="17"/>
  <c r="F391" i="16"/>
  <c r="G571" i="16"/>
  <c r="G578" i="16" s="1"/>
  <c r="B581" i="16"/>
  <c r="B594" i="16" s="1"/>
  <c r="B596" i="16" s="1"/>
  <c r="C27" i="11" s="1"/>
  <c r="D27" i="11" s="1"/>
  <c r="E27" i="11" s="1"/>
  <c r="C51" i="16"/>
  <c r="M1841" i="3"/>
  <c r="L1801" i="3"/>
  <c r="B395" i="16"/>
  <c r="B85" i="17" s="1"/>
  <c r="B97" i="17" s="1"/>
  <c r="G2035" i="17"/>
  <c r="K14" i="23" s="1"/>
  <c r="G387" i="16"/>
  <c r="G77" i="17" s="1"/>
  <c r="G81" i="17" s="1"/>
  <c r="G1966" i="17" s="1"/>
  <c r="K12" i="23" s="1"/>
  <c r="H1644" i="3"/>
  <c r="M2041" i="3"/>
  <c r="L2071" i="3"/>
  <c r="H2074" i="17" s="1"/>
  <c r="H2081" i="17" s="1"/>
  <c r="H2133" i="17" s="1"/>
  <c r="L16" i="23" s="1"/>
  <c r="C2085" i="17"/>
  <c r="C582" i="16"/>
  <c r="H876" i="3"/>
  <c r="C394" i="16"/>
  <c r="G40" i="16"/>
  <c r="G47" i="16" s="1"/>
  <c r="H384" i="16"/>
  <c r="C146" i="16"/>
  <c r="B50" i="16"/>
  <c r="B63" i="16" s="1"/>
  <c r="C2016" i="17"/>
  <c r="H1526" i="3"/>
  <c r="G1552" i="3"/>
  <c r="C114" i="16"/>
  <c r="H533" i="16"/>
  <c r="U25" i="11" s="1"/>
  <c r="V25" i="11" s="1"/>
  <c r="W25" i="11" s="1"/>
  <c r="J509" i="16"/>
  <c r="J516" i="16" s="1"/>
  <c r="I509" i="16"/>
  <c r="I516" i="16" s="1"/>
  <c r="M1932" i="3"/>
  <c r="L1962" i="3"/>
  <c r="H2005" i="17" s="1"/>
  <c r="H2012" i="17" s="1"/>
  <c r="H1970" i="3"/>
  <c r="G2037" i="3"/>
  <c r="C2084" i="17" s="1"/>
  <c r="H1876" i="3"/>
  <c r="G1928" i="3"/>
  <c r="C2015" i="17" s="1"/>
  <c r="M1833" i="3"/>
  <c r="L1868" i="3"/>
  <c r="H1786" i="3"/>
  <c r="G1829" i="3"/>
  <c r="M1770" i="3"/>
  <c r="L1780" i="3"/>
  <c r="M1656" i="3"/>
  <c r="L1682" i="3"/>
  <c r="H1718" i="3"/>
  <c r="G1766" i="3"/>
  <c r="M1710" i="3"/>
  <c r="L1712" i="3"/>
  <c r="H1619" i="3"/>
  <c r="H1688" i="3"/>
  <c r="G1706" i="3"/>
  <c r="M1599" i="3"/>
  <c r="L1613" i="3"/>
  <c r="H1570" i="3"/>
  <c r="G1595" i="3"/>
  <c r="H1342" i="3"/>
  <c r="G1357" i="3"/>
  <c r="M1313" i="3"/>
  <c r="L1336" i="3"/>
  <c r="H1363" i="3"/>
  <c r="G1372" i="3"/>
  <c r="M1497" i="3"/>
  <c r="L1520" i="3"/>
  <c r="M1555" i="3"/>
  <c r="L1564" i="3"/>
  <c r="H40" i="16" s="1"/>
  <c r="H47" i="16" s="1"/>
  <c r="H1547" i="3"/>
  <c r="H1378" i="3"/>
  <c r="H1276" i="3"/>
  <c r="G1309" i="3"/>
  <c r="M1246" i="3"/>
  <c r="L1270" i="3"/>
  <c r="H103" i="16" s="1"/>
  <c r="H110" i="16" s="1"/>
  <c r="H1183" i="3"/>
  <c r="G1242" i="3"/>
  <c r="C113" i="16" s="1"/>
  <c r="G1171" i="3"/>
  <c r="M1006" i="3"/>
  <c r="L1008" i="3"/>
  <c r="H953" i="3"/>
  <c r="G1002" i="3"/>
  <c r="M931" i="3"/>
  <c r="L947" i="3"/>
  <c r="H1014" i="3"/>
  <c r="G1123" i="3"/>
  <c r="N1126" i="3"/>
  <c r="M1158" i="3"/>
  <c r="H813" i="3"/>
  <c r="I1164" i="3"/>
  <c r="H1171" i="3"/>
  <c r="N1175" i="3"/>
  <c r="N1177" i="3" s="1"/>
  <c r="M1177" i="3"/>
  <c r="G744" i="3"/>
  <c r="M798" i="3"/>
  <c r="L807" i="3"/>
  <c r="H135" i="16" s="1"/>
  <c r="H142" i="16" s="1"/>
  <c r="H760" i="3"/>
  <c r="G794" i="3"/>
  <c r="C145" i="16" s="1"/>
  <c r="N752" i="3"/>
  <c r="N754" i="3" s="1"/>
  <c r="M754" i="3"/>
  <c r="I738" i="3"/>
  <c r="H744" i="3"/>
  <c r="M283" i="3"/>
  <c r="L288" i="3"/>
  <c r="M407" i="3"/>
  <c r="L435" i="3"/>
  <c r="H98" i="3"/>
  <c r="G139" i="3"/>
  <c r="H10" i="3"/>
  <c r="G65" i="3"/>
  <c r="H219" i="3"/>
  <c r="G279" i="3"/>
  <c r="M662" i="3"/>
  <c r="L666" i="3"/>
  <c r="M535" i="3"/>
  <c r="L565" i="3"/>
  <c r="H672" i="3"/>
  <c r="G699" i="3"/>
  <c r="H571" i="3"/>
  <c r="L145" i="3"/>
  <c r="L213" i="3"/>
  <c r="H294" i="3"/>
  <c r="G403" i="3"/>
  <c r="H71" i="3"/>
  <c r="G92" i="3"/>
  <c r="H441" i="3"/>
  <c r="G471" i="3"/>
  <c r="H175" i="3"/>
  <c r="G203" i="3"/>
  <c r="M590" i="3"/>
  <c r="L592" i="3"/>
  <c r="M475" i="3"/>
  <c r="L487" i="3"/>
  <c r="H598" i="3"/>
  <c r="G658" i="3"/>
  <c r="H493" i="3"/>
  <c r="G531" i="3"/>
  <c r="AF85" i="10"/>
  <c r="AK85" i="10"/>
  <c r="AP85" i="10"/>
  <c r="AV85" i="10"/>
  <c r="H25" i="10"/>
  <c r="P25" i="10"/>
  <c r="U25" i="10"/>
  <c r="U87" i="10" s="1"/>
  <c r="U118" i="10" s="1"/>
  <c r="L85" i="10"/>
  <c r="Z25" i="10"/>
  <c r="Z87" i="10" s="1"/>
  <c r="Z118" i="10" s="1"/>
  <c r="AF25" i="10"/>
  <c r="AK25" i="10"/>
  <c r="AP25" i="10"/>
  <c r="AV25" i="10"/>
  <c r="BA25" i="10"/>
  <c r="BA85" i="10"/>
  <c r="BA87" i="10" s="1"/>
  <c r="BA118" i="10" s="1"/>
  <c r="K25" i="10"/>
  <c r="Q25" i="10"/>
  <c r="V25" i="10"/>
  <c r="AB25" i="10"/>
  <c r="AG25" i="10"/>
  <c r="AL25" i="10"/>
  <c r="AR25" i="10"/>
  <c r="AW25" i="10"/>
  <c r="BB25" i="10"/>
  <c r="R25" i="10"/>
  <c r="X25" i="10"/>
  <c r="AC25" i="10"/>
  <c r="AH25" i="10"/>
  <c r="AN25" i="10"/>
  <c r="AS25" i="10"/>
  <c r="AX25" i="10"/>
  <c r="L25" i="10"/>
  <c r="L87" i="10" s="1"/>
  <c r="H41" i="10"/>
  <c r="K85" i="10"/>
  <c r="Q85" i="10"/>
  <c r="V85" i="10"/>
  <c r="V87" i="10" s="1"/>
  <c r="V118" i="10" s="1"/>
  <c r="AB85" i="10"/>
  <c r="AG85" i="10"/>
  <c r="AL85" i="10"/>
  <c r="AR85" i="10"/>
  <c r="AW85" i="10"/>
  <c r="BB85" i="10"/>
  <c r="E87" i="10"/>
  <c r="R85" i="10"/>
  <c r="X85" i="10"/>
  <c r="AC85" i="10"/>
  <c r="AH85" i="10"/>
  <c r="AN85" i="10"/>
  <c r="AS85" i="10"/>
  <c r="AX85" i="10"/>
  <c r="P87" i="10"/>
  <c r="P118" i="10" s="1"/>
  <c r="M85" i="10"/>
  <c r="M87" i="10" s="1"/>
  <c r="T85" i="10"/>
  <c r="T87" i="10" s="1"/>
  <c r="Y85" i="10"/>
  <c r="Y87" i="10" s="1"/>
  <c r="Y118" i="10" s="1"/>
  <c r="AD85" i="10"/>
  <c r="AD87" i="10" s="1"/>
  <c r="AD118" i="10" s="1"/>
  <c r="AJ85" i="10"/>
  <c r="AO85" i="10"/>
  <c r="AO87" i="10" s="1"/>
  <c r="AO118" i="10" s="1"/>
  <c r="AT85" i="10"/>
  <c r="AT87" i="10" s="1"/>
  <c r="AT118" i="10" s="1"/>
  <c r="AZ85" i="10"/>
  <c r="H51" i="10"/>
  <c r="H593" i="13"/>
  <c r="L593" i="13"/>
  <c r="I773" i="13"/>
  <c r="J773" i="13"/>
  <c r="N773" i="13"/>
  <c r="M773" i="13"/>
  <c r="F666" i="13"/>
  <c r="F679" i="13"/>
  <c r="F737" i="13"/>
  <c r="F773" i="13" s="1"/>
  <c r="H694" i="13"/>
  <c r="L694" i="13"/>
  <c r="I694" i="13"/>
  <c r="M694" i="13"/>
  <c r="G773" i="13"/>
  <c r="K773" i="13"/>
  <c r="O773" i="13"/>
  <c r="J694" i="13"/>
  <c r="N694" i="13"/>
  <c r="G694" i="13"/>
  <c r="K694" i="13"/>
  <c r="O694" i="13"/>
  <c r="H773" i="13"/>
  <c r="L773" i="13"/>
  <c r="F593" i="13"/>
  <c r="J593" i="13"/>
  <c r="J628" i="13" s="1"/>
  <c r="N593" i="13"/>
  <c r="N628" i="13" s="1"/>
  <c r="I593" i="13"/>
  <c r="I628" i="13" s="1"/>
  <c r="M593" i="13"/>
  <c r="M628" i="13" s="1"/>
  <c r="G416" i="13"/>
  <c r="F416" i="13"/>
  <c r="D33" i="22" s="1"/>
  <c r="D38" i="22" s="1"/>
  <c r="D40" i="22" s="1"/>
  <c r="G593" i="13"/>
  <c r="K593" i="13"/>
  <c r="K628" i="13" s="1"/>
  <c r="O593" i="13"/>
  <c r="O628" i="13" s="1"/>
  <c r="F626" i="13"/>
  <c r="F498" i="13"/>
  <c r="H628" i="13"/>
  <c r="L628" i="13"/>
  <c r="D332" i="16" l="1"/>
  <c r="D344" i="16" s="1"/>
  <c r="D346" i="16" s="1"/>
  <c r="I19" i="11" s="1"/>
  <c r="J19" i="11" s="1"/>
  <c r="K19" i="11" s="1"/>
  <c r="E30" i="22"/>
  <c r="G1493" i="3"/>
  <c r="G927" i="3"/>
  <c r="F36" i="23"/>
  <c r="H571" i="16"/>
  <c r="H578" i="16" s="1"/>
  <c r="B1967" i="17"/>
  <c r="F13" i="23" s="1"/>
  <c r="B65" i="16"/>
  <c r="C10" i="11" s="1"/>
  <c r="D10" i="11" s="1"/>
  <c r="E10" i="11" s="1"/>
  <c r="K77" i="7"/>
  <c r="O630" i="13"/>
  <c r="J77" i="7"/>
  <c r="N630" i="13"/>
  <c r="I77" i="7"/>
  <c r="M630" i="13"/>
  <c r="H77" i="7"/>
  <c r="L630" i="13"/>
  <c r="G77" i="7"/>
  <c r="K630" i="13"/>
  <c r="F77" i="7"/>
  <c r="J630" i="13"/>
  <c r="H1278" i="3"/>
  <c r="H1309" i="3" s="1"/>
  <c r="H1473" i="3"/>
  <c r="F21" i="22"/>
  <c r="H884" i="3"/>
  <c r="F15" i="22"/>
  <c r="H826" i="3"/>
  <c r="F8" i="22"/>
  <c r="F17" i="22"/>
  <c r="H835" i="3"/>
  <c r="F9" i="22"/>
  <c r="H2003" i="3"/>
  <c r="G27" i="22" s="1"/>
  <c r="H1920" i="3"/>
  <c r="G26" i="22" s="1"/>
  <c r="H867" i="3"/>
  <c r="F13" i="22"/>
  <c r="H1533" i="3"/>
  <c r="H1552" i="3" s="1"/>
  <c r="H842" i="3"/>
  <c r="F10" i="22"/>
  <c r="G7" i="22"/>
  <c r="I322" i="16"/>
  <c r="I329" i="16" s="1"/>
  <c r="H853" i="3"/>
  <c r="F11" i="22"/>
  <c r="H909" i="3"/>
  <c r="F16" i="22"/>
  <c r="H462" i="3"/>
  <c r="H1401" i="3"/>
  <c r="F18" i="22"/>
  <c r="H869" i="3"/>
  <c r="F14" i="22"/>
  <c r="H573" i="3"/>
  <c r="H586" i="3" s="1"/>
  <c r="H1409" i="3"/>
  <c r="F19" i="22"/>
  <c r="H863" i="3"/>
  <c r="F12" i="22"/>
  <c r="H1384" i="3"/>
  <c r="H1423" i="3"/>
  <c r="F20" i="22"/>
  <c r="H56" i="23"/>
  <c r="E77" i="7"/>
  <c r="I630" i="13"/>
  <c r="D77" i="7"/>
  <c r="H630" i="13"/>
  <c r="C50" i="6"/>
  <c r="E33" i="22"/>
  <c r="E38" i="22" s="1"/>
  <c r="AZ87" i="10"/>
  <c r="AZ118" i="10" s="1"/>
  <c r="AV87" i="10"/>
  <c r="AV118" i="10" s="1"/>
  <c r="J88" i="7"/>
  <c r="J21" i="6"/>
  <c r="AR87" i="10"/>
  <c r="AR118" i="10" s="1"/>
  <c r="H88" i="7"/>
  <c r="H21" i="6"/>
  <c r="AK87" i="10"/>
  <c r="AK118" i="10" s="1"/>
  <c r="AJ87" i="10"/>
  <c r="AJ118" i="10" s="1"/>
  <c r="F88" i="7"/>
  <c r="F21" i="6"/>
  <c r="E88" i="7"/>
  <c r="E21" i="6"/>
  <c r="D88" i="7"/>
  <c r="D21" i="6"/>
  <c r="T118" i="10"/>
  <c r="C51" i="6"/>
  <c r="O57" i="25"/>
  <c r="N57" i="25" s="1"/>
  <c r="Q57" i="25" s="1"/>
  <c r="H46" i="25"/>
  <c r="K46" i="25" s="1"/>
  <c r="I47" i="25" s="1"/>
  <c r="C158" i="16"/>
  <c r="C160" i="16" s="1"/>
  <c r="F13" i="11" s="1"/>
  <c r="G13" i="11" s="1"/>
  <c r="H13" i="11" s="1"/>
  <c r="C126" i="16"/>
  <c r="C128" i="16" s="1"/>
  <c r="F12" i="11" s="1"/>
  <c r="F789" i="13"/>
  <c r="B125" i="7"/>
  <c r="B82" i="6"/>
  <c r="J112" i="6"/>
  <c r="J173" i="7"/>
  <c r="G173" i="7"/>
  <c r="G112" i="6"/>
  <c r="E173" i="7"/>
  <c r="E112" i="6"/>
  <c r="B2028" i="17"/>
  <c r="B2030" i="17" s="1"/>
  <c r="C133" i="11" s="1"/>
  <c r="D133" i="11" s="1"/>
  <c r="C173" i="7"/>
  <c r="C112" i="6"/>
  <c r="H173" i="7"/>
  <c r="H112" i="6"/>
  <c r="C2028" i="17"/>
  <c r="D173" i="7"/>
  <c r="D112" i="6"/>
  <c r="K173" i="7"/>
  <c r="K112" i="6"/>
  <c r="F112" i="6"/>
  <c r="F173" i="7"/>
  <c r="I173" i="7"/>
  <c r="I112" i="6"/>
  <c r="K125" i="7"/>
  <c r="K82" i="6"/>
  <c r="J82" i="6"/>
  <c r="J125" i="7"/>
  <c r="I82" i="6"/>
  <c r="I125" i="7"/>
  <c r="H82" i="6"/>
  <c r="H125" i="7"/>
  <c r="G125" i="7"/>
  <c r="G82" i="6"/>
  <c r="F82" i="6"/>
  <c r="F125" i="7"/>
  <c r="E125" i="7"/>
  <c r="E82" i="6"/>
  <c r="D82" i="6"/>
  <c r="D125" i="7"/>
  <c r="B2097" i="17"/>
  <c r="C125" i="7"/>
  <c r="C82" i="6"/>
  <c r="C34" i="17"/>
  <c r="C36" i="17" s="1"/>
  <c r="F61" i="11" s="1"/>
  <c r="G61" i="11" s="1"/>
  <c r="H61" i="11" s="1"/>
  <c r="C581" i="16"/>
  <c r="C594" i="16" s="1"/>
  <c r="C596" i="16" s="1"/>
  <c r="F27" i="11" s="1"/>
  <c r="G27" i="11" s="1"/>
  <c r="H27" i="11" s="1"/>
  <c r="N1133" i="3"/>
  <c r="J9" i="17" s="1"/>
  <c r="J16" i="17" s="1"/>
  <c r="I9" i="17"/>
  <c r="I16" i="17" s="1"/>
  <c r="I1037" i="3"/>
  <c r="D29" i="17"/>
  <c r="N1158" i="3"/>
  <c r="I1482" i="3"/>
  <c r="D30" i="17"/>
  <c r="I1031" i="3"/>
  <c r="D94" i="17"/>
  <c r="I616" i="3"/>
  <c r="D27" i="17"/>
  <c r="C2097" i="17"/>
  <c r="C2134" i="17" s="1"/>
  <c r="G17" i="23" s="1"/>
  <c r="G391" i="16"/>
  <c r="I1526" i="3"/>
  <c r="D146" i="16"/>
  <c r="D582" i="16"/>
  <c r="N2041" i="3"/>
  <c r="N2071" i="3" s="1"/>
  <c r="J2074" i="17" s="1"/>
  <c r="J2081" i="17" s="1"/>
  <c r="J2133" i="17" s="1"/>
  <c r="N16" i="23" s="1"/>
  <c r="M2071" i="3"/>
  <c r="I2074" i="17" s="1"/>
  <c r="I2081" i="17" s="1"/>
  <c r="I2133" i="17" s="1"/>
  <c r="M16" i="23" s="1"/>
  <c r="N1841" i="3"/>
  <c r="N1801" i="3" s="1"/>
  <c r="M1801" i="3"/>
  <c r="D51" i="16"/>
  <c r="H2035" i="17"/>
  <c r="L14" i="23" s="1"/>
  <c r="H387" i="16"/>
  <c r="H77" i="17" s="1"/>
  <c r="H81" i="17" s="1"/>
  <c r="H1966" i="17" s="1"/>
  <c r="L12" i="23" s="1"/>
  <c r="C395" i="16"/>
  <c r="C85" i="17" s="1"/>
  <c r="C97" i="17" s="1"/>
  <c r="B99" i="17"/>
  <c r="C63" i="11" s="1"/>
  <c r="D114" i="16"/>
  <c r="D2016" i="17"/>
  <c r="J384" i="16"/>
  <c r="I384" i="16"/>
  <c r="I876" i="3"/>
  <c r="D394" i="16"/>
  <c r="D2085" i="17"/>
  <c r="I1644" i="3"/>
  <c r="E332" i="16"/>
  <c r="E344" i="16" s="1"/>
  <c r="E346" i="16" s="1"/>
  <c r="L19" i="11" s="1"/>
  <c r="M19" i="11" s="1"/>
  <c r="N19" i="11" s="1"/>
  <c r="C50" i="16"/>
  <c r="C63" i="16" s="1"/>
  <c r="B403" i="16"/>
  <c r="D12" i="11"/>
  <c r="I533" i="16"/>
  <c r="X25" i="11" s="1"/>
  <c r="Y25" i="11" s="1"/>
  <c r="Z25" i="11" s="1"/>
  <c r="J533" i="16"/>
  <c r="AA25" i="11" s="1"/>
  <c r="I1970" i="3"/>
  <c r="N1932" i="3"/>
  <c r="N1962" i="3" s="1"/>
  <c r="J2005" i="17" s="1"/>
  <c r="J2012" i="17" s="1"/>
  <c r="M1962" i="3"/>
  <c r="I2005" i="17" s="1"/>
  <c r="I2012" i="17" s="1"/>
  <c r="I1876" i="3"/>
  <c r="H1928" i="3"/>
  <c r="D2015" i="17" s="1"/>
  <c r="N1833" i="3"/>
  <c r="M1868" i="3"/>
  <c r="I1786" i="3"/>
  <c r="H1829" i="3"/>
  <c r="I1688" i="3"/>
  <c r="H1706" i="3"/>
  <c r="N1710" i="3"/>
  <c r="N1712" i="3" s="1"/>
  <c r="M1712" i="3"/>
  <c r="N1656" i="3"/>
  <c r="M1682" i="3"/>
  <c r="I1619" i="3"/>
  <c r="H1652" i="3"/>
  <c r="I1718" i="3"/>
  <c r="H1766" i="3"/>
  <c r="N1770" i="3"/>
  <c r="N1780" i="3" s="1"/>
  <c r="M1780" i="3"/>
  <c r="I1570" i="3"/>
  <c r="H1595" i="3"/>
  <c r="N1599" i="3"/>
  <c r="N1613" i="3" s="1"/>
  <c r="M1613" i="3"/>
  <c r="I1276" i="3"/>
  <c r="I1547" i="3"/>
  <c r="N1497" i="3"/>
  <c r="N1520" i="3" s="1"/>
  <c r="M1520" i="3"/>
  <c r="N1313" i="3"/>
  <c r="N1336" i="3" s="1"/>
  <c r="M1336" i="3"/>
  <c r="I1378" i="3"/>
  <c r="N1555" i="3"/>
  <c r="N1564" i="3" s="1"/>
  <c r="J40" i="16" s="1"/>
  <c r="J47" i="16" s="1"/>
  <c r="M1564" i="3"/>
  <c r="I1363" i="3"/>
  <c r="H1372" i="3"/>
  <c r="I1342" i="3"/>
  <c r="H1357" i="3"/>
  <c r="I1183" i="3"/>
  <c r="H1242" i="3"/>
  <c r="D113" i="16" s="1"/>
  <c r="N1246" i="3"/>
  <c r="N1270" i="3" s="1"/>
  <c r="J103" i="16" s="1"/>
  <c r="J110" i="16" s="1"/>
  <c r="M1270" i="3"/>
  <c r="I103" i="16" s="1"/>
  <c r="I110" i="16" s="1"/>
  <c r="I813" i="3"/>
  <c r="H927" i="3"/>
  <c r="I1014" i="3"/>
  <c r="H1123" i="3"/>
  <c r="I953" i="3"/>
  <c r="H1002" i="3"/>
  <c r="N931" i="3"/>
  <c r="M947" i="3"/>
  <c r="N1006" i="3"/>
  <c r="N1008" i="3" s="1"/>
  <c r="M1008" i="3"/>
  <c r="J1164" i="3"/>
  <c r="I1171" i="3"/>
  <c r="I760" i="3"/>
  <c r="H794" i="3"/>
  <c r="D145" i="16" s="1"/>
  <c r="N798" i="3"/>
  <c r="N807" i="3" s="1"/>
  <c r="J135" i="16" s="1"/>
  <c r="J142" i="16" s="1"/>
  <c r="M807" i="3"/>
  <c r="I135" i="16" s="1"/>
  <c r="I142" i="16" s="1"/>
  <c r="J738" i="3"/>
  <c r="I744" i="3"/>
  <c r="I598" i="3"/>
  <c r="H658" i="3"/>
  <c r="N590" i="3"/>
  <c r="N592" i="3" s="1"/>
  <c r="M592" i="3"/>
  <c r="I441" i="3"/>
  <c r="H471" i="3"/>
  <c r="I294" i="3"/>
  <c r="H403" i="3"/>
  <c r="M145" i="3"/>
  <c r="I672" i="3"/>
  <c r="H699" i="3"/>
  <c r="N662" i="3"/>
  <c r="N666" i="3" s="1"/>
  <c r="M666" i="3"/>
  <c r="I10" i="3"/>
  <c r="H65" i="3"/>
  <c r="N407" i="3"/>
  <c r="N435" i="3" s="1"/>
  <c r="M435" i="3"/>
  <c r="I493" i="3"/>
  <c r="H531" i="3"/>
  <c r="N475" i="3"/>
  <c r="N487" i="3" s="1"/>
  <c r="M487" i="3"/>
  <c r="I175" i="3"/>
  <c r="H203" i="3"/>
  <c r="I71" i="3"/>
  <c r="H92" i="3"/>
  <c r="N213" i="3"/>
  <c r="M213" i="3"/>
  <c r="I571" i="3"/>
  <c r="N535" i="3"/>
  <c r="N565" i="3" s="1"/>
  <c r="M565" i="3"/>
  <c r="I219" i="3"/>
  <c r="H279" i="3"/>
  <c r="I98" i="3"/>
  <c r="H139" i="3"/>
  <c r="N283" i="3"/>
  <c r="N288" i="3" s="1"/>
  <c r="M288" i="3"/>
  <c r="AP87" i="10"/>
  <c r="AP118" i="10" s="1"/>
  <c r="AN87" i="10"/>
  <c r="AN118" i="10" s="1"/>
  <c r="R87" i="10"/>
  <c r="R118" i="10" s="1"/>
  <c r="H85" i="10"/>
  <c r="H87" i="10" s="1"/>
  <c r="AF87" i="10"/>
  <c r="AF118" i="10" s="1"/>
  <c r="AL87" i="10"/>
  <c r="AL118" i="10" s="1"/>
  <c r="Q87" i="10"/>
  <c r="Q118" i="10" s="1"/>
  <c r="AW87" i="10"/>
  <c r="AW118" i="10" s="1"/>
  <c r="AB87" i="10"/>
  <c r="AB118" i="10" s="1"/>
  <c r="AS87" i="10"/>
  <c r="AS118" i="10" s="1"/>
  <c r="AH87" i="10"/>
  <c r="AH118" i="10" s="1"/>
  <c r="K87" i="10"/>
  <c r="BB87" i="10"/>
  <c r="BB118" i="10" s="1"/>
  <c r="AG87" i="10"/>
  <c r="AG118" i="10" s="1"/>
  <c r="AX87" i="10"/>
  <c r="AX118" i="10" s="1"/>
  <c r="AC87" i="10"/>
  <c r="AC118" i="10" s="1"/>
  <c r="X87" i="10"/>
  <c r="X118" i="10" s="1"/>
  <c r="H775" i="13"/>
  <c r="G50" i="23" s="1"/>
  <c r="O775" i="13"/>
  <c r="N50" i="23" s="1"/>
  <c r="J775" i="13"/>
  <c r="I50" i="23" s="1"/>
  <c r="L775" i="13"/>
  <c r="K50" i="23" s="1"/>
  <c r="K775" i="13"/>
  <c r="J50" i="23" s="1"/>
  <c r="I775" i="13"/>
  <c r="H50" i="23" s="1"/>
  <c r="M775" i="13"/>
  <c r="L50" i="23" s="1"/>
  <c r="N775" i="13"/>
  <c r="M50" i="23" s="1"/>
  <c r="F628" i="13"/>
  <c r="G628" i="13"/>
  <c r="G630" i="13" s="1"/>
  <c r="G36" i="23" l="1"/>
  <c r="H2037" i="3"/>
  <c r="D2084" i="17" s="1"/>
  <c r="H1493" i="3"/>
  <c r="H36" i="23" s="1"/>
  <c r="E40" i="8"/>
  <c r="E43" i="8" s="1"/>
  <c r="E40" i="9"/>
  <c r="E43" i="9" s="1"/>
  <c r="J571" i="16"/>
  <c r="J578" i="16" s="1"/>
  <c r="F30" i="22"/>
  <c r="E40" i="22"/>
  <c r="N1868" i="3"/>
  <c r="C65" i="16"/>
  <c r="F10" i="11" s="1"/>
  <c r="G10" i="11" s="1"/>
  <c r="H10" i="11" s="1"/>
  <c r="F40" i="22"/>
  <c r="I1384" i="3"/>
  <c r="I863" i="3"/>
  <c r="G12" i="22"/>
  <c r="I869" i="3"/>
  <c r="G14" i="22"/>
  <c r="I853" i="3"/>
  <c r="G11" i="22"/>
  <c r="I842" i="3"/>
  <c r="G10" i="22"/>
  <c r="I835" i="3"/>
  <c r="G9" i="22"/>
  <c r="I1473" i="3"/>
  <c r="G21" i="22"/>
  <c r="G17" i="22"/>
  <c r="N1682" i="3"/>
  <c r="J322" i="16"/>
  <c r="J329" i="16" s="1"/>
  <c r="I573" i="3"/>
  <c r="I462" i="3"/>
  <c r="I909" i="3"/>
  <c r="G16" i="22"/>
  <c r="I867" i="3"/>
  <c r="G13" i="22"/>
  <c r="I2003" i="3"/>
  <c r="H27" i="22" s="1"/>
  <c r="I884" i="3"/>
  <c r="G15" i="22"/>
  <c r="H7" i="22"/>
  <c r="I1423" i="3"/>
  <c r="G20" i="22"/>
  <c r="I1533" i="3"/>
  <c r="I826" i="3"/>
  <c r="G8" i="22"/>
  <c r="I1278" i="3"/>
  <c r="C1967" i="17"/>
  <c r="G13" i="23" s="1"/>
  <c r="I1409" i="3"/>
  <c r="G19" i="22"/>
  <c r="I1401" i="3"/>
  <c r="G18" i="22"/>
  <c r="I1920" i="3"/>
  <c r="H26" i="22" s="1"/>
  <c r="D158" i="16"/>
  <c r="D160" i="16" s="1"/>
  <c r="I13" i="11" s="1"/>
  <c r="J13" i="11" s="1"/>
  <c r="K13" i="11" s="1"/>
  <c r="I56" i="23"/>
  <c r="K88" i="7"/>
  <c r="K21" i="6"/>
  <c r="I88" i="7"/>
  <c r="I21" i="6"/>
  <c r="G88" i="7"/>
  <c r="G21" i="6"/>
  <c r="C88" i="7"/>
  <c r="C21" i="6"/>
  <c r="O58" i="25"/>
  <c r="N58" i="25" s="1"/>
  <c r="Q58" i="25" s="1"/>
  <c r="H47" i="25"/>
  <c r="K47" i="25" s="1"/>
  <c r="I48" i="25" s="1"/>
  <c r="C20" i="6"/>
  <c r="F48" i="23" s="1"/>
  <c r="D20" i="6"/>
  <c r="G48" i="23" s="1"/>
  <c r="G52" i="23" s="1"/>
  <c r="D126" i="16"/>
  <c r="D128" i="16" s="1"/>
  <c r="I12" i="11" s="1"/>
  <c r="N947" i="3"/>
  <c r="B1040" i="16"/>
  <c r="B1044" i="16" s="1"/>
  <c r="B1546" i="16" s="1"/>
  <c r="B77" i="7"/>
  <c r="B50" i="6"/>
  <c r="K20" i="6"/>
  <c r="N48" i="23" s="1"/>
  <c r="N52" i="23" s="1"/>
  <c r="G775" i="13"/>
  <c r="F50" i="23" s="1"/>
  <c r="C77" i="7"/>
  <c r="G20" i="6"/>
  <c r="J48" i="23" s="1"/>
  <c r="J52" i="23" s="1"/>
  <c r="H20" i="6"/>
  <c r="K48" i="23" s="1"/>
  <c r="K52" i="23" s="1"/>
  <c r="F20" i="6"/>
  <c r="I48" i="23" s="1"/>
  <c r="I52" i="23" s="1"/>
  <c r="C2099" i="17"/>
  <c r="F141" i="11" s="1"/>
  <c r="F144" i="11" s="1"/>
  <c r="D88" i="6" s="1"/>
  <c r="C2036" i="17"/>
  <c r="G15" i="23" s="1"/>
  <c r="C2030" i="17"/>
  <c r="F133" i="11" s="1"/>
  <c r="F135" i="11" s="1"/>
  <c r="D118" i="6" s="1"/>
  <c r="E20" i="6"/>
  <c r="H48" i="23" s="1"/>
  <c r="H52" i="23" s="1"/>
  <c r="J20" i="6"/>
  <c r="M48" i="23" s="1"/>
  <c r="M52" i="23" s="1"/>
  <c r="C135" i="11"/>
  <c r="C118" i="6" s="1"/>
  <c r="B2036" i="17"/>
  <c r="F15" i="23" s="1"/>
  <c r="I20" i="6"/>
  <c r="L48" i="23" s="1"/>
  <c r="L52" i="23" s="1"/>
  <c r="D2097" i="17"/>
  <c r="D2134" i="17" s="1"/>
  <c r="H17" i="23" s="1"/>
  <c r="B2099" i="17"/>
  <c r="C141" i="11" s="1"/>
  <c r="B2134" i="17"/>
  <c r="F17" i="23" s="1"/>
  <c r="J616" i="3"/>
  <c r="E27" i="17"/>
  <c r="J1482" i="3"/>
  <c r="E30" i="17"/>
  <c r="J1031" i="3"/>
  <c r="E94" i="17"/>
  <c r="D34" i="17"/>
  <c r="D36" i="17" s="1"/>
  <c r="I61" i="11" s="1"/>
  <c r="J61" i="11" s="1"/>
  <c r="K61" i="11" s="1"/>
  <c r="J1037" i="3"/>
  <c r="E29" i="17"/>
  <c r="D2028" i="17"/>
  <c r="D2030" i="17" s="1"/>
  <c r="I133" i="11" s="1"/>
  <c r="I135" i="11" s="1"/>
  <c r="E118" i="6" s="1"/>
  <c r="I571" i="16"/>
  <c r="I578" i="16" s="1"/>
  <c r="I40" i="16"/>
  <c r="I47" i="16" s="1"/>
  <c r="C403" i="16"/>
  <c r="C1040" i="16" s="1"/>
  <c r="C1044" i="16" s="1"/>
  <c r="D581" i="16"/>
  <c r="D594" i="16" s="1"/>
  <c r="D596" i="16" s="1"/>
  <c r="I27" i="11" s="1"/>
  <c r="J27" i="11" s="1"/>
  <c r="K27" i="11" s="1"/>
  <c r="J2035" i="17"/>
  <c r="N14" i="23" s="1"/>
  <c r="D395" i="16"/>
  <c r="D85" i="17" s="1"/>
  <c r="D97" i="17" s="1"/>
  <c r="H391" i="16"/>
  <c r="B407" i="16"/>
  <c r="B1547" i="16" s="1"/>
  <c r="E146" i="16"/>
  <c r="D50" i="16"/>
  <c r="D63" i="16" s="1"/>
  <c r="J1644" i="3"/>
  <c r="F332" i="16"/>
  <c r="F344" i="16" s="1"/>
  <c r="F346" i="16" s="1"/>
  <c r="O19" i="11" s="1"/>
  <c r="P19" i="11" s="1"/>
  <c r="Q19" i="11" s="1"/>
  <c r="J876" i="3"/>
  <c r="E394" i="16"/>
  <c r="E2016" i="17"/>
  <c r="D63" i="11"/>
  <c r="C125" i="11"/>
  <c r="E51" i="16"/>
  <c r="E582" i="16"/>
  <c r="J1526" i="3"/>
  <c r="I1552" i="3"/>
  <c r="I387" i="16"/>
  <c r="I77" i="17" s="1"/>
  <c r="I81" i="17" s="1"/>
  <c r="I1966" i="17" s="1"/>
  <c r="M12" i="23" s="1"/>
  <c r="I2035" i="17"/>
  <c r="M14" i="23" s="1"/>
  <c r="E2085" i="17"/>
  <c r="J387" i="16"/>
  <c r="J77" i="17" s="1"/>
  <c r="J81" i="17" s="1"/>
  <c r="J1966" i="17" s="1"/>
  <c r="N12" i="23" s="1"/>
  <c r="E114" i="16"/>
  <c r="C99" i="17"/>
  <c r="F63" i="11" s="1"/>
  <c r="F125" i="11" s="1"/>
  <c r="E133" i="11"/>
  <c r="D135" i="11"/>
  <c r="AB25" i="11"/>
  <c r="E12" i="11"/>
  <c r="J1970" i="3"/>
  <c r="I2037" i="3"/>
  <c r="E2084" i="17" s="1"/>
  <c r="J1876" i="3"/>
  <c r="I1928" i="3"/>
  <c r="E2015" i="17" s="1"/>
  <c r="J1786" i="3"/>
  <c r="I1829" i="3"/>
  <c r="J1619" i="3"/>
  <c r="I1652" i="3"/>
  <c r="J1718" i="3"/>
  <c r="I1766" i="3"/>
  <c r="J1688" i="3"/>
  <c r="I1706" i="3"/>
  <c r="J1570" i="3"/>
  <c r="I1595" i="3"/>
  <c r="J1342" i="3"/>
  <c r="I1357" i="3"/>
  <c r="J1547" i="3"/>
  <c r="J1363" i="3"/>
  <c r="I1372" i="3"/>
  <c r="J1378" i="3"/>
  <c r="I1493" i="3"/>
  <c r="J1276" i="3"/>
  <c r="I1309" i="3"/>
  <c r="J1183" i="3"/>
  <c r="I1242" i="3"/>
  <c r="E113" i="16" s="1"/>
  <c r="J1014" i="3"/>
  <c r="I1123" i="3"/>
  <c r="J953" i="3"/>
  <c r="I1002" i="3"/>
  <c r="J813" i="3"/>
  <c r="I927" i="3"/>
  <c r="K1164" i="3"/>
  <c r="J1171" i="3"/>
  <c r="J760" i="3"/>
  <c r="I794" i="3"/>
  <c r="E145" i="16" s="1"/>
  <c r="E158" i="16" s="1"/>
  <c r="E160" i="16" s="1"/>
  <c r="L13" i="11" s="1"/>
  <c r="K738" i="3"/>
  <c r="J744" i="3"/>
  <c r="J98" i="3"/>
  <c r="I139" i="3"/>
  <c r="J175" i="3"/>
  <c r="I203" i="3"/>
  <c r="J493" i="3"/>
  <c r="I531" i="3"/>
  <c r="J10" i="3"/>
  <c r="I65" i="3"/>
  <c r="J672" i="3"/>
  <c r="I699" i="3"/>
  <c r="J294" i="3"/>
  <c r="I403" i="3"/>
  <c r="J219" i="3"/>
  <c r="I279" i="3"/>
  <c r="J571" i="3"/>
  <c r="I586" i="3"/>
  <c r="J71" i="3"/>
  <c r="I92" i="3"/>
  <c r="N145" i="3"/>
  <c r="J441" i="3"/>
  <c r="I471" i="3"/>
  <c r="J598" i="3"/>
  <c r="I658" i="3"/>
  <c r="K100" i="4"/>
  <c r="J100" i="4"/>
  <c r="I100" i="4"/>
  <c r="H100" i="4"/>
  <c r="G100" i="4"/>
  <c r="F100" i="4"/>
  <c r="E100" i="4"/>
  <c r="D100" i="4"/>
  <c r="C100" i="4"/>
  <c r="B100" i="4"/>
  <c r="B71" i="4"/>
  <c r="N373" i="12"/>
  <c r="M373" i="12"/>
  <c r="L373" i="12"/>
  <c r="K373" i="12"/>
  <c r="J373" i="12"/>
  <c r="I373" i="12"/>
  <c r="H373" i="12"/>
  <c r="G373" i="12"/>
  <c r="F373" i="12"/>
  <c r="F40" i="9" l="1"/>
  <c r="F43" i="9" s="1"/>
  <c r="F40" i="8"/>
  <c r="F43" i="8" s="1"/>
  <c r="G30" i="22"/>
  <c r="E2097" i="17"/>
  <c r="E2099" i="17" s="1"/>
  <c r="L141" i="11" s="1"/>
  <c r="L144" i="11" s="1"/>
  <c r="F88" i="6" s="1"/>
  <c r="C1077" i="16"/>
  <c r="F42" i="11" s="1"/>
  <c r="C1546" i="16"/>
  <c r="C1964" i="17" s="1"/>
  <c r="D65" i="16"/>
  <c r="I10" i="11" s="1"/>
  <c r="J10" i="11" s="1"/>
  <c r="K10" i="11" s="1"/>
  <c r="E126" i="16"/>
  <c r="E128" i="16" s="1"/>
  <c r="L12" i="11" s="1"/>
  <c r="I7" i="22"/>
  <c r="J1278" i="3"/>
  <c r="J867" i="3"/>
  <c r="H13" i="22"/>
  <c r="J909" i="3"/>
  <c r="H16" i="22"/>
  <c r="J573" i="3"/>
  <c r="J1473" i="3"/>
  <c r="H21" i="22"/>
  <c r="H17" i="22"/>
  <c r="J1409" i="3"/>
  <c r="H19" i="22"/>
  <c r="J1533" i="3"/>
  <c r="J2003" i="3"/>
  <c r="I27" i="22" s="1"/>
  <c r="J869" i="3"/>
  <c r="H14" i="22"/>
  <c r="J863" i="3"/>
  <c r="H12" i="22"/>
  <c r="J1401" i="3"/>
  <c r="H18" i="22"/>
  <c r="J1423" i="3"/>
  <c r="H20" i="22"/>
  <c r="J462" i="3"/>
  <c r="J842" i="3"/>
  <c r="H10" i="22"/>
  <c r="J853" i="3"/>
  <c r="H11" i="22"/>
  <c r="J1920" i="3"/>
  <c r="I26" i="22" s="1"/>
  <c r="J826" i="3"/>
  <c r="H8" i="22"/>
  <c r="J884" i="3"/>
  <c r="H15" i="22"/>
  <c r="J835" i="3"/>
  <c r="H9" i="22"/>
  <c r="J1384" i="3"/>
  <c r="E2028" i="17"/>
  <c r="E2030" i="17" s="1"/>
  <c r="L133" i="11" s="1"/>
  <c r="L135" i="11" s="1"/>
  <c r="F118" i="6" s="1"/>
  <c r="J56" i="23"/>
  <c r="M13" i="11"/>
  <c r="N13" i="11" s="1"/>
  <c r="I36" i="23"/>
  <c r="O59" i="25"/>
  <c r="N59" i="25" s="1"/>
  <c r="Q59" i="25" s="1"/>
  <c r="H48" i="25"/>
  <c r="K48" i="25" s="1"/>
  <c r="I49" i="25" s="1"/>
  <c r="F52" i="23"/>
  <c r="D1967" i="17"/>
  <c r="H13" i="23" s="1"/>
  <c r="C407" i="16"/>
  <c r="D403" i="16"/>
  <c r="D1040" i="16" s="1"/>
  <c r="D1044" i="16" s="1"/>
  <c r="D1546" i="16" s="1"/>
  <c r="B1077" i="16"/>
  <c r="C42" i="11" s="1"/>
  <c r="D42" i="11" s="1"/>
  <c r="E42" i="11" s="1"/>
  <c r="J391" i="16"/>
  <c r="D2099" i="17"/>
  <c r="I141" i="11" s="1"/>
  <c r="I144" i="11" s="1"/>
  <c r="E88" i="6" s="1"/>
  <c r="F151" i="11"/>
  <c r="D141" i="11"/>
  <c r="C144" i="11"/>
  <c r="D2036" i="17"/>
  <c r="H15" i="23" s="1"/>
  <c r="K1031" i="3"/>
  <c r="F94" i="17"/>
  <c r="K1482" i="3"/>
  <c r="F30" i="17"/>
  <c r="K1037" i="3"/>
  <c r="F29" i="17"/>
  <c r="E34" i="17"/>
  <c r="E36" i="17" s="1"/>
  <c r="L61" i="11" s="1"/>
  <c r="M61" i="11" s="1"/>
  <c r="N61" i="11" s="1"/>
  <c r="K616" i="3"/>
  <c r="F27" i="17"/>
  <c r="E581" i="16"/>
  <c r="E594" i="16" s="1"/>
  <c r="E596" i="16" s="1"/>
  <c r="L27" i="11" s="1"/>
  <c r="M27" i="11" s="1"/>
  <c r="N27" i="11" s="1"/>
  <c r="G133" i="11"/>
  <c r="E135" i="11"/>
  <c r="E395" i="16"/>
  <c r="E85" i="17" s="1"/>
  <c r="E97" i="17" s="1"/>
  <c r="F114" i="16"/>
  <c r="F2085" i="17"/>
  <c r="F582" i="16"/>
  <c r="E63" i="11"/>
  <c r="D125" i="11"/>
  <c r="K876" i="3"/>
  <c r="F394" i="16"/>
  <c r="D1077" i="16"/>
  <c r="I42" i="11" s="1"/>
  <c r="E50" i="16"/>
  <c r="E63" i="16" s="1"/>
  <c r="D52" i="6"/>
  <c r="F146" i="16"/>
  <c r="I391" i="16"/>
  <c r="K1526" i="3"/>
  <c r="J1552" i="3"/>
  <c r="F51" i="16"/>
  <c r="F2016" i="17"/>
  <c r="K1644" i="3"/>
  <c r="G332" i="16"/>
  <c r="G344" i="16" s="1"/>
  <c r="G346" i="16" s="1"/>
  <c r="R19" i="11" s="1"/>
  <c r="S19" i="11" s="1"/>
  <c r="T19" i="11" s="1"/>
  <c r="B409" i="16"/>
  <c r="C21" i="11" s="1"/>
  <c r="D99" i="17"/>
  <c r="I63" i="11" s="1"/>
  <c r="I125" i="11" s="1"/>
  <c r="G12" i="11"/>
  <c r="E2134" i="17"/>
  <c r="I17" i="23" s="1"/>
  <c r="K1970" i="3"/>
  <c r="J2037" i="3"/>
  <c r="F2084" i="17" s="1"/>
  <c r="F2097" i="17" s="1"/>
  <c r="K1876" i="3"/>
  <c r="J1928" i="3"/>
  <c r="F2015" i="17" s="1"/>
  <c r="K1786" i="3"/>
  <c r="J1829" i="3"/>
  <c r="K1718" i="3"/>
  <c r="J1766" i="3"/>
  <c r="K1688" i="3"/>
  <c r="J1706" i="3"/>
  <c r="K1619" i="3"/>
  <c r="J1652" i="3"/>
  <c r="K1570" i="3"/>
  <c r="J1595" i="3"/>
  <c r="K1547" i="3"/>
  <c r="K1378" i="3"/>
  <c r="K1276" i="3"/>
  <c r="J1309" i="3"/>
  <c r="K1363" i="3"/>
  <c r="J1372" i="3"/>
  <c r="K1342" i="3"/>
  <c r="J1357" i="3"/>
  <c r="K1183" i="3"/>
  <c r="J1242" i="3"/>
  <c r="F113" i="16" s="1"/>
  <c r="K953" i="3"/>
  <c r="J1002" i="3"/>
  <c r="K813" i="3"/>
  <c r="K1014" i="3"/>
  <c r="J1123" i="3"/>
  <c r="L1164" i="3"/>
  <c r="K1171" i="3"/>
  <c r="K760" i="3"/>
  <c r="J794" i="3"/>
  <c r="F145" i="16" s="1"/>
  <c r="L738" i="3"/>
  <c r="K744" i="3"/>
  <c r="K598" i="3"/>
  <c r="J658" i="3"/>
  <c r="K571" i="3"/>
  <c r="J586" i="3"/>
  <c r="K294" i="3"/>
  <c r="J403" i="3"/>
  <c r="K10" i="3"/>
  <c r="J65" i="3"/>
  <c r="K175" i="3"/>
  <c r="J203" i="3"/>
  <c r="K441" i="3"/>
  <c r="J471" i="3"/>
  <c r="K71" i="3"/>
  <c r="J92" i="3"/>
  <c r="K219" i="3"/>
  <c r="J279" i="3"/>
  <c r="K672" i="3"/>
  <c r="J699" i="3"/>
  <c r="K493" i="3"/>
  <c r="J531" i="3"/>
  <c r="F581" i="16" s="1"/>
  <c r="K98" i="3"/>
  <c r="J139" i="3"/>
  <c r="K44" i="6"/>
  <c r="J44" i="6"/>
  <c r="I44" i="6"/>
  <c r="H44" i="6"/>
  <c r="G44" i="6"/>
  <c r="F44" i="6"/>
  <c r="E44" i="6"/>
  <c r="D44" i="6"/>
  <c r="C44" i="6"/>
  <c r="N75" i="12"/>
  <c r="M75" i="12"/>
  <c r="L75" i="12"/>
  <c r="K75" i="12"/>
  <c r="J75" i="12"/>
  <c r="I75" i="12"/>
  <c r="H75" i="12"/>
  <c r="G75" i="12"/>
  <c r="F75" i="12"/>
  <c r="E75" i="12"/>
  <c r="E148" i="12"/>
  <c r="E129" i="12"/>
  <c r="E113" i="12"/>
  <c r="E107" i="12"/>
  <c r="H212" i="12" s="1"/>
  <c r="I212" i="12"/>
  <c r="F212" i="12"/>
  <c r="G212" i="12"/>
  <c r="E224" i="12"/>
  <c r="E373" i="12" s="1"/>
  <c r="F224" i="12"/>
  <c r="G224" i="12"/>
  <c r="H224" i="12"/>
  <c r="I224" i="12"/>
  <c r="E236" i="12"/>
  <c r="F236" i="12"/>
  <c r="C45" i="6" s="1"/>
  <c r="G236" i="12"/>
  <c r="D45" i="6" s="1"/>
  <c r="H236" i="12"/>
  <c r="E45" i="6" s="1"/>
  <c r="I236" i="12"/>
  <c r="E248" i="12"/>
  <c r="F248" i="12"/>
  <c r="G248" i="12"/>
  <c r="H248" i="12"/>
  <c r="I248" i="12"/>
  <c r="E271" i="12"/>
  <c r="F271" i="12"/>
  <c r="G271" i="12"/>
  <c r="H271" i="12"/>
  <c r="I271" i="12"/>
  <c r="N367" i="12"/>
  <c r="M367" i="12"/>
  <c r="L367" i="12"/>
  <c r="K367" i="12"/>
  <c r="J367" i="12"/>
  <c r="I367" i="12"/>
  <c r="H367" i="12"/>
  <c r="G367" i="12"/>
  <c r="F367" i="12"/>
  <c r="E367" i="12"/>
  <c r="N355" i="12"/>
  <c r="M355" i="12"/>
  <c r="L355" i="12"/>
  <c r="K355" i="12"/>
  <c r="J355" i="12"/>
  <c r="I355" i="12"/>
  <c r="H355" i="12"/>
  <c r="G355" i="12"/>
  <c r="F355" i="12"/>
  <c r="E355" i="12"/>
  <c r="N343" i="12"/>
  <c r="M343" i="12"/>
  <c r="L343" i="12"/>
  <c r="K343" i="12"/>
  <c r="J343" i="12"/>
  <c r="I343" i="12"/>
  <c r="H343" i="12"/>
  <c r="G343" i="12"/>
  <c r="F343" i="12"/>
  <c r="E343" i="12"/>
  <c r="N331" i="12"/>
  <c r="M331" i="12"/>
  <c r="L331" i="12"/>
  <c r="K331" i="12"/>
  <c r="J331" i="12"/>
  <c r="I331" i="12"/>
  <c r="H331" i="12"/>
  <c r="G331" i="12"/>
  <c r="F331" i="12"/>
  <c r="E331" i="12"/>
  <c r="N307" i="12"/>
  <c r="M307" i="12"/>
  <c r="L307" i="12"/>
  <c r="K307" i="12"/>
  <c r="J307" i="12"/>
  <c r="I307" i="12"/>
  <c r="H307" i="12"/>
  <c r="G307" i="12"/>
  <c r="F307" i="12"/>
  <c r="E307" i="12"/>
  <c r="N295" i="12"/>
  <c r="M295" i="12"/>
  <c r="L295" i="12"/>
  <c r="K295" i="12"/>
  <c r="J295" i="12"/>
  <c r="I295" i="12"/>
  <c r="H295" i="12"/>
  <c r="G295" i="12"/>
  <c r="F295" i="12"/>
  <c r="E295" i="12"/>
  <c r="N283" i="12"/>
  <c r="M283" i="12"/>
  <c r="L283" i="12"/>
  <c r="K283" i="12"/>
  <c r="J283" i="12"/>
  <c r="I283" i="12"/>
  <c r="H283" i="12"/>
  <c r="G283" i="12"/>
  <c r="F283" i="12"/>
  <c r="E283" i="12"/>
  <c r="N271" i="12"/>
  <c r="M271" i="12"/>
  <c r="L271" i="12"/>
  <c r="K271" i="12"/>
  <c r="J271" i="12"/>
  <c r="N248" i="12"/>
  <c r="M248" i="12"/>
  <c r="L248" i="12"/>
  <c r="K248" i="12"/>
  <c r="J248" i="12"/>
  <c r="N236" i="12"/>
  <c r="M236" i="12"/>
  <c r="L236" i="12"/>
  <c r="K236" i="12"/>
  <c r="J236" i="12"/>
  <c r="N224" i="12"/>
  <c r="M224" i="12"/>
  <c r="L224" i="12"/>
  <c r="K224" i="12"/>
  <c r="J224" i="12"/>
  <c r="N212" i="12"/>
  <c r="M212" i="12"/>
  <c r="L212" i="12"/>
  <c r="K212" i="12"/>
  <c r="J212" i="12"/>
  <c r="N319" i="12"/>
  <c r="K71" i="4" s="1"/>
  <c r="M319" i="12"/>
  <c r="J71" i="4" s="1"/>
  <c r="L319" i="12"/>
  <c r="I71" i="4" s="1"/>
  <c r="K319" i="12"/>
  <c r="H71" i="4" s="1"/>
  <c r="J319" i="12"/>
  <c r="G71" i="4" s="1"/>
  <c r="I319" i="12"/>
  <c r="F71" i="4" s="1"/>
  <c r="H319" i="12"/>
  <c r="E71" i="4" s="1"/>
  <c r="G319" i="12"/>
  <c r="D71" i="4" s="1"/>
  <c r="F319" i="12"/>
  <c r="C71" i="4" s="1"/>
  <c r="E319" i="12"/>
  <c r="K309" i="12"/>
  <c r="B14" i="14"/>
  <c r="B13" i="14"/>
  <c r="B12" i="14"/>
  <c r="C9" i="14"/>
  <c r="D7" i="14"/>
  <c r="E7" i="14" s="1"/>
  <c r="D6" i="14"/>
  <c r="B5" i="14"/>
  <c r="B9" i="14" s="1"/>
  <c r="N2118" i="3"/>
  <c r="M2118" i="3"/>
  <c r="L2118" i="3"/>
  <c r="K2118" i="3"/>
  <c r="J2118" i="3"/>
  <c r="I2118" i="3"/>
  <c r="H2118" i="3"/>
  <c r="G2118" i="3"/>
  <c r="F2118" i="3"/>
  <c r="K2117" i="3"/>
  <c r="J2117" i="3"/>
  <c r="I2117" i="3"/>
  <c r="H2117" i="3"/>
  <c r="G2117" i="3"/>
  <c r="F2117" i="3"/>
  <c r="J2116" i="3"/>
  <c r="I2116" i="3"/>
  <c r="H2116" i="3"/>
  <c r="G2116" i="3"/>
  <c r="F2116" i="3"/>
  <c r="N2115" i="3"/>
  <c r="M2115" i="3"/>
  <c r="L2115" i="3"/>
  <c r="K2115" i="3"/>
  <c r="J2115" i="3"/>
  <c r="I2115" i="3"/>
  <c r="H2115" i="3"/>
  <c r="G2115" i="3"/>
  <c r="F2115" i="3"/>
  <c r="K2114" i="3"/>
  <c r="J2114" i="3"/>
  <c r="I2114" i="3"/>
  <c r="H2114" i="3"/>
  <c r="G2114" i="3"/>
  <c r="F2114" i="3"/>
  <c r="E2118" i="3"/>
  <c r="E2117" i="3"/>
  <c r="E2116" i="3"/>
  <c r="E2115" i="3"/>
  <c r="J1493" i="3" l="1"/>
  <c r="J927" i="3"/>
  <c r="J36" i="23" s="1"/>
  <c r="G40" i="9"/>
  <c r="G43" i="9" s="1"/>
  <c r="G40" i="8"/>
  <c r="G43" i="8" s="1"/>
  <c r="G40" i="22"/>
  <c r="H30" i="22"/>
  <c r="H40" i="22" s="1"/>
  <c r="E2036" i="17"/>
  <c r="I15" i="23" s="1"/>
  <c r="D407" i="16"/>
  <c r="D409" i="16" s="1"/>
  <c r="I21" i="11" s="1"/>
  <c r="C409" i="16"/>
  <c r="F21" i="11" s="1"/>
  <c r="F58" i="11" s="1"/>
  <c r="F127" i="11" s="1"/>
  <c r="C1547" i="16"/>
  <c r="G11" i="23" s="1"/>
  <c r="E65" i="16"/>
  <c r="L10" i="11" s="1"/>
  <c r="M10" i="11" s="1"/>
  <c r="N10" i="11" s="1"/>
  <c r="D1547" i="16"/>
  <c r="H11" i="23" s="1"/>
  <c r="G42" i="11"/>
  <c r="H42" i="11" s="1"/>
  <c r="J42" i="11" s="1"/>
  <c r="K42" i="11" s="1"/>
  <c r="G10" i="23"/>
  <c r="F158" i="16"/>
  <c r="F160" i="16" s="1"/>
  <c r="O13" i="11" s="1"/>
  <c r="P13" i="11" s="1"/>
  <c r="Q13" i="11" s="1"/>
  <c r="J7" i="22"/>
  <c r="K853" i="3"/>
  <c r="I11" i="22"/>
  <c r="K1423" i="3"/>
  <c r="I20" i="22"/>
  <c r="K1409" i="3"/>
  <c r="I19" i="22"/>
  <c r="K1278" i="3"/>
  <c r="K1309" i="3" s="1"/>
  <c r="I17" i="22"/>
  <c r="K884" i="3"/>
  <c r="I15" i="22"/>
  <c r="K826" i="3"/>
  <c r="I8" i="22"/>
  <c r="K462" i="3"/>
  <c r="K869" i="3"/>
  <c r="I14" i="22"/>
  <c r="K1533" i="3"/>
  <c r="K1473" i="3"/>
  <c r="I21" i="22"/>
  <c r="K867" i="3"/>
  <c r="I13" i="22"/>
  <c r="D1964" i="17"/>
  <c r="H10" i="23"/>
  <c r="B1964" i="17"/>
  <c r="C52" i="6" s="1"/>
  <c r="F10" i="23"/>
  <c r="K835" i="3"/>
  <c r="I9" i="22"/>
  <c r="K863" i="3"/>
  <c r="I12" i="22"/>
  <c r="K909" i="3"/>
  <c r="I16" i="22"/>
  <c r="K1384" i="3"/>
  <c r="K1920" i="3"/>
  <c r="J26" i="22" s="1"/>
  <c r="K842" i="3"/>
  <c r="I10" i="22"/>
  <c r="K1401" i="3"/>
  <c r="I18" i="22"/>
  <c r="K2003" i="3"/>
  <c r="J27" i="22" s="1"/>
  <c r="K573" i="3"/>
  <c r="F126" i="16"/>
  <c r="I151" i="11"/>
  <c r="F2028" i="17"/>
  <c r="F2036" i="17" s="1"/>
  <c r="J15" i="23" s="1"/>
  <c r="K56" i="23"/>
  <c r="F594" i="16"/>
  <c r="F596" i="16" s="1"/>
  <c r="O27" i="11" s="1"/>
  <c r="P27" i="11" s="1"/>
  <c r="Q27" i="11" s="1"/>
  <c r="C151" i="11"/>
  <c r="C88" i="6"/>
  <c r="B1965" i="17"/>
  <c r="F11" i="23"/>
  <c r="O60" i="25"/>
  <c r="N60" i="25" s="1"/>
  <c r="Q60" i="25" s="1"/>
  <c r="H49" i="25"/>
  <c r="K49" i="25" s="1"/>
  <c r="I50" i="25" s="1"/>
  <c r="E1967" i="17"/>
  <c r="I13" i="23" s="1"/>
  <c r="I58" i="11"/>
  <c r="I150" i="11" s="1"/>
  <c r="D43" i="6"/>
  <c r="D13" i="6" s="1"/>
  <c r="G43" i="6"/>
  <c r="G13" i="6" s="1"/>
  <c r="K43" i="6"/>
  <c r="K13" i="6" s="1"/>
  <c r="H43" i="6"/>
  <c r="H13" i="6" s="1"/>
  <c r="E43" i="6"/>
  <c r="E13" i="6" s="1"/>
  <c r="I43" i="6"/>
  <c r="I13" i="6" s="1"/>
  <c r="F43" i="6"/>
  <c r="F13" i="6" s="1"/>
  <c r="J43" i="6"/>
  <c r="J13" i="6" s="1"/>
  <c r="C43" i="6"/>
  <c r="C13" i="6" s="1"/>
  <c r="E141" i="11"/>
  <c r="D144" i="11"/>
  <c r="D151" i="11" s="1"/>
  <c r="D156" i="11" s="1"/>
  <c r="F34" i="17"/>
  <c r="F36" i="17" s="1"/>
  <c r="O61" i="11" s="1"/>
  <c r="P61" i="11" s="1"/>
  <c r="Q61" i="11" s="1"/>
  <c r="L1482" i="3"/>
  <c r="G30" i="17"/>
  <c r="L616" i="3"/>
  <c r="G27" i="17"/>
  <c r="L1037" i="3"/>
  <c r="G29" i="17"/>
  <c r="L1031" i="3"/>
  <c r="G94" i="17"/>
  <c r="E403" i="16"/>
  <c r="E1040" i="16" s="1"/>
  <c r="E1044" i="16" s="1"/>
  <c r="F50" i="16"/>
  <c r="F63" i="16" s="1"/>
  <c r="E52" i="6"/>
  <c r="G114" i="16"/>
  <c r="E99" i="17"/>
  <c r="L63" i="11" s="1"/>
  <c r="L125" i="11" s="1"/>
  <c r="L151" i="11" s="1"/>
  <c r="H133" i="11"/>
  <c r="G135" i="11"/>
  <c r="D21" i="11"/>
  <c r="C58" i="11"/>
  <c r="G2016" i="17"/>
  <c r="L1526" i="3"/>
  <c r="K1552" i="3"/>
  <c r="G146" i="16"/>
  <c r="G63" i="11"/>
  <c r="E125" i="11"/>
  <c r="G582" i="16"/>
  <c r="F395" i="16"/>
  <c r="F85" i="17" s="1"/>
  <c r="F97" i="17" s="1"/>
  <c r="G2085" i="17"/>
  <c r="L1644" i="3"/>
  <c r="H332" i="16"/>
  <c r="H344" i="16" s="1"/>
  <c r="H346" i="16" s="1"/>
  <c r="U19" i="11" s="1"/>
  <c r="V19" i="11" s="1"/>
  <c r="W19" i="11" s="1"/>
  <c r="G51" i="16"/>
  <c r="L876" i="3"/>
  <c r="G394" i="16"/>
  <c r="B44" i="6"/>
  <c r="H12" i="11"/>
  <c r="F2134" i="17"/>
  <c r="J17" i="23" s="1"/>
  <c r="F2099" i="17"/>
  <c r="O141" i="11" s="1"/>
  <c r="O144" i="11" s="1"/>
  <c r="G88" i="6" s="1"/>
  <c r="F128" i="16"/>
  <c r="O12" i="11" s="1"/>
  <c r="L1970" i="3"/>
  <c r="K2037" i="3"/>
  <c r="G2084" i="17" s="1"/>
  <c r="L1876" i="3"/>
  <c r="K1928" i="3"/>
  <c r="G2015" i="17" s="1"/>
  <c r="L1786" i="3"/>
  <c r="K1829" i="3"/>
  <c r="L1688" i="3"/>
  <c r="K1706" i="3"/>
  <c r="L1619" i="3"/>
  <c r="K1652" i="3"/>
  <c r="L1718" i="3"/>
  <c r="K1766" i="3"/>
  <c r="L1570" i="3"/>
  <c r="K1595" i="3"/>
  <c r="L1363" i="3"/>
  <c r="K1372" i="3"/>
  <c r="L1378" i="3"/>
  <c r="K1493" i="3"/>
  <c r="L1342" i="3"/>
  <c r="K1357" i="3"/>
  <c r="L1276" i="3"/>
  <c r="L1547" i="3"/>
  <c r="L1183" i="3"/>
  <c r="K1242" i="3"/>
  <c r="G113" i="16" s="1"/>
  <c r="L813" i="3"/>
  <c r="K927" i="3"/>
  <c r="L1014" i="3"/>
  <c r="K1123" i="3"/>
  <c r="L953" i="3"/>
  <c r="K1002" i="3"/>
  <c r="M1164" i="3"/>
  <c r="L1171" i="3"/>
  <c r="L760" i="3"/>
  <c r="K794" i="3"/>
  <c r="G145" i="16" s="1"/>
  <c r="M738" i="3"/>
  <c r="L744" i="3"/>
  <c r="L493" i="3"/>
  <c r="K531" i="3"/>
  <c r="L219" i="3"/>
  <c r="K279" i="3"/>
  <c r="L441" i="3"/>
  <c r="K471" i="3"/>
  <c r="L10" i="3"/>
  <c r="K65" i="3"/>
  <c r="L571" i="3"/>
  <c r="K586" i="3"/>
  <c r="L98" i="3"/>
  <c r="K139" i="3"/>
  <c r="L672" i="3"/>
  <c r="K699" i="3"/>
  <c r="L71" i="3"/>
  <c r="K92" i="3"/>
  <c r="L175" i="3"/>
  <c r="K203" i="3"/>
  <c r="L294" i="3"/>
  <c r="K403" i="3"/>
  <c r="L598" i="3"/>
  <c r="K658" i="3"/>
  <c r="F34" i="14"/>
  <c r="C34" i="14"/>
  <c r="G34" i="14"/>
  <c r="D34" i="14"/>
  <c r="H34" i="14"/>
  <c r="E34" i="14"/>
  <c r="E6" i="14"/>
  <c r="F6" i="14" s="1"/>
  <c r="B18" i="14" s="1"/>
  <c r="H250" i="12"/>
  <c r="E42" i="4" s="1"/>
  <c r="E212" i="12"/>
  <c r="E250" i="12" s="1"/>
  <c r="B43" i="6" s="1"/>
  <c r="B13" i="6" s="1"/>
  <c r="L309" i="12"/>
  <c r="H369" i="12"/>
  <c r="L369" i="12"/>
  <c r="G309" i="12"/>
  <c r="H309" i="12"/>
  <c r="N250" i="12"/>
  <c r="K42" i="4" s="1"/>
  <c r="E369" i="12"/>
  <c r="I369" i="12"/>
  <c r="M369" i="12"/>
  <c r="I309" i="12"/>
  <c r="E309" i="12"/>
  <c r="F309" i="12"/>
  <c r="F250" i="12"/>
  <c r="C42" i="4" s="1"/>
  <c r="N309" i="12"/>
  <c r="J309" i="12"/>
  <c r="F369" i="12"/>
  <c r="J369" i="12"/>
  <c r="N369" i="12"/>
  <c r="M309" i="12"/>
  <c r="G369" i="12"/>
  <c r="K369" i="12"/>
  <c r="J250" i="12"/>
  <c r="G42" i="4" s="1"/>
  <c r="G250" i="12"/>
  <c r="D42" i="4" s="1"/>
  <c r="I250" i="12"/>
  <c r="F42" i="4" s="1"/>
  <c r="L250" i="12"/>
  <c r="I42" i="4" s="1"/>
  <c r="K250" i="12"/>
  <c r="H42" i="4" s="1"/>
  <c r="M250" i="12"/>
  <c r="J42" i="4" s="1"/>
  <c r="F7" i="14"/>
  <c r="B19" i="14" s="1"/>
  <c r="D5" i="14"/>
  <c r="H40" i="8" l="1"/>
  <c r="H43" i="8" s="1"/>
  <c r="H40" i="9"/>
  <c r="H43" i="9" s="1"/>
  <c r="I30" i="22"/>
  <c r="I40" i="22" s="1"/>
  <c r="F150" i="11"/>
  <c r="D1965" i="17"/>
  <c r="F65" i="16"/>
  <c r="O10" i="11" s="1"/>
  <c r="P10" i="11" s="1"/>
  <c r="Q10" i="11" s="1"/>
  <c r="E1077" i="16"/>
  <c r="L42" i="11" s="1"/>
  <c r="M42" i="11" s="1"/>
  <c r="N42" i="11" s="1"/>
  <c r="E1546" i="16"/>
  <c r="E1964" i="17" s="1"/>
  <c r="G20" i="23"/>
  <c r="C1965" i="17"/>
  <c r="F20" i="23"/>
  <c r="H20" i="23"/>
  <c r="F1967" i="17"/>
  <c r="J13" i="23" s="1"/>
  <c r="L573" i="3"/>
  <c r="L842" i="3"/>
  <c r="J10" i="22"/>
  <c r="L1384" i="3"/>
  <c r="L867" i="3"/>
  <c r="J13" i="22"/>
  <c r="L869" i="3"/>
  <c r="J14" i="22"/>
  <c r="L884" i="3"/>
  <c r="J15" i="22"/>
  <c r="L1409" i="3"/>
  <c r="J19" i="22"/>
  <c r="J17" i="22"/>
  <c r="L1401" i="3"/>
  <c r="J18" i="22"/>
  <c r="L835" i="3"/>
  <c r="J9" i="22"/>
  <c r="L1533" i="3"/>
  <c r="L826" i="3"/>
  <c r="J8" i="22"/>
  <c r="L1278" i="3"/>
  <c r="K7" i="22"/>
  <c r="L2003" i="3"/>
  <c r="K27" i="22" s="1"/>
  <c r="K2116" i="3"/>
  <c r="L1920" i="3"/>
  <c r="K26" i="22" s="1"/>
  <c r="L863" i="3"/>
  <c r="J12" i="22"/>
  <c r="L462" i="3"/>
  <c r="L471" i="3" s="1"/>
  <c r="L853" i="3"/>
  <c r="J11" i="22"/>
  <c r="G34" i="17"/>
  <c r="G36" i="17" s="1"/>
  <c r="R61" i="11" s="1"/>
  <c r="L909" i="3"/>
  <c r="J16" i="22"/>
  <c r="L1473" i="3"/>
  <c r="J21" i="22"/>
  <c r="L1423" i="3"/>
  <c r="L1493" i="3" s="1"/>
  <c r="J20" i="22"/>
  <c r="F2030" i="17"/>
  <c r="O133" i="11" s="1"/>
  <c r="O135" i="11" s="1"/>
  <c r="G118" i="6" s="1"/>
  <c r="G2028" i="17"/>
  <c r="G2036" i="17" s="1"/>
  <c r="K15" i="23" s="1"/>
  <c r="K36" i="23"/>
  <c r="L56" i="23"/>
  <c r="F146" i="11"/>
  <c r="G7" i="23" s="1"/>
  <c r="D56" i="6"/>
  <c r="D26" i="6" s="1"/>
  <c r="O61" i="25"/>
  <c r="N61" i="25" s="1"/>
  <c r="Q61" i="25" s="1"/>
  <c r="H50" i="25"/>
  <c r="K50" i="25" s="1"/>
  <c r="I51" i="25" s="1"/>
  <c r="I127" i="11"/>
  <c r="G126" i="16"/>
  <c r="G128" i="16" s="1"/>
  <c r="R12" i="11" s="1"/>
  <c r="G158" i="16"/>
  <c r="G160" i="16" s="1"/>
  <c r="R13" i="11" s="1"/>
  <c r="S13" i="11" s="1"/>
  <c r="T13" i="11" s="1"/>
  <c r="E407" i="16"/>
  <c r="E144" i="11"/>
  <c r="E151" i="11" s="1"/>
  <c r="E156" i="11" s="1"/>
  <c r="G141" i="11"/>
  <c r="S61" i="11"/>
  <c r="T61" i="11" s="1"/>
  <c r="M1037" i="3"/>
  <c r="H29" i="17"/>
  <c r="M1482" i="3"/>
  <c r="H30" i="17"/>
  <c r="F403" i="16"/>
  <c r="F1040" i="16" s="1"/>
  <c r="F1044" i="16" s="1"/>
  <c r="F1546" i="16" s="1"/>
  <c r="M1031" i="3"/>
  <c r="H94" i="17"/>
  <c r="M616" i="3"/>
  <c r="H27" i="17"/>
  <c r="K371" i="12"/>
  <c r="K375" i="12" s="1"/>
  <c r="K43" i="23" s="1"/>
  <c r="I371" i="12"/>
  <c r="I375" i="12" s="1"/>
  <c r="I43" i="23" s="1"/>
  <c r="G2097" i="17"/>
  <c r="G2099" i="17" s="1"/>
  <c r="R141" i="11" s="1"/>
  <c r="R144" i="11" s="1"/>
  <c r="H88" i="6" s="1"/>
  <c r="G581" i="16"/>
  <c r="G594" i="16" s="1"/>
  <c r="G596" i="16" s="1"/>
  <c r="R27" i="11" s="1"/>
  <c r="S27" i="11" s="1"/>
  <c r="T27" i="11" s="1"/>
  <c r="M876" i="3"/>
  <c r="H394" i="16"/>
  <c r="H51" i="16"/>
  <c r="H2085" i="17"/>
  <c r="L2117" i="3"/>
  <c r="H63" i="11"/>
  <c r="G125" i="11"/>
  <c r="G50" i="16"/>
  <c r="G63" i="16" s="1"/>
  <c r="C150" i="11"/>
  <c r="C127" i="11"/>
  <c r="F52" i="6"/>
  <c r="F1077" i="16"/>
  <c r="O42" i="11" s="1"/>
  <c r="M1526" i="3"/>
  <c r="L1552" i="3"/>
  <c r="E21" i="11"/>
  <c r="D58" i="11"/>
  <c r="M1644" i="3"/>
  <c r="I332" i="16"/>
  <c r="I344" i="16" s="1"/>
  <c r="I346" i="16" s="1"/>
  <c r="X19" i="11" s="1"/>
  <c r="Y19" i="11" s="1"/>
  <c r="Z19" i="11" s="1"/>
  <c r="H582" i="16"/>
  <c r="G395" i="16"/>
  <c r="G85" i="17" s="1"/>
  <c r="G97" i="17" s="1"/>
  <c r="G1967" i="17" s="1"/>
  <c r="K13" i="23" s="1"/>
  <c r="F99" i="17"/>
  <c r="O63" i="11" s="1"/>
  <c r="O125" i="11" s="1"/>
  <c r="H146" i="16"/>
  <c r="H2016" i="17"/>
  <c r="J133" i="11"/>
  <c r="H135" i="11"/>
  <c r="H114" i="16"/>
  <c r="J12" i="11"/>
  <c r="M1970" i="3"/>
  <c r="L2037" i="3"/>
  <c r="H2084" i="17" s="1"/>
  <c r="L2114" i="3"/>
  <c r="I34" i="14" s="1"/>
  <c r="M1876" i="3"/>
  <c r="L1928" i="3"/>
  <c r="H2015" i="17" s="1"/>
  <c r="M1786" i="3"/>
  <c r="L1829" i="3"/>
  <c r="M1619" i="3"/>
  <c r="L1652" i="3"/>
  <c r="M1718" i="3"/>
  <c r="L1766" i="3"/>
  <c r="M1688" i="3"/>
  <c r="L1706" i="3"/>
  <c r="M1570" i="3"/>
  <c r="L1595" i="3"/>
  <c r="M1276" i="3"/>
  <c r="L1309" i="3"/>
  <c r="M1378" i="3"/>
  <c r="M1547" i="3"/>
  <c r="M1342" i="3"/>
  <c r="L1357" i="3"/>
  <c r="M1363" i="3"/>
  <c r="L1372" i="3"/>
  <c r="M1183" i="3"/>
  <c r="L1242" i="3"/>
  <c r="H113" i="16" s="1"/>
  <c r="M1014" i="3"/>
  <c r="L1123" i="3"/>
  <c r="M953" i="3"/>
  <c r="L1002" i="3"/>
  <c r="M813" i="3"/>
  <c r="N1164" i="3"/>
  <c r="N1171" i="3" s="1"/>
  <c r="M1171" i="3"/>
  <c r="M760" i="3"/>
  <c r="L794" i="3"/>
  <c r="H145" i="16" s="1"/>
  <c r="N738" i="3"/>
  <c r="N744" i="3" s="1"/>
  <c r="M744" i="3"/>
  <c r="M294" i="3"/>
  <c r="L403" i="3"/>
  <c r="M71" i="3"/>
  <c r="L92" i="3"/>
  <c r="M98" i="3"/>
  <c r="L139" i="3"/>
  <c r="M10" i="3"/>
  <c r="L65" i="3"/>
  <c r="M219" i="3"/>
  <c r="L279" i="3"/>
  <c r="M598" i="3"/>
  <c r="L658" i="3"/>
  <c r="M175" i="3"/>
  <c r="L203" i="3"/>
  <c r="M672" i="3"/>
  <c r="L699" i="3"/>
  <c r="M571" i="3"/>
  <c r="L586" i="3"/>
  <c r="M441" i="3"/>
  <c r="M493" i="3"/>
  <c r="L531" i="3"/>
  <c r="L371" i="12"/>
  <c r="L375" i="12" s="1"/>
  <c r="L43" i="23" s="1"/>
  <c r="N371" i="12"/>
  <c r="N375" i="12" s="1"/>
  <c r="N43" i="23" s="1"/>
  <c r="H371" i="12"/>
  <c r="H375" i="12" s="1"/>
  <c r="H43" i="23" s="1"/>
  <c r="G371" i="12"/>
  <c r="G375" i="12" s="1"/>
  <c r="G43" i="23" s="1"/>
  <c r="M371" i="12"/>
  <c r="M375" i="12" s="1"/>
  <c r="M43" i="23" s="1"/>
  <c r="J371" i="12"/>
  <c r="J375" i="12" s="1"/>
  <c r="J43" i="23" s="1"/>
  <c r="F371" i="12"/>
  <c r="F375" i="12" s="1"/>
  <c r="F43" i="23" s="1"/>
  <c r="B24" i="14"/>
  <c r="B77" i="4" s="1"/>
  <c r="B112" i="7" s="1"/>
  <c r="C19" i="14"/>
  <c r="B23" i="14"/>
  <c r="C18" i="14"/>
  <c r="E371" i="12"/>
  <c r="E375" i="12" s="1"/>
  <c r="B42" i="4"/>
  <c r="E5" i="14"/>
  <c r="E9" i="14" s="1"/>
  <c r="D9" i="14"/>
  <c r="G2030" i="17" l="1"/>
  <c r="R133" i="11" s="1"/>
  <c r="R135" i="11" s="1"/>
  <c r="H118" i="6" s="1"/>
  <c r="J30" i="22"/>
  <c r="J40" i="22" s="1"/>
  <c r="I40" i="8"/>
  <c r="I43" i="8" s="1"/>
  <c r="I40" i="9"/>
  <c r="I43" i="9" s="1"/>
  <c r="L927" i="3"/>
  <c r="H2097" i="17"/>
  <c r="O151" i="11"/>
  <c r="G65" i="16"/>
  <c r="R10" i="11" s="1"/>
  <c r="S10" i="11" s="1"/>
  <c r="T10" i="11" s="1"/>
  <c r="I10" i="23"/>
  <c r="E409" i="16"/>
  <c r="L21" i="11" s="1"/>
  <c r="L58" i="11" s="1"/>
  <c r="L150" i="11" s="1"/>
  <c r="E1547" i="16"/>
  <c r="I11" i="23" s="1"/>
  <c r="H126" i="16"/>
  <c r="H128" i="16" s="1"/>
  <c r="U12" i="11" s="1"/>
  <c r="K17" i="22"/>
  <c r="M909" i="3"/>
  <c r="K16" i="22"/>
  <c r="M853" i="3"/>
  <c r="K11" i="22"/>
  <c r="M867" i="3"/>
  <c r="K13" i="22"/>
  <c r="M1473" i="3"/>
  <c r="K21" i="22"/>
  <c r="M863" i="3"/>
  <c r="K12" i="22"/>
  <c r="M826" i="3"/>
  <c r="K8" i="22"/>
  <c r="M1401" i="3"/>
  <c r="K18" i="22"/>
  <c r="M869" i="3"/>
  <c r="K14" i="22"/>
  <c r="M842" i="3"/>
  <c r="K10" i="22"/>
  <c r="F1964" i="17"/>
  <c r="J10" i="23"/>
  <c r="M1423" i="3"/>
  <c r="K20" i="22"/>
  <c r="M462" i="3"/>
  <c r="M471" i="3" s="1"/>
  <c r="M2003" i="3"/>
  <c r="L27" i="22" s="1"/>
  <c r="L2116" i="3"/>
  <c r="M1278" i="3"/>
  <c r="M1309" i="3" s="1"/>
  <c r="M835" i="3"/>
  <c r="K9" i="22"/>
  <c r="M884" i="3"/>
  <c r="K15" i="22"/>
  <c r="M1384" i="3"/>
  <c r="L7" i="22"/>
  <c r="M1920" i="3"/>
  <c r="L26" i="22" s="1"/>
  <c r="M1533" i="3"/>
  <c r="M1409" i="3"/>
  <c r="K19" i="22"/>
  <c r="M573" i="3"/>
  <c r="M586" i="3" s="1"/>
  <c r="M56" i="23"/>
  <c r="F153" i="11"/>
  <c r="L36" i="23"/>
  <c r="C146" i="11"/>
  <c r="F7" i="23" s="1"/>
  <c r="C56" i="6"/>
  <c r="C26" i="6" s="1"/>
  <c r="I146" i="11"/>
  <c r="E56" i="6"/>
  <c r="E26" i="6" s="1"/>
  <c r="O62" i="25"/>
  <c r="N62" i="25" s="1"/>
  <c r="Q62" i="25" s="1"/>
  <c r="H51" i="25"/>
  <c r="K51" i="25" s="1"/>
  <c r="I52" i="25" s="1"/>
  <c r="P42" i="11"/>
  <c r="Q42" i="11" s="1"/>
  <c r="G403" i="16"/>
  <c r="G1040" i="16" s="1"/>
  <c r="G1044" i="16" s="1"/>
  <c r="G1546" i="16" s="1"/>
  <c r="F407" i="16"/>
  <c r="G2134" i="17"/>
  <c r="K17" i="23" s="1"/>
  <c r="G144" i="11"/>
  <c r="G151" i="11" s="1"/>
  <c r="G156" i="11" s="1"/>
  <c r="H141" i="11"/>
  <c r="H34" i="17"/>
  <c r="H36" i="17" s="1"/>
  <c r="U61" i="11" s="1"/>
  <c r="V61" i="11" s="1"/>
  <c r="W61" i="11" s="1"/>
  <c r="N1031" i="3"/>
  <c r="J94" i="17" s="1"/>
  <c r="I94" i="17"/>
  <c r="N1037" i="3"/>
  <c r="J29" i="17" s="1"/>
  <c r="I29" i="17"/>
  <c r="N616" i="3"/>
  <c r="J27" i="17" s="1"/>
  <c r="I27" i="17"/>
  <c r="H581" i="16"/>
  <c r="H594" i="16" s="1"/>
  <c r="H596" i="16" s="1"/>
  <c r="U27" i="11" s="1"/>
  <c r="V27" i="11" s="1"/>
  <c r="W27" i="11" s="1"/>
  <c r="H158" i="16"/>
  <c r="H160" i="16" s="1"/>
  <c r="U13" i="11" s="1"/>
  <c r="V13" i="11" s="1"/>
  <c r="W13" i="11" s="1"/>
  <c r="N1482" i="3"/>
  <c r="J30" i="17" s="1"/>
  <c r="I30" i="17"/>
  <c r="H2028" i="17"/>
  <c r="H2036" i="17" s="1"/>
  <c r="L15" i="23" s="1"/>
  <c r="J114" i="16"/>
  <c r="I114" i="16"/>
  <c r="J2016" i="17"/>
  <c r="I2016" i="17"/>
  <c r="N1644" i="3"/>
  <c r="J332" i="16"/>
  <c r="J344" i="16" s="1"/>
  <c r="J346" i="16" s="1"/>
  <c r="AA19" i="11" s="1"/>
  <c r="AB19" i="11" s="1"/>
  <c r="H50" i="16"/>
  <c r="H63" i="16" s="1"/>
  <c r="J63" i="11"/>
  <c r="H125" i="11"/>
  <c r="I2085" i="17"/>
  <c r="M2117" i="3"/>
  <c r="N876" i="3"/>
  <c r="J394" i="16" s="1"/>
  <c r="I394" i="16"/>
  <c r="I582" i="16"/>
  <c r="N1526" i="3"/>
  <c r="M1552" i="3"/>
  <c r="K133" i="11"/>
  <c r="J135" i="11"/>
  <c r="J146" i="16"/>
  <c r="I146" i="16"/>
  <c r="D150" i="11"/>
  <c r="D157" i="11" s="1"/>
  <c r="D127" i="11"/>
  <c r="D146" i="11" s="1"/>
  <c r="J51" i="16"/>
  <c r="I51" i="16"/>
  <c r="G99" i="17"/>
  <c r="R63" i="11" s="1"/>
  <c r="R125" i="11" s="1"/>
  <c r="R151" i="11" s="1"/>
  <c r="G21" i="11"/>
  <c r="E58" i="11"/>
  <c r="G52" i="6"/>
  <c r="H395" i="16"/>
  <c r="H85" i="17" s="1"/>
  <c r="H97" i="17" s="1"/>
  <c r="H1967" i="17" s="1"/>
  <c r="L13" i="23" s="1"/>
  <c r="K12" i="11"/>
  <c r="H2134" i="17"/>
  <c r="L17" i="23" s="1"/>
  <c r="H2099" i="17"/>
  <c r="U141" i="11" s="1"/>
  <c r="U144" i="11" s="1"/>
  <c r="I88" i="6" s="1"/>
  <c r="N1970" i="3"/>
  <c r="M2037" i="3"/>
  <c r="I2084" i="17" s="1"/>
  <c r="M2114" i="3"/>
  <c r="J34" i="14" s="1"/>
  <c r="J39" i="14" s="1"/>
  <c r="J44" i="14" s="1"/>
  <c r="N1876" i="3"/>
  <c r="M1928" i="3"/>
  <c r="I2015" i="17" s="1"/>
  <c r="N1786" i="3"/>
  <c r="N1829" i="3" s="1"/>
  <c r="M1829" i="3"/>
  <c r="N1718" i="3"/>
  <c r="N1766" i="3" s="1"/>
  <c r="M1766" i="3"/>
  <c r="N1688" i="3"/>
  <c r="N1706" i="3" s="1"/>
  <c r="M1706" i="3"/>
  <c r="N1619" i="3"/>
  <c r="M1652" i="3"/>
  <c r="N1570" i="3"/>
  <c r="M1595" i="3"/>
  <c r="N1378" i="3"/>
  <c r="M1493" i="3"/>
  <c r="N1342" i="3"/>
  <c r="N1357" i="3" s="1"/>
  <c r="M1357" i="3"/>
  <c r="N1363" i="3"/>
  <c r="N1372" i="3" s="1"/>
  <c r="M1372" i="3"/>
  <c r="N1547" i="3"/>
  <c r="N1276" i="3"/>
  <c r="N1183" i="3"/>
  <c r="M1242" i="3"/>
  <c r="I113" i="16" s="1"/>
  <c r="N953" i="3"/>
  <c r="N1002" i="3" s="1"/>
  <c r="M1002" i="3"/>
  <c r="N813" i="3"/>
  <c r="N1014" i="3"/>
  <c r="N1123" i="3" s="1"/>
  <c r="M1123" i="3"/>
  <c r="N760" i="3"/>
  <c r="M794" i="3"/>
  <c r="I145" i="16" s="1"/>
  <c r="N493" i="3"/>
  <c r="N531" i="3" s="1"/>
  <c r="M531" i="3"/>
  <c r="N219" i="3"/>
  <c r="N279" i="3" s="1"/>
  <c r="M279" i="3"/>
  <c r="N441" i="3"/>
  <c r="N672" i="3"/>
  <c r="N699" i="3" s="1"/>
  <c r="M699" i="3"/>
  <c r="N598" i="3"/>
  <c r="N658" i="3" s="1"/>
  <c r="M658" i="3"/>
  <c r="N10" i="3"/>
  <c r="N65" i="3" s="1"/>
  <c r="M65" i="3"/>
  <c r="N71" i="3"/>
  <c r="N92" i="3" s="1"/>
  <c r="M92" i="3"/>
  <c r="N571" i="3"/>
  <c r="N175" i="3"/>
  <c r="N203" i="3" s="1"/>
  <c r="M203" i="3"/>
  <c r="N98" i="3"/>
  <c r="N139" i="3" s="1"/>
  <c r="M139" i="3"/>
  <c r="N294" i="3"/>
  <c r="N403" i="3" s="1"/>
  <c r="M403" i="3"/>
  <c r="C39" i="14"/>
  <c r="C44" i="14" s="1"/>
  <c r="E39" i="14"/>
  <c r="E44" i="14" s="1"/>
  <c r="H39" i="14"/>
  <c r="H44" i="14" s="1"/>
  <c r="F39" i="14"/>
  <c r="F44" i="14" s="1"/>
  <c r="I39" i="14"/>
  <c r="I44" i="14" s="1"/>
  <c r="G39" i="14"/>
  <c r="G44" i="14" s="1"/>
  <c r="D39" i="14"/>
  <c r="D44" i="14" s="1"/>
  <c r="F5" i="14"/>
  <c r="N1652" i="3" l="1"/>
  <c r="J40" i="9"/>
  <c r="J43" i="9" s="1"/>
  <c r="J40" i="8"/>
  <c r="J43" i="8" s="1"/>
  <c r="K30" i="22"/>
  <c r="M927" i="3"/>
  <c r="M36" i="23" s="1"/>
  <c r="I20" i="23"/>
  <c r="L127" i="11"/>
  <c r="F56" i="6" s="1"/>
  <c r="F26" i="6" s="1"/>
  <c r="H65" i="16"/>
  <c r="U10" i="11" s="1"/>
  <c r="V10" i="11" s="1"/>
  <c r="W10" i="11" s="1"/>
  <c r="F409" i="16"/>
  <c r="O21" i="11" s="1"/>
  <c r="O58" i="11" s="1"/>
  <c r="O150" i="11" s="1"/>
  <c r="F1547" i="16"/>
  <c r="F1965" i="17" s="1"/>
  <c r="I126" i="16"/>
  <c r="I128" i="16" s="1"/>
  <c r="X12" i="11" s="1"/>
  <c r="E1965" i="17"/>
  <c r="C153" i="11"/>
  <c r="G1077" i="16"/>
  <c r="R42" i="11" s="1"/>
  <c r="S42" i="11" s="1"/>
  <c r="T42" i="11" s="1"/>
  <c r="G1964" i="17"/>
  <c r="K10" i="23"/>
  <c r="M17" i="22"/>
  <c r="N462" i="3"/>
  <c r="N471" i="3" s="1"/>
  <c r="J581" i="16" s="1"/>
  <c r="N842" i="3"/>
  <c r="L10" i="22"/>
  <c r="N863" i="3"/>
  <c r="L12" i="22"/>
  <c r="N1409" i="3"/>
  <c r="L19" i="22"/>
  <c r="N835" i="3"/>
  <c r="L9" i="22"/>
  <c r="N826" i="3"/>
  <c r="L8" i="22"/>
  <c r="N909" i="3"/>
  <c r="L16" i="22"/>
  <c r="M7" i="22"/>
  <c r="G407" i="16"/>
  <c r="N573" i="3"/>
  <c r="N1920" i="3"/>
  <c r="M26" i="22" s="1"/>
  <c r="N884" i="3"/>
  <c r="L15" i="22"/>
  <c r="N2003" i="3"/>
  <c r="M27" i="22" s="1"/>
  <c r="M2116" i="3"/>
  <c r="J77" i="4" s="1"/>
  <c r="J112" i="7" s="1"/>
  <c r="N1401" i="3"/>
  <c r="L18" i="22"/>
  <c r="N867" i="3"/>
  <c r="L13" i="22"/>
  <c r="N853" i="3"/>
  <c r="L11" i="22"/>
  <c r="L17" i="22"/>
  <c r="N1533" i="3"/>
  <c r="N1552" i="3" s="1"/>
  <c r="N1384" i="3"/>
  <c r="N1278" i="3"/>
  <c r="N1423" i="3"/>
  <c r="L20" i="22"/>
  <c r="N869" i="3"/>
  <c r="L14" i="22"/>
  <c r="N1473" i="3"/>
  <c r="L21" i="22"/>
  <c r="I2097" i="17"/>
  <c r="N1242" i="3"/>
  <c r="J113" i="16" s="1"/>
  <c r="J126" i="16" s="1"/>
  <c r="J128" i="16" s="1"/>
  <c r="AA12" i="11" s="1"/>
  <c r="N794" i="3"/>
  <c r="J145" i="16" s="1"/>
  <c r="J158" i="16" s="1"/>
  <c r="J160" i="16" s="1"/>
  <c r="AA13" i="11" s="1"/>
  <c r="J582" i="16"/>
  <c r="N56" i="23"/>
  <c r="H7" i="23"/>
  <c r="I153" i="11"/>
  <c r="O63" i="25"/>
  <c r="N63" i="25" s="1"/>
  <c r="Q63" i="25" s="1"/>
  <c r="H52" i="25"/>
  <c r="K52" i="25" s="1"/>
  <c r="I53" i="25" s="1"/>
  <c r="I158" i="16"/>
  <c r="I160" i="16" s="1"/>
  <c r="X13" i="11" s="1"/>
  <c r="Y13" i="11" s="1"/>
  <c r="Z13" i="11" s="1"/>
  <c r="J141" i="11"/>
  <c r="H144" i="11"/>
  <c r="H151" i="11" s="1"/>
  <c r="H156" i="11" s="1"/>
  <c r="H2030" i="17"/>
  <c r="U133" i="11" s="1"/>
  <c r="U135" i="11" s="1"/>
  <c r="I118" i="6" s="1"/>
  <c r="C16" i="18"/>
  <c r="D16" i="18" s="1"/>
  <c r="C19" i="18"/>
  <c r="D19" i="18" s="1"/>
  <c r="C15" i="18"/>
  <c r="D15" i="18" s="1"/>
  <c r="C17" i="18"/>
  <c r="D17" i="18" s="1"/>
  <c r="C20" i="18"/>
  <c r="D20" i="18" s="1"/>
  <c r="C18" i="18"/>
  <c r="D18" i="18" s="1"/>
  <c r="I34" i="17"/>
  <c r="I36" i="17" s="1"/>
  <c r="X61" i="11" s="1"/>
  <c r="Y61" i="11" s="1"/>
  <c r="Z61" i="11" s="1"/>
  <c r="J34" i="17"/>
  <c r="J36" i="17" s="1"/>
  <c r="AA61" i="11" s="1"/>
  <c r="I2028" i="17"/>
  <c r="I2036" i="17" s="1"/>
  <c r="M15" i="23" s="1"/>
  <c r="I581" i="16"/>
  <c r="I594" i="16" s="1"/>
  <c r="I596" i="16" s="1"/>
  <c r="X27" i="11" s="1"/>
  <c r="Y27" i="11" s="1"/>
  <c r="Z27" i="11" s="1"/>
  <c r="H99" i="17"/>
  <c r="U63" i="11" s="1"/>
  <c r="U125" i="11" s="1"/>
  <c r="H21" i="11"/>
  <c r="G58" i="11"/>
  <c r="K63" i="11"/>
  <c r="J125" i="11"/>
  <c r="M133" i="11"/>
  <c r="K135" i="11"/>
  <c r="N1595" i="3"/>
  <c r="H403" i="16"/>
  <c r="H1040" i="16" s="1"/>
  <c r="H1044" i="16" s="1"/>
  <c r="H1546" i="16" s="1"/>
  <c r="D153" i="11"/>
  <c r="I395" i="16"/>
  <c r="I85" i="17" s="1"/>
  <c r="I97" i="17" s="1"/>
  <c r="J2085" i="17"/>
  <c r="N2117" i="3"/>
  <c r="E150" i="11"/>
  <c r="E157" i="11" s="1"/>
  <c r="E127" i="11"/>
  <c r="E146" i="11" s="1"/>
  <c r="I50" i="16"/>
  <c r="I63" i="16" s="1"/>
  <c r="H52" i="6"/>
  <c r="J395" i="16"/>
  <c r="J85" i="17" s="1"/>
  <c r="J97" i="17" s="1"/>
  <c r="M12" i="11"/>
  <c r="I2134" i="17"/>
  <c r="M17" i="23" s="1"/>
  <c r="I2099" i="17"/>
  <c r="X141" i="11" s="1"/>
  <c r="X144" i="11" s="1"/>
  <c r="J88" i="6" s="1"/>
  <c r="J75" i="4"/>
  <c r="J111" i="7" s="1"/>
  <c r="N2037" i="3"/>
  <c r="J2084" i="17" s="1"/>
  <c r="N2114" i="3"/>
  <c r="K34" i="14" s="1"/>
  <c r="K39" i="14" s="1"/>
  <c r="K44" i="14" s="1"/>
  <c r="I77" i="4"/>
  <c r="I112" i="7" s="1"/>
  <c r="I75" i="4"/>
  <c r="I111" i="7" s="1"/>
  <c r="C77" i="4"/>
  <c r="C112" i="7" s="1"/>
  <c r="C75" i="4"/>
  <c r="C111" i="7" s="1"/>
  <c r="D77" i="4"/>
  <c r="D112" i="7" s="1"/>
  <c r="D75" i="4"/>
  <c r="D111" i="7" s="1"/>
  <c r="F75" i="4"/>
  <c r="F111" i="7" s="1"/>
  <c r="F77" i="4"/>
  <c r="F112" i="7" s="1"/>
  <c r="H75" i="4"/>
  <c r="H111" i="7" s="1"/>
  <c r="H77" i="4"/>
  <c r="H112" i="7" s="1"/>
  <c r="G75" i="4"/>
  <c r="G111" i="7" s="1"/>
  <c r="G77" i="4"/>
  <c r="G112" i="7" s="1"/>
  <c r="E77" i="4"/>
  <c r="E112" i="7" s="1"/>
  <c r="E75" i="4"/>
  <c r="E111" i="7" s="1"/>
  <c r="B17" i="14"/>
  <c r="F9" i="14"/>
  <c r="L146" i="11" l="1"/>
  <c r="I7" i="23" s="1"/>
  <c r="K40" i="9"/>
  <c r="K43" i="9" s="1"/>
  <c r="K40" i="8"/>
  <c r="K43" i="8" s="1"/>
  <c r="K40" i="22"/>
  <c r="L30" i="22"/>
  <c r="I1967" i="17"/>
  <c r="M13" i="23" s="1"/>
  <c r="O127" i="11"/>
  <c r="G56" i="6" s="1"/>
  <c r="G26" i="6" s="1"/>
  <c r="I65" i="16"/>
  <c r="X10" i="11" s="1"/>
  <c r="Y10" i="11" s="1"/>
  <c r="Z10" i="11" s="1"/>
  <c r="G409" i="16"/>
  <c r="R21" i="11" s="1"/>
  <c r="R58" i="11" s="1"/>
  <c r="R127" i="11" s="1"/>
  <c r="R146" i="11" s="1"/>
  <c r="K7" i="23" s="1"/>
  <c r="G1547" i="16"/>
  <c r="G1965" i="17" s="1"/>
  <c r="J594" i="16"/>
  <c r="J596" i="16" s="1"/>
  <c r="AA27" i="11" s="1"/>
  <c r="AB27" i="11" s="1"/>
  <c r="J11" i="23"/>
  <c r="J20" i="23" s="1"/>
  <c r="N1928" i="3"/>
  <c r="J2015" i="17" s="1"/>
  <c r="J2028" i="17" s="1"/>
  <c r="N1493" i="3"/>
  <c r="N586" i="3"/>
  <c r="L40" i="22"/>
  <c r="J1967" i="17"/>
  <c r="N13" i="23" s="1"/>
  <c r="AB13" i="11"/>
  <c r="N2116" i="3"/>
  <c r="K77" i="4" s="1"/>
  <c r="K112" i="7" s="1"/>
  <c r="M20" i="22"/>
  <c r="M18" i="22"/>
  <c r="M9" i="22"/>
  <c r="M10" i="22"/>
  <c r="M14" i="22"/>
  <c r="M13" i="22"/>
  <c r="M8" i="22"/>
  <c r="M19" i="22"/>
  <c r="M12" i="22"/>
  <c r="M21" i="22"/>
  <c r="M11" i="22"/>
  <c r="M15" i="22"/>
  <c r="N927" i="3"/>
  <c r="M16" i="22"/>
  <c r="N1309" i="3"/>
  <c r="O64" i="25"/>
  <c r="N64" i="25" s="1"/>
  <c r="Q64" i="25" s="1"/>
  <c r="H53" i="25"/>
  <c r="K53" i="25" s="1"/>
  <c r="I54" i="25" s="1"/>
  <c r="H407" i="16"/>
  <c r="H1547" i="16" s="1"/>
  <c r="I2030" i="17"/>
  <c r="X133" i="11" s="1"/>
  <c r="X135" i="11" s="1"/>
  <c r="J118" i="6" s="1"/>
  <c r="U151" i="11"/>
  <c r="J144" i="11"/>
  <c r="J151" i="11" s="1"/>
  <c r="J156" i="11" s="1"/>
  <c r="K141" i="11"/>
  <c r="D22" i="18"/>
  <c r="D32" i="18" s="1"/>
  <c r="F165" i="3" s="1"/>
  <c r="F169" i="3" s="1"/>
  <c r="F29" i="23" s="1"/>
  <c r="J2097" i="17"/>
  <c r="J2099" i="17" s="1"/>
  <c r="AA141" i="11" s="1"/>
  <c r="AA144" i="11" s="1"/>
  <c r="K88" i="6" s="1"/>
  <c r="AB61" i="11"/>
  <c r="J50" i="16"/>
  <c r="J63" i="16" s="1"/>
  <c r="J403" i="16"/>
  <c r="J1040" i="16" s="1"/>
  <c r="J1044" i="16" s="1"/>
  <c r="H1077" i="16"/>
  <c r="U42" i="11" s="1"/>
  <c r="V42" i="11" s="1"/>
  <c r="W42" i="11" s="1"/>
  <c r="I99" i="17"/>
  <c r="X63" i="11" s="1"/>
  <c r="X125" i="11" s="1"/>
  <c r="N133" i="11"/>
  <c r="M135" i="11"/>
  <c r="G150" i="11"/>
  <c r="G157" i="11" s="1"/>
  <c r="G127" i="11"/>
  <c r="G146" i="11" s="1"/>
  <c r="J21" i="11"/>
  <c r="H58" i="11"/>
  <c r="J99" i="17"/>
  <c r="AA63" i="11" s="1"/>
  <c r="AA125" i="11" s="1"/>
  <c r="E153" i="11"/>
  <c r="I403" i="16"/>
  <c r="M63" i="11"/>
  <c r="K125" i="11"/>
  <c r="N12" i="11"/>
  <c r="K75" i="4"/>
  <c r="K111" i="7" s="1"/>
  <c r="B22" i="14"/>
  <c r="C17" i="14"/>
  <c r="H79" i="4"/>
  <c r="H114" i="7" s="1"/>
  <c r="D79" i="4"/>
  <c r="D114" i="7" s="1"/>
  <c r="E78" i="4"/>
  <c r="E72" i="6" s="1"/>
  <c r="M2119" i="3"/>
  <c r="K2119" i="3"/>
  <c r="J2119" i="3"/>
  <c r="I2119" i="3"/>
  <c r="G2119" i="3"/>
  <c r="F2119" i="3"/>
  <c r="N2111" i="3"/>
  <c r="M2111" i="3"/>
  <c r="L2111" i="3"/>
  <c r="K2111" i="3"/>
  <c r="J2111" i="3"/>
  <c r="I2111" i="3"/>
  <c r="H2111" i="3"/>
  <c r="G2111" i="3"/>
  <c r="F2111" i="3"/>
  <c r="N2110" i="3"/>
  <c r="M2110" i="3"/>
  <c r="L2110" i="3"/>
  <c r="K2110" i="3"/>
  <c r="J2110" i="3"/>
  <c r="I2110" i="3"/>
  <c r="H2110" i="3"/>
  <c r="G2110" i="3"/>
  <c r="F2110" i="3"/>
  <c r="N2109" i="3"/>
  <c r="M2109" i="3"/>
  <c r="L2109" i="3"/>
  <c r="K2109" i="3"/>
  <c r="J2109" i="3"/>
  <c r="I2109" i="3"/>
  <c r="H2109" i="3"/>
  <c r="G2109" i="3"/>
  <c r="F2109" i="3"/>
  <c r="N2108" i="3"/>
  <c r="M2108" i="3"/>
  <c r="L2108" i="3"/>
  <c r="K2108" i="3"/>
  <c r="J2108" i="3"/>
  <c r="I2108" i="3"/>
  <c r="H2108" i="3"/>
  <c r="G2108" i="3"/>
  <c r="F2108" i="3"/>
  <c r="N2107" i="3"/>
  <c r="M2107" i="3"/>
  <c r="L2107" i="3"/>
  <c r="K2107" i="3"/>
  <c r="J2107" i="3"/>
  <c r="I2107" i="3"/>
  <c r="H2107" i="3"/>
  <c r="G2107" i="3"/>
  <c r="F2107" i="3"/>
  <c r="N2106" i="3"/>
  <c r="M2106" i="3"/>
  <c r="L2106" i="3"/>
  <c r="K2106" i="3"/>
  <c r="J2106" i="3"/>
  <c r="I2106" i="3"/>
  <c r="H2106" i="3"/>
  <c r="G2106" i="3"/>
  <c r="F2106" i="3"/>
  <c r="N2102" i="3"/>
  <c r="M2102" i="3"/>
  <c r="J108" i="4" s="1"/>
  <c r="J162" i="7" s="1"/>
  <c r="L2102" i="3"/>
  <c r="K2102" i="3"/>
  <c r="J2102" i="3"/>
  <c r="I2102" i="3"/>
  <c r="F108" i="4" s="1"/>
  <c r="F162" i="7" s="1"/>
  <c r="H2102" i="3"/>
  <c r="E108" i="4" s="1"/>
  <c r="E162" i="7" s="1"/>
  <c r="G2102" i="3"/>
  <c r="F2102" i="3"/>
  <c r="C108" i="4" s="1"/>
  <c r="C162" i="7" s="1"/>
  <c r="N2101" i="3"/>
  <c r="K107" i="4" s="1"/>
  <c r="K102" i="6" s="1"/>
  <c r="M2101" i="3"/>
  <c r="J107" i="4" s="1"/>
  <c r="J102" i="6" s="1"/>
  <c r="L2101" i="3"/>
  <c r="K2101" i="3"/>
  <c r="J2101" i="3"/>
  <c r="G107" i="4" s="1"/>
  <c r="G102" i="6" s="1"/>
  <c r="I2101" i="3"/>
  <c r="F107" i="4" s="1"/>
  <c r="F102" i="6" s="1"/>
  <c r="H2101" i="3"/>
  <c r="G2101" i="3"/>
  <c r="D107" i="4" s="1"/>
  <c r="D102" i="6" s="1"/>
  <c r="F2101" i="3"/>
  <c r="C107" i="4" s="1"/>
  <c r="C102" i="6" s="1"/>
  <c r="N2100" i="3"/>
  <c r="M2100" i="3"/>
  <c r="L2100" i="3"/>
  <c r="K2100" i="3"/>
  <c r="J2100" i="3"/>
  <c r="I2100" i="3"/>
  <c r="H2100" i="3"/>
  <c r="G2100" i="3"/>
  <c r="F2100" i="3"/>
  <c r="N2099" i="3"/>
  <c r="M2099" i="3"/>
  <c r="L2099" i="3"/>
  <c r="I105" i="4" s="1"/>
  <c r="I161" i="7" s="1"/>
  <c r="K2099" i="3"/>
  <c r="H105" i="4" s="1"/>
  <c r="H161" i="7" s="1"/>
  <c r="J2099" i="3"/>
  <c r="I2099" i="3"/>
  <c r="F105" i="4" s="1"/>
  <c r="F161" i="7" s="1"/>
  <c r="H2099" i="3"/>
  <c r="E105" i="4" s="1"/>
  <c r="E161" i="7" s="1"/>
  <c r="G2099" i="3"/>
  <c r="D105" i="4" s="1"/>
  <c r="D161" i="7" s="1"/>
  <c r="F2099" i="3"/>
  <c r="N2098" i="3"/>
  <c r="M2098" i="3"/>
  <c r="L2098" i="3"/>
  <c r="K2098" i="3"/>
  <c r="J2098" i="3"/>
  <c r="I2098" i="3"/>
  <c r="H2098" i="3"/>
  <c r="G2098" i="3"/>
  <c r="F2098" i="3"/>
  <c r="N2095" i="3"/>
  <c r="M2095" i="3"/>
  <c r="L2095" i="3"/>
  <c r="K2095" i="3"/>
  <c r="J2095" i="3"/>
  <c r="I2095" i="3"/>
  <c r="H2095" i="3"/>
  <c r="G2095" i="3"/>
  <c r="F2095" i="3"/>
  <c r="N2094" i="3"/>
  <c r="M2094" i="3"/>
  <c r="L2094" i="3"/>
  <c r="K2094" i="3"/>
  <c r="J2094" i="3"/>
  <c r="I2094" i="3"/>
  <c r="H2094" i="3"/>
  <c r="G2094" i="3"/>
  <c r="F2094" i="3"/>
  <c r="N2093" i="3"/>
  <c r="M2093" i="3"/>
  <c r="L2093" i="3"/>
  <c r="K2093" i="3"/>
  <c r="J2093" i="3"/>
  <c r="I2093" i="3"/>
  <c r="H2093" i="3"/>
  <c r="G2093" i="3"/>
  <c r="F2093" i="3"/>
  <c r="N2092" i="3"/>
  <c r="M2092" i="3"/>
  <c r="L2092" i="3"/>
  <c r="K2092" i="3"/>
  <c r="J2092" i="3"/>
  <c r="I2092" i="3"/>
  <c r="H2092" i="3"/>
  <c r="G2092" i="3"/>
  <c r="F2092" i="3"/>
  <c r="N2091" i="3"/>
  <c r="M2091" i="3"/>
  <c r="L2091" i="3"/>
  <c r="K2091" i="3"/>
  <c r="J2091" i="3"/>
  <c r="I2091" i="3"/>
  <c r="H2091" i="3"/>
  <c r="G2091" i="3"/>
  <c r="F2091" i="3"/>
  <c r="N2090" i="3"/>
  <c r="M2090" i="3"/>
  <c r="L2090" i="3"/>
  <c r="K2090" i="3"/>
  <c r="J2090" i="3"/>
  <c r="I2090" i="3"/>
  <c r="H2090" i="3"/>
  <c r="G2090" i="3"/>
  <c r="F2090" i="3"/>
  <c r="N2086" i="3"/>
  <c r="M2086" i="3"/>
  <c r="L2086" i="3"/>
  <c r="K2086" i="3"/>
  <c r="J2086" i="3"/>
  <c r="I2086" i="3"/>
  <c r="H2086" i="3"/>
  <c r="G2086" i="3"/>
  <c r="F2086" i="3"/>
  <c r="N2085" i="3"/>
  <c r="M2085" i="3"/>
  <c r="L2085" i="3"/>
  <c r="K2085" i="3"/>
  <c r="J2085" i="3"/>
  <c r="I2085" i="3"/>
  <c r="H2085" i="3"/>
  <c r="G2085" i="3"/>
  <c r="F2085" i="3"/>
  <c r="N2084" i="3"/>
  <c r="M2084" i="3"/>
  <c r="L2084" i="3"/>
  <c r="K2084" i="3"/>
  <c r="J2084" i="3"/>
  <c r="I2084" i="3"/>
  <c r="H2084" i="3"/>
  <c r="G2084" i="3"/>
  <c r="F2084" i="3"/>
  <c r="N2083" i="3"/>
  <c r="M2083" i="3"/>
  <c r="L2083" i="3"/>
  <c r="K2083" i="3"/>
  <c r="J2083" i="3"/>
  <c r="I2083" i="3"/>
  <c r="H2083" i="3"/>
  <c r="G2083" i="3"/>
  <c r="F2083" i="3"/>
  <c r="N2082" i="3"/>
  <c r="M2082" i="3"/>
  <c r="L2082" i="3"/>
  <c r="K2082" i="3"/>
  <c r="J2082" i="3"/>
  <c r="I2082" i="3"/>
  <c r="H2082" i="3"/>
  <c r="G2082" i="3"/>
  <c r="F2082" i="3"/>
  <c r="N2079" i="3"/>
  <c r="M2079" i="3"/>
  <c r="M2127" i="3" s="1"/>
  <c r="L2079" i="3"/>
  <c r="L2127" i="3" s="1"/>
  <c r="K2079" i="3"/>
  <c r="J2079" i="3"/>
  <c r="I2079" i="3"/>
  <c r="I2127" i="3" s="1"/>
  <c r="H2079" i="3"/>
  <c r="H2127" i="3" s="1"/>
  <c r="G2079" i="3"/>
  <c r="F2079" i="3"/>
  <c r="N2078" i="3"/>
  <c r="N2126" i="3" s="1"/>
  <c r="M2078" i="3"/>
  <c r="M2126" i="3" s="1"/>
  <c r="L2078" i="3"/>
  <c r="K2078" i="3"/>
  <c r="J2078" i="3"/>
  <c r="J2126" i="3" s="1"/>
  <c r="I2078" i="3"/>
  <c r="I2126" i="3" s="1"/>
  <c r="H2078" i="3"/>
  <c r="G2078" i="3"/>
  <c r="F2078" i="3"/>
  <c r="F2126" i="3" s="1"/>
  <c r="N2077" i="3"/>
  <c r="N2125" i="3" s="1"/>
  <c r="M2077" i="3"/>
  <c r="L2077" i="3"/>
  <c r="K2077" i="3"/>
  <c r="K2125" i="3" s="1"/>
  <c r="J2077" i="3"/>
  <c r="J2125" i="3" s="1"/>
  <c r="I2077" i="3"/>
  <c r="H2077" i="3"/>
  <c r="G2077" i="3"/>
  <c r="G2125" i="3" s="1"/>
  <c r="F2077" i="3"/>
  <c r="F2125" i="3" s="1"/>
  <c r="F2076" i="3"/>
  <c r="N2075" i="3"/>
  <c r="M2075" i="3"/>
  <c r="M2123" i="3" s="1"/>
  <c r="L2075" i="3"/>
  <c r="L2123" i="3" s="1"/>
  <c r="K2075" i="3"/>
  <c r="J2075" i="3"/>
  <c r="I2075" i="3"/>
  <c r="I2123" i="3" s="1"/>
  <c r="H2075" i="3"/>
  <c r="H2123" i="3" s="1"/>
  <c r="G2075" i="3"/>
  <c r="F2075" i="3"/>
  <c r="N2074" i="3"/>
  <c r="N2122" i="3" s="1"/>
  <c r="M2074" i="3"/>
  <c r="M2122" i="3" s="1"/>
  <c r="L2074" i="3"/>
  <c r="K2074" i="3"/>
  <c r="J2074" i="3"/>
  <c r="J2122" i="3" s="1"/>
  <c r="I2074" i="3"/>
  <c r="I2122" i="3" s="1"/>
  <c r="H2074" i="3"/>
  <c r="G2074" i="3"/>
  <c r="F2074" i="3"/>
  <c r="F2122" i="3" s="1"/>
  <c r="E2102" i="3"/>
  <c r="B108" i="4" s="1"/>
  <c r="B162" i="7" s="1"/>
  <c r="H22" i="6"/>
  <c r="G22" i="6"/>
  <c r="F22" i="6"/>
  <c r="E22" i="6"/>
  <c r="D22" i="6"/>
  <c r="C22" i="6"/>
  <c r="K114" i="6"/>
  <c r="J114" i="6"/>
  <c r="I114" i="6"/>
  <c r="H114" i="6"/>
  <c r="G114" i="6"/>
  <c r="F114" i="6"/>
  <c r="E114" i="6"/>
  <c r="D114" i="6"/>
  <c r="C114" i="6"/>
  <c r="K84" i="6"/>
  <c r="J84" i="6"/>
  <c r="I84" i="6"/>
  <c r="H84" i="6"/>
  <c r="G84" i="6"/>
  <c r="F84" i="6"/>
  <c r="E84" i="6"/>
  <c r="D84" i="6"/>
  <c r="C84" i="6"/>
  <c r="B84" i="6"/>
  <c r="B52" i="6"/>
  <c r="J76" i="4"/>
  <c r="J113" i="7" s="1"/>
  <c r="F76" i="4"/>
  <c r="F113" i="7" s="1"/>
  <c r="E76" i="4"/>
  <c r="E113" i="7" s="1"/>
  <c r="D76" i="4"/>
  <c r="D113" i="7" s="1"/>
  <c r="J105" i="4"/>
  <c r="J161" i="7" s="1"/>
  <c r="B79" i="4"/>
  <c r="B114" i="7" s="1"/>
  <c r="B78" i="4"/>
  <c r="B72" i="6" s="1"/>
  <c r="B76" i="4"/>
  <c r="B113" i="7" s="1"/>
  <c r="E2114" i="3"/>
  <c r="B75" i="4" s="1"/>
  <c r="B111" i="7" s="1"/>
  <c r="E2101" i="3"/>
  <c r="B107" i="4" s="1"/>
  <c r="B102" i="6" s="1"/>
  <c r="E2099" i="3"/>
  <c r="B105" i="4" s="1"/>
  <c r="B161" i="7" s="1"/>
  <c r="E2098" i="3"/>
  <c r="B104" i="4" s="1"/>
  <c r="B159" i="7" s="1"/>
  <c r="K79" i="4"/>
  <c r="K114" i="7" s="1"/>
  <c r="J79" i="4"/>
  <c r="J114" i="7" s="1"/>
  <c r="I79" i="4"/>
  <c r="I114" i="7" s="1"/>
  <c r="G79" i="4"/>
  <c r="G114" i="7" s="1"/>
  <c r="F79" i="4"/>
  <c r="F114" i="7" s="1"/>
  <c r="E79" i="4"/>
  <c r="E114" i="7" s="1"/>
  <c r="C79" i="4"/>
  <c r="C114" i="7" s="1"/>
  <c r="J78" i="4"/>
  <c r="J72" i="6" s="1"/>
  <c r="I78" i="4"/>
  <c r="I72" i="6" s="1"/>
  <c r="F78" i="4"/>
  <c r="F72" i="6" s="1"/>
  <c r="K76" i="4"/>
  <c r="K113" i="7" s="1"/>
  <c r="I76" i="4"/>
  <c r="I113" i="7" s="1"/>
  <c r="H76" i="4"/>
  <c r="H113" i="7" s="1"/>
  <c r="G76" i="4"/>
  <c r="G113" i="7" s="1"/>
  <c r="C76" i="4"/>
  <c r="C113" i="7" s="1"/>
  <c r="K108" i="4"/>
  <c r="K162" i="7" s="1"/>
  <c r="I108" i="4"/>
  <c r="I162" i="7" s="1"/>
  <c r="H108" i="4"/>
  <c r="H162" i="7" s="1"/>
  <c r="G108" i="4"/>
  <c r="G162" i="7" s="1"/>
  <c r="D108" i="4"/>
  <c r="D162" i="7" s="1"/>
  <c r="I107" i="4"/>
  <c r="I102" i="6" s="1"/>
  <c r="H107" i="4"/>
  <c r="H102" i="6" s="1"/>
  <c r="E107" i="4"/>
  <c r="E102" i="6" s="1"/>
  <c r="K105" i="4"/>
  <c r="K161" i="7" s="1"/>
  <c r="G105" i="4"/>
  <c r="G161" i="7" s="1"/>
  <c r="C105" i="4"/>
  <c r="C161" i="7" s="1"/>
  <c r="E2111" i="3"/>
  <c r="E2110" i="3"/>
  <c r="B70" i="4" s="1"/>
  <c r="B108" i="7" s="1"/>
  <c r="E2109" i="3"/>
  <c r="B69" i="4" s="1"/>
  <c r="E2108" i="3"/>
  <c r="B68" i="4" s="1"/>
  <c r="B107" i="7" s="1"/>
  <c r="E2107" i="3"/>
  <c r="B67" i="4" s="1"/>
  <c r="B106" i="7" s="1"/>
  <c r="E2106" i="3"/>
  <c r="B66" i="4" s="1"/>
  <c r="B105" i="7" s="1"/>
  <c r="E2086" i="3"/>
  <c r="E2085" i="3"/>
  <c r="E2083" i="3"/>
  <c r="E2082" i="3"/>
  <c r="E2079" i="3"/>
  <c r="E2078" i="3"/>
  <c r="E2077" i="3"/>
  <c r="E2076" i="3"/>
  <c r="E2075" i="3"/>
  <c r="E2074" i="3"/>
  <c r="E2095" i="3"/>
  <c r="C66" i="4"/>
  <c r="C105" i="7" s="1"/>
  <c r="E2094" i="3"/>
  <c r="B99" i="4" s="1"/>
  <c r="B156" i="7" s="1"/>
  <c r="E2093" i="3"/>
  <c r="B98" i="4" s="1"/>
  <c r="E2092" i="3"/>
  <c r="B97" i="4" s="1"/>
  <c r="B155" i="7" s="1"/>
  <c r="E2091" i="3"/>
  <c r="B96" i="4" s="1"/>
  <c r="B154" i="7" s="1"/>
  <c r="E2090" i="3"/>
  <c r="B95" i="4" s="1"/>
  <c r="B153" i="7" s="1"/>
  <c r="K95" i="4"/>
  <c r="K153" i="7" s="1"/>
  <c r="L153" i="11" l="1"/>
  <c r="F2130" i="3"/>
  <c r="C32" i="14" s="1"/>
  <c r="C37" i="14" s="1"/>
  <c r="J2130" i="3"/>
  <c r="N2130" i="3"/>
  <c r="K32" i="14" s="1"/>
  <c r="I2131" i="3"/>
  <c r="F47" i="4" s="1"/>
  <c r="H25" i="8" s="1"/>
  <c r="H32" i="8" s="1"/>
  <c r="M2131" i="3"/>
  <c r="J47" i="4" s="1"/>
  <c r="L25" i="8" s="1"/>
  <c r="L32" i="8" s="1"/>
  <c r="H2132" i="3"/>
  <c r="L2132" i="3"/>
  <c r="G2133" i="3"/>
  <c r="D49" i="4" s="1"/>
  <c r="D40" i="6" s="1"/>
  <c r="K2133" i="3"/>
  <c r="H49" i="4" s="1"/>
  <c r="J49" i="8" s="1"/>
  <c r="J51" i="8" s="1"/>
  <c r="F2134" i="3"/>
  <c r="C50" i="4" s="1"/>
  <c r="C66" i="7" s="1"/>
  <c r="J2134" i="3"/>
  <c r="G50" i="4" s="1"/>
  <c r="G66" i="7" s="1"/>
  <c r="O146" i="11"/>
  <c r="J7" i="23" s="1"/>
  <c r="L40" i="8"/>
  <c r="L43" i="8" s="1"/>
  <c r="L40" i="9"/>
  <c r="M30" i="22"/>
  <c r="M40" i="22" s="1"/>
  <c r="D42" i="22" s="1"/>
  <c r="J2134" i="17"/>
  <c r="N17" i="23" s="1"/>
  <c r="H56" i="6"/>
  <c r="H26" i="6" s="1"/>
  <c r="K11" i="23"/>
  <c r="K20" i="23" s="1"/>
  <c r="H409" i="16"/>
  <c r="U21" i="11" s="1"/>
  <c r="U58" i="11" s="1"/>
  <c r="U150" i="11" s="1"/>
  <c r="J1077" i="16"/>
  <c r="AA42" i="11" s="1"/>
  <c r="J1546" i="16"/>
  <c r="J65" i="16"/>
  <c r="AA10" i="11" s="1"/>
  <c r="AB10" i="11" s="1"/>
  <c r="R150" i="11"/>
  <c r="R153" i="11" s="1"/>
  <c r="O153" i="11"/>
  <c r="J2030" i="17"/>
  <c r="AA133" i="11" s="1"/>
  <c r="AA135" i="11" s="1"/>
  <c r="K118" i="6" s="1"/>
  <c r="J2036" i="17"/>
  <c r="N15" i="23" s="1"/>
  <c r="L43" i="9"/>
  <c r="N2119" i="3"/>
  <c r="N36" i="23"/>
  <c r="H1964" i="17"/>
  <c r="L10" i="23"/>
  <c r="G2131" i="3"/>
  <c r="D47" i="4" s="1"/>
  <c r="D65" i="7" s="1"/>
  <c r="K2131" i="3"/>
  <c r="H47" i="4" s="1"/>
  <c r="H65" i="7" s="1"/>
  <c r="F2132" i="3"/>
  <c r="J2132" i="3"/>
  <c r="N2132" i="3"/>
  <c r="I2133" i="3"/>
  <c r="F49" i="4" s="1"/>
  <c r="F40" i="6" s="1"/>
  <c r="M2133" i="3"/>
  <c r="J49" i="4" s="1"/>
  <c r="J40" i="6" s="1"/>
  <c r="H2134" i="3"/>
  <c r="E50" i="4" s="1"/>
  <c r="E66" i="7" s="1"/>
  <c r="L2134" i="3"/>
  <c r="I50" i="4" s="1"/>
  <c r="I66" i="7" s="1"/>
  <c r="G2130" i="3"/>
  <c r="D32" i="14" s="1"/>
  <c r="D37" i="14" s="1"/>
  <c r="D46" i="4" s="1"/>
  <c r="D63" i="7" s="1"/>
  <c r="K2130" i="3"/>
  <c r="H32" i="14" s="1"/>
  <c r="H37" i="14" s="1"/>
  <c r="H46" i="4" s="1"/>
  <c r="H63" i="7" s="1"/>
  <c r="F2131" i="3"/>
  <c r="C47" i="4" s="1"/>
  <c r="E25" i="8" s="1"/>
  <c r="E32" i="8" s="1"/>
  <c r="J2131" i="3"/>
  <c r="G47" i="4" s="1"/>
  <c r="I25" i="8" s="1"/>
  <c r="I32" i="8" s="1"/>
  <c r="N2131" i="3"/>
  <c r="K47" i="4" s="1"/>
  <c r="M25" i="8" s="1"/>
  <c r="M32" i="8" s="1"/>
  <c r="I2132" i="3"/>
  <c r="M2132" i="3"/>
  <c r="X151" i="11"/>
  <c r="H1965" i="17"/>
  <c r="L11" i="23"/>
  <c r="O65" i="25"/>
  <c r="N65" i="25" s="1"/>
  <c r="Q65" i="25" s="1"/>
  <c r="H54" i="25"/>
  <c r="K54" i="25" s="1"/>
  <c r="I55" i="25" s="1"/>
  <c r="J407" i="16"/>
  <c r="J409" i="16" s="1"/>
  <c r="AA21" i="11" s="1"/>
  <c r="M141" i="11"/>
  <c r="K144" i="11"/>
  <c r="K151" i="11" s="1"/>
  <c r="K156" i="11" s="1"/>
  <c r="F17" i="18"/>
  <c r="G17" i="18" s="1"/>
  <c r="F16" i="18"/>
  <c r="G16" i="18" s="1"/>
  <c r="F19" i="18"/>
  <c r="G19" i="18" s="1"/>
  <c r="F15" i="18"/>
  <c r="G15" i="18" s="1"/>
  <c r="F20" i="18"/>
  <c r="G20" i="18" s="1"/>
  <c r="F18" i="18"/>
  <c r="G18" i="18" s="1"/>
  <c r="H2112" i="3"/>
  <c r="N2134" i="3"/>
  <c r="K50" i="4" s="1"/>
  <c r="K66" i="7" s="1"/>
  <c r="I1040" i="16"/>
  <c r="I1044" i="16" s="1"/>
  <c r="I1546" i="16" s="1"/>
  <c r="I407" i="16"/>
  <c r="I1547" i="16" s="1"/>
  <c r="N63" i="11"/>
  <c r="M125" i="11"/>
  <c r="H127" i="11"/>
  <c r="H146" i="11" s="1"/>
  <c r="H150" i="11"/>
  <c r="H157" i="11" s="1"/>
  <c r="I52" i="6"/>
  <c r="K21" i="11"/>
  <c r="J58" i="11"/>
  <c r="P133" i="11"/>
  <c r="N135" i="11"/>
  <c r="K52" i="6"/>
  <c r="G153" i="11"/>
  <c r="P12" i="11"/>
  <c r="H2122" i="3"/>
  <c r="L2122" i="3"/>
  <c r="G2123" i="3"/>
  <c r="K2123" i="3"/>
  <c r="F2124" i="3"/>
  <c r="I2125" i="3"/>
  <c r="M2125" i="3"/>
  <c r="H2126" i="3"/>
  <c r="L2112" i="3"/>
  <c r="G2096" i="3"/>
  <c r="K2096" i="3"/>
  <c r="L2126" i="3"/>
  <c r="G2127" i="3"/>
  <c r="K2127" i="3"/>
  <c r="I2112" i="3"/>
  <c r="M2112" i="3"/>
  <c r="F2112" i="3"/>
  <c r="J2112" i="3"/>
  <c r="N2112" i="3"/>
  <c r="G2112" i="3"/>
  <c r="K2112" i="3"/>
  <c r="F2123" i="3"/>
  <c r="J2123" i="3"/>
  <c r="N2123" i="3"/>
  <c r="H2125" i="3"/>
  <c r="L2125" i="3"/>
  <c r="G2126" i="3"/>
  <c r="K2126" i="3"/>
  <c r="F2127" i="3"/>
  <c r="J2127" i="3"/>
  <c r="N2127" i="3"/>
  <c r="F2096" i="3"/>
  <c r="J2096" i="3"/>
  <c r="N2096" i="3"/>
  <c r="H2096" i="3"/>
  <c r="L2096" i="3"/>
  <c r="I2096" i="3"/>
  <c r="M2096" i="3"/>
  <c r="I2103" i="3"/>
  <c r="F33" i="14"/>
  <c r="F38" i="14" s="1"/>
  <c r="F43" i="14" s="1"/>
  <c r="F104" i="4" s="1"/>
  <c r="F159" i="7" s="1"/>
  <c r="M2103" i="3"/>
  <c r="J33" i="14"/>
  <c r="C33" i="14"/>
  <c r="C38" i="14" s="1"/>
  <c r="C43" i="14" s="1"/>
  <c r="C104" i="4" s="1"/>
  <c r="C159" i="7" s="1"/>
  <c r="G33" i="14"/>
  <c r="G38" i="14" s="1"/>
  <c r="G43" i="14" s="1"/>
  <c r="G104" i="4" s="1"/>
  <c r="G159" i="7" s="1"/>
  <c r="K33" i="14"/>
  <c r="D33" i="14"/>
  <c r="D38" i="14" s="1"/>
  <c r="D43" i="14" s="1"/>
  <c r="D106" i="4" s="1"/>
  <c r="D160" i="7" s="1"/>
  <c r="H33" i="14"/>
  <c r="H38" i="14" s="1"/>
  <c r="H43" i="14" s="1"/>
  <c r="H106" i="4" s="1"/>
  <c r="H160" i="7" s="1"/>
  <c r="E33" i="14"/>
  <c r="E38" i="14" s="1"/>
  <c r="E43" i="14" s="1"/>
  <c r="E104" i="4" s="1"/>
  <c r="E159" i="7" s="1"/>
  <c r="I33" i="14"/>
  <c r="I38" i="14" s="1"/>
  <c r="I43" i="14" s="1"/>
  <c r="I106" i="4" s="1"/>
  <c r="I160" i="7" s="1"/>
  <c r="G32" i="14"/>
  <c r="G37" i="14" s="1"/>
  <c r="G2103" i="3"/>
  <c r="K2103" i="3"/>
  <c r="H2103" i="3"/>
  <c r="L2103" i="3"/>
  <c r="H2131" i="3"/>
  <c r="E47" i="4" s="1"/>
  <c r="L2131" i="3"/>
  <c r="I47" i="4" s="1"/>
  <c r="G2132" i="3"/>
  <c r="K2132" i="3"/>
  <c r="F2133" i="3"/>
  <c r="C49" i="4" s="1"/>
  <c r="J2133" i="3"/>
  <c r="G49" i="4" s="1"/>
  <c r="N2133" i="3"/>
  <c r="K49" i="4" s="1"/>
  <c r="I2134" i="3"/>
  <c r="F50" i="4" s="1"/>
  <c r="F66" i="7" s="1"/>
  <c r="M2134" i="3"/>
  <c r="J50" i="4" s="1"/>
  <c r="J66" i="7" s="1"/>
  <c r="F2103" i="3"/>
  <c r="J2103" i="3"/>
  <c r="N2103" i="3"/>
  <c r="I2087" i="3"/>
  <c r="M2087" i="3"/>
  <c r="H2119" i="3"/>
  <c r="L2119" i="3"/>
  <c r="H2133" i="3"/>
  <c r="E49" i="4" s="1"/>
  <c r="G49" i="8" s="1"/>
  <c r="G51" i="8" s="1"/>
  <c r="L2133" i="3"/>
  <c r="I49" i="4" s="1"/>
  <c r="K49" i="8" s="1"/>
  <c r="K51" i="8" s="1"/>
  <c r="G2134" i="3"/>
  <c r="D50" i="4" s="1"/>
  <c r="D66" i="7" s="1"/>
  <c r="K2134" i="3"/>
  <c r="H50" i="4" s="1"/>
  <c r="H66" i="7" s="1"/>
  <c r="H2087" i="3"/>
  <c r="L2087" i="3"/>
  <c r="F2087" i="3"/>
  <c r="J2087" i="3"/>
  <c r="N2087" i="3"/>
  <c r="G2122" i="3"/>
  <c r="K2122" i="3"/>
  <c r="H2130" i="3"/>
  <c r="L2130" i="3"/>
  <c r="G2087" i="3"/>
  <c r="K2087" i="3"/>
  <c r="I2130" i="3"/>
  <c r="M2130" i="3"/>
  <c r="F2080" i="3"/>
  <c r="E2100" i="3"/>
  <c r="E2084" i="3"/>
  <c r="E2087" i="3" s="1"/>
  <c r="E80" i="4"/>
  <c r="I80" i="4"/>
  <c r="F80" i="4"/>
  <c r="J80" i="4"/>
  <c r="C78" i="4"/>
  <c r="G78" i="4"/>
  <c r="K78" i="4"/>
  <c r="D78" i="4"/>
  <c r="H78" i="4"/>
  <c r="B80" i="4"/>
  <c r="E2119" i="3"/>
  <c r="B72" i="4"/>
  <c r="C41" i="4"/>
  <c r="C60" i="7" s="1"/>
  <c r="C67" i="4"/>
  <c r="C106" i="7" s="1"/>
  <c r="E2134" i="3"/>
  <c r="B50" i="4" s="1"/>
  <c r="B66" i="7" s="1"/>
  <c r="E2133" i="3"/>
  <c r="B49" i="4" s="1"/>
  <c r="E2131" i="3"/>
  <c r="B47" i="4" s="1"/>
  <c r="E2130" i="3"/>
  <c r="B46" i="4" s="1"/>
  <c r="B63" i="7" s="1"/>
  <c r="E2112" i="3"/>
  <c r="E2080" i="3"/>
  <c r="B101" i="4"/>
  <c r="E95" i="4"/>
  <c r="E153" i="7" s="1"/>
  <c r="C95" i="4"/>
  <c r="C153" i="7" s="1"/>
  <c r="G95" i="4"/>
  <c r="G153" i="7" s="1"/>
  <c r="D95" i="4"/>
  <c r="D153" i="7" s="1"/>
  <c r="H95" i="4"/>
  <c r="H153" i="7" s="1"/>
  <c r="F95" i="4"/>
  <c r="F153" i="7" s="1"/>
  <c r="J95" i="4"/>
  <c r="J153" i="7" s="1"/>
  <c r="I95" i="4"/>
  <c r="I153" i="7" s="1"/>
  <c r="E2122" i="3"/>
  <c r="E2127" i="3"/>
  <c r="E2125" i="3"/>
  <c r="B40" i="4" s="1"/>
  <c r="B61" i="7" s="1"/>
  <c r="B13" i="7" s="1"/>
  <c r="E2124" i="3"/>
  <c r="B39" i="4" s="1"/>
  <c r="B59" i="7" s="1"/>
  <c r="E2126" i="3"/>
  <c r="B41" i="4" s="1"/>
  <c r="B60" i="7" s="1"/>
  <c r="E2096" i="3"/>
  <c r="E2123" i="3"/>
  <c r="B38" i="4" s="1"/>
  <c r="B58" i="7" s="1"/>
  <c r="F49" i="8" l="1"/>
  <c r="F51" i="8" s="1"/>
  <c r="H40" i="6"/>
  <c r="J65" i="7"/>
  <c r="F65" i="7"/>
  <c r="M40" i="8"/>
  <c r="M40" i="9"/>
  <c r="M43" i="9" s="1"/>
  <c r="AA151" i="11"/>
  <c r="L20" i="23"/>
  <c r="M43" i="8"/>
  <c r="B65" i="7"/>
  <c r="D25" i="8"/>
  <c r="D32" i="8" s="1"/>
  <c r="B40" i="6"/>
  <c r="D49" i="8"/>
  <c r="F25" i="8"/>
  <c r="F32" i="8" s="1"/>
  <c r="J25" i="8"/>
  <c r="J32" i="8" s="1"/>
  <c r="AA58" i="11"/>
  <c r="AA150" i="11" s="1"/>
  <c r="J1547" i="16"/>
  <c r="L49" i="8"/>
  <c r="L51" i="8" s="1"/>
  <c r="H49" i="8"/>
  <c r="H51" i="8" s="1"/>
  <c r="C48" i="4"/>
  <c r="C64" i="7" s="1"/>
  <c r="J1965" i="17"/>
  <c r="J1964" i="17"/>
  <c r="N10" i="23"/>
  <c r="G48" i="4"/>
  <c r="G64" i="7" s="1"/>
  <c r="C65" i="7"/>
  <c r="K65" i="7"/>
  <c r="G65" i="7"/>
  <c r="K25" i="8"/>
  <c r="K32" i="8" s="1"/>
  <c r="I65" i="7"/>
  <c r="G25" i="8"/>
  <c r="G32" i="8" s="1"/>
  <c r="E65" i="7"/>
  <c r="O66" i="25"/>
  <c r="N66" i="25" s="1"/>
  <c r="Q66" i="25" s="1"/>
  <c r="H55" i="25"/>
  <c r="K55" i="25" s="1"/>
  <c r="I56" i="25" s="1"/>
  <c r="K22" i="6"/>
  <c r="I22" i="6"/>
  <c r="U127" i="11"/>
  <c r="K40" i="6"/>
  <c r="M49" i="8"/>
  <c r="M51" i="8" s="1"/>
  <c r="G40" i="6"/>
  <c r="I49" i="8"/>
  <c r="I51" i="8" s="1"/>
  <c r="C40" i="6"/>
  <c r="E49" i="8"/>
  <c r="M144" i="11"/>
  <c r="M151" i="11" s="1"/>
  <c r="M156" i="11" s="1"/>
  <c r="N141" i="11"/>
  <c r="G22" i="18"/>
  <c r="E32" i="18" s="1"/>
  <c r="G165" i="3" s="1"/>
  <c r="H153" i="11"/>
  <c r="Q133" i="11"/>
  <c r="P135" i="11"/>
  <c r="J150" i="11"/>
  <c r="J157" i="11" s="1"/>
  <c r="J127" i="11"/>
  <c r="J146" i="11" s="1"/>
  <c r="M21" i="11"/>
  <c r="K58" i="11"/>
  <c r="I409" i="16"/>
  <c r="X21" i="11" s="1"/>
  <c r="P63" i="11"/>
  <c r="N125" i="11"/>
  <c r="I1077" i="16"/>
  <c r="X42" i="11" s="1"/>
  <c r="Y42" i="11" s="1"/>
  <c r="Z42" i="11" s="1"/>
  <c r="AB42" i="11" s="1"/>
  <c r="Q12" i="11"/>
  <c r="F2128" i="3"/>
  <c r="C106" i="4"/>
  <c r="F106" i="4"/>
  <c r="H104" i="4"/>
  <c r="I104" i="4"/>
  <c r="E106" i="4"/>
  <c r="D104" i="4"/>
  <c r="G106" i="4"/>
  <c r="K38" i="14"/>
  <c r="K43" i="14" s="1"/>
  <c r="J38" i="14"/>
  <c r="J43" i="14" s="1"/>
  <c r="D48" i="4"/>
  <c r="N2135" i="3"/>
  <c r="I32" i="14"/>
  <c r="I37" i="14" s="1"/>
  <c r="I48" i="4" s="1"/>
  <c r="I64" i="7" s="1"/>
  <c r="E32" i="14"/>
  <c r="E37" i="14" s="1"/>
  <c r="E48" i="4" s="1"/>
  <c r="E64" i="7" s="1"/>
  <c r="H48" i="4"/>
  <c r="G46" i="4"/>
  <c r="J32" i="14"/>
  <c r="J37" i="14" s="1"/>
  <c r="J46" i="4" s="1"/>
  <c r="J63" i="7" s="1"/>
  <c r="K37" i="14"/>
  <c r="K42" i="14" s="1"/>
  <c r="F32" i="14"/>
  <c r="F37" i="14" s="1"/>
  <c r="F48" i="4" s="1"/>
  <c r="F64" i="7" s="1"/>
  <c r="H42" i="14"/>
  <c r="H46" i="14" s="1"/>
  <c r="G42" i="14"/>
  <c r="G46" i="14" s="1"/>
  <c r="D42" i="14"/>
  <c r="D46" i="14" s="1"/>
  <c r="C46" i="4"/>
  <c r="C42" i="14"/>
  <c r="C46" i="14" s="1"/>
  <c r="F2135" i="3"/>
  <c r="M2135" i="3"/>
  <c r="J2135" i="3"/>
  <c r="I2135" i="3"/>
  <c r="B106" i="4"/>
  <c r="E2103" i="3"/>
  <c r="G2135" i="3"/>
  <c r="K2135" i="3"/>
  <c r="L2135" i="3"/>
  <c r="H2135" i="3"/>
  <c r="E2132" i="3"/>
  <c r="B48" i="4" s="1"/>
  <c r="B64" i="7" s="1"/>
  <c r="C80" i="4"/>
  <c r="C72" i="6"/>
  <c r="H80" i="4"/>
  <c r="H72" i="6"/>
  <c r="I40" i="6"/>
  <c r="D80" i="4"/>
  <c r="D72" i="6"/>
  <c r="K80" i="4"/>
  <c r="K72" i="6"/>
  <c r="E40" i="6"/>
  <c r="G80" i="4"/>
  <c r="G72" i="6"/>
  <c r="B82" i="4"/>
  <c r="D41" i="4"/>
  <c r="D60" i="7" s="1"/>
  <c r="C70" i="4"/>
  <c r="C108" i="7" s="1"/>
  <c r="C69" i="4"/>
  <c r="C68" i="4"/>
  <c r="C107" i="7" s="1"/>
  <c r="D67" i="4"/>
  <c r="D106" i="7" s="1"/>
  <c r="D66" i="4"/>
  <c r="D105" i="7" s="1"/>
  <c r="C99" i="4"/>
  <c r="C156" i="7" s="1"/>
  <c r="C98" i="4"/>
  <c r="C97" i="4"/>
  <c r="C155" i="7" s="1"/>
  <c r="C96" i="4"/>
  <c r="C154" i="7" s="1"/>
  <c r="C38" i="4"/>
  <c r="C58" i="7" s="1"/>
  <c r="B37" i="4"/>
  <c r="E2128" i="3"/>
  <c r="C40" i="4"/>
  <c r="C61" i="7" s="1"/>
  <c r="C13" i="7" s="1"/>
  <c r="C39" i="4"/>
  <c r="C59" i="7" s="1"/>
  <c r="B43" i="4" l="1"/>
  <c r="B57" i="7"/>
  <c r="D57" i="8"/>
  <c r="D59" i="8" s="1"/>
  <c r="D51" i="8"/>
  <c r="B109" i="4"/>
  <c r="B111" i="4" s="1"/>
  <c r="B160" i="7"/>
  <c r="AA127" i="11"/>
  <c r="K56" i="6" s="1"/>
  <c r="K26" i="6" s="1"/>
  <c r="N11" i="23"/>
  <c r="N20" i="23" s="1"/>
  <c r="I1964" i="17"/>
  <c r="M10" i="23"/>
  <c r="D109" i="4"/>
  <c r="D159" i="7"/>
  <c r="E109" i="4"/>
  <c r="E160" i="7"/>
  <c r="C109" i="4"/>
  <c r="C160" i="7"/>
  <c r="F109" i="4"/>
  <c r="F160" i="7"/>
  <c r="I109" i="4"/>
  <c r="I159" i="7"/>
  <c r="G109" i="4"/>
  <c r="G160" i="7"/>
  <c r="H109" i="4"/>
  <c r="H159" i="7"/>
  <c r="I1965" i="17"/>
  <c r="M11" i="23"/>
  <c r="U146" i="11"/>
  <c r="L7" i="23" s="1"/>
  <c r="I56" i="6"/>
  <c r="I26" i="6" s="1"/>
  <c r="G51" i="4"/>
  <c r="G63" i="7"/>
  <c r="G169" i="3"/>
  <c r="G29" i="23" s="1"/>
  <c r="G2076" i="3"/>
  <c r="C51" i="4"/>
  <c r="C63" i="7"/>
  <c r="H51" i="4"/>
  <c r="H64" i="7"/>
  <c r="D51" i="4"/>
  <c r="D64" i="7"/>
  <c r="O67" i="25"/>
  <c r="H56" i="25"/>
  <c r="K56" i="25" s="1"/>
  <c r="I57" i="25" s="1"/>
  <c r="E51" i="8"/>
  <c r="P141" i="11"/>
  <c r="N144" i="11"/>
  <c r="N151" i="11" s="1"/>
  <c r="N156" i="11" s="1"/>
  <c r="I15" i="18"/>
  <c r="J15" i="18" s="1"/>
  <c r="I17" i="18"/>
  <c r="J17" i="18" s="1"/>
  <c r="I19" i="18"/>
  <c r="J19" i="18" s="1"/>
  <c r="I16" i="18"/>
  <c r="J16" i="18" s="1"/>
  <c r="I18" i="18"/>
  <c r="J18" i="18" s="1"/>
  <c r="I20" i="18"/>
  <c r="J20" i="18" s="1"/>
  <c r="J52" i="6"/>
  <c r="N21" i="11"/>
  <c r="M58" i="11"/>
  <c r="X58" i="11"/>
  <c r="S133" i="11"/>
  <c r="Q135" i="11"/>
  <c r="Q63" i="11"/>
  <c r="P125" i="11"/>
  <c r="K150" i="11"/>
  <c r="K157" i="11" s="1"/>
  <c r="K127" i="11"/>
  <c r="K146" i="11" s="1"/>
  <c r="J153" i="11"/>
  <c r="S12" i="11"/>
  <c r="K46" i="14"/>
  <c r="K106" i="4"/>
  <c r="K160" i="7" s="1"/>
  <c r="K104" i="4"/>
  <c r="K159" i="7" s="1"/>
  <c r="J104" i="4"/>
  <c r="J159" i="7" s="1"/>
  <c r="J106" i="4"/>
  <c r="J160" i="7" s="1"/>
  <c r="I42" i="14"/>
  <c r="I46" i="14" s="1"/>
  <c r="E42" i="14"/>
  <c r="E46" i="14" s="1"/>
  <c r="F42" i="14"/>
  <c r="F46" i="14" s="1"/>
  <c r="F46" i="4"/>
  <c r="E46" i="4"/>
  <c r="J42" i="14"/>
  <c r="J46" i="14" s="1"/>
  <c r="J48" i="4"/>
  <c r="I46" i="4"/>
  <c r="K48" i="4"/>
  <c r="K64" i="7" s="1"/>
  <c r="K46" i="4"/>
  <c r="K63" i="7" s="1"/>
  <c r="E2135" i="3"/>
  <c r="B51" i="4"/>
  <c r="D8" i="8" s="1"/>
  <c r="B114" i="4"/>
  <c r="B99" i="6" s="1"/>
  <c r="B109" i="6" s="1"/>
  <c r="B85" i="4"/>
  <c r="B69" i="6" s="1"/>
  <c r="B79" i="6" s="1"/>
  <c r="B86" i="6" s="1"/>
  <c r="B90" i="6" s="1"/>
  <c r="C72" i="4"/>
  <c r="C82" i="4" s="1"/>
  <c r="E41" i="4"/>
  <c r="E60" i="7" s="1"/>
  <c r="D70" i="4"/>
  <c r="D108" i="7" s="1"/>
  <c r="D69" i="4"/>
  <c r="D68" i="4"/>
  <c r="D107" i="7" s="1"/>
  <c r="D38" i="4"/>
  <c r="D58" i="7" s="1"/>
  <c r="E66" i="4"/>
  <c r="E105" i="7" s="1"/>
  <c r="C101" i="4"/>
  <c r="C111" i="4" s="1"/>
  <c r="D99" i="4"/>
  <c r="D156" i="7" s="1"/>
  <c r="D98" i="4"/>
  <c r="D97" i="4"/>
  <c r="D155" i="7" s="1"/>
  <c r="D96" i="4"/>
  <c r="D154" i="7" s="1"/>
  <c r="C37" i="4"/>
  <c r="D40" i="4"/>
  <c r="D61" i="7" s="1"/>
  <c r="D13" i="7" s="1"/>
  <c r="AA146" i="11" l="1"/>
  <c r="N7" i="23" s="1"/>
  <c r="E57" i="8"/>
  <c r="F57" i="8" s="1"/>
  <c r="D9" i="8"/>
  <c r="D17" i="8"/>
  <c r="D83" i="8" s="1"/>
  <c r="D16" i="8"/>
  <c r="M20" i="23"/>
  <c r="AA153" i="11"/>
  <c r="U153" i="11"/>
  <c r="G2124" i="3"/>
  <c r="G2080" i="3"/>
  <c r="F51" i="4"/>
  <c r="F63" i="7"/>
  <c r="E51" i="4"/>
  <c r="E63" i="7"/>
  <c r="I51" i="4"/>
  <c r="I63" i="7"/>
  <c r="C43" i="4"/>
  <c r="E8" i="8" s="1"/>
  <c r="C57" i="7"/>
  <c r="J51" i="4"/>
  <c r="J64" i="7"/>
  <c r="N67" i="25"/>
  <c r="O69" i="25"/>
  <c r="H57" i="25"/>
  <c r="K57" i="25" s="1"/>
  <c r="I58" i="25" s="1"/>
  <c r="J22" i="6"/>
  <c r="B53" i="4"/>
  <c r="B56" i="4" s="1"/>
  <c r="D65" i="8" s="1"/>
  <c r="Q141" i="11"/>
  <c r="P144" i="11"/>
  <c r="P151" i="11" s="1"/>
  <c r="P156" i="11" s="1"/>
  <c r="J22" i="18"/>
  <c r="F32" i="18" s="1"/>
  <c r="H165" i="3" s="1"/>
  <c r="K153" i="11"/>
  <c r="M150" i="11"/>
  <c r="M157" i="11" s="1"/>
  <c r="M127" i="11"/>
  <c r="M146" i="11" s="1"/>
  <c r="T133" i="11"/>
  <c r="S135" i="11"/>
  <c r="P21" i="11"/>
  <c r="N58" i="11"/>
  <c r="X127" i="11"/>
  <c r="X150" i="11"/>
  <c r="S63" i="11"/>
  <c r="Q125" i="11"/>
  <c r="T12" i="11"/>
  <c r="K109" i="4"/>
  <c r="J109" i="4"/>
  <c r="K51" i="4"/>
  <c r="C114" i="4"/>
  <c r="C99" i="6" s="1"/>
  <c r="C109" i="6" s="1"/>
  <c r="C116" i="6" s="1"/>
  <c r="C120" i="6" s="1"/>
  <c r="C85" i="4"/>
  <c r="C69" i="6" s="1"/>
  <c r="C79" i="6" s="1"/>
  <c r="C86" i="6" s="1"/>
  <c r="C90" i="6" s="1"/>
  <c r="D72" i="4"/>
  <c r="D82" i="4" s="1"/>
  <c r="E70" i="4"/>
  <c r="E108" i="7" s="1"/>
  <c r="E69" i="4"/>
  <c r="E68" i="4"/>
  <c r="E107" i="7" s="1"/>
  <c r="E38" i="4"/>
  <c r="E58" i="7" s="1"/>
  <c r="E67" i="4"/>
  <c r="E106" i="7" s="1"/>
  <c r="F66" i="4"/>
  <c r="F105" i="7" s="1"/>
  <c r="D101" i="4"/>
  <c r="D111" i="4" s="1"/>
  <c r="E99" i="4"/>
  <c r="E156" i="7" s="1"/>
  <c r="E98" i="4"/>
  <c r="E97" i="4"/>
  <c r="E155" i="7" s="1"/>
  <c r="E96" i="4"/>
  <c r="E154" i="7" s="1"/>
  <c r="D37" i="4"/>
  <c r="E40" i="4"/>
  <c r="E61" i="7" s="1"/>
  <c r="E13" i="7" s="1"/>
  <c r="D33" i="8" l="1"/>
  <c r="D35" i="8" s="1"/>
  <c r="D66" i="8"/>
  <c r="D68" i="8" s="1"/>
  <c r="E59" i="8"/>
  <c r="D19" i="8"/>
  <c r="E17" i="8"/>
  <c r="E83" i="8" s="1"/>
  <c r="X146" i="11"/>
  <c r="M7" i="23" s="1"/>
  <c r="J56" i="6"/>
  <c r="J26" i="6" s="1"/>
  <c r="E9" i="8"/>
  <c r="C53" i="4"/>
  <c r="C56" i="4" s="1"/>
  <c r="H169" i="3"/>
  <c r="H29" i="23" s="1"/>
  <c r="H2076" i="3"/>
  <c r="G2128" i="3"/>
  <c r="D39" i="4"/>
  <c r="D59" i="7" s="1"/>
  <c r="D57" i="7"/>
  <c r="E16" i="8"/>
  <c r="Q67" i="25"/>
  <c r="N69" i="25"/>
  <c r="H58" i="25"/>
  <c r="K58" i="25"/>
  <c r="I59" i="25" s="1"/>
  <c r="G57" i="8"/>
  <c r="F59" i="8"/>
  <c r="B37" i="6"/>
  <c r="B47" i="6" s="1"/>
  <c r="B54" i="6" s="1"/>
  <c r="B58" i="6" s="1"/>
  <c r="D24" i="8"/>
  <c r="S141" i="11"/>
  <c r="Q144" i="11"/>
  <c r="Q151" i="11" s="1"/>
  <c r="Q156" i="11" s="1"/>
  <c r="M153" i="11"/>
  <c r="L17" i="18"/>
  <c r="M17" i="18" s="1"/>
  <c r="L19" i="18"/>
  <c r="M19" i="18" s="1"/>
  <c r="L16" i="18"/>
  <c r="M16" i="18" s="1"/>
  <c r="L15" i="18"/>
  <c r="M15" i="18" s="1"/>
  <c r="L20" i="18"/>
  <c r="M20" i="18" s="1"/>
  <c r="L18" i="18"/>
  <c r="M18" i="18" s="1"/>
  <c r="N127" i="11"/>
  <c r="N146" i="11" s="1"/>
  <c r="N150" i="11"/>
  <c r="N157" i="11" s="1"/>
  <c r="T63" i="11"/>
  <c r="S125" i="11"/>
  <c r="Q21" i="11"/>
  <c r="P58" i="11"/>
  <c r="V133" i="11"/>
  <c r="T135" i="11"/>
  <c r="V12" i="11"/>
  <c r="D114" i="4"/>
  <c r="D99" i="6" s="1"/>
  <c r="D109" i="6" s="1"/>
  <c r="D116" i="6" s="1"/>
  <c r="D120" i="6" s="1"/>
  <c r="D85" i="4"/>
  <c r="D69" i="6" s="1"/>
  <c r="D79" i="6" s="1"/>
  <c r="D86" i="6" s="1"/>
  <c r="D90" i="6" s="1"/>
  <c r="G41" i="4"/>
  <c r="G60" i="7" s="1"/>
  <c r="F70" i="4"/>
  <c r="F108" i="7" s="1"/>
  <c r="F69" i="4"/>
  <c r="F68" i="4"/>
  <c r="F107" i="7" s="1"/>
  <c r="E72" i="4"/>
  <c r="E82" i="4" s="1"/>
  <c r="F67" i="4"/>
  <c r="F106" i="7" s="1"/>
  <c r="F38" i="4"/>
  <c r="F58" i="7" s="1"/>
  <c r="G66" i="4"/>
  <c r="G105" i="7" s="1"/>
  <c r="G67" i="4"/>
  <c r="G106" i="7" s="1"/>
  <c r="F99" i="4"/>
  <c r="F156" i="7" s="1"/>
  <c r="F41" i="4"/>
  <c r="F60" i="7" s="1"/>
  <c r="E101" i="4"/>
  <c r="E111" i="4" s="1"/>
  <c r="F98" i="4"/>
  <c r="F97" i="4"/>
  <c r="F155" i="7" s="1"/>
  <c r="G38" i="4"/>
  <c r="G58" i="7" s="1"/>
  <c r="F96" i="4"/>
  <c r="F154" i="7" s="1"/>
  <c r="E37" i="4"/>
  <c r="F40" i="4"/>
  <c r="F61" i="7" s="1"/>
  <c r="F13" i="7" s="1"/>
  <c r="E33" i="8" l="1"/>
  <c r="E35" i="8" s="1"/>
  <c r="E66" i="8"/>
  <c r="C37" i="6"/>
  <c r="C47" i="6" s="1"/>
  <c r="C54" i="6" s="1"/>
  <c r="C58" i="6" s="1"/>
  <c r="C60" i="6" s="1"/>
  <c r="E65" i="8"/>
  <c r="X153" i="11"/>
  <c r="E19" i="8"/>
  <c r="E24" i="8"/>
  <c r="D43" i="4"/>
  <c r="F9" i="8" s="1"/>
  <c r="H2124" i="3"/>
  <c r="H2080" i="3"/>
  <c r="E57" i="7"/>
  <c r="H59" i="25"/>
  <c r="K59" i="25"/>
  <c r="I60" i="25" s="1"/>
  <c r="H57" i="8"/>
  <c r="G59" i="8"/>
  <c r="S144" i="11"/>
  <c r="S151" i="11" s="1"/>
  <c r="S156" i="11" s="1"/>
  <c r="T141" i="11"/>
  <c r="M22" i="18"/>
  <c r="G32" i="18" s="1"/>
  <c r="I165" i="3" s="1"/>
  <c r="V63" i="11"/>
  <c r="T125" i="11"/>
  <c r="P127" i="11"/>
  <c r="P146" i="11" s="1"/>
  <c r="P150" i="11"/>
  <c r="P157" i="11" s="1"/>
  <c r="W133" i="11"/>
  <c r="V135" i="11"/>
  <c r="S21" i="11"/>
  <c r="Q58" i="11"/>
  <c r="N153" i="11"/>
  <c r="W12" i="11"/>
  <c r="E114" i="4"/>
  <c r="E99" i="6" s="1"/>
  <c r="E109" i="6" s="1"/>
  <c r="E116" i="6" s="1"/>
  <c r="E120" i="6" s="1"/>
  <c r="E85" i="4"/>
  <c r="E69" i="6" s="1"/>
  <c r="E79" i="6" s="1"/>
  <c r="E86" i="6" s="1"/>
  <c r="E90" i="6" s="1"/>
  <c r="F72" i="4"/>
  <c r="F82" i="4" s="1"/>
  <c r="G70" i="4"/>
  <c r="G108" i="7" s="1"/>
  <c r="G69" i="4"/>
  <c r="G68" i="4"/>
  <c r="G107" i="7" s="1"/>
  <c r="H66" i="4"/>
  <c r="H105" i="7" s="1"/>
  <c r="H67" i="4"/>
  <c r="H106" i="7" s="1"/>
  <c r="F101" i="4"/>
  <c r="F111" i="4" s="1"/>
  <c r="G99" i="4"/>
  <c r="G156" i="7" s="1"/>
  <c r="G98" i="4"/>
  <c r="G97" i="4"/>
  <c r="G155" i="7" s="1"/>
  <c r="H38" i="4"/>
  <c r="H58" i="7" s="1"/>
  <c r="G96" i="4"/>
  <c r="G154" i="7" s="1"/>
  <c r="F37" i="4"/>
  <c r="G40" i="4"/>
  <c r="G61" i="7" s="1"/>
  <c r="G13" i="7" s="1"/>
  <c r="E68" i="8" l="1"/>
  <c r="F33" i="8"/>
  <c r="F35" i="8" s="1"/>
  <c r="F66" i="8"/>
  <c r="F17" i="8"/>
  <c r="F83" i="8" s="1"/>
  <c r="D53" i="4"/>
  <c r="D56" i="4" s="1"/>
  <c r="F65" i="8" s="1"/>
  <c r="F8" i="8"/>
  <c r="F16" i="8"/>
  <c r="F57" i="7"/>
  <c r="I169" i="3"/>
  <c r="I29" i="23" s="1"/>
  <c r="I2076" i="3"/>
  <c r="H2128" i="3"/>
  <c r="E39" i="4"/>
  <c r="H60" i="25"/>
  <c r="K60" i="25" s="1"/>
  <c r="I61" i="25" s="1"/>
  <c r="I57" i="8"/>
  <c r="H59" i="8"/>
  <c r="T144" i="11"/>
  <c r="T151" i="11" s="1"/>
  <c r="T156" i="11" s="1"/>
  <c r="V141" i="11"/>
  <c r="O17" i="18"/>
  <c r="P17" i="18" s="1"/>
  <c r="O16" i="18"/>
  <c r="P16" i="18" s="1"/>
  <c r="O19" i="18"/>
  <c r="P19" i="18" s="1"/>
  <c r="O15" i="18"/>
  <c r="P15" i="18" s="1"/>
  <c r="O20" i="18"/>
  <c r="P20" i="18" s="1"/>
  <c r="O18" i="18"/>
  <c r="P18" i="18" s="1"/>
  <c r="P153" i="11"/>
  <c r="T21" i="11"/>
  <c r="S58" i="11"/>
  <c r="Y133" i="11"/>
  <c r="W135" i="11"/>
  <c r="W63" i="11"/>
  <c r="V125" i="11"/>
  <c r="Q150" i="11"/>
  <c r="Q157" i="11" s="1"/>
  <c r="Q127" i="11"/>
  <c r="Q146" i="11" s="1"/>
  <c r="Y12" i="11"/>
  <c r="F114" i="4"/>
  <c r="F99" i="6" s="1"/>
  <c r="F109" i="6" s="1"/>
  <c r="F116" i="6" s="1"/>
  <c r="F120" i="6" s="1"/>
  <c r="F85" i="4"/>
  <c r="F69" i="6" s="1"/>
  <c r="F79" i="6" s="1"/>
  <c r="F86" i="6" s="1"/>
  <c r="F90" i="6" s="1"/>
  <c r="G72" i="4"/>
  <c r="G82" i="4" s="1"/>
  <c r="H70" i="4"/>
  <c r="H108" i="7" s="1"/>
  <c r="H41" i="4"/>
  <c r="H60" i="7" s="1"/>
  <c r="H69" i="4"/>
  <c r="H68" i="4"/>
  <c r="H107" i="7" s="1"/>
  <c r="I66" i="4"/>
  <c r="I105" i="7" s="1"/>
  <c r="I67" i="4"/>
  <c r="I106" i="7" s="1"/>
  <c r="G101" i="4"/>
  <c r="G111" i="4" s="1"/>
  <c r="H99" i="4"/>
  <c r="H156" i="7" s="1"/>
  <c r="H98" i="4"/>
  <c r="H97" i="4"/>
  <c r="H155" i="7" s="1"/>
  <c r="I38" i="4"/>
  <c r="I58" i="7" s="1"/>
  <c r="H96" i="4"/>
  <c r="H154" i="7" s="1"/>
  <c r="G37" i="4"/>
  <c r="H40" i="4"/>
  <c r="H61" i="7" s="1"/>
  <c r="H13" i="7" s="1"/>
  <c r="F68" i="8" l="1"/>
  <c r="F19" i="8"/>
  <c r="D37" i="6"/>
  <c r="D47" i="6" s="1"/>
  <c r="D54" i="6" s="1"/>
  <c r="D58" i="6" s="1"/>
  <c r="D60" i="6" s="1"/>
  <c r="F24" i="8"/>
  <c r="I2124" i="3"/>
  <c r="I2080" i="3"/>
  <c r="E59" i="7"/>
  <c r="E43" i="4"/>
  <c r="G57" i="7"/>
  <c r="H61" i="25"/>
  <c r="K61" i="25"/>
  <c r="I62" i="25" s="1"/>
  <c r="J57" i="8"/>
  <c r="I59" i="8"/>
  <c r="W141" i="11"/>
  <c r="V144" i="11"/>
  <c r="V151" i="11" s="1"/>
  <c r="V156" i="11" s="1"/>
  <c r="P22" i="18"/>
  <c r="H32" i="18" s="1"/>
  <c r="J165" i="3" s="1"/>
  <c r="Z133" i="11"/>
  <c r="Y135" i="11"/>
  <c r="S127" i="11"/>
  <c r="S146" i="11" s="1"/>
  <c r="S150" i="11"/>
  <c r="S157" i="11" s="1"/>
  <c r="Y63" i="11"/>
  <c r="W125" i="11"/>
  <c r="V21" i="11"/>
  <c r="T58" i="11"/>
  <c r="Q153" i="11"/>
  <c r="Z12" i="11"/>
  <c r="G114" i="4"/>
  <c r="G99" i="6" s="1"/>
  <c r="G109" i="6" s="1"/>
  <c r="G116" i="6" s="1"/>
  <c r="G120" i="6" s="1"/>
  <c r="G85" i="4"/>
  <c r="G69" i="6" s="1"/>
  <c r="G79" i="6" s="1"/>
  <c r="G86" i="6" s="1"/>
  <c r="G90" i="6" s="1"/>
  <c r="J41" i="4"/>
  <c r="J60" i="7" s="1"/>
  <c r="I70" i="4"/>
  <c r="I108" i="7" s="1"/>
  <c r="I69" i="4"/>
  <c r="H72" i="4"/>
  <c r="H82" i="4" s="1"/>
  <c r="I68" i="4"/>
  <c r="I107" i="7" s="1"/>
  <c r="K66" i="4"/>
  <c r="K105" i="7" s="1"/>
  <c r="J66" i="4"/>
  <c r="J105" i="7" s="1"/>
  <c r="J67" i="4"/>
  <c r="J106" i="7" s="1"/>
  <c r="I99" i="4"/>
  <c r="I156" i="7" s="1"/>
  <c r="I41" i="4"/>
  <c r="I60" i="7" s="1"/>
  <c r="H101" i="4"/>
  <c r="H111" i="4" s="1"/>
  <c r="I98" i="4"/>
  <c r="I97" i="4"/>
  <c r="I155" i="7" s="1"/>
  <c r="J38" i="4"/>
  <c r="J58" i="7" s="1"/>
  <c r="I96" i="4"/>
  <c r="I154" i="7" s="1"/>
  <c r="H37" i="4"/>
  <c r="I40" i="4"/>
  <c r="I61" i="7" s="1"/>
  <c r="I13" i="7" s="1"/>
  <c r="G9" i="8" l="1"/>
  <c r="G17" i="8"/>
  <c r="G83" i="8" s="1"/>
  <c r="E53" i="4"/>
  <c r="E56" i="4" s="1"/>
  <c r="G65" i="8" s="1"/>
  <c r="G16" i="8"/>
  <c r="G8" i="8"/>
  <c r="H57" i="7"/>
  <c r="J169" i="3"/>
  <c r="J29" i="23" s="1"/>
  <c r="J2076" i="3"/>
  <c r="I2128" i="3"/>
  <c r="F39" i="4"/>
  <c r="H62" i="25"/>
  <c r="K62" i="25" s="1"/>
  <c r="I63" i="25" s="1"/>
  <c r="K57" i="8"/>
  <c r="J59" i="8"/>
  <c r="Y141" i="11"/>
  <c r="W144" i="11"/>
  <c r="W151" i="11" s="1"/>
  <c r="W156" i="11" s="1"/>
  <c r="R15" i="18"/>
  <c r="S15" i="18" s="1"/>
  <c r="R17" i="18"/>
  <c r="S17" i="18" s="1"/>
  <c r="R19" i="18"/>
  <c r="S19" i="18" s="1"/>
  <c r="R16" i="18"/>
  <c r="S16" i="18" s="1"/>
  <c r="R18" i="18"/>
  <c r="S18" i="18" s="1"/>
  <c r="R20" i="18"/>
  <c r="S20" i="18" s="1"/>
  <c r="S153" i="11"/>
  <c r="W21" i="11"/>
  <c r="V58" i="11"/>
  <c r="Z63" i="11"/>
  <c r="Y125" i="11"/>
  <c r="T150" i="11"/>
  <c r="T157" i="11" s="1"/>
  <c r="T127" i="11"/>
  <c r="T146" i="11" s="1"/>
  <c r="AB133" i="11"/>
  <c r="Z135" i="11"/>
  <c r="AB12" i="11"/>
  <c r="I72" i="4"/>
  <c r="I82" i="4" s="1"/>
  <c r="H114" i="4"/>
  <c r="H99" i="6" s="1"/>
  <c r="H109" i="6" s="1"/>
  <c r="H116" i="6" s="1"/>
  <c r="H120" i="6" s="1"/>
  <c r="H85" i="4"/>
  <c r="H69" i="6" s="1"/>
  <c r="H79" i="6" s="1"/>
  <c r="H86" i="6" s="1"/>
  <c r="H90" i="6" s="1"/>
  <c r="K70" i="4"/>
  <c r="K108" i="7" s="1"/>
  <c r="J70" i="4"/>
  <c r="J108" i="7" s="1"/>
  <c r="J69" i="4"/>
  <c r="K69" i="4"/>
  <c r="J68" i="4"/>
  <c r="J107" i="7" s="1"/>
  <c r="K68" i="4"/>
  <c r="K107" i="7" s="1"/>
  <c r="K67" i="4"/>
  <c r="K106" i="7" s="1"/>
  <c r="I101" i="4"/>
  <c r="I111" i="4" s="1"/>
  <c r="J99" i="4"/>
  <c r="J156" i="7" s="1"/>
  <c r="K98" i="4"/>
  <c r="J98" i="4"/>
  <c r="K97" i="4"/>
  <c r="K155" i="7" s="1"/>
  <c r="J97" i="4"/>
  <c r="J155" i="7" s="1"/>
  <c r="J96" i="4"/>
  <c r="J154" i="7" s="1"/>
  <c r="I37" i="4"/>
  <c r="J40" i="4"/>
  <c r="J61" i="7" s="1"/>
  <c r="J13" i="7" s="1"/>
  <c r="G33" i="8" l="1"/>
  <c r="G35" i="8" s="1"/>
  <c r="G66" i="8"/>
  <c r="G68" i="8" s="1"/>
  <c r="G19" i="8"/>
  <c r="F59" i="7"/>
  <c r="F43" i="4"/>
  <c r="G24" i="8"/>
  <c r="E37" i="6"/>
  <c r="E47" i="6" s="1"/>
  <c r="E54" i="6" s="1"/>
  <c r="E58" i="6" s="1"/>
  <c r="E60" i="6" s="1"/>
  <c r="I57" i="7"/>
  <c r="J2124" i="3"/>
  <c r="J2080" i="3"/>
  <c r="H63" i="25"/>
  <c r="K63" i="25" s="1"/>
  <c r="I64" i="25" s="1"/>
  <c r="T153" i="11"/>
  <c r="L57" i="8"/>
  <c r="K59" i="8"/>
  <c r="Z141" i="11"/>
  <c r="Y144" i="11"/>
  <c r="Y151" i="11" s="1"/>
  <c r="Y156" i="11" s="1"/>
  <c r="AB135" i="11"/>
  <c r="S22" i="18"/>
  <c r="I32" i="18" s="1"/>
  <c r="K165" i="3" s="1"/>
  <c r="AB63" i="11"/>
  <c r="AB125" i="11" s="1"/>
  <c r="Z125" i="11"/>
  <c r="V127" i="11"/>
  <c r="V146" i="11" s="1"/>
  <c r="V150" i="11"/>
  <c r="V157" i="11" s="1"/>
  <c r="Y21" i="11"/>
  <c r="W58" i="11"/>
  <c r="I85" i="4"/>
  <c r="I69" i="6" s="1"/>
  <c r="I79" i="6" s="1"/>
  <c r="I86" i="6" s="1"/>
  <c r="I90" i="6" s="1"/>
  <c r="I114" i="4"/>
  <c r="I99" i="6" s="1"/>
  <c r="I109" i="6" s="1"/>
  <c r="I116" i="6" s="1"/>
  <c r="I120" i="6" s="1"/>
  <c r="J72" i="4"/>
  <c r="J82" i="4" s="1"/>
  <c r="K72" i="4"/>
  <c r="K82" i="4" s="1"/>
  <c r="J101" i="4"/>
  <c r="J111" i="4" s="1"/>
  <c r="K99" i="4"/>
  <c r="K156" i="7" s="1"/>
  <c r="K41" i="4"/>
  <c r="K60" i="7" s="1"/>
  <c r="K40" i="4"/>
  <c r="K61" i="7" s="1"/>
  <c r="K13" i="7" s="1"/>
  <c r="K96" i="4"/>
  <c r="K154" i="7" s="1"/>
  <c r="K38" i="4"/>
  <c r="K58" i="7" s="1"/>
  <c r="J37" i="4"/>
  <c r="K37" i="4"/>
  <c r="K57" i="7" s="1"/>
  <c r="K169" i="3" l="1"/>
  <c r="K29" i="23" s="1"/>
  <c r="K2076" i="3"/>
  <c r="J2128" i="3"/>
  <c r="G39" i="4"/>
  <c r="H16" i="8"/>
  <c r="H17" i="8"/>
  <c r="H83" i="8" s="1"/>
  <c r="F53" i="4"/>
  <c r="F56" i="4" s="1"/>
  <c r="H65" i="8" s="1"/>
  <c r="H8" i="8"/>
  <c r="H9" i="8"/>
  <c r="J57" i="7"/>
  <c r="H64" i="25"/>
  <c r="K64" i="25"/>
  <c r="I65" i="25" s="1"/>
  <c r="M57" i="8"/>
  <c r="M59" i="8" s="1"/>
  <c r="L59" i="8"/>
  <c r="AB141" i="11"/>
  <c r="AB144" i="11" s="1"/>
  <c r="AB151" i="11" s="1"/>
  <c r="AB156" i="11" s="1"/>
  <c r="Z144" i="11"/>
  <c r="Z151" i="11" s="1"/>
  <c r="Z156" i="11" s="1"/>
  <c r="U15" i="18"/>
  <c r="V15" i="18" s="1"/>
  <c r="U17" i="18"/>
  <c r="V17" i="18" s="1"/>
  <c r="U19" i="18"/>
  <c r="V19" i="18" s="1"/>
  <c r="U16" i="18"/>
  <c r="V16" i="18" s="1"/>
  <c r="U20" i="18"/>
  <c r="V20" i="18" s="1"/>
  <c r="U18" i="18"/>
  <c r="V18" i="18" s="1"/>
  <c r="V153" i="11"/>
  <c r="Z21" i="11"/>
  <c r="Y58" i="11"/>
  <c r="W127" i="11"/>
  <c r="W146" i="11" s="1"/>
  <c r="W150" i="11"/>
  <c r="W157" i="11" s="1"/>
  <c r="K101" i="4"/>
  <c r="K111" i="4" s="1"/>
  <c r="K114" i="4" s="1"/>
  <c r="K99" i="6" s="1"/>
  <c r="J114" i="4"/>
  <c r="J99" i="6" s="1"/>
  <c r="J109" i="6" s="1"/>
  <c r="J116" i="6" s="1"/>
  <c r="J120" i="6" s="1"/>
  <c r="K85" i="4"/>
  <c r="K69" i="6" s="1"/>
  <c r="K79" i="6" s="1"/>
  <c r="K86" i="6" s="1"/>
  <c r="K90" i="6" s="1"/>
  <c r="J85" i="4"/>
  <c r="J69" i="6" s="1"/>
  <c r="J79" i="6" s="1"/>
  <c r="J86" i="6" s="1"/>
  <c r="J90" i="6" s="1"/>
  <c r="H33" i="8" l="1"/>
  <c r="H35" i="8" s="1"/>
  <c r="H66" i="8"/>
  <c r="H68" i="8" s="1"/>
  <c r="G59" i="7"/>
  <c r="G43" i="4"/>
  <c r="F37" i="6"/>
  <c r="F47" i="6" s="1"/>
  <c r="F54" i="6" s="1"/>
  <c r="F58" i="6" s="1"/>
  <c r="F60" i="6" s="1"/>
  <c r="H24" i="8"/>
  <c r="K2124" i="3"/>
  <c r="K2080" i="3"/>
  <c r="H19" i="8"/>
  <c r="W153" i="11"/>
  <c r="V22" i="18"/>
  <c r="J32" i="18" s="1"/>
  <c r="L165" i="3" s="1"/>
  <c r="Y127" i="11"/>
  <c r="Y146" i="11" s="1"/>
  <c r="Y150" i="11"/>
  <c r="Y157" i="11" s="1"/>
  <c r="AB21" i="11"/>
  <c r="AB58" i="11" s="1"/>
  <c r="Z58" i="11"/>
  <c r="K109" i="6"/>
  <c r="K116" i="6" s="1"/>
  <c r="K120" i="6" s="1"/>
  <c r="G53" i="4" l="1"/>
  <c r="G56" i="4" s="1"/>
  <c r="I65" i="8" s="1"/>
  <c r="I8" i="8"/>
  <c r="I16" i="8"/>
  <c r="I17" i="8"/>
  <c r="I83" i="8" s="1"/>
  <c r="I9" i="8"/>
  <c r="L169" i="3"/>
  <c r="L29" i="23" s="1"/>
  <c r="L2076" i="3"/>
  <c r="K2128" i="3"/>
  <c r="H39" i="4"/>
  <c r="H10" i="4" s="1"/>
  <c r="H65" i="25"/>
  <c r="I67" i="25"/>
  <c r="X15" i="18"/>
  <c r="Y15" i="18" s="1"/>
  <c r="X17" i="18"/>
  <c r="Y17" i="18" s="1"/>
  <c r="X19" i="18"/>
  <c r="Y19" i="18" s="1"/>
  <c r="X16" i="18"/>
  <c r="Y16" i="18" s="1"/>
  <c r="X20" i="18"/>
  <c r="Y20" i="18" s="1"/>
  <c r="X18" i="18"/>
  <c r="Y18" i="18" s="1"/>
  <c r="Z127" i="11"/>
  <c r="Z146" i="11" s="1"/>
  <c r="Z150" i="11"/>
  <c r="Z157" i="11" s="1"/>
  <c r="AB150" i="11"/>
  <c r="AB157" i="11" s="1"/>
  <c r="AB127" i="11"/>
  <c r="AB146" i="11" s="1"/>
  <c r="Y153" i="11"/>
  <c r="K41" i="7"/>
  <c r="J41" i="7"/>
  <c r="I41" i="7"/>
  <c r="H41" i="7"/>
  <c r="G41" i="7"/>
  <c r="F41" i="7"/>
  <c r="E41" i="7"/>
  <c r="D41" i="7"/>
  <c r="C41" i="7"/>
  <c r="B41" i="7"/>
  <c r="K40" i="7"/>
  <c r="J40" i="7"/>
  <c r="I40" i="7"/>
  <c r="H40" i="7"/>
  <c r="G40" i="7"/>
  <c r="F40" i="7"/>
  <c r="E40" i="7"/>
  <c r="D40" i="7"/>
  <c r="C40" i="7"/>
  <c r="B40" i="7"/>
  <c r="K38" i="7"/>
  <c r="J38" i="7"/>
  <c r="I38" i="7"/>
  <c r="H38" i="7"/>
  <c r="G38" i="7"/>
  <c r="F38" i="7"/>
  <c r="E38" i="7"/>
  <c r="D38" i="7"/>
  <c r="C38" i="7"/>
  <c r="B38" i="7"/>
  <c r="K37" i="7"/>
  <c r="J37" i="7"/>
  <c r="I37" i="7"/>
  <c r="H37" i="7"/>
  <c r="G37" i="7"/>
  <c r="F37" i="7"/>
  <c r="E37" i="7"/>
  <c r="D37" i="7"/>
  <c r="C37" i="7"/>
  <c r="B37"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K28" i="7"/>
  <c r="J28" i="7"/>
  <c r="I28" i="7"/>
  <c r="H28" i="7"/>
  <c r="G28" i="7"/>
  <c r="F28" i="7"/>
  <c r="E28" i="7"/>
  <c r="D28" i="7"/>
  <c r="C28" i="7"/>
  <c r="B28"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2" i="7"/>
  <c r="J12" i="7"/>
  <c r="I12" i="7"/>
  <c r="H12" i="7"/>
  <c r="G12" i="7"/>
  <c r="F12" i="7"/>
  <c r="E12" i="7"/>
  <c r="D12" i="7"/>
  <c r="C12" i="7"/>
  <c r="B12" i="7"/>
  <c r="G11" i="7"/>
  <c r="F11" i="7"/>
  <c r="E11" i="7"/>
  <c r="D11" i="7"/>
  <c r="C11" i="7"/>
  <c r="B11" i="7"/>
  <c r="K10" i="7"/>
  <c r="J10" i="7"/>
  <c r="I10" i="7"/>
  <c r="H10" i="7"/>
  <c r="G10" i="7"/>
  <c r="F10" i="7"/>
  <c r="E10" i="7"/>
  <c r="D10" i="7"/>
  <c r="C10" i="7"/>
  <c r="B10" i="7"/>
  <c r="K9" i="7"/>
  <c r="J9" i="7"/>
  <c r="I9" i="7"/>
  <c r="H9" i="7"/>
  <c r="G9" i="7"/>
  <c r="F9" i="7"/>
  <c r="E9" i="7"/>
  <c r="D9" i="7"/>
  <c r="C9" i="7"/>
  <c r="B9" i="7"/>
  <c r="K186" i="7"/>
  <c r="J186" i="7"/>
  <c r="I186" i="7"/>
  <c r="H186" i="7"/>
  <c r="G186" i="7"/>
  <c r="F186" i="7"/>
  <c r="E186" i="7"/>
  <c r="D186" i="7"/>
  <c r="C186" i="7"/>
  <c r="B186" i="7"/>
  <c r="K177" i="7"/>
  <c r="J177" i="7"/>
  <c r="I177" i="7"/>
  <c r="H177" i="7"/>
  <c r="G177" i="7"/>
  <c r="F177" i="7"/>
  <c r="E177" i="7"/>
  <c r="D177" i="7"/>
  <c r="C177" i="7"/>
  <c r="K163" i="7"/>
  <c r="J163" i="7"/>
  <c r="I163" i="7"/>
  <c r="H163" i="7"/>
  <c r="G163" i="7"/>
  <c r="F163" i="7"/>
  <c r="E163" i="7"/>
  <c r="D163" i="7"/>
  <c r="C163" i="7"/>
  <c r="B163" i="7"/>
  <c r="K138" i="7"/>
  <c r="J138" i="7"/>
  <c r="I138" i="7"/>
  <c r="H138" i="7"/>
  <c r="G138" i="7"/>
  <c r="F138" i="7"/>
  <c r="E138" i="7"/>
  <c r="D138" i="7"/>
  <c r="C138" i="7"/>
  <c r="B138" i="7"/>
  <c r="K129" i="7"/>
  <c r="J129" i="7"/>
  <c r="I129" i="7"/>
  <c r="H129" i="7"/>
  <c r="G129" i="7"/>
  <c r="F129" i="7"/>
  <c r="E129" i="7"/>
  <c r="D129" i="7"/>
  <c r="C129" i="7"/>
  <c r="B129" i="7"/>
  <c r="K115" i="7"/>
  <c r="J115" i="7"/>
  <c r="I115" i="7"/>
  <c r="H115" i="7"/>
  <c r="G115" i="7"/>
  <c r="F115" i="7"/>
  <c r="E115" i="7"/>
  <c r="D115" i="7"/>
  <c r="C115" i="7"/>
  <c r="B115" i="7"/>
  <c r="K90" i="7"/>
  <c r="J90" i="7"/>
  <c r="I90" i="7"/>
  <c r="H90" i="7"/>
  <c r="G90" i="7"/>
  <c r="F90" i="7"/>
  <c r="E90" i="7"/>
  <c r="D90" i="7"/>
  <c r="C90" i="7"/>
  <c r="B90" i="7"/>
  <c r="K81" i="7"/>
  <c r="J81" i="7"/>
  <c r="I81" i="7"/>
  <c r="H81" i="7"/>
  <c r="G81" i="7"/>
  <c r="F81" i="7"/>
  <c r="E81" i="7"/>
  <c r="D81" i="7"/>
  <c r="C81" i="7"/>
  <c r="B81" i="7"/>
  <c r="G67" i="7"/>
  <c r="F67" i="7"/>
  <c r="E67" i="7"/>
  <c r="D67" i="7"/>
  <c r="C67" i="7"/>
  <c r="B67" i="7"/>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N22" i="23"/>
  <c r="M22" i="23"/>
  <c r="L22" i="23"/>
  <c r="K22" i="23"/>
  <c r="J22" i="23"/>
  <c r="I22" i="23"/>
  <c r="H22" i="23"/>
  <c r="G22" i="23"/>
  <c r="K10" i="6"/>
  <c r="J10" i="6"/>
  <c r="I10" i="6"/>
  <c r="H10" i="6"/>
  <c r="G10" i="6"/>
  <c r="F10" i="6"/>
  <c r="E10" i="6"/>
  <c r="D10" i="6"/>
  <c r="C10" i="6"/>
  <c r="B10" i="6"/>
  <c r="F7" i="6"/>
  <c r="E7" i="6"/>
  <c r="D7" i="6"/>
  <c r="C7" i="6"/>
  <c r="B7" i="6"/>
  <c r="K21" i="4"/>
  <c r="J21" i="4"/>
  <c r="I21" i="4"/>
  <c r="H21" i="4"/>
  <c r="G21" i="4"/>
  <c r="F21" i="4"/>
  <c r="E21" i="4"/>
  <c r="D21" i="4"/>
  <c r="C21" i="4"/>
  <c r="B21" i="4"/>
  <c r="K20" i="4"/>
  <c r="J20" i="4"/>
  <c r="I20" i="4"/>
  <c r="H20" i="4"/>
  <c r="G20" i="4"/>
  <c r="F20" i="4"/>
  <c r="E20" i="4"/>
  <c r="D20" i="4"/>
  <c r="C20" i="4"/>
  <c r="B20" i="4"/>
  <c r="D49" i="9" s="1"/>
  <c r="K19" i="4"/>
  <c r="J19" i="4"/>
  <c r="I19" i="4"/>
  <c r="H19" i="4"/>
  <c r="G19" i="4"/>
  <c r="F19" i="4"/>
  <c r="E19" i="4"/>
  <c r="D19" i="4"/>
  <c r="C19" i="4"/>
  <c r="B19" i="4"/>
  <c r="K18" i="4"/>
  <c r="J18" i="4"/>
  <c r="I18" i="4"/>
  <c r="H18" i="4"/>
  <c r="G18" i="4"/>
  <c r="F18" i="4"/>
  <c r="E18" i="4"/>
  <c r="D18" i="4"/>
  <c r="C18" i="4"/>
  <c r="B18" i="4"/>
  <c r="D25" i="9" s="1"/>
  <c r="D32" i="9" s="1"/>
  <c r="K17" i="4"/>
  <c r="J17" i="4"/>
  <c r="I17" i="4"/>
  <c r="H17" i="4"/>
  <c r="G17" i="4"/>
  <c r="F17" i="4"/>
  <c r="E17" i="4"/>
  <c r="D17" i="4"/>
  <c r="C17" i="4"/>
  <c r="B17" i="4"/>
  <c r="K13" i="4"/>
  <c r="N41" i="23" s="1"/>
  <c r="N45" i="23" s="1"/>
  <c r="J13" i="4"/>
  <c r="M41" i="23" s="1"/>
  <c r="M45" i="23" s="1"/>
  <c r="I13" i="4"/>
  <c r="L41" i="23" s="1"/>
  <c r="L45" i="23" s="1"/>
  <c r="H13" i="4"/>
  <c r="K41" i="23" s="1"/>
  <c r="K45" i="23" s="1"/>
  <c r="G13" i="4"/>
  <c r="J41" i="23" s="1"/>
  <c r="J45" i="23" s="1"/>
  <c r="F13" i="4"/>
  <c r="I41" i="23" s="1"/>
  <c r="I45" i="23" s="1"/>
  <c r="E13" i="4"/>
  <c r="D13" i="4"/>
  <c r="C13" i="4"/>
  <c r="B13" i="4"/>
  <c r="K12" i="4"/>
  <c r="J12" i="4"/>
  <c r="I12" i="4"/>
  <c r="H12" i="4"/>
  <c r="G12" i="4"/>
  <c r="F12" i="4"/>
  <c r="E12" i="4"/>
  <c r="D12" i="4"/>
  <c r="C12" i="4"/>
  <c r="B12" i="4"/>
  <c r="K11" i="4"/>
  <c r="J11" i="4"/>
  <c r="I11" i="4"/>
  <c r="H11" i="4"/>
  <c r="G11" i="4"/>
  <c r="F11" i="4"/>
  <c r="E11" i="4"/>
  <c r="D11" i="4"/>
  <c r="C11" i="4"/>
  <c r="B11" i="4"/>
  <c r="G10" i="4"/>
  <c r="F10" i="4"/>
  <c r="E10" i="4"/>
  <c r="D10" i="4"/>
  <c r="C10" i="4"/>
  <c r="B10" i="4"/>
  <c r="K9" i="4"/>
  <c r="J9" i="4"/>
  <c r="I9" i="4"/>
  <c r="H9" i="4"/>
  <c r="G9" i="4"/>
  <c r="F9" i="4"/>
  <c r="E9" i="4"/>
  <c r="D9" i="4"/>
  <c r="C9" i="4"/>
  <c r="B9" i="4"/>
  <c r="K8" i="4"/>
  <c r="J8" i="4"/>
  <c r="I8" i="4"/>
  <c r="H8" i="4"/>
  <c r="G8" i="4"/>
  <c r="F8" i="4"/>
  <c r="E8" i="4"/>
  <c r="D8" i="4"/>
  <c r="C8" i="4"/>
  <c r="B8" i="4"/>
  <c r="I33" i="8" l="1"/>
  <c r="I35" i="8" s="1"/>
  <c r="I66" i="8"/>
  <c r="I68" i="8" s="1"/>
  <c r="D51" i="9"/>
  <c r="D57" i="9"/>
  <c r="D59" i="9" s="1"/>
  <c r="F41" i="23"/>
  <c r="F45" i="23" s="1"/>
  <c r="G41" i="23"/>
  <c r="G45" i="23" s="1"/>
  <c r="H41" i="23"/>
  <c r="H45" i="23" s="1"/>
  <c r="K25" i="9"/>
  <c r="K32" i="9" s="1"/>
  <c r="L62" i="23"/>
  <c r="L67" i="23" s="1"/>
  <c r="E25" i="9"/>
  <c r="E32" i="9" s="1"/>
  <c r="F62" i="23"/>
  <c r="F67" i="23" s="1"/>
  <c r="I25" i="9"/>
  <c r="I32" i="9" s="1"/>
  <c r="J62" i="23"/>
  <c r="J67" i="23" s="1"/>
  <c r="M25" i="9"/>
  <c r="M32" i="9" s="1"/>
  <c r="N62" i="23"/>
  <c r="N67" i="23" s="1"/>
  <c r="F25" i="9"/>
  <c r="F32" i="9" s="1"/>
  <c r="G62" i="23"/>
  <c r="G67" i="23" s="1"/>
  <c r="G25" i="9"/>
  <c r="G32" i="9" s="1"/>
  <c r="H62" i="23"/>
  <c r="H67" i="23" s="1"/>
  <c r="J25" i="9"/>
  <c r="J32" i="9" s="1"/>
  <c r="K62" i="23"/>
  <c r="K67" i="23" s="1"/>
  <c r="H25" i="9"/>
  <c r="H32" i="9" s="1"/>
  <c r="I62" i="23"/>
  <c r="I67" i="23" s="1"/>
  <c r="L25" i="9"/>
  <c r="L32" i="9" s="1"/>
  <c r="M62" i="23"/>
  <c r="M67" i="23" s="1"/>
  <c r="I19" i="8"/>
  <c r="G27" i="23"/>
  <c r="G31" i="23" s="1"/>
  <c r="L2124" i="3"/>
  <c r="L2080" i="3"/>
  <c r="I27" i="23"/>
  <c r="I31" i="23" s="1"/>
  <c r="F27" i="23"/>
  <c r="F31" i="23" s="1"/>
  <c r="H59" i="7"/>
  <c r="H43" i="4"/>
  <c r="I24" i="8"/>
  <c r="G37" i="6"/>
  <c r="H67" i="25"/>
  <c r="K65" i="25"/>
  <c r="D42" i="7"/>
  <c r="H42" i="7"/>
  <c r="F42" i="7"/>
  <c r="E42" i="7"/>
  <c r="I42" i="7"/>
  <c r="C42" i="7"/>
  <c r="K42" i="7"/>
  <c r="G33" i="7"/>
  <c r="J42" i="7"/>
  <c r="D33" i="7"/>
  <c r="H33" i="7"/>
  <c r="E33" i="7"/>
  <c r="I33" i="7"/>
  <c r="C19" i="7"/>
  <c r="F33" i="7"/>
  <c r="J33" i="7"/>
  <c r="B42" i="7"/>
  <c r="C33" i="7"/>
  <c r="K33" i="7"/>
  <c r="G42" i="7"/>
  <c r="G19" i="7"/>
  <c r="D19" i="7"/>
  <c r="F19" i="7"/>
  <c r="E19" i="7"/>
  <c r="B19" i="7"/>
  <c r="M49" i="9"/>
  <c r="M51" i="9" s="1"/>
  <c r="N54" i="23"/>
  <c r="L49" i="9"/>
  <c r="L51" i="9" s="1"/>
  <c r="M54" i="23"/>
  <c r="K49" i="9"/>
  <c r="K51" i="9" s="1"/>
  <c r="L54" i="23"/>
  <c r="K27" i="23"/>
  <c r="K31" i="23" s="1"/>
  <c r="J49" i="9"/>
  <c r="J51" i="9" s="1"/>
  <c r="K54" i="23"/>
  <c r="I49" i="9"/>
  <c r="I51" i="9" s="1"/>
  <c r="J54" i="23"/>
  <c r="J27" i="23"/>
  <c r="J31" i="23" s="1"/>
  <c r="H49" i="9"/>
  <c r="H51" i="9" s="1"/>
  <c r="I54" i="23"/>
  <c r="H27" i="23"/>
  <c r="H31" i="23" s="1"/>
  <c r="G49" i="9"/>
  <c r="G51" i="9" s="1"/>
  <c r="H54" i="23"/>
  <c r="F49" i="9"/>
  <c r="F51" i="9" s="1"/>
  <c r="G54" i="23"/>
  <c r="E49" i="9"/>
  <c r="E51" i="9" s="1"/>
  <c r="F54" i="23"/>
  <c r="F22" i="23"/>
  <c r="F188" i="7"/>
  <c r="C188" i="7"/>
  <c r="G188" i="7"/>
  <c r="K188" i="7"/>
  <c r="D140" i="7"/>
  <c r="D92" i="7"/>
  <c r="AA19" i="18"/>
  <c r="AB19" i="18" s="1"/>
  <c r="AA16" i="18"/>
  <c r="AB16" i="18" s="1"/>
  <c r="AA15" i="18"/>
  <c r="AB15" i="18" s="1"/>
  <c r="AA17" i="18"/>
  <c r="AB17" i="18" s="1"/>
  <c r="AA20" i="18"/>
  <c r="AB20" i="18" s="1"/>
  <c r="AA18" i="18"/>
  <c r="AB18" i="18" s="1"/>
  <c r="Y22" i="18"/>
  <c r="K32" i="18" s="1"/>
  <c r="M165" i="3" s="1"/>
  <c r="AB153" i="11"/>
  <c r="Z153" i="11"/>
  <c r="D188" i="7"/>
  <c r="H188" i="7"/>
  <c r="F140" i="7"/>
  <c r="J140" i="7"/>
  <c r="E140" i="7"/>
  <c r="I140" i="7"/>
  <c r="B140" i="7"/>
  <c r="B142" i="7" s="1"/>
  <c r="C141" i="7" s="1"/>
  <c r="C92" i="7"/>
  <c r="G92" i="7"/>
  <c r="D17" i="6"/>
  <c r="D24" i="6" s="1"/>
  <c r="D28" i="6" s="1"/>
  <c r="K22" i="4"/>
  <c r="B17" i="6"/>
  <c r="D22" i="4"/>
  <c r="F17" i="6"/>
  <c r="F24" i="6" s="1"/>
  <c r="E22" i="4"/>
  <c r="I22" i="4"/>
  <c r="C17" i="6"/>
  <c r="C24" i="6" s="1"/>
  <c r="C28" i="6" s="1"/>
  <c r="E17" i="6"/>
  <c r="E24" i="6" s="1"/>
  <c r="E28" i="6" s="1"/>
  <c r="F22" i="4"/>
  <c r="J22" i="4"/>
  <c r="B22" i="4"/>
  <c r="F14" i="4"/>
  <c r="B14" i="4"/>
  <c r="C22" i="4"/>
  <c r="B92" i="7"/>
  <c r="F92" i="7"/>
  <c r="H140" i="7"/>
  <c r="J188" i="7"/>
  <c r="E92" i="7"/>
  <c r="C140" i="7"/>
  <c r="G140" i="7"/>
  <c r="K140" i="7"/>
  <c r="E188" i="7"/>
  <c r="I188" i="7"/>
  <c r="G22" i="4"/>
  <c r="G14" i="4"/>
  <c r="C14" i="4"/>
  <c r="E14" i="4"/>
  <c r="D14" i="4"/>
  <c r="H14" i="4"/>
  <c r="H22" i="4"/>
  <c r="E57" i="9" l="1"/>
  <c r="E59" i="9" s="1"/>
  <c r="H53" i="4"/>
  <c r="H56" i="4" s="1"/>
  <c r="J65" i="8" s="1"/>
  <c r="J8" i="8"/>
  <c r="J17" i="8"/>
  <c r="J83" i="8" s="1"/>
  <c r="J16" i="8"/>
  <c r="J9" i="8"/>
  <c r="H67" i="7"/>
  <c r="H92" i="7" s="1"/>
  <c r="H11" i="7"/>
  <c r="H19" i="7" s="1"/>
  <c r="H44" i="7" s="1"/>
  <c r="G47" i="6"/>
  <c r="G54" i="6" s="1"/>
  <c r="G58" i="6" s="1"/>
  <c r="G60" i="6" s="1"/>
  <c r="G7" i="6"/>
  <c r="G17" i="6" s="1"/>
  <c r="G24" i="6" s="1"/>
  <c r="G28" i="6" s="1"/>
  <c r="M169" i="3"/>
  <c r="M29" i="23" s="1"/>
  <c r="M2076" i="3"/>
  <c r="L2128" i="3"/>
  <c r="I39" i="4"/>
  <c r="B94" i="7"/>
  <c r="C93" i="7" s="1"/>
  <c r="C94" i="7" s="1"/>
  <c r="D93" i="7" s="1"/>
  <c r="E44" i="7"/>
  <c r="E197" i="7" s="1"/>
  <c r="G44" i="7"/>
  <c r="D44" i="7"/>
  <c r="D197" i="7" s="1"/>
  <c r="C44" i="7"/>
  <c r="C197" i="7" s="1"/>
  <c r="F44" i="7"/>
  <c r="F197" i="7" s="1"/>
  <c r="C142" i="7"/>
  <c r="D141" i="7" s="1"/>
  <c r="D142" i="7" s="1"/>
  <c r="E141" i="7" s="1"/>
  <c r="E142" i="7" s="1"/>
  <c r="F141" i="7" s="1"/>
  <c r="F142" i="7" s="1"/>
  <c r="G141" i="7" s="1"/>
  <c r="G142" i="7" s="1"/>
  <c r="H141" i="7" s="1"/>
  <c r="H142" i="7" s="1"/>
  <c r="I141" i="7" s="1"/>
  <c r="I142" i="7" s="1"/>
  <c r="J141" i="7" s="1"/>
  <c r="J142" i="7" s="1"/>
  <c r="K141" i="7" s="1"/>
  <c r="K142" i="7" s="1"/>
  <c r="J58" i="23"/>
  <c r="I58" i="23"/>
  <c r="F28" i="6"/>
  <c r="C155" i="11"/>
  <c r="E6" i="18" s="1"/>
  <c r="F58" i="23"/>
  <c r="N58" i="23"/>
  <c r="F155" i="11"/>
  <c r="H6" i="18" s="1"/>
  <c r="G58" i="23"/>
  <c r="I155" i="11"/>
  <c r="K6" i="18" s="1"/>
  <c r="H58" i="23"/>
  <c r="L58" i="23"/>
  <c r="M58" i="23"/>
  <c r="K58" i="23"/>
  <c r="M34" i="23"/>
  <c r="M38" i="23" s="1"/>
  <c r="H11" i="8"/>
  <c r="I34" i="23"/>
  <c r="I38" i="23" s="1"/>
  <c r="N34" i="23"/>
  <c r="N38" i="23" s="1"/>
  <c r="K34" i="23"/>
  <c r="K38" i="23" s="1"/>
  <c r="I11" i="8"/>
  <c r="J34" i="23"/>
  <c r="J38" i="23" s="1"/>
  <c r="L34" i="23"/>
  <c r="L38" i="23" s="1"/>
  <c r="F11" i="8"/>
  <c r="G34" i="23"/>
  <c r="G38" i="23" s="1"/>
  <c r="G11" i="8"/>
  <c r="H34" i="23"/>
  <c r="H38" i="23" s="1"/>
  <c r="E11" i="8"/>
  <c r="F34" i="23"/>
  <c r="F38" i="23" s="1"/>
  <c r="F57" i="9"/>
  <c r="D8" i="9"/>
  <c r="D11" i="8"/>
  <c r="F8" i="9"/>
  <c r="J17" i="9"/>
  <c r="J9" i="9"/>
  <c r="J33" i="9" s="1"/>
  <c r="J35" i="9" s="1"/>
  <c r="J16" i="9"/>
  <c r="J8" i="9"/>
  <c r="I8" i="9"/>
  <c r="H16" i="9"/>
  <c r="H9" i="9"/>
  <c r="H33" i="9" s="1"/>
  <c r="H35" i="9" s="1"/>
  <c r="H17" i="9"/>
  <c r="E8" i="9"/>
  <c r="F17" i="9"/>
  <c r="F16" i="9"/>
  <c r="F9" i="9"/>
  <c r="F33" i="9" s="1"/>
  <c r="F35" i="9" s="1"/>
  <c r="D16" i="9"/>
  <c r="D9" i="9"/>
  <c r="D33" i="9" s="1"/>
  <c r="D35" i="9" s="1"/>
  <c r="D17" i="9"/>
  <c r="G8" i="9"/>
  <c r="E17" i="9"/>
  <c r="E16" i="9"/>
  <c r="E9" i="9"/>
  <c r="E33" i="9" s="1"/>
  <c r="E35" i="9" s="1"/>
  <c r="G9" i="9"/>
  <c r="G33" i="9" s="1"/>
  <c r="G35" i="9" s="1"/>
  <c r="G16" i="9"/>
  <c r="G17" i="9"/>
  <c r="I17" i="9"/>
  <c r="I16" i="9"/>
  <c r="I9" i="9"/>
  <c r="I33" i="9" s="1"/>
  <c r="I35" i="9" s="1"/>
  <c r="H8" i="9"/>
  <c r="AB22" i="18"/>
  <c r="L32" i="18" s="1"/>
  <c r="N165" i="3" s="1"/>
  <c r="L155" i="11"/>
  <c r="N6" i="18" s="1"/>
  <c r="D24" i="4"/>
  <c r="D27" i="4" s="1"/>
  <c r="C24" i="4"/>
  <c r="C27" i="4" s="1"/>
  <c r="B24" i="4"/>
  <c r="B27" i="4" s="1"/>
  <c r="E24" i="4"/>
  <c r="E27" i="4" s="1"/>
  <c r="F24" i="4"/>
  <c r="F27" i="4" s="1"/>
  <c r="G24" i="4"/>
  <c r="G27" i="4" s="1"/>
  <c r="H24" i="4"/>
  <c r="H27" i="4" s="1"/>
  <c r="J33" i="8" l="1"/>
  <c r="J35" i="8" s="1"/>
  <c r="J66" i="8"/>
  <c r="J68" i="8" s="1"/>
  <c r="D11" i="9"/>
  <c r="D19" i="9"/>
  <c r="J11" i="8"/>
  <c r="O155" i="11"/>
  <c r="Q6" i="18" s="1"/>
  <c r="G197" i="7"/>
  <c r="N169" i="3"/>
  <c r="N29" i="23" s="1"/>
  <c r="N2076" i="3"/>
  <c r="J19" i="8"/>
  <c r="M2080" i="3"/>
  <c r="M2124" i="3"/>
  <c r="I59" i="7"/>
  <c r="I43" i="4"/>
  <c r="I10" i="4"/>
  <c r="H37" i="6"/>
  <c r="J24" i="8"/>
  <c r="J27" i="8" s="1"/>
  <c r="D94" i="7"/>
  <c r="E93" i="7" s="1"/>
  <c r="D155" i="11"/>
  <c r="D160" i="11" s="1"/>
  <c r="D164" i="11" s="1"/>
  <c r="G57" i="9"/>
  <c r="F59" i="9"/>
  <c r="I24" i="9"/>
  <c r="I27" i="9" s="1"/>
  <c r="I27" i="8"/>
  <c r="D24" i="9"/>
  <c r="D27" i="9" s="1"/>
  <c r="D27" i="8"/>
  <c r="F24" i="9"/>
  <c r="F27" i="9" s="1"/>
  <c r="F27" i="8"/>
  <c r="E24" i="9"/>
  <c r="E27" i="9" s="1"/>
  <c r="E27" i="8"/>
  <c r="H24" i="9"/>
  <c r="H27" i="9" s="1"/>
  <c r="H27" i="8"/>
  <c r="J24" i="9"/>
  <c r="J27" i="9" s="1"/>
  <c r="G24" i="9"/>
  <c r="G27" i="9" s="1"/>
  <c r="G27" i="8"/>
  <c r="F19" i="9"/>
  <c r="J19" i="9"/>
  <c r="E11" i="9"/>
  <c r="G11" i="9"/>
  <c r="H11" i="9"/>
  <c r="G19" i="9"/>
  <c r="E19" i="9"/>
  <c r="I11" i="9"/>
  <c r="J11" i="9"/>
  <c r="I19" i="9"/>
  <c r="F11" i="9"/>
  <c r="H19" i="9"/>
  <c r="K16" i="8" l="1"/>
  <c r="K17" i="8"/>
  <c r="K83" i="8" s="1"/>
  <c r="K9" i="8"/>
  <c r="I53" i="4"/>
  <c r="I56" i="4" s="1"/>
  <c r="K65" i="8" s="1"/>
  <c r="K8" i="8"/>
  <c r="N2124" i="3"/>
  <c r="N2080" i="3"/>
  <c r="H47" i="6"/>
  <c r="H54" i="6" s="1"/>
  <c r="H58" i="6" s="1"/>
  <c r="H60" i="6" s="1"/>
  <c r="H7" i="6"/>
  <c r="H17" i="6" s="1"/>
  <c r="H24" i="6" s="1"/>
  <c r="I11" i="7"/>
  <c r="I19" i="7" s="1"/>
  <c r="I44" i="7" s="1"/>
  <c r="I67" i="7"/>
  <c r="I92" i="7" s="1"/>
  <c r="M2128" i="3"/>
  <c r="J39" i="4"/>
  <c r="L27" i="23"/>
  <c r="L31" i="23" s="1"/>
  <c r="I14" i="4"/>
  <c r="E94" i="7"/>
  <c r="F93" i="7" s="1"/>
  <c r="F6" i="18"/>
  <c r="D9" i="18" s="1"/>
  <c r="E155" i="11"/>
  <c r="E160" i="11" s="1"/>
  <c r="E164" i="11" s="1"/>
  <c r="H57" i="9"/>
  <c r="G59" i="9"/>
  <c r="K33" i="8" l="1"/>
  <c r="K35" i="8" s="1"/>
  <c r="K66" i="8"/>
  <c r="K68" i="8" s="1"/>
  <c r="K17" i="9"/>
  <c r="K8" i="9"/>
  <c r="K9" i="9"/>
  <c r="K33" i="9" s="1"/>
  <c r="K35" i="9" s="1"/>
  <c r="I24" i="4"/>
  <c r="I27" i="4" s="1"/>
  <c r="K24" i="9" s="1"/>
  <c r="K27" i="9" s="1"/>
  <c r="K16" i="9"/>
  <c r="I37" i="6"/>
  <c r="K24" i="8"/>
  <c r="K27" i="8" s="1"/>
  <c r="N2128" i="3"/>
  <c r="K39" i="4"/>
  <c r="J59" i="7"/>
  <c r="J43" i="4"/>
  <c r="J10" i="4"/>
  <c r="H28" i="6"/>
  <c r="R155" i="11"/>
  <c r="T6" i="18" s="1"/>
  <c r="H197" i="7"/>
  <c r="K11" i="8"/>
  <c r="K19" i="8"/>
  <c r="F94" i="7"/>
  <c r="G93" i="7" s="1"/>
  <c r="G155" i="11"/>
  <c r="H155" i="11" s="1"/>
  <c r="G6" i="18"/>
  <c r="I57" i="9"/>
  <c r="H59" i="9"/>
  <c r="K19" i="9" l="1"/>
  <c r="L9" i="8"/>
  <c r="L17" i="8"/>
  <c r="L83" i="8" s="1"/>
  <c r="J53" i="4"/>
  <c r="J56" i="4" s="1"/>
  <c r="L65" i="8" s="1"/>
  <c r="L8" i="8"/>
  <c r="L16" i="8"/>
  <c r="K11" i="9"/>
  <c r="J11" i="7"/>
  <c r="J19" i="7" s="1"/>
  <c r="J44" i="7" s="1"/>
  <c r="J67" i="7"/>
  <c r="J92" i="7" s="1"/>
  <c r="K59" i="7"/>
  <c r="K43" i="4"/>
  <c r="K10" i="4"/>
  <c r="I47" i="6"/>
  <c r="I54" i="6" s="1"/>
  <c r="I58" i="6" s="1"/>
  <c r="I60" i="6" s="1"/>
  <c r="I7" i="6"/>
  <c r="I17" i="6" s="1"/>
  <c r="I24" i="6" s="1"/>
  <c r="M27" i="23"/>
  <c r="M31" i="23" s="1"/>
  <c r="J14" i="4"/>
  <c r="G94" i="7"/>
  <c r="H93" i="7" s="1"/>
  <c r="G160" i="11"/>
  <c r="G164" i="11" s="1"/>
  <c r="I6" i="18"/>
  <c r="G9" i="18" s="1"/>
  <c r="J57" i="9"/>
  <c r="I59" i="9"/>
  <c r="H160" i="11"/>
  <c r="H164" i="11" s="1"/>
  <c r="J6" i="18"/>
  <c r="J155" i="11"/>
  <c r="L6" i="18" s="1"/>
  <c r="L33" i="8" l="1"/>
  <c r="L35" i="8" s="1"/>
  <c r="L66" i="8"/>
  <c r="L68" i="8" s="1"/>
  <c r="L11" i="8"/>
  <c r="L8" i="9"/>
  <c r="L9" i="9"/>
  <c r="L33" i="9" s="1"/>
  <c r="L35" i="9" s="1"/>
  <c r="L17" i="9"/>
  <c r="J24" i="4"/>
  <c r="J27" i="4" s="1"/>
  <c r="L24" i="9" s="1"/>
  <c r="L27" i="9" s="1"/>
  <c r="L16" i="9"/>
  <c r="N27" i="23"/>
  <c r="N31" i="23" s="1"/>
  <c r="K14" i="4"/>
  <c r="L24" i="8"/>
  <c r="L27" i="8" s="1"/>
  <c r="J37" i="6"/>
  <c r="M16" i="8"/>
  <c r="M17" i="8"/>
  <c r="M83" i="8" s="1"/>
  <c r="M9" i="8"/>
  <c r="K53" i="4"/>
  <c r="K56" i="4" s="1"/>
  <c r="M65" i="8" s="1"/>
  <c r="M8" i="8"/>
  <c r="I28" i="6"/>
  <c r="U155" i="11"/>
  <c r="W6" i="18" s="1"/>
  <c r="I197" i="7"/>
  <c r="K11" i="7"/>
  <c r="K19" i="7" s="1"/>
  <c r="K44" i="7" s="1"/>
  <c r="K67" i="7"/>
  <c r="K92" i="7" s="1"/>
  <c r="L19" i="8"/>
  <c r="H94" i="7"/>
  <c r="I93" i="7" s="1"/>
  <c r="K57" i="9"/>
  <c r="J59" i="9"/>
  <c r="J9" i="18"/>
  <c r="K155" i="11"/>
  <c r="M6" i="18" s="1"/>
  <c r="J160" i="11"/>
  <c r="J164" i="11" s="1"/>
  <c r="M33" i="8" l="1"/>
  <c r="M35" i="8" s="1"/>
  <c r="M66" i="8"/>
  <c r="M68" i="8" s="1"/>
  <c r="M11" i="8"/>
  <c r="M9" i="9"/>
  <c r="M33" i="9" s="1"/>
  <c r="M35" i="9" s="1"/>
  <c r="K24" i="4"/>
  <c r="K27" i="4" s="1"/>
  <c r="M24" i="9" s="1"/>
  <c r="M27" i="9" s="1"/>
  <c r="M8" i="9"/>
  <c r="M17" i="9"/>
  <c r="M16" i="9"/>
  <c r="M19" i="8"/>
  <c r="K37" i="6"/>
  <c r="M24" i="8"/>
  <c r="M27" i="8" s="1"/>
  <c r="J47" i="6"/>
  <c r="J54" i="6" s="1"/>
  <c r="J58" i="6" s="1"/>
  <c r="J60" i="6" s="1"/>
  <c r="J7" i="6"/>
  <c r="J17" i="6" s="1"/>
  <c r="J24" i="6" s="1"/>
  <c r="L19" i="9"/>
  <c r="L11" i="9"/>
  <c r="I94" i="7"/>
  <c r="J93" i="7" s="1"/>
  <c r="L57" i="9"/>
  <c r="K59" i="9"/>
  <c r="M155" i="11"/>
  <c r="O6" i="18" s="1"/>
  <c r="M9" i="18" s="1"/>
  <c r="K160" i="11"/>
  <c r="K164" i="11" s="1"/>
  <c r="M11" i="9" l="1"/>
  <c r="M19" i="9"/>
  <c r="J28" i="6"/>
  <c r="X155" i="11"/>
  <c r="Z6" i="18" s="1"/>
  <c r="J197" i="7"/>
  <c r="K47" i="6"/>
  <c r="K54" i="6" s="1"/>
  <c r="K58" i="6" s="1"/>
  <c r="K60" i="6" s="1"/>
  <c r="K7" i="6"/>
  <c r="K17" i="6" s="1"/>
  <c r="K24" i="6" s="1"/>
  <c r="J94" i="7"/>
  <c r="K93" i="7" s="1"/>
  <c r="M57" i="9"/>
  <c r="M59" i="9" s="1"/>
  <c r="L59" i="9"/>
  <c r="M160" i="11"/>
  <c r="M164" i="11" s="1"/>
  <c r="N155" i="11"/>
  <c r="K28" i="6" l="1"/>
  <c r="AA155" i="11"/>
  <c r="AC6" i="18" s="1"/>
  <c r="K197" i="7"/>
  <c r="K94" i="7"/>
  <c r="N160" i="11"/>
  <c r="N164" i="11" s="1"/>
  <c r="P6" i="18"/>
  <c r="P155" i="11"/>
  <c r="P160" i="11" l="1"/>
  <c r="P164" i="11" s="1"/>
  <c r="R6" i="18"/>
  <c r="P9" i="18" s="1"/>
  <c r="Q155" i="11"/>
  <c r="Q160" i="11" l="1"/>
  <c r="Q164" i="11" s="1"/>
  <c r="S6" i="18"/>
  <c r="S155" i="11"/>
  <c r="S160" i="11" l="1"/>
  <c r="S164" i="11" s="1"/>
  <c r="U6" i="18"/>
  <c r="S9" i="18" s="1"/>
  <c r="T155" i="11"/>
  <c r="T160" i="11" l="1"/>
  <c r="T164" i="11" s="1"/>
  <c r="V6" i="18"/>
  <c r="V155" i="11"/>
  <c r="V160" i="11" l="1"/>
  <c r="V164" i="11" s="1"/>
  <c r="X6" i="18"/>
  <c r="V9" i="18" s="1"/>
  <c r="W155" i="11"/>
  <c r="W160" i="11" l="1"/>
  <c r="W164" i="11" s="1"/>
  <c r="Y6" i="18"/>
  <c r="Y155" i="11"/>
  <c r="Y160" i="11" l="1"/>
  <c r="Y164" i="11" s="1"/>
  <c r="AA6" i="18"/>
  <c r="Y9" i="18" s="1"/>
  <c r="Z155" i="11"/>
  <c r="Z160" i="11" l="1"/>
  <c r="Z164" i="11" s="1"/>
  <c r="AB6" i="18"/>
  <c r="AB155" i="11"/>
  <c r="AD6" i="18" s="1"/>
  <c r="AB9" i="18" l="1"/>
  <c r="AB160" i="11"/>
  <c r="AB164" i="11" s="1"/>
  <c r="F694" i="13"/>
  <c r="F775" i="13" s="1"/>
  <c r="B112" i="6" l="1"/>
  <c r="B173" i="7"/>
  <c r="B177" i="7" l="1"/>
  <c r="B188" i="7" s="1"/>
  <c r="B190" i="7" s="1"/>
  <c r="C189" i="7" s="1"/>
  <c r="B29" i="7"/>
  <c r="B33" i="7" s="1"/>
  <c r="B44" i="7" s="1"/>
  <c r="B20" i="6"/>
  <c r="B22" i="6" s="1"/>
  <c r="B24" i="6" s="1"/>
  <c r="B28" i="6" s="1"/>
  <c r="B114" i="6"/>
  <c r="B116" i="6" s="1"/>
  <c r="B120" i="6" s="1"/>
  <c r="B46" i="7" l="1"/>
  <c r="B197" i="7"/>
  <c r="C45" i="7"/>
  <c r="C46" i="7" s="1"/>
  <c r="C190" i="7"/>
  <c r="D189" i="7" s="1"/>
  <c r="D190" i="7" l="1"/>
  <c r="E189" i="7" s="1"/>
  <c r="D45" i="7"/>
  <c r="D46" i="7" s="1"/>
  <c r="E190" i="7" l="1"/>
  <c r="F189" i="7" s="1"/>
  <c r="E45" i="7"/>
  <c r="E46" i="7" s="1"/>
  <c r="F190" i="7" l="1"/>
  <c r="G189" i="7" s="1"/>
  <c r="F45" i="7"/>
  <c r="F46" i="7" s="1"/>
  <c r="G190" i="7" l="1"/>
  <c r="H189" i="7" s="1"/>
  <c r="G45" i="7"/>
  <c r="G46" i="7" s="1"/>
  <c r="H190" i="7" l="1"/>
  <c r="I189" i="7" s="1"/>
  <c r="H45" i="7"/>
  <c r="H46" i="7" s="1"/>
  <c r="I190" i="7" l="1"/>
  <c r="J189" i="7" s="1"/>
  <c r="I45" i="7"/>
  <c r="I46" i="7" s="1"/>
  <c r="J190" i="7" l="1"/>
  <c r="K189" i="7" s="1"/>
  <c r="J45" i="7"/>
  <c r="J46" i="7" s="1"/>
  <c r="K190" i="7" l="1"/>
  <c r="K45" i="7"/>
  <c r="K46" i="7" s="1"/>
</calcChain>
</file>

<file path=xl/comments1.xml><?xml version="1.0" encoding="utf-8"?>
<comments xmlns="http://schemas.openxmlformats.org/spreadsheetml/2006/main">
  <authors>
    <author>sbaker</author>
  </authors>
  <commentList>
    <comment ref="F200" authorId="0">
      <text>
        <r>
          <rPr>
            <sz val="9"/>
            <color indexed="81"/>
            <rFont val="Tahoma"/>
            <family val="2"/>
          </rPr>
          <t>145,000 - March Review</t>
        </r>
      </text>
    </comment>
    <comment ref="F669" authorId="0">
      <text>
        <r>
          <rPr>
            <b/>
            <sz val="9"/>
            <color indexed="81"/>
            <rFont val="Tahoma"/>
            <family val="2"/>
          </rPr>
          <t>sbaker:</t>
        </r>
        <r>
          <rPr>
            <sz val="9"/>
            <color indexed="81"/>
            <rFont val="Tahoma"/>
            <family val="2"/>
          </rPr>
          <t xml:space="preserve">
amount worked out based on ML size of reservoir.  This and bangalow</t>
        </r>
      </text>
    </comment>
  </commentList>
</comments>
</file>

<file path=xl/comments2.xml><?xml version="1.0" encoding="utf-8"?>
<comments xmlns="http://schemas.openxmlformats.org/spreadsheetml/2006/main">
  <authors>
    <author>amclean</author>
    <author>sbaker</author>
  </authors>
  <commentList>
    <comment ref="E46" authorId="0">
      <text>
        <r>
          <rPr>
            <b/>
            <sz val="8"/>
            <color indexed="81"/>
            <rFont val="Tahoma"/>
            <family val="2"/>
          </rPr>
          <t>amclean:</t>
        </r>
        <r>
          <rPr>
            <sz val="8"/>
            <color indexed="81"/>
            <rFont val="Tahoma"/>
            <family val="2"/>
          </rPr>
          <t xml:space="preserve">
500000 @ 7% 20 years</t>
        </r>
      </text>
    </comment>
    <comment ref="E47" authorId="0">
      <text>
        <r>
          <rPr>
            <b/>
            <sz val="8"/>
            <color indexed="81"/>
            <rFont val="Tahoma"/>
            <family val="2"/>
          </rPr>
          <t>sbaker:</t>
        </r>
        <r>
          <rPr>
            <sz val="8"/>
            <color indexed="81"/>
            <rFont val="Tahoma"/>
            <family val="2"/>
          </rPr>
          <t xml:space="preserve">
Res 06-315
200,000 - Bangalow Sportsfields
300,000 - Suffolk Park Sportsfields</t>
        </r>
      </text>
    </comment>
    <comment ref="J47" authorId="0">
      <text>
        <r>
          <rPr>
            <b/>
            <sz val="8"/>
            <color indexed="81"/>
            <rFont val="Tahoma"/>
            <family val="2"/>
          </rPr>
          <t>amclean:</t>
        </r>
        <r>
          <rPr>
            <sz val="8"/>
            <color indexed="81"/>
            <rFont val="Tahoma"/>
            <family val="2"/>
          </rPr>
          <t xml:space="preserve">
Bangalow $200,000
Suffolk Park $300,000</t>
        </r>
      </text>
    </comment>
    <comment ref="E48" authorId="0">
      <text>
        <r>
          <rPr>
            <b/>
            <sz val="8"/>
            <color indexed="81"/>
            <rFont val="Tahoma"/>
            <family val="2"/>
          </rPr>
          <t>sbaker:</t>
        </r>
        <r>
          <rPr>
            <sz val="8"/>
            <color indexed="81"/>
            <rFont val="Tahoma"/>
            <family val="2"/>
          </rPr>
          <t xml:space="preserve">
250,000 - Ewingsdale Sports fields - Res 06-626
250,000 - Bangalow Sports fields   - Res 06-626
Then Res 06-714 leaves...
156,000 - Suffolk Park Sports fields
94,000 - Ewingsdale Sports fields
250,000 - Bangalow Sports fields</t>
        </r>
      </text>
    </comment>
    <comment ref="J48" authorId="0">
      <text>
        <r>
          <rPr>
            <b/>
            <sz val="8"/>
            <color indexed="81"/>
            <rFont val="Tahoma"/>
            <family val="2"/>
          </rPr>
          <t>amclean:</t>
        </r>
        <r>
          <rPr>
            <sz val="8"/>
            <color indexed="81"/>
            <rFont val="Tahoma"/>
            <family val="2"/>
          </rPr>
          <t xml:space="preserve">
Special Rate Variation 4% 06/07</t>
        </r>
      </text>
    </comment>
    <comment ref="E49" authorId="1">
      <text>
        <r>
          <rPr>
            <b/>
            <sz val="8"/>
            <color indexed="81"/>
            <rFont val="Tahoma"/>
            <family val="2"/>
          </rPr>
          <t>sbaker:</t>
        </r>
        <r>
          <rPr>
            <sz val="8"/>
            <color indexed="81"/>
            <rFont val="Tahoma"/>
            <family val="2"/>
          </rPr>
          <t xml:space="preserve">
</t>
        </r>
        <r>
          <rPr>
            <b/>
            <sz val="8"/>
            <color indexed="81"/>
            <rFont val="Tahoma"/>
            <family val="2"/>
          </rPr>
          <t>RES 07-216</t>
        </r>
        <r>
          <rPr>
            <sz val="8"/>
            <color indexed="81"/>
            <rFont val="Tahoma"/>
            <family val="2"/>
          </rPr>
          <t xml:space="preserve">
52,000 - 15 years @ 7%</t>
        </r>
      </text>
    </comment>
    <comment ref="E73" authorId="0">
      <text>
        <r>
          <rPr>
            <b/>
            <sz val="8"/>
            <color indexed="81"/>
            <rFont val="Tahoma"/>
            <family val="2"/>
          </rPr>
          <t>amclean:</t>
        </r>
        <r>
          <rPr>
            <sz val="8"/>
            <color indexed="81"/>
            <rFont val="Tahoma"/>
            <family val="2"/>
          </rPr>
          <t xml:space="preserve">
500000 @ 7% 20 Years</t>
        </r>
      </text>
    </comment>
    <comment ref="E74" authorId="0">
      <text>
        <r>
          <rPr>
            <b/>
            <sz val="8"/>
            <color indexed="81"/>
            <rFont val="Tahoma"/>
            <family val="2"/>
          </rPr>
          <t>amclean:</t>
        </r>
        <r>
          <rPr>
            <sz val="8"/>
            <color indexed="81"/>
            <rFont val="Tahoma"/>
            <family val="2"/>
          </rPr>
          <t xml:space="preserve">
100000 @ 7% 20 Years</t>
        </r>
      </text>
    </comment>
    <comment ref="E77" authorId="0">
      <text>
        <r>
          <rPr>
            <b/>
            <sz val="8"/>
            <color indexed="81"/>
            <rFont val="Tahoma"/>
            <family val="2"/>
          </rPr>
          <t>amclean:</t>
        </r>
        <r>
          <rPr>
            <sz val="8"/>
            <color indexed="81"/>
            <rFont val="Tahoma"/>
            <family val="2"/>
          </rPr>
          <t xml:space="preserve">
60,000 7% 20 years</t>
        </r>
      </text>
    </comment>
    <comment ref="E79" authorId="1">
      <text>
        <r>
          <rPr>
            <b/>
            <sz val="8"/>
            <color indexed="81"/>
            <rFont val="Tahoma"/>
            <family val="2"/>
          </rPr>
          <t>sbaker:</t>
        </r>
        <r>
          <rPr>
            <sz val="8"/>
            <color indexed="81"/>
            <rFont val="Tahoma"/>
            <family val="2"/>
          </rPr>
          <t xml:space="preserve">
2008/09 Special Rate</t>
        </r>
      </text>
    </comment>
  </commentList>
</comments>
</file>

<file path=xl/sharedStrings.xml><?xml version="1.0" encoding="utf-8"?>
<sst xmlns="http://schemas.openxmlformats.org/spreadsheetml/2006/main" count="9881" uniqueCount="4658">
  <si>
    <t>Byron Shire Council</t>
  </si>
  <si>
    <t>Year 1</t>
  </si>
  <si>
    <t>Year 2</t>
  </si>
  <si>
    <t>Year 3</t>
  </si>
  <si>
    <t>Year 4</t>
  </si>
  <si>
    <t>Year 5</t>
  </si>
  <si>
    <t>Year 6</t>
  </si>
  <si>
    <t>Year 7</t>
  </si>
  <si>
    <t>Year 8</t>
  </si>
  <si>
    <t>Year 9</t>
  </si>
  <si>
    <t>Assumption</t>
  </si>
  <si>
    <t>2016/2017</t>
  </si>
  <si>
    <t>2017/2018</t>
  </si>
  <si>
    <t>2018/2019</t>
  </si>
  <si>
    <t>Base Year</t>
  </si>
  <si>
    <t>2019/2020</t>
  </si>
  <si>
    <t>2020/2021</t>
  </si>
  <si>
    <t>2021/2022</t>
  </si>
  <si>
    <t>2022/2023</t>
  </si>
  <si>
    <t>2023/2024</t>
  </si>
  <si>
    <t>2024/2025</t>
  </si>
  <si>
    <t>2025/2026</t>
  </si>
  <si>
    <t>Growth in rateable assessments</t>
  </si>
  <si>
    <t>Special Rate Variation increase</t>
  </si>
  <si>
    <t>Consumer Price Index (CPI)</t>
  </si>
  <si>
    <t>Local Government State Award increase</t>
  </si>
  <si>
    <t>Interest on investments</t>
  </si>
  <si>
    <t>New loan borrowing interest rate</t>
  </si>
  <si>
    <t>Budget</t>
  </si>
  <si>
    <t>Estimated</t>
  </si>
  <si>
    <t>Projected</t>
  </si>
  <si>
    <t>Income from Continuing Operations</t>
  </si>
  <si>
    <t>Rates &amp; Annual Charges</t>
  </si>
  <si>
    <t>Byron Shire Council Long Term Financial Plan 2016-2026</t>
  </si>
  <si>
    <t>User Charges &amp; Fees</t>
  </si>
  <si>
    <t>Interest and Investment Revenue</t>
  </si>
  <si>
    <t>Other Revenues</t>
  </si>
  <si>
    <t>Grants &amp; Contributions for Operating Purposes</t>
  </si>
  <si>
    <t>Grants &amp; Contributions for Capital Purposes</t>
  </si>
  <si>
    <t>Total Income from Continuing Operations</t>
  </si>
  <si>
    <t>Expenses from Continuing Operations</t>
  </si>
  <si>
    <t>Employee Costs</t>
  </si>
  <si>
    <t>Borrowing Costs</t>
  </si>
  <si>
    <t>Materials and Contracts</t>
  </si>
  <si>
    <t>Depreciation</t>
  </si>
  <si>
    <t>Other Expenses</t>
  </si>
  <si>
    <t>Total Expenses from Continuing Operations</t>
  </si>
  <si>
    <t>Operating Result from Continuing Operations Surplus/(Deficit)</t>
  </si>
  <si>
    <t>for Capital Purposes Surplus/(Deficit)</t>
  </si>
  <si>
    <t>Net Operating Result for the year before Grants and Contributions</t>
  </si>
  <si>
    <t>Add: Non Operating Funding Sources</t>
  </si>
  <si>
    <t>Proceeds from sale of Assets</t>
  </si>
  <si>
    <t>Loan fund utilised</t>
  </si>
  <si>
    <t>Repayments from Deferred Debtors</t>
  </si>
  <si>
    <t>Funds Available</t>
  </si>
  <si>
    <t>Purchase and construction of Assets</t>
  </si>
  <si>
    <t>Loan principal repayments</t>
  </si>
  <si>
    <t>Total Funds Used</t>
  </si>
  <si>
    <t>Add: Non Cash Items</t>
  </si>
  <si>
    <t>Less: Funds applied to</t>
  </si>
  <si>
    <t>Net Cash provided in Operating Activities</t>
  </si>
  <si>
    <t>Cash flows from Operating Activities</t>
  </si>
  <si>
    <t>Receipts:</t>
  </si>
  <si>
    <t>Rates &amp; annual charges</t>
  </si>
  <si>
    <t>User charges &amp; fees</t>
  </si>
  <si>
    <t>Investment revenue</t>
  </si>
  <si>
    <t>Other</t>
  </si>
  <si>
    <t>Payments:</t>
  </si>
  <si>
    <t>Grants &amp; contributions</t>
  </si>
  <si>
    <t>Employee benefits and oncosts</t>
  </si>
  <si>
    <t>Materials &amp; contracts</t>
  </si>
  <si>
    <t>Borrowing costs</t>
  </si>
  <si>
    <t>Cash flows from Investing Activities</t>
  </si>
  <si>
    <t>Sale of investments</t>
  </si>
  <si>
    <t>Sale of property, planmt and equipment</t>
  </si>
  <si>
    <t>Sale of interests in joint ventures/associates</t>
  </si>
  <si>
    <t>Purchase of investments</t>
  </si>
  <si>
    <t>Purchase of infrastructure property, plant &amp; equipment</t>
  </si>
  <si>
    <t>Purchase of real estate</t>
  </si>
  <si>
    <t>Purchase of interests in joint ventures/associates</t>
  </si>
  <si>
    <t>Net Cash used in Investing Activities</t>
  </si>
  <si>
    <t>Cash flows from Financing Activities</t>
  </si>
  <si>
    <t>Borrowings &amp; advances</t>
  </si>
  <si>
    <t>Borrowings and advances</t>
  </si>
  <si>
    <t>Net Cash used in Financing Activities</t>
  </si>
  <si>
    <t>Account Description</t>
  </si>
  <si>
    <t>People &amp; Culture (1.11.02.02.00.00)</t>
  </si>
  <si>
    <t>Operating Expenditure</t>
  </si>
  <si>
    <t>02007</t>
  </si>
  <si>
    <t>People &amp; Culture</t>
  </si>
  <si>
    <t>02007.001</t>
  </si>
  <si>
    <t>Salaries and Oncosts</t>
  </si>
  <si>
    <t>02007.003</t>
  </si>
  <si>
    <t>Sundry Expenses</t>
  </si>
  <si>
    <t>02007.004</t>
  </si>
  <si>
    <t>Subscriptions</t>
  </si>
  <si>
    <t>02007.092</t>
  </si>
  <si>
    <t>Motor Vehicle Running Expenses</t>
  </si>
  <si>
    <t>02105</t>
  </si>
  <si>
    <t>Training and Development</t>
  </si>
  <si>
    <t>02105.005</t>
  </si>
  <si>
    <t>Training - General</t>
  </si>
  <si>
    <t>02105.006</t>
  </si>
  <si>
    <t>Training-Personal Development/Conference</t>
  </si>
  <si>
    <t>02105.009</t>
  </si>
  <si>
    <t>Training - Organisational Development</t>
  </si>
  <si>
    <t>02105.013</t>
  </si>
  <si>
    <t>Education Assistance</t>
  </si>
  <si>
    <t>02106</t>
  </si>
  <si>
    <t>Compulsory Tickets/Licences</t>
  </si>
  <si>
    <t>02106.001</t>
  </si>
  <si>
    <t>02107</t>
  </si>
  <si>
    <t>Corporate Training</t>
  </si>
  <si>
    <t>02107.001</t>
  </si>
  <si>
    <t>General</t>
  </si>
  <si>
    <t>02107.002</t>
  </si>
  <si>
    <t>Work Health &amp; Safety</t>
  </si>
  <si>
    <t>02111</t>
  </si>
  <si>
    <t>Workers Compensation</t>
  </si>
  <si>
    <t>02111.001</t>
  </si>
  <si>
    <t>Premium - Workers Compensation Indoor</t>
  </si>
  <si>
    <t>02114</t>
  </si>
  <si>
    <t>Occupational Health &amp; Safety</t>
  </si>
  <si>
    <t>02114.004</t>
  </si>
  <si>
    <t>OH &amp; S Management Plan</t>
  </si>
  <si>
    <t>02114.005</t>
  </si>
  <si>
    <t>Return to Work Consulting Costs</t>
  </si>
  <si>
    <t>02114.006</t>
  </si>
  <si>
    <t>WHS Audiometric Testing</t>
  </si>
  <si>
    <t>02114.007</t>
  </si>
  <si>
    <t>OHS Incentive Rebate</t>
  </si>
  <si>
    <t>02115</t>
  </si>
  <si>
    <t>Employee Leave Entitlements</t>
  </si>
  <si>
    <t>02115.001</t>
  </si>
  <si>
    <t>Public Holidays</t>
  </si>
  <si>
    <t>02115.002</t>
  </si>
  <si>
    <t>Annual Leave</t>
  </si>
  <si>
    <t>02115.003</t>
  </si>
  <si>
    <t>Sick Leave</t>
  </si>
  <si>
    <t>02115.004</t>
  </si>
  <si>
    <t>Long Service Leave</t>
  </si>
  <si>
    <t>02115.005</t>
  </si>
  <si>
    <t>Special Leave</t>
  </si>
  <si>
    <t>02115.006</t>
  </si>
  <si>
    <t>Equilisation (RDO)</t>
  </si>
  <si>
    <t>02115.007</t>
  </si>
  <si>
    <t>Maternity Leave</t>
  </si>
  <si>
    <t>02115.008</t>
  </si>
  <si>
    <t>Gratuities</t>
  </si>
  <si>
    <t>02117</t>
  </si>
  <si>
    <t>Superannuation</t>
  </si>
  <si>
    <t>02117.001</t>
  </si>
  <si>
    <t>Salaried Staff - General Fund</t>
  </si>
  <si>
    <t>02117.002</t>
  </si>
  <si>
    <t>Children's Services</t>
  </si>
  <si>
    <t>02117.006</t>
  </si>
  <si>
    <t>Council Contribution - SASS</t>
  </si>
  <si>
    <t>02118</t>
  </si>
  <si>
    <t>Other Employee Costs</t>
  </si>
  <si>
    <t>02118.002</t>
  </si>
  <si>
    <t>Uniform Issues - General &amp; Capital</t>
  </si>
  <si>
    <t>02118.003</t>
  </si>
  <si>
    <t>Staff Suggestion Scheme</t>
  </si>
  <si>
    <t>02118.004</t>
  </si>
  <si>
    <t>Backpays as per Award</t>
  </si>
  <si>
    <t>02118.005</t>
  </si>
  <si>
    <t>Recruitment - Advertising Expenses</t>
  </si>
  <si>
    <t>02118.006</t>
  </si>
  <si>
    <t>Counselling Expenses</t>
  </si>
  <si>
    <t>02118.008</t>
  </si>
  <si>
    <t>Fringe Benefits Tax</t>
  </si>
  <si>
    <t>02118.009</t>
  </si>
  <si>
    <t>Recruitment -Interview &amp; Relocation Exp.</t>
  </si>
  <si>
    <t>02118.011</t>
  </si>
  <si>
    <t>Medical Examinations</t>
  </si>
  <si>
    <t>02118.013</t>
  </si>
  <si>
    <t>General Manager's Performance Review</t>
  </si>
  <si>
    <t>02118.014</t>
  </si>
  <si>
    <t>Staff Recognition &amp; Reward Scheme</t>
  </si>
  <si>
    <t>02118.017</t>
  </si>
  <si>
    <t>Award Supply Service Subscription</t>
  </si>
  <si>
    <t>02118.019</t>
  </si>
  <si>
    <t>02118.021</t>
  </si>
  <si>
    <t>Job Evaluation System</t>
  </si>
  <si>
    <t>02118.027</t>
  </si>
  <si>
    <t>Recruitment E-Services</t>
  </si>
  <si>
    <t>02121</t>
  </si>
  <si>
    <t>Indirect Costs</t>
  </si>
  <si>
    <t>02121.001</t>
  </si>
  <si>
    <t>Oncosts Recovered - Outdoor</t>
  </si>
  <si>
    <t>02121.002</t>
  </si>
  <si>
    <t>Oncosts Recovered - Indoor</t>
  </si>
  <si>
    <t>02121.091</t>
  </si>
  <si>
    <t>Support Services Costs Allocated</t>
  </si>
  <si>
    <t>02121.910</t>
  </si>
  <si>
    <t>Support Services Costs Reallocated</t>
  </si>
  <si>
    <t xml:space="preserve"> </t>
  </si>
  <si>
    <t>Organisational Support (1.11.02.03.00.00)</t>
  </si>
  <si>
    <t>02001</t>
  </si>
  <si>
    <t>Employee Costs - General Manager's Office</t>
  </si>
  <si>
    <t>02001.001</t>
  </si>
  <si>
    <t>Salaries &amp; Oncosts</t>
  </si>
  <si>
    <t>02001.002</t>
  </si>
  <si>
    <t>Travelling Expenses Representing Council</t>
  </si>
  <si>
    <t>02001.092</t>
  </si>
  <si>
    <t>02005</t>
  </si>
  <si>
    <t>Operational Costs</t>
  </si>
  <si>
    <t>02005.005</t>
  </si>
  <si>
    <t>Sundry Administrative Expenses</t>
  </si>
  <si>
    <t>02005.013</t>
  </si>
  <si>
    <t>National Seachange Taskforce</t>
  </si>
  <si>
    <t>02005.022</t>
  </si>
  <si>
    <t>Regional Analysis and Comparative Tool</t>
  </si>
  <si>
    <t>02008</t>
  </si>
  <si>
    <t>Media and Communications</t>
  </si>
  <si>
    <t>02008.002</t>
  </si>
  <si>
    <t>02008.007</t>
  </si>
  <si>
    <t>Photographic Library</t>
  </si>
  <si>
    <t>02008.008</t>
  </si>
  <si>
    <t>Branding</t>
  </si>
  <si>
    <t>02008.009</t>
  </si>
  <si>
    <t>Digital Media/Advertising/Rates Insert</t>
  </si>
  <si>
    <t>02015</t>
  </si>
  <si>
    <t>Support Services</t>
  </si>
  <si>
    <t>02015.091</t>
  </si>
  <si>
    <t>02015.910</t>
  </si>
  <si>
    <t>02016</t>
  </si>
  <si>
    <t>Customer Service</t>
  </si>
  <si>
    <t>02016.001</t>
  </si>
  <si>
    <t>02016.002</t>
  </si>
  <si>
    <t>Advertising</t>
  </si>
  <si>
    <t>02016.003</t>
  </si>
  <si>
    <t>Milk Tea &amp; Coffee Supplies</t>
  </si>
  <si>
    <t>02016.005</t>
  </si>
  <si>
    <t>Customer Service Initiatives</t>
  </si>
  <si>
    <t>Councillor Services (1.11.03.01.00.00)</t>
  </si>
  <si>
    <t>02141</t>
  </si>
  <si>
    <t>Mayoral Expenses</t>
  </si>
  <si>
    <t>02141.001</t>
  </si>
  <si>
    <t>Mayoral Allowance</t>
  </si>
  <si>
    <t>02141.092</t>
  </si>
  <si>
    <t>02145</t>
  </si>
  <si>
    <t>Councillor Expenses</t>
  </si>
  <si>
    <t>02145.001</t>
  </si>
  <si>
    <t>Councillors - Attendance Fees</t>
  </si>
  <si>
    <t>02145.002</t>
  </si>
  <si>
    <t>Councillors - Travelling Expenses</t>
  </si>
  <si>
    <t>02145.003</t>
  </si>
  <si>
    <t>Councillors - Catering</t>
  </si>
  <si>
    <t>02145.004</t>
  </si>
  <si>
    <t>Councillors - Conferences</t>
  </si>
  <si>
    <t>02145.005</t>
  </si>
  <si>
    <t>Councillors - Telephone and Fax</t>
  </si>
  <si>
    <t>02145.006</t>
  </si>
  <si>
    <t>Councillors - Other Civic Expenses</t>
  </si>
  <si>
    <t>02145.007</t>
  </si>
  <si>
    <t>Professional Development - Training</t>
  </si>
  <si>
    <t>02145.011</t>
  </si>
  <si>
    <t>Carer's Expenses</t>
  </si>
  <si>
    <t>02145.012</t>
  </si>
  <si>
    <t>02145.013</t>
  </si>
  <si>
    <t>Consumables</t>
  </si>
  <si>
    <t>02151</t>
  </si>
  <si>
    <t>Other Civic Expenses</t>
  </si>
  <si>
    <t>02151.001</t>
  </si>
  <si>
    <t>Subscription Lcl Government tAssociation</t>
  </si>
  <si>
    <t>02151.002</t>
  </si>
  <si>
    <t>Election Expenses</t>
  </si>
  <si>
    <t>02151.003</t>
  </si>
  <si>
    <t>Civic Receptions and Functions</t>
  </si>
  <si>
    <t>02151.004</t>
  </si>
  <si>
    <t>Councillor Equipment</t>
  </si>
  <si>
    <t>02152</t>
  </si>
  <si>
    <t>Governance Contributions</t>
  </si>
  <si>
    <t>02152.001</t>
  </si>
  <si>
    <t>NOROC Membership</t>
  </si>
  <si>
    <t>02152.003</t>
  </si>
  <si>
    <t>Contribution - Far North Coast County Cl</t>
  </si>
  <si>
    <t>02152.004</t>
  </si>
  <si>
    <t>Institute Public Works Engineers Austral</t>
  </si>
  <si>
    <t>02152.005</t>
  </si>
  <si>
    <t>Newlog Subscription</t>
  </si>
  <si>
    <t>02152.008</t>
  </si>
  <si>
    <t>Contribution - Arts Northern Rivers</t>
  </si>
  <si>
    <t>02153</t>
  </si>
  <si>
    <t>Mayors Discretionary allowance</t>
  </si>
  <si>
    <t>02153.001</t>
  </si>
  <si>
    <t>Byron Bay High School Prize Giving C'mny</t>
  </si>
  <si>
    <t>02153.002</t>
  </si>
  <si>
    <t>Mullum High School Prize Giving C'mny</t>
  </si>
  <si>
    <t>02153.003</t>
  </si>
  <si>
    <t>Byron Rudolf Steiner Prize Giving C'mny</t>
  </si>
  <si>
    <t>02153.004</t>
  </si>
  <si>
    <t>Mullum Shearwater Prize Giving C'mny</t>
  </si>
  <si>
    <t>02153.005</t>
  </si>
  <si>
    <t>Byron High Art Encouragement Award</t>
  </si>
  <si>
    <t>02153.006</t>
  </si>
  <si>
    <t>Mullum High Art Encouragement Award</t>
  </si>
  <si>
    <t>02153.007</t>
  </si>
  <si>
    <t>Rudolf Steiner Art Encouragement Award</t>
  </si>
  <si>
    <t>02153.008</t>
  </si>
  <si>
    <t>S'water Steiner Art Encouragement Award</t>
  </si>
  <si>
    <t>02153.009</t>
  </si>
  <si>
    <t>Byron Arts Classic Acquisition Prize</t>
  </si>
  <si>
    <t>02153.011</t>
  </si>
  <si>
    <t>SNAP Youth Photography Competition</t>
  </si>
  <si>
    <t>02153.012</t>
  </si>
  <si>
    <t>Bruns heads Simple Pleasures Photo Comp</t>
  </si>
  <si>
    <t>02153.013</t>
  </si>
  <si>
    <t>Unallocated</t>
  </si>
  <si>
    <t>02153.014</t>
  </si>
  <si>
    <t>Ocean Shores Art Expo</t>
  </si>
  <si>
    <t>02159</t>
  </si>
  <si>
    <t>02159.091</t>
  </si>
  <si>
    <t>Financial Services - General Purpose Revenues (1.11.03.03.00.00)</t>
  </si>
  <si>
    <t>Operating Income</t>
  </si>
  <si>
    <t>01111</t>
  </si>
  <si>
    <t>General Rates</t>
  </si>
  <si>
    <t>01111.001</t>
  </si>
  <si>
    <t>Residential Rates</t>
  </si>
  <si>
    <t>01111.004</t>
  </si>
  <si>
    <t>Business Rates - Byron Bay Town Centre</t>
  </si>
  <si>
    <t>01111.008</t>
  </si>
  <si>
    <t>Business Rates - Other</t>
  </si>
  <si>
    <t>01111.009</t>
  </si>
  <si>
    <t>Farmland Rates</t>
  </si>
  <si>
    <t>01113</t>
  </si>
  <si>
    <t>Abandonments - Pensioners (S. 575)</t>
  </si>
  <si>
    <t>01113.001</t>
  </si>
  <si>
    <t>Pensioner Abandonments</t>
  </si>
  <si>
    <t>01115</t>
  </si>
  <si>
    <t>Extra Charges General Rates</t>
  </si>
  <si>
    <t>01115.001</t>
  </si>
  <si>
    <t>Extra Charges on Overdue Rates</t>
  </si>
  <si>
    <t>01115.002</t>
  </si>
  <si>
    <t>Legal Fees Recovered</t>
  </si>
  <si>
    <t>01115.003</t>
  </si>
  <si>
    <t>Debt Recovery Costs</t>
  </si>
  <si>
    <t>01115.004</t>
  </si>
  <si>
    <t>Dishonour Fees</t>
  </si>
  <si>
    <t>01117</t>
  </si>
  <si>
    <t>Postponed Rates</t>
  </si>
  <si>
    <t>01117.001</t>
  </si>
  <si>
    <t>Rates Transfers to Postponed Rates W/O</t>
  </si>
  <si>
    <t>01117.002</t>
  </si>
  <si>
    <t>Postponed Extra Charges Written Off</t>
  </si>
  <si>
    <t>01119</t>
  </si>
  <si>
    <t>General Purpose Grants</t>
  </si>
  <si>
    <t>01119.001</t>
  </si>
  <si>
    <t>Financial Assist. Grant - General Purpos</t>
  </si>
  <si>
    <t>01119.002</t>
  </si>
  <si>
    <t>Pensioner Rates Subsidy</t>
  </si>
  <si>
    <t>01119.003</t>
  </si>
  <si>
    <t>Financial Assistance Grant-Roads Comp.</t>
  </si>
  <si>
    <t>01121</t>
  </si>
  <si>
    <t>Interest on Investments  - Operating Funds</t>
  </si>
  <si>
    <t>01121.001</t>
  </si>
  <si>
    <t>Interest on Bank Accounts</t>
  </si>
  <si>
    <t>01121.002</t>
  </si>
  <si>
    <t>Interest on Unrestricted Investments</t>
  </si>
  <si>
    <t>01123</t>
  </si>
  <si>
    <t>Interest on Investments - Section 94</t>
  </si>
  <si>
    <t>01123.001</t>
  </si>
  <si>
    <t>Interest on Section 94 Levies-Open Space</t>
  </si>
  <si>
    <t>Financial Services (1.11.03.04.00.00)</t>
  </si>
  <si>
    <t>02010</t>
  </si>
  <si>
    <t>02010.090</t>
  </si>
  <si>
    <t>NCP and Governance</t>
  </si>
  <si>
    <t>02201</t>
  </si>
  <si>
    <t>Expenditure Control and Statutory Reporting</t>
  </si>
  <si>
    <t>02201.001</t>
  </si>
  <si>
    <t>02201.002</t>
  </si>
  <si>
    <t>Salaries &amp; Oncosts - Creditors</t>
  </si>
  <si>
    <t>02201.004</t>
  </si>
  <si>
    <t>02201.007</t>
  </si>
  <si>
    <t>Audit Fees</t>
  </si>
  <si>
    <t>02201.008</t>
  </si>
  <si>
    <t>02201.009</t>
  </si>
  <si>
    <t>Bank Charges</t>
  </si>
  <si>
    <t>02201.010</t>
  </si>
  <si>
    <t>Rounding</t>
  </si>
  <si>
    <t>02201.011</t>
  </si>
  <si>
    <t>Dishonoured Cheques Charges</t>
  </si>
  <si>
    <t>02201.012</t>
  </si>
  <si>
    <t>Debt Recovery Costs - Debtors</t>
  </si>
  <si>
    <t>02201.014</t>
  </si>
  <si>
    <t>Interest on Security Deposits</t>
  </si>
  <si>
    <t>02201.092</t>
  </si>
  <si>
    <t>02205</t>
  </si>
  <si>
    <t>Rates Control and Debt Recovery</t>
  </si>
  <si>
    <t>02205.001</t>
  </si>
  <si>
    <t>Rates - Salaries and Oncosts</t>
  </si>
  <si>
    <t>02205.002</t>
  </si>
  <si>
    <t>Rates - Postage for Rate Notices</t>
  </si>
  <si>
    <t>02205.003</t>
  </si>
  <si>
    <t>Rates - Valuation Fees</t>
  </si>
  <si>
    <t>02205.004</t>
  </si>
  <si>
    <t>Bad Debts Abandoned</t>
  </si>
  <si>
    <t>02205.005</t>
  </si>
  <si>
    <t>Rates - Printing for Rate Notices</t>
  </si>
  <si>
    <t>02205.006</t>
  </si>
  <si>
    <t>NAR Maintenance</t>
  </si>
  <si>
    <t>02205.092</t>
  </si>
  <si>
    <t>02231</t>
  </si>
  <si>
    <t>Debt Servicing Costs</t>
  </si>
  <si>
    <t>02231.001</t>
  </si>
  <si>
    <t>Interest on Loans</t>
  </si>
  <si>
    <t>02231.002</t>
  </si>
  <si>
    <t>Interest - External Loans</t>
  </si>
  <si>
    <t>02239</t>
  </si>
  <si>
    <t>02239.091</t>
  </si>
  <si>
    <t>02239.910</t>
  </si>
  <si>
    <t>01131</t>
  </si>
  <si>
    <t>Fees and Charges - Financial Services</t>
  </si>
  <si>
    <t>01131.001</t>
  </si>
  <si>
    <t>Section 603 Certificates</t>
  </si>
  <si>
    <t>01131.004</t>
  </si>
  <si>
    <t>Sundry User Charges</t>
  </si>
  <si>
    <t>01131.005</t>
  </si>
  <si>
    <t>Recovery of Debtors Debt Recovery Costs</t>
  </si>
  <si>
    <t>01131.007</t>
  </si>
  <si>
    <t>Tax Equivalent Charges to Water &amp; Sewer</t>
  </si>
  <si>
    <t>Information Services (1.11.03.05.00.00)</t>
  </si>
  <si>
    <t>02251</t>
  </si>
  <si>
    <t>Information Technology and G.I.S.</t>
  </si>
  <si>
    <t>02251.001</t>
  </si>
  <si>
    <t>02251.003</t>
  </si>
  <si>
    <t>Specialist IT Support</t>
  </si>
  <si>
    <t>02251.092</t>
  </si>
  <si>
    <t>02254</t>
  </si>
  <si>
    <t>Corporate Software</t>
  </si>
  <si>
    <t>02254.012</t>
  </si>
  <si>
    <t>Infomix Database  Licence and Mntce</t>
  </si>
  <si>
    <t>02254.013</t>
  </si>
  <si>
    <t>Auth Property and Financial System Licen</t>
  </si>
  <si>
    <t>02254.014</t>
  </si>
  <si>
    <t>Auth Property and Financial System Mntce</t>
  </si>
  <si>
    <t>02254.015</t>
  </si>
  <si>
    <t>Authority AIM System Licence</t>
  </si>
  <si>
    <t>02254.017</t>
  </si>
  <si>
    <t>TRIM EDMS System Licence</t>
  </si>
  <si>
    <t>02254.018</t>
  </si>
  <si>
    <t>TRIM EDMS Integration Licence</t>
  </si>
  <si>
    <t>02254.019</t>
  </si>
  <si>
    <t>TRIM EDMS System Mntce</t>
  </si>
  <si>
    <t>02254.021</t>
  </si>
  <si>
    <t>Easyscan Scanning Licenses and Mntce</t>
  </si>
  <si>
    <t>02254.023</t>
  </si>
  <si>
    <t>ESRI Geographical Information Systems</t>
  </si>
  <si>
    <t>02254.024</t>
  </si>
  <si>
    <t>Microsoft Volume Licence Agreement</t>
  </si>
  <si>
    <t>02254.025</t>
  </si>
  <si>
    <t>Other Miscellanous Software Licences</t>
  </si>
  <si>
    <t>02254.026</t>
  </si>
  <si>
    <t>Electronic Agendas and Minutes</t>
  </si>
  <si>
    <t>02254.027</t>
  </si>
  <si>
    <t>Client Server Tools 4J Maintenance</t>
  </si>
  <si>
    <t>02254.028</t>
  </si>
  <si>
    <t>Process Mapping and Documentation Softwa</t>
  </si>
  <si>
    <t>02254.029</t>
  </si>
  <si>
    <t>Profile.id, Atlas.id and Economy.id Base</t>
  </si>
  <si>
    <t>02255</t>
  </si>
  <si>
    <t>Infrastructure Software</t>
  </si>
  <si>
    <t>02255.007</t>
  </si>
  <si>
    <t>VMWare Virtulisation Licence and Mntce</t>
  </si>
  <si>
    <t>02255.008</t>
  </si>
  <si>
    <t>Citrix Remote Access/ Virtual Lic/Mntce</t>
  </si>
  <si>
    <t>02255.009</t>
  </si>
  <si>
    <t>Other Misc Infrastructure Lic/Mntce</t>
  </si>
  <si>
    <t>02255.011</t>
  </si>
  <si>
    <t>CommVault Data Storage Systems Mntce</t>
  </si>
  <si>
    <t>02255.012</t>
  </si>
  <si>
    <t>Linux  Licence and Maintenance</t>
  </si>
  <si>
    <t>02255.014</t>
  </si>
  <si>
    <t>Service Desk Licence and Maintenance</t>
  </si>
  <si>
    <t>02255.015</t>
  </si>
  <si>
    <t>Email Filtering and Hosted Archiving</t>
  </si>
  <si>
    <t>02257</t>
  </si>
  <si>
    <t>Hardware Infrastructure Maintenance</t>
  </si>
  <si>
    <t>02257.031</t>
  </si>
  <si>
    <t>Hitachi Data Systems Maintenance</t>
  </si>
  <si>
    <t>02257.032</t>
  </si>
  <si>
    <t>Other Miscellaneous Repair and Mntce</t>
  </si>
  <si>
    <t>02257.033</t>
  </si>
  <si>
    <t>Connectivity Replacement and Upgrades</t>
  </si>
  <si>
    <t>02257.034</t>
  </si>
  <si>
    <t>Security Maintenance and Replacement</t>
  </si>
  <si>
    <t>02257.035</t>
  </si>
  <si>
    <t>Lease Payments Desktop and Server Hardwa</t>
  </si>
  <si>
    <t>02258</t>
  </si>
  <si>
    <t>Operating Expenses - IT and GIS</t>
  </si>
  <si>
    <t>02258.008</t>
  </si>
  <si>
    <t>Insurance</t>
  </si>
  <si>
    <t>02258.014</t>
  </si>
  <si>
    <t>Call and Data Costs</t>
  </si>
  <si>
    <t>02258.015</t>
  </si>
  <si>
    <t>Off-site Secure Storage Service</t>
  </si>
  <si>
    <t>02258.016</t>
  </si>
  <si>
    <t>General Administration and Operations</t>
  </si>
  <si>
    <t>02258.017</t>
  </si>
  <si>
    <t>On-Call and Call out Emergency Arrangeme</t>
  </si>
  <si>
    <t>02259</t>
  </si>
  <si>
    <t>Telecommunications</t>
  </si>
  <si>
    <t>02259.007</t>
  </si>
  <si>
    <t>Web Hosting Costs</t>
  </si>
  <si>
    <t>02259.008</t>
  </si>
  <si>
    <t>PABX Repairs, Maintenance and Handsets</t>
  </si>
  <si>
    <t>02259.011</t>
  </si>
  <si>
    <t>Corporate Data Links</t>
  </si>
  <si>
    <t>02261</t>
  </si>
  <si>
    <t>Records Management</t>
  </si>
  <si>
    <t>02261.001</t>
  </si>
  <si>
    <t>02261.011</t>
  </si>
  <si>
    <t>Stationery and Archival Costs</t>
  </si>
  <si>
    <t>02261.012</t>
  </si>
  <si>
    <t>Document Production Costs</t>
  </si>
  <si>
    <t>02261.013</t>
  </si>
  <si>
    <t>Document Storage and Retrieval Costs</t>
  </si>
  <si>
    <t>02261.014</t>
  </si>
  <si>
    <t>Postage</t>
  </si>
  <si>
    <t>02263</t>
  </si>
  <si>
    <t>Non-Core Services</t>
  </si>
  <si>
    <t>02263.003</t>
  </si>
  <si>
    <t>Admin - Multifunction Printers Rent/Mntc</t>
  </si>
  <si>
    <t>02263.004</t>
  </si>
  <si>
    <t>Corporate Landlines - Administration Cen</t>
  </si>
  <si>
    <t>02264</t>
  </si>
  <si>
    <t>IT Strategic Plan Actions</t>
  </si>
  <si>
    <t>02264.001</t>
  </si>
  <si>
    <t>IS Strategic Plan Actions</t>
  </si>
  <si>
    <t>02267</t>
  </si>
  <si>
    <t>Debt Servicing</t>
  </si>
  <si>
    <t>02267.001</t>
  </si>
  <si>
    <t>02269</t>
  </si>
  <si>
    <t>02269.091</t>
  </si>
  <si>
    <t>02269.910</t>
  </si>
  <si>
    <t>01145</t>
  </si>
  <si>
    <t>Fees and Charges - Records Management</t>
  </si>
  <si>
    <t>01145.001</t>
  </si>
  <si>
    <t>FOI Requests</t>
  </si>
  <si>
    <t>01145.002</t>
  </si>
  <si>
    <t>Document Enquiries</t>
  </si>
  <si>
    <t>01145.003</t>
  </si>
  <si>
    <t>Subpoena Fees</t>
  </si>
  <si>
    <t>01145.007</t>
  </si>
  <si>
    <t>Document Scanning Fees</t>
  </si>
  <si>
    <t>Community Development (1.11.03.19.00.00)</t>
  </si>
  <si>
    <t>02321</t>
  </si>
  <si>
    <t>Bangalow Heritage House S355 Committee</t>
  </si>
  <si>
    <t>02321.001</t>
  </si>
  <si>
    <t>General Expenditure</t>
  </si>
  <si>
    <t>02322</t>
  </si>
  <si>
    <t>Ocean Shores Community Centre</t>
  </si>
  <si>
    <t>02322.014</t>
  </si>
  <si>
    <t>Kitchen Equipment</t>
  </si>
  <si>
    <t>02329</t>
  </si>
  <si>
    <t>Byron Bay Senior Citizens Hall</t>
  </si>
  <si>
    <t>02329.001</t>
  </si>
  <si>
    <t>Miscellaneous Expenses</t>
  </si>
  <si>
    <t>02331</t>
  </si>
  <si>
    <t>Community Development and Assistance</t>
  </si>
  <si>
    <t>02331.001</t>
  </si>
  <si>
    <t>02331.005</t>
  </si>
  <si>
    <t>Emergency Housing</t>
  </si>
  <si>
    <t>02331.008</t>
  </si>
  <si>
    <t>02331.017</t>
  </si>
  <si>
    <t>Implementation of Cultural Projects</t>
  </si>
  <si>
    <t>02331.052</t>
  </si>
  <si>
    <t>02331.053</t>
  </si>
  <si>
    <t>Aboriginal/Torres Strait Is'der Projects</t>
  </si>
  <si>
    <t>02331.054</t>
  </si>
  <si>
    <t>Interagency Network Facilitation</t>
  </si>
  <si>
    <t>02331.058</t>
  </si>
  <si>
    <t>Aboriginal Committee Management</t>
  </si>
  <si>
    <t>02331.059</t>
  </si>
  <si>
    <t>Volunteers Recognition</t>
  </si>
  <si>
    <t>02331.065</t>
  </si>
  <si>
    <t>Reconciliation / NAIDOC Week</t>
  </si>
  <si>
    <t>02331.071</t>
  </si>
  <si>
    <t>Schoolies Approvals</t>
  </si>
  <si>
    <t>02331.072</t>
  </si>
  <si>
    <t>Plan of Management for Byron Rec Ground</t>
  </si>
  <si>
    <t>02331.074</t>
  </si>
  <si>
    <t>Sport and Recreation Disability Grant</t>
  </si>
  <si>
    <t>02331.075</t>
  </si>
  <si>
    <t>Seasonal Styles â Bundjalung Arts Coll</t>
  </si>
  <si>
    <t>02331.076</t>
  </si>
  <si>
    <t>Indigenous Language Art Project</t>
  </si>
  <si>
    <t>02331.077</t>
  </si>
  <si>
    <t>Regional Wellbeing Indicator Project</t>
  </si>
  <si>
    <t>02331.078</t>
  </si>
  <si>
    <t>Social Innovation/Entrepreneurship Proje</t>
  </si>
  <si>
    <t>02331.092</t>
  </si>
  <si>
    <t>02332</t>
  </si>
  <si>
    <t>Mullumbimby Pioneer Centre</t>
  </si>
  <si>
    <t>02332.001</t>
  </si>
  <si>
    <t>Operating expenses</t>
  </si>
  <si>
    <t>02333</t>
  </si>
  <si>
    <t>Byron Bay Library Exhibition Space S355 Committee</t>
  </si>
  <si>
    <t>02333.001</t>
  </si>
  <si>
    <t>Cleaning</t>
  </si>
  <si>
    <t>02333.005</t>
  </si>
  <si>
    <t>Bank/Postage/Stationery</t>
  </si>
  <si>
    <t>02333.006</t>
  </si>
  <si>
    <t>Miscellaneous</t>
  </si>
  <si>
    <t>02333.009</t>
  </si>
  <si>
    <t>Booking Officer</t>
  </si>
  <si>
    <t>02335</t>
  </si>
  <si>
    <t>Mullumbimby Civic Hall</t>
  </si>
  <si>
    <t>02335.001</t>
  </si>
  <si>
    <t>02335.007</t>
  </si>
  <si>
    <t>02335.012</t>
  </si>
  <si>
    <t>Venue Manager Commission</t>
  </si>
  <si>
    <t>02335.013</t>
  </si>
  <si>
    <t>Venue Manager Retainer</t>
  </si>
  <si>
    <t>02336</t>
  </si>
  <si>
    <t>Brunswick Memorial Hall</t>
  </si>
  <si>
    <t>02336.001</t>
  </si>
  <si>
    <t>Brunswick Memorial Hall - Miscellaneous</t>
  </si>
  <si>
    <t>02336.009</t>
  </si>
  <si>
    <t>02337</t>
  </si>
  <si>
    <t>Brunswick Valley Community Centre</t>
  </si>
  <si>
    <t>02337.001</t>
  </si>
  <si>
    <t>Brunswick Valley Community Ctr-Miscellan</t>
  </si>
  <si>
    <t>02337.003</t>
  </si>
  <si>
    <t>02337.004</t>
  </si>
  <si>
    <t>Caretaking</t>
  </si>
  <si>
    <t>02337.012</t>
  </si>
  <si>
    <t>General Costs - San Unit</t>
  </si>
  <si>
    <t>02337.016</t>
  </si>
  <si>
    <t>02338</t>
  </si>
  <si>
    <t>Suffolk Park Community Hall</t>
  </si>
  <si>
    <t>02338.001</t>
  </si>
  <si>
    <t>Suffolk Park Community Hall-Miscellaneou</t>
  </si>
  <si>
    <t>02338.003</t>
  </si>
  <si>
    <t>02338.004</t>
  </si>
  <si>
    <t>02338.008</t>
  </si>
  <si>
    <t>02339</t>
  </si>
  <si>
    <t>South Golden Beach</t>
  </si>
  <si>
    <t>02339.001</t>
  </si>
  <si>
    <t>South Golden Beach - Miscellaneous</t>
  </si>
  <si>
    <t>02339.003</t>
  </si>
  <si>
    <t>02339.007</t>
  </si>
  <si>
    <t>Repairs &amp; Maintenance</t>
  </si>
  <si>
    <t>02341</t>
  </si>
  <si>
    <t>Section 356 Donations and Activities</t>
  </si>
  <si>
    <t>02341.002</t>
  </si>
  <si>
    <t>Cont. to Staff Christmas Party</t>
  </si>
  <si>
    <t>02341.003</t>
  </si>
  <si>
    <t>Cont. to Rescue Helicopter</t>
  </si>
  <si>
    <t>02341.007</t>
  </si>
  <si>
    <t>Cont. to Brunswick Valley Rescue</t>
  </si>
  <si>
    <t>02341.009</t>
  </si>
  <si>
    <t>Cont to DA Fees- Com Bldgs - policy 5.2</t>
  </si>
  <si>
    <t>02341.016</t>
  </si>
  <si>
    <t>Community Events - Approval Expenses</t>
  </si>
  <si>
    <t>02341.023</t>
  </si>
  <si>
    <t>Contribution - NAIDOC Week</t>
  </si>
  <si>
    <t>02341.029</t>
  </si>
  <si>
    <t>Donation to North Coast Academy of Sport</t>
  </si>
  <si>
    <t>02341.042</t>
  </si>
  <si>
    <t>Cont - Ocean Shores Pre-School Lease</t>
  </si>
  <si>
    <t>02341.091</t>
  </si>
  <si>
    <t>Mullumbimby Neighbourhood Centre</t>
  </si>
  <si>
    <t>02341.092</t>
  </si>
  <si>
    <t>Contribution - Old Country Energy Bldg</t>
  </si>
  <si>
    <t>02341.133</t>
  </si>
  <si>
    <t>Bangalow Community Childrens Ctre Contra</t>
  </si>
  <si>
    <t>02341.178</t>
  </si>
  <si>
    <t>Brunswick Volunteer Marine Rescue</t>
  </si>
  <si>
    <t>02341.228</t>
  </si>
  <si>
    <t>BVC BB Old Station Masters Cottage</t>
  </si>
  <si>
    <t>02341.229</t>
  </si>
  <si>
    <t>Tyagarah Recreational Club Lease</t>
  </si>
  <si>
    <t>02341.231</t>
  </si>
  <si>
    <t>Lilly Pilly Community Pre-School (Contr)</t>
  </si>
  <si>
    <t>02341.232</t>
  </si>
  <si>
    <t>Tweed/Byron Life Education</t>
  </si>
  <si>
    <t>02341.233</t>
  </si>
  <si>
    <t>02341.234</t>
  </si>
  <si>
    <t>Periwinkle Pre-School Lease Rent Subsidy</t>
  </si>
  <si>
    <t>02342</t>
  </si>
  <si>
    <t>New Years Eve Committee</t>
  </si>
  <si>
    <t>02342.012</t>
  </si>
  <si>
    <t>Media &amp; Communications</t>
  </si>
  <si>
    <t>02342.013</t>
  </si>
  <si>
    <t>Volunteers</t>
  </si>
  <si>
    <t>02345</t>
  </si>
  <si>
    <t>Youth Development</t>
  </si>
  <si>
    <t>02345.001</t>
  </si>
  <si>
    <t>02345.003</t>
  </si>
  <si>
    <t>Byron Youth Council</t>
  </si>
  <si>
    <t>02345.021</t>
  </si>
  <si>
    <t>Byron Youth Service Street Cruise Pjct</t>
  </si>
  <si>
    <t>02347</t>
  </si>
  <si>
    <t>Youth Activities</t>
  </si>
  <si>
    <t>02347.001</t>
  </si>
  <si>
    <t>Youth Programs</t>
  </si>
  <si>
    <t>02347.003</t>
  </si>
  <si>
    <t>Skate Competitions/Rukkus</t>
  </si>
  <si>
    <t>02347.004</t>
  </si>
  <si>
    <t>Youth Art Project</t>
  </si>
  <si>
    <t>02347.006</t>
  </si>
  <si>
    <t>Youth Week Expenses</t>
  </si>
  <si>
    <t>02347.014</t>
  </si>
  <si>
    <t>Youth Strategy and Action Plan Implement</t>
  </si>
  <si>
    <t>02361</t>
  </si>
  <si>
    <t>Senior Citizens</t>
  </si>
  <si>
    <t>02361.001</t>
  </si>
  <si>
    <t>Seniors Week</t>
  </si>
  <si>
    <t>02361.002</t>
  </si>
  <si>
    <t>Positive Ageing Strategy</t>
  </si>
  <si>
    <t>02362</t>
  </si>
  <si>
    <t>Youth Policy and Action Plan</t>
  </si>
  <si>
    <t>02362.001</t>
  </si>
  <si>
    <t>Small Change</t>
  </si>
  <si>
    <t>02363</t>
  </si>
  <si>
    <t>Disability Access and Inclusion Plan</t>
  </si>
  <si>
    <t>02363.001</t>
  </si>
  <si>
    <t>I'tnl Day for People with a Disability</t>
  </si>
  <si>
    <t>02363.002</t>
  </si>
  <si>
    <t>Free Wheeler Beach Chair Maintenance</t>
  </si>
  <si>
    <t>02363.003</t>
  </si>
  <si>
    <t>Disability and Access Projects</t>
  </si>
  <si>
    <t>02363.005</t>
  </si>
  <si>
    <t>Mobility Maps</t>
  </si>
  <si>
    <t>02363.009</t>
  </si>
  <si>
    <t>Liveable Communities Project II</t>
  </si>
  <si>
    <t>02364</t>
  </si>
  <si>
    <t>Cutural Plan</t>
  </si>
  <si>
    <t>02364.001</t>
  </si>
  <si>
    <t>Public Art</t>
  </si>
  <si>
    <t>02364.002</t>
  </si>
  <si>
    <t>Annual Art Prize</t>
  </si>
  <si>
    <t>02366</t>
  </si>
  <si>
    <t>Community Safety Plan</t>
  </si>
  <si>
    <t>02366.001</t>
  </si>
  <si>
    <t>Community Safety Projects</t>
  </si>
  <si>
    <t>02366.002</t>
  </si>
  <si>
    <t>Alcohol Minimisation</t>
  </si>
  <si>
    <t>02368</t>
  </si>
  <si>
    <t>02368.001</t>
  </si>
  <si>
    <t>Contribution - ANZAC Day</t>
  </si>
  <si>
    <t>02368.002</t>
  </si>
  <si>
    <t>Contribution - Australia Day</t>
  </si>
  <si>
    <t>02369</t>
  </si>
  <si>
    <t>02369.091</t>
  </si>
  <si>
    <t>01161</t>
  </si>
  <si>
    <t>Operating Grants - Community Development</t>
  </si>
  <si>
    <t>01161.004</t>
  </si>
  <si>
    <t>Youth Week</t>
  </si>
  <si>
    <t>01161.005</t>
  </si>
  <si>
    <t>Senior Citizens Week</t>
  </si>
  <si>
    <t>01171</t>
  </si>
  <si>
    <t>Mullum Civic Hall</t>
  </si>
  <si>
    <t>01171.001</t>
  </si>
  <si>
    <t>Hall Hire</t>
  </si>
  <si>
    <t>01173</t>
  </si>
  <si>
    <t>B'wick Mem. Hall</t>
  </si>
  <si>
    <t>01173.001</t>
  </si>
  <si>
    <t>01175</t>
  </si>
  <si>
    <t>B'wick Valley Com Centre</t>
  </si>
  <si>
    <t>01175.001</t>
  </si>
  <si>
    <t>01175.004</t>
  </si>
  <si>
    <t>Meals on Wheels</t>
  </si>
  <si>
    <t>01175.005</t>
  </si>
  <si>
    <t>Respite</t>
  </si>
  <si>
    <t>01177</t>
  </si>
  <si>
    <t>Suffolk Park Comm. Hall</t>
  </si>
  <si>
    <t>01177.001</t>
  </si>
  <si>
    <t>01179</t>
  </si>
  <si>
    <t>South Golden Beach Community Centre</t>
  </si>
  <si>
    <t>01179.001</t>
  </si>
  <si>
    <t>01183</t>
  </si>
  <si>
    <t>01183.001</t>
  </si>
  <si>
    <t>GST Contribution</t>
  </si>
  <si>
    <t>01183.002</t>
  </si>
  <si>
    <t>Telephone Reimbursement</t>
  </si>
  <si>
    <t>01183.003</t>
  </si>
  <si>
    <t>Hall</t>
  </si>
  <si>
    <t>01184</t>
  </si>
  <si>
    <t>01184.001</t>
  </si>
  <si>
    <t>01184.004</t>
  </si>
  <si>
    <t>Commission on Sale of Artworks</t>
  </si>
  <si>
    <t>01184.005</t>
  </si>
  <si>
    <t>Donations</t>
  </si>
  <si>
    <t>01184.006</t>
  </si>
  <si>
    <t>Interest</t>
  </si>
  <si>
    <t>01185</t>
  </si>
  <si>
    <t>01185.001</t>
  </si>
  <si>
    <t>01187</t>
  </si>
  <si>
    <t>01187.001</t>
  </si>
  <si>
    <t>Hall Rental</t>
  </si>
  <si>
    <t>Sandhills Childcare Centre (1.11.03.20.00.00)</t>
  </si>
  <si>
    <t>02395</t>
  </si>
  <si>
    <t>Sandhills - Salaries &amp; Overheads</t>
  </si>
  <si>
    <t>02395.001</t>
  </si>
  <si>
    <t>Staff Training</t>
  </si>
  <si>
    <t>02401</t>
  </si>
  <si>
    <t>Sandhills - Operating Expenses</t>
  </si>
  <si>
    <t>02401.001</t>
  </si>
  <si>
    <t>Cooks Wages (S20.20005)</t>
  </si>
  <si>
    <t>02401.002</t>
  </si>
  <si>
    <t>Admin Assist Salary(S20.2000)</t>
  </si>
  <si>
    <t>02401.004</t>
  </si>
  <si>
    <t>Teachers Wages</t>
  </si>
  <si>
    <t>02401.005</t>
  </si>
  <si>
    <t>CC Assist Wages (S20.20003)</t>
  </si>
  <si>
    <t>02401.006</t>
  </si>
  <si>
    <t>CC Workers Wages (S20.20002)</t>
  </si>
  <si>
    <t>02401.008</t>
  </si>
  <si>
    <t>Casuals</t>
  </si>
  <si>
    <t>02401.009</t>
  </si>
  <si>
    <t>Directors Wages</t>
  </si>
  <si>
    <t>02401.011</t>
  </si>
  <si>
    <t>Electricity</t>
  </si>
  <si>
    <t>02401.012</t>
  </si>
  <si>
    <t>Printing &amp; Stationery</t>
  </si>
  <si>
    <t>02401.014</t>
  </si>
  <si>
    <t>02401.015</t>
  </si>
  <si>
    <t>General &amp; Craft Consumables</t>
  </si>
  <si>
    <t>02401.017</t>
  </si>
  <si>
    <t>Food and Drink</t>
  </si>
  <si>
    <t>02401.018</t>
  </si>
  <si>
    <t>Linen Service</t>
  </si>
  <si>
    <t>02401.019</t>
  </si>
  <si>
    <t>Sanitary/Garbage</t>
  </si>
  <si>
    <t>02401.021</t>
  </si>
  <si>
    <t>Services-Cleaning</t>
  </si>
  <si>
    <t>02401.022</t>
  </si>
  <si>
    <t>Security</t>
  </si>
  <si>
    <t>02401.023</t>
  </si>
  <si>
    <t>02401.024</t>
  </si>
  <si>
    <t>Gardening</t>
  </si>
  <si>
    <t>02401.026</t>
  </si>
  <si>
    <t>Telephone</t>
  </si>
  <si>
    <t>02401.027</t>
  </si>
  <si>
    <t>Equipmnt &amp; Buildng Maint.</t>
  </si>
  <si>
    <t>02401.033</t>
  </si>
  <si>
    <t>02401.037</t>
  </si>
  <si>
    <t>Prof Development/Resources</t>
  </si>
  <si>
    <t>02401.038</t>
  </si>
  <si>
    <t>Inclusion Support Workers</t>
  </si>
  <si>
    <t>02401.095</t>
  </si>
  <si>
    <t>Rates &amp; Charges - Property</t>
  </si>
  <si>
    <t>02459</t>
  </si>
  <si>
    <t>02459.091</t>
  </si>
  <si>
    <t>01201</t>
  </si>
  <si>
    <t>Sandhills Operating Grants</t>
  </si>
  <si>
    <t>01201.001</t>
  </si>
  <si>
    <t>SCCC-Grant</t>
  </si>
  <si>
    <t>01201.002</t>
  </si>
  <si>
    <t>Fee Relief Grants</t>
  </si>
  <si>
    <t>01201.005</t>
  </si>
  <si>
    <t>Special Needs Fund-C'Wlth</t>
  </si>
  <si>
    <t>01201.007</t>
  </si>
  <si>
    <t>Jet Scheme</t>
  </si>
  <si>
    <t>01201.009</t>
  </si>
  <si>
    <t>DEEWR - Training Subsidy</t>
  </si>
  <si>
    <t>01201.021</t>
  </si>
  <si>
    <t>Student Placement Reimbursement of Costs</t>
  </si>
  <si>
    <t>01201.022</t>
  </si>
  <si>
    <t>LDC Professional Development Programme</t>
  </si>
  <si>
    <t>01221</t>
  </si>
  <si>
    <t>Fees and Charges - Sandhills</t>
  </si>
  <si>
    <t>01221.001</t>
  </si>
  <si>
    <t>Child Care</t>
  </si>
  <si>
    <t>01221.002</t>
  </si>
  <si>
    <t>Staff Charges for Meals</t>
  </si>
  <si>
    <t>01221.003</t>
  </si>
  <si>
    <t>Enrolment Fees for New Families</t>
  </si>
  <si>
    <t>Other Childrens Services (1.11.03.21.00.00)</t>
  </si>
  <si>
    <t>02383</t>
  </si>
  <si>
    <t>Outside of School Hours Care</t>
  </si>
  <si>
    <t>02383.001</t>
  </si>
  <si>
    <t>Administration Salaries</t>
  </si>
  <si>
    <t>02386</t>
  </si>
  <si>
    <t>After School Care - Byron</t>
  </si>
  <si>
    <t>02386.001</t>
  </si>
  <si>
    <t>02386.002</t>
  </si>
  <si>
    <t>SNSS Salaries &amp; Oncosts</t>
  </si>
  <si>
    <t>02386.003</t>
  </si>
  <si>
    <t>Rent</t>
  </si>
  <si>
    <t>02386.004</t>
  </si>
  <si>
    <t>Other Operating Expenses</t>
  </si>
  <si>
    <t>02387</t>
  </si>
  <si>
    <t>After School Care - Brunswick</t>
  </si>
  <si>
    <t>02387.001</t>
  </si>
  <si>
    <t>02387.002</t>
  </si>
  <si>
    <t>02387.003</t>
  </si>
  <si>
    <t>02387.004</t>
  </si>
  <si>
    <t>02388</t>
  </si>
  <si>
    <t>After School Care - Mullumbimby</t>
  </si>
  <si>
    <t>02388.001</t>
  </si>
  <si>
    <t>02388.003</t>
  </si>
  <si>
    <t>02388.004</t>
  </si>
  <si>
    <t>02392</t>
  </si>
  <si>
    <t>Vacation Care - Byron</t>
  </si>
  <si>
    <t>02392.001</t>
  </si>
  <si>
    <t>02392.002</t>
  </si>
  <si>
    <t>02392.003</t>
  </si>
  <si>
    <t>02392.004</t>
  </si>
  <si>
    <t>Excursion Expenses</t>
  </si>
  <si>
    <t>02392.005</t>
  </si>
  <si>
    <t>02393</t>
  </si>
  <si>
    <t>Vacation Care - Brunswick</t>
  </si>
  <si>
    <t>02393.001</t>
  </si>
  <si>
    <t>02393.002</t>
  </si>
  <si>
    <t>02393.003</t>
  </si>
  <si>
    <t>02393.004</t>
  </si>
  <si>
    <t>02393.005</t>
  </si>
  <si>
    <t>02394</t>
  </si>
  <si>
    <t>Vacation Care - Mullumbimby</t>
  </si>
  <si>
    <t>02394.001</t>
  </si>
  <si>
    <t>02394.002</t>
  </si>
  <si>
    <t>02394.003</t>
  </si>
  <si>
    <t>02394.004</t>
  </si>
  <si>
    <t>02394.005</t>
  </si>
  <si>
    <t>02396</t>
  </si>
  <si>
    <t>02396.001</t>
  </si>
  <si>
    <t>02460</t>
  </si>
  <si>
    <t>02460.091</t>
  </si>
  <si>
    <t>01206</t>
  </si>
  <si>
    <t>Vacation Care Operating Grants - Byron</t>
  </si>
  <si>
    <t>01206.001</t>
  </si>
  <si>
    <t>DOCS Subsidy</t>
  </si>
  <si>
    <t>01206.003</t>
  </si>
  <si>
    <t>Special Needs Grant</t>
  </si>
  <si>
    <t>01206.004</t>
  </si>
  <si>
    <t>Fee Relief Grant</t>
  </si>
  <si>
    <t>01207</t>
  </si>
  <si>
    <t>Vacation Care Operating Grants - Brunswick</t>
  </si>
  <si>
    <t>01207.001</t>
  </si>
  <si>
    <t>01207.003</t>
  </si>
  <si>
    <t>01207.004</t>
  </si>
  <si>
    <t>01208</t>
  </si>
  <si>
    <t>Vacation Care Operating Grants - Mullumbimby</t>
  </si>
  <si>
    <t>01208.002</t>
  </si>
  <si>
    <t>01208.004</t>
  </si>
  <si>
    <t>Inclusion Support (Special Needs)</t>
  </si>
  <si>
    <t>01212</t>
  </si>
  <si>
    <t>After School Care Operating Grants - Byron</t>
  </si>
  <si>
    <t>01212.001</t>
  </si>
  <si>
    <t>Sustainability Assistance (DEEWR)</t>
  </si>
  <si>
    <t>01212.002</t>
  </si>
  <si>
    <t>01212.003</t>
  </si>
  <si>
    <t>01213</t>
  </si>
  <si>
    <t>After School Care Operating Grants - Brunswick</t>
  </si>
  <si>
    <t>01213.001</t>
  </si>
  <si>
    <t>01213.002</t>
  </si>
  <si>
    <t>01213.003</t>
  </si>
  <si>
    <t>01214</t>
  </si>
  <si>
    <t>After School Care Operating Grants - Mullumbimby</t>
  </si>
  <si>
    <t>01214.001</t>
  </si>
  <si>
    <t>01214.003</t>
  </si>
  <si>
    <t>01225</t>
  </si>
  <si>
    <t>Fees and Charges - Vacation Care</t>
  </si>
  <si>
    <t>01225.001</t>
  </si>
  <si>
    <t>Byron</t>
  </si>
  <si>
    <t>01225.002</t>
  </si>
  <si>
    <t>Brunswick</t>
  </si>
  <si>
    <t>01225.003</t>
  </si>
  <si>
    <t>Mullumbimby</t>
  </si>
  <si>
    <t>01231</t>
  </si>
  <si>
    <t>Fees and charges - After School Care</t>
  </si>
  <si>
    <t>01231.001</t>
  </si>
  <si>
    <t>01231.002</t>
  </si>
  <si>
    <t>01231.003</t>
  </si>
  <si>
    <t>Public Libraries (1.11.03.22.00.00)</t>
  </si>
  <si>
    <t>02471</t>
  </si>
  <si>
    <t>Administration Expenses - Libraries</t>
  </si>
  <si>
    <t>02471.001</t>
  </si>
  <si>
    <t>Contribution to Richmond Tweed Library</t>
  </si>
  <si>
    <t>02475</t>
  </si>
  <si>
    <t>Library Maintenance and Overheads</t>
  </si>
  <si>
    <t>02475.001</t>
  </si>
  <si>
    <t>Maint. &amp; Repair</t>
  </si>
  <si>
    <t>02475.002</t>
  </si>
  <si>
    <t>Lighting Power &amp; Heating</t>
  </si>
  <si>
    <t>02475.003</t>
  </si>
  <si>
    <t>Library Building Cleaning Expenses</t>
  </si>
  <si>
    <t>02475.005</t>
  </si>
  <si>
    <t>02475.006</t>
  </si>
  <si>
    <t>Library Sundry Expenses</t>
  </si>
  <si>
    <t>02475.016</t>
  </si>
  <si>
    <t>Technical Drawings Mullum Workroom Redsi</t>
  </si>
  <si>
    <t>02475.095</t>
  </si>
  <si>
    <t>02478</t>
  </si>
  <si>
    <t>02478.001</t>
  </si>
  <si>
    <t>02479</t>
  </si>
  <si>
    <t>02479.091</t>
  </si>
  <si>
    <t>01251</t>
  </si>
  <si>
    <t>Operating Grants - Libraries</t>
  </si>
  <si>
    <t>01251.001</t>
  </si>
  <si>
    <t>Library Per Capita Grant</t>
  </si>
  <si>
    <t>Governance Services (1.11.03.24.00.00)</t>
  </si>
  <si>
    <t>02006</t>
  </si>
  <si>
    <t>Legal Services</t>
  </si>
  <si>
    <t>02006.001</t>
  </si>
  <si>
    <t>02006.002</t>
  </si>
  <si>
    <t>Administration Expenses</t>
  </si>
  <si>
    <t>02006.092</t>
  </si>
  <si>
    <t>02052</t>
  </si>
  <si>
    <t>Corporate Governance</t>
  </si>
  <si>
    <t>02052.001</t>
  </si>
  <si>
    <t>02052.002</t>
  </si>
  <si>
    <t>Overtime for Meetings</t>
  </si>
  <si>
    <t>02052.003</t>
  </si>
  <si>
    <t>Sundry Governance Expenses</t>
  </si>
  <si>
    <t>02052.004</t>
  </si>
  <si>
    <t>Integrated Planning, Reporting &amp; Promos</t>
  </si>
  <si>
    <t>02052.005</t>
  </si>
  <si>
    <t>Complaint Investigations</t>
  </si>
  <si>
    <t>02052.006</t>
  </si>
  <si>
    <t>Internal Audit Committee</t>
  </si>
  <si>
    <t>02052.007</t>
  </si>
  <si>
    <t>Internal Audit Function</t>
  </si>
  <si>
    <t>02052.008</t>
  </si>
  <si>
    <t>Printing</t>
  </si>
  <si>
    <t>02052.009</t>
  </si>
  <si>
    <t>Stationery</t>
  </si>
  <si>
    <t>02052.011</t>
  </si>
  <si>
    <t>Paper</t>
  </si>
  <si>
    <t>02052.012</t>
  </si>
  <si>
    <t>Delegations Management</t>
  </si>
  <si>
    <t>02053</t>
  </si>
  <si>
    <t>Leasing Services</t>
  </si>
  <si>
    <t>02053.001</t>
  </si>
  <si>
    <t>02053.002</t>
  </si>
  <si>
    <t>Document Preparation Costs</t>
  </si>
  <si>
    <t>02053.003</t>
  </si>
  <si>
    <t>Admin Cost Commercial Activities</t>
  </si>
  <si>
    <t>02053.004</t>
  </si>
  <si>
    <t>Lease Documentation &amp; Review</t>
  </si>
  <si>
    <t>02054</t>
  </si>
  <si>
    <t>Strategic Procurement</t>
  </si>
  <si>
    <t>02054.001</t>
  </si>
  <si>
    <t>02054.002</t>
  </si>
  <si>
    <t>Sundry Procurement Expenses</t>
  </si>
  <si>
    <t>02054.003</t>
  </si>
  <si>
    <t>Procurement Documentation &amp; Review</t>
  </si>
  <si>
    <t>02054.004</t>
  </si>
  <si>
    <t>Strategic Procurement Roadmap</t>
  </si>
  <si>
    <t>02054.005</t>
  </si>
  <si>
    <t>Crown Lease and Land Matter Costs</t>
  </si>
  <si>
    <t>02171</t>
  </si>
  <si>
    <t>Directorate - Corporate and Community Services</t>
  </si>
  <si>
    <t>02171.001</t>
  </si>
  <si>
    <t>02171.005</t>
  </si>
  <si>
    <t>02171.092</t>
  </si>
  <si>
    <t>02176</t>
  </si>
  <si>
    <t>Governance Services</t>
  </si>
  <si>
    <t>02176.001</t>
  </si>
  <si>
    <t>02176.002</t>
  </si>
  <si>
    <t>02176.092</t>
  </si>
  <si>
    <t>02189</t>
  </si>
  <si>
    <t>02189.091</t>
  </si>
  <si>
    <t>02189.910</t>
  </si>
  <si>
    <t>02221</t>
  </si>
  <si>
    <t>Insurance Premiums</t>
  </si>
  <si>
    <t>02221.001</t>
  </si>
  <si>
    <t>Premium - Fidelity Guarantee</t>
  </si>
  <si>
    <t>02221.002</t>
  </si>
  <si>
    <t>Premium - Prof. Indemnity/Public Liabili</t>
  </si>
  <si>
    <t>02221.003</t>
  </si>
  <si>
    <t>Premium - Councillors / Staff Liability</t>
  </si>
  <si>
    <t>02221.004</t>
  </si>
  <si>
    <t>Premium - Personal Accident</t>
  </si>
  <si>
    <t>02221.005</t>
  </si>
  <si>
    <t>Premium - Casual Hirers Liability</t>
  </si>
  <si>
    <t>02221.006</t>
  </si>
  <si>
    <t>Premium - Industrial Special Risks</t>
  </si>
  <si>
    <t>02221.007</t>
  </si>
  <si>
    <t>Premium - Marine</t>
  </si>
  <si>
    <t>02221.011</t>
  </si>
  <si>
    <t>Property (ISR) Rebate</t>
  </si>
  <si>
    <t>02221.014</t>
  </si>
  <si>
    <t>Risk Management Incentive Dividend</t>
  </si>
  <si>
    <t>02221.015</t>
  </si>
  <si>
    <t>Motor Vehicle Rebate</t>
  </si>
  <si>
    <t>02221.016</t>
  </si>
  <si>
    <t>Security &amp; Privacy Protection</t>
  </si>
  <si>
    <t>02221.017</t>
  </si>
  <si>
    <t>Accumlated Equity Rebate</t>
  </si>
  <si>
    <t>02225</t>
  </si>
  <si>
    <t>Risk Management - Operating Expenses</t>
  </si>
  <si>
    <t>02225.001</t>
  </si>
  <si>
    <t>Risk Management Programs</t>
  </si>
  <si>
    <t>02225.003</t>
  </si>
  <si>
    <t>Excess on Prof. Indemn. / Public Liab.</t>
  </si>
  <si>
    <t>02225.005</t>
  </si>
  <si>
    <t>20001</t>
  </si>
  <si>
    <t>Legal Expenses</t>
  </si>
  <si>
    <t>20001.001</t>
  </si>
  <si>
    <t>General Legal Expenses</t>
  </si>
  <si>
    <t>20001.003</t>
  </si>
  <si>
    <t>Gordon Highlands Pty Ltd</t>
  </si>
  <si>
    <t>20001.014</t>
  </si>
  <si>
    <t>BSC ats Bertram</t>
  </si>
  <si>
    <t>20001.015</t>
  </si>
  <si>
    <t>BSC ats Morgan</t>
  </si>
  <si>
    <t>01101</t>
  </si>
  <si>
    <t>Fees and Charges - Administration</t>
  </si>
  <si>
    <t>01101.006</t>
  </si>
  <si>
    <t>Morning Tea Staff Contributions</t>
  </si>
  <si>
    <t>01199</t>
  </si>
  <si>
    <t>Other - User Fees and Charges</t>
  </si>
  <si>
    <t>01199.002</t>
  </si>
  <si>
    <t>Document Preparation and Legal Fees</t>
  </si>
  <si>
    <t>Supervision and Administration (1.11.04.01.00.00)</t>
  </si>
  <si>
    <t>03001</t>
  </si>
  <si>
    <t>Directorate - Construction and Maintenance</t>
  </si>
  <si>
    <t>03001.001</t>
  </si>
  <si>
    <t>Directorate - Salaries &amp; Oncosts</t>
  </si>
  <si>
    <t>03001.092</t>
  </si>
  <si>
    <t>Motor Vehicle R/Expenses - Directorate</t>
  </si>
  <si>
    <t>03005</t>
  </si>
  <si>
    <t>Asset Management</t>
  </si>
  <si>
    <t>03005.001</t>
  </si>
  <si>
    <t>Asset Management - Salaries &amp; Oncosts</t>
  </si>
  <si>
    <t>03005.005</t>
  </si>
  <si>
    <t>Drainage Flood Engineer - Salary and Onc</t>
  </si>
  <si>
    <t>03006</t>
  </si>
  <si>
    <t>Open Space &amp; Recreation - Salaries &amp; Oncosts</t>
  </si>
  <si>
    <t>03006.001</t>
  </si>
  <si>
    <t>Open Space &amp; Recrea - Salaries &amp; Oncosts</t>
  </si>
  <si>
    <t>03006.092</t>
  </si>
  <si>
    <t>Motor Vehicle R/Expenses - Open Space &amp;</t>
  </si>
  <si>
    <t>03008</t>
  </si>
  <si>
    <t>Depot Services and Management</t>
  </si>
  <si>
    <t>03008.001</t>
  </si>
  <si>
    <t>Depot Serv. &amp; Manag. - Salaries &amp; Oncost</t>
  </si>
  <si>
    <t>03008.092</t>
  </si>
  <si>
    <t>03015</t>
  </si>
  <si>
    <t>Design and Survey</t>
  </si>
  <si>
    <t>03015.001</t>
  </si>
  <si>
    <t>Design and Survey - Salaries &amp; Oncost</t>
  </si>
  <si>
    <t>03015.002</t>
  </si>
  <si>
    <t>Survey &amp; Resumption</t>
  </si>
  <si>
    <t>03015.003</t>
  </si>
  <si>
    <t>Soil Testing</t>
  </si>
  <si>
    <t>03015.092</t>
  </si>
  <si>
    <t>Motor Vehicle Expenses</t>
  </si>
  <si>
    <t>03021</t>
  </si>
  <si>
    <t>03021.001</t>
  </si>
  <si>
    <t>Mobile Telephones</t>
  </si>
  <si>
    <t>03021.004</t>
  </si>
  <si>
    <t>Sundry Office Expenses</t>
  </si>
  <si>
    <t>03021.005</t>
  </si>
  <si>
    <t>Software Maint Agreements - Roads</t>
  </si>
  <si>
    <t>03021.007</t>
  </si>
  <si>
    <t>Engineering Instruments</t>
  </si>
  <si>
    <t>03021.008</t>
  </si>
  <si>
    <t>Supervision - General Operating Expenses</t>
  </si>
  <si>
    <t>03021.012</t>
  </si>
  <si>
    <t>Outdoor Wages</t>
  </si>
  <si>
    <t>03029</t>
  </si>
  <si>
    <t>03029.091</t>
  </si>
  <si>
    <t>03029.910</t>
  </si>
  <si>
    <t>Emergency Services (1.11.04.02.00.00)</t>
  </si>
  <si>
    <t>02831</t>
  </si>
  <si>
    <t>Contributions</t>
  </si>
  <si>
    <t>02831.001</t>
  </si>
  <si>
    <t>Contribution to Bush Fire Fighting Fund</t>
  </si>
  <si>
    <t>02831.002</t>
  </si>
  <si>
    <t>Contribution to NSW Fire Brigades</t>
  </si>
  <si>
    <t>02831.003</t>
  </si>
  <si>
    <t>Contribution - SES</t>
  </si>
  <si>
    <t>02837</t>
  </si>
  <si>
    <t>Telephone Calls</t>
  </si>
  <si>
    <t>02837.001</t>
  </si>
  <si>
    <t>Telephone Calls - Byron</t>
  </si>
  <si>
    <t>02837.009</t>
  </si>
  <si>
    <t>Tweed Mobiles</t>
  </si>
  <si>
    <t>02838</t>
  </si>
  <si>
    <t>Telephone Rental</t>
  </si>
  <si>
    <t>02838.022</t>
  </si>
  <si>
    <t>Immediate Reception/Despatch</t>
  </si>
  <si>
    <t>02839</t>
  </si>
  <si>
    <t>Vehicle Petrol and Oil</t>
  </si>
  <si>
    <t>02839.001</t>
  </si>
  <si>
    <t>Billinudgel 1</t>
  </si>
  <si>
    <t>02840</t>
  </si>
  <si>
    <t>Vehicle Maintenance and Repairs</t>
  </si>
  <si>
    <t>02840.001</t>
  </si>
  <si>
    <t>02841</t>
  </si>
  <si>
    <t>Operating Expenses</t>
  </si>
  <si>
    <t>02841.001</t>
  </si>
  <si>
    <t>02841.003</t>
  </si>
  <si>
    <t>Freight</t>
  </si>
  <si>
    <t>02841.005</t>
  </si>
  <si>
    <t>02841.009</t>
  </si>
  <si>
    <t>Pumps Maint. &amp; Repair</t>
  </si>
  <si>
    <t>02841.011</t>
  </si>
  <si>
    <t>Radios Maint. &amp; Repair</t>
  </si>
  <si>
    <t>02841.013</t>
  </si>
  <si>
    <t>Stations / Sheds Maint. &amp; Repair</t>
  </si>
  <si>
    <t>02841.014</t>
  </si>
  <si>
    <t>Office Expenses</t>
  </si>
  <si>
    <t>02841.019</t>
  </si>
  <si>
    <t>Office Maintenance</t>
  </si>
  <si>
    <t>02841.021</t>
  </si>
  <si>
    <t>RFS - Ballina</t>
  </si>
  <si>
    <t>02841.022</t>
  </si>
  <si>
    <t>RFS - Tweed</t>
  </si>
  <si>
    <t>02841.025</t>
  </si>
  <si>
    <t>Station/Shed Maintenance &amp; Repairs</t>
  </si>
  <si>
    <t>02842</t>
  </si>
  <si>
    <t>Combined Local Emergency Management Committee (LEM</t>
  </si>
  <si>
    <t>02842.001</t>
  </si>
  <si>
    <t>Combined Local Emergency Management (LEM</t>
  </si>
  <si>
    <t>03041</t>
  </si>
  <si>
    <t>State Emergency Services</t>
  </si>
  <si>
    <t>03041.002</t>
  </si>
  <si>
    <t>SES - Sundry Working Expenses</t>
  </si>
  <si>
    <t>03045</t>
  </si>
  <si>
    <t>Flood Mitigation</t>
  </si>
  <si>
    <t>03045.001</t>
  </si>
  <si>
    <t>Floodplain Manag. Authority Membership</t>
  </si>
  <si>
    <t>03045.003</t>
  </si>
  <si>
    <t>Brunswick River Flood Warning Telemetry</t>
  </si>
  <si>
    <t>03045.004</t>
  </si>
  <si>
    <t>Flood Plain Investigation</t>
  </si>
  <si>
    <t>03045.017</t>
  </si>
  <si>
    <t>Mullumbimby Floodplain Management Study</t>
  </si>
  <si>
    <t>03045.022</t>
  </si>
  <si>
    <t>North Byron FRMS&amp;P</t>
  </si>
  <si>
    <t>03059</t>
  </si>
  <si>
    <t>03059.091</t>
  </si>
  <si>
    <t>01651</t>
  </si>
  <si>
    <t>Operating Grants</t>
  </si>
  <si>
    <t>01651.001</t>
  </si>
  <si>
    <t>Bush Fire - Operations</t>
  </si>
  <si>
    <t>01652</t>
  </si>
  <si>
    <t>Other Income</t>
  </si>
  <si>
    <t>01652.005</t>
  </si>
  <si>
    <t>01771</t>
  </si>
  <si>
    <t>01771.017</t>
  </si>
  <si>
    <t>Depot Services and Fleet Management (1.11.04.03.00.00)</t>
  </si>
  <si>
    <t>01705</t>
  </si>
  <si>
    <t>Fleet Management - Fees and Charges</t>
  </si>
  <si>
    <t>01705.001</t>
  </si>
  <si>
    <t>Plant - Internal Hire Charges</t>
  </si>
  <si>
    <t>01705.002</t>
  </si>
  <si>
    <t>Sundry Income - NCO Vehicles</t>
  </si>
  <si>
    <t>01705.008</t>
  </si>
  <si>
    <t>Fuel Tax Credits</t>
  </si>
  <si>
    <t>03071</t>
  </si>
  <si>
    <t>Depot Operating Expenses</t>
  </si>
  <si>
    <t>03071.001</t>
  </si>
  <si>
    <t>Depot - Workshop Wages &amp; Oncosts</t>
  </si>
  <si>
    <t>03071.002</t>
  </si>
  <si>
    <t>Byron Depot - Training Room Expenses</t>
  </si>
  <si>
    <t>03071.003</t>
  </si>
  <si>
    <t>Stores - Plant</t>
  </si>
  <si>
    <t>03071.004</t>
  </si>
  <si>
    <t>Stores - Operating Expenses</t>
  </si>
  <si>
    <t>03071.005</t>
  </si>
  <si>
    <t>Stores &amp; Materials - Freight</t>
  </si>
  <si>
    <t>03071.006</t>
  </si>
  <si>
    <t>Two Way Radio Expenses</t>
  </si>
  <si>
    <t>03071.007</t>
  </si>
  <si>
    <t>Depot - Sundry Expenses</t>
  </si>
  <si>
    <t>03071.008</t>
  </si>
  <si>
    <t>Depot - Maint. &amp; Repairs</t>
  </si>
  <si>
    <t>03071.011</t>
  </si>
  <si>
    <t>Workshop Operating Expenses</t>
  </si>
  <si>
    <t>03071.012</t>
  </si>
  <si>
    <t>Obsolete Stock Writeoff</t>
  </si>
  <si>
    <t>03081</t>
  </si>
  <si>
    <t>Fleet Management Operating Expenses</t>
  </si>
  <si>
    <t>03081.003</t>
  </si>
  <si>
    <t>Fleet Management Costs</t>
  </si>
  <si>
    <t>03081.004</t>
  </si>
  <si>
    <t>03081.007</t>
  </si>
  <si>
    <t>Aus Fleet</t>
  </si>
  <si>
    <t>03082</t>
  </si>
  <si>
    <t>Plant Running Expense (Ausfleet)</t>
  </si>
  <si>
    <t>03082.007</t>
  </si>
  <si>
    <t>Plant -Insurance and Registration (AusF)</t>
  </si>
  <si>
    <t>03082.014</t>
  </si>
  <si>
    <t>Plant - Recharging Station</t>
  </si>
  <si>
    <t>03083</t>
  </si>
  <si>
    <t>Plant Running Expense Control</t>
  </si>
  <si>
    <t>03083.001</t>
  </si>
  <si>
    <t>Plant  - Fuel and Oil   3</t>
  </si>
  <si>
    <t>03083.002</t>
  </si>
  <si>
    <t>Plant  - Parts and Materials</t>
  </si>
  <si>
    <t>03083.003</t>
  </si>
  <si>
    <t>Plant  - Tyres</t>
  </si>
  <si>
    <t>03083.004</t>
  </si>
  <si>
    <t>Plant  - Contract Repairs</t>
  </si>
  <si>
    <t>03083.005</t>
  </si>
  <si>
    <t>Plant  - Accident Costs</t>
  </si>
  <si>
    <t>03083.006</t>
  </si>
  <si>
    <t>Plant  - Labour</t>
  </si>
  <si>
    <t>03083.007</t>
  </si>
  <si>
    <t>Plant  - Insurance and Registration</t>
  </si>
  <si>
    <t>03089</t>
  </si>
  <si>
    <t>Indirect Costs - Fleet Management</t>
  </si>
  <si>
    <t>03089.091</t>
  </si>
  <si>
    <t>01701</t>
  </si>
  <si>
    <t>Depot Services - Fees and Charges - External</t>
  </si>
  <si>
    <t>01701.002</t>
  </si>
  <si>
    <t>Photocopy Income</t>
  </si>
  <si>
    <t>01701.003</t>
  </si>
  <si>
    <t>Sundry Sale of Materials</t>
  </si>
  <si>
    <t>01703</t>
  </si>
  <si>
    <t>Depot Services - Fees and Charges - Internal</t>
  </si>
  <si>
    <t>01703.002</t>
  </si>
  <si>
    <t>Stores Handling Charges</t>
  </si>
  <si>
    <t>01703.003</t>
  </si>
  <si>
    <t>Contribution to Depot from Water</t>
  </si>
  <si>
    <t>01703.004</t>
  </si>
  <si>
    <t>Contribution to Depot from Sewer</t>
  </si>
  <si>
    <t>01715</t>
  </si>
  <si>
    <t>Fleet Management - Contributions</t>
  </si>
  <si>
    <t>01715.001</t>
  </si>
  <si>
    <t>Staff - Contributions to Vehicles</t>
  </si>
  <si>
    <t>Local Roads and Drainage (1.11.04.04.00.00)</t>
  </si>
  <si>
    <t>03101</t>
  </si>
  <si>
    <t>Urban Drainage Maintenance - Planned</t>
  </si>
  <si>
    <t>03101.001</t>
  </si>
  <si>
    <t>Urban Drainage - Northern Shire 1 Plan</t>
  </si>
  <si>
    <t>03101.002</t>
  </si>
  <si>
    <t>Urban Drainage - Southern Shire 2 Plan</t>
  </si>
  <si>
    <t>03101.004</t>
  </si>
  <si>
    <t>Urban Drainage - Belongil Mouth 3 Plan</t>
  </si>
  <si>
    <t>03101.005</t>
  </si>
  <si>
    <t>Urban Drainage - Clarkes Beach 4 Plan</t>
  </si>
  <si>
    <t>03101.011</t>
  </si>
  <si>
    <t>SGB Flood Pump Maintenance 4.5 Planned</t>
  </si>
  <si>
    <t>03102</t>
  </si>
  <si>
    <t>Urban Drainage Maintenance - Unplanned</t>
  </si>
  <si>
    <t>03102.001</t>
  </si>
  <si>
    <t>Urban Drainage - North Shire 5.1 Unplan</t>
  </si>
  <si>
    <t>03102.002</t>
  </si>
  <si>
    <t>Urban Drainage - South Shire 5.2 Unplan</t>
  </si>
  <si>
    <t>03105</t>
  </si>
  <si>
    <t>Rural Drainage Maintenance - Planned</t>
  </si>
  <si>
    <t>03105.001</t>
  </si>
  <si>
    <t>Rural Drainage Maint. 5 Plan</t>
  </si>
  <si>
    <t>03106</t>
  </si>
  <si>
    <t>Rural Drainage Maintenance - Unplanned</t>
  </si>
  <si>
    <t>03106.001</t>
  </si>
  <si>
    <t>Rural Drainage Maint. 5.3 Unplan</t>
  </si>
  <si>
    <t>03111</t>
  </si>
  <si>
    <t>Urban Roads Maintenance - Planned</t>
  </si>
  <si>
    <t>03111.001</t>
  </si>
  <si>
    <t>Urban Roads - Hand Patching 6 Plan</t>
  </si>
  <si>
    <t>03111.003</t>
  </si>
  <si>
    <t>Urban Roads - Heavy Patching 31 Plan</t>
  </si>
  <si>
    <t>03111.014</t>
  </si>
  <si>
    <t>Urban Roads - Guardrail Repairs Plan 33</t>
  </si>
  <si>
    <t>03111.019</t>
  </si>
  <si>
    <t>Urban Roads - Road Markings 33 Plan</t>
  </si>
  <si>
    <t>03111.027</t>
  </si>
  <si>
    <t>Urban Roads - Other Road Items Plan 33.5</t>
  </si>
  <si>
    <t>03111.028</t>
  </si>
  <si>
    <t>Urban Roads - K and G Mainte 34 Plan</t>
  </si>
  <si>
    <t>03111.029</t>
  </si>
  <si>
    <t>Urban Roads - Roadsi Waste Remo 35 Plan</t>
  </si>
  <si>
    <t>03111.032</t>
  </si>
  <si>
    <t>Urban Roads - Lane Grading 18 Plan</t>
  </si>
  <si>
    <t>03115</t>
  </si>
  <si>
    <t>Urban Roads Cleaning - Planned</t>
  </si>
  <si>
    <t>03115.001</t>
  </si>
  <si>
    <t>Urban Roads - St Sweep-Early Mor 21 Plan</t>
  </si>
  <si>
    <t>03115.002</t>
  </si>
  <si>
    <t>Urban Roads - St Sweep-Norm Mor 22 Plan</t>
  </si>
  <si>
    <t>03121</t>
  </si>
  <si>
    <t>Lighting - Planned</t>
  </si>
  <si>
    <t>03121.001</t>
  </si>
  <si>
    <t>Street Lighting Northpower 54.9  Plan</t>
  </si>
  <si>
    <t>03122</t>
  </si>
  <si>
    <t>CCTV</t>
  </si>
  <si>
    <t>03122.001</t>
  </si>
  <si>
    <t>Monitoring and Maintenance</t>
  </si>
  <si>
    <t>03125</t>
  </si>
  <si>
    <t>Sealed Rural Roads - Planned</t>
  </si>
  <si>
    <t>03125.001</t>
  </si>
  <si>
    <t>Sealed Rural - Hand Patching 8 Plan</t>
  </si>
  <si>
    <t>03125.003</t>
  </si>
  <si>
    <t>Sealed Rural - Heavy Patching 37 Plan</t>
  </si>
  <si>
    <t>03125.005</t>
  </si>
  <si>
    <t>Sealed Rural - Shoulder Grading 19 Plan</t>
  </si>
  <si>
    <t>03125.007</t>
  </si>
  <si>
    <t>Sealed Rural - Mow With Slas 24  Plan</t>
  </si>
  <si>
    <t>03125.008</t>
  </si>
  <si>
    <t>Sealed Rural - Veg Cont By Han 12 Plan</t>
  </si>
  <si>
    <t>03125.012</t>
  </si>
  <si>
    <t>Sealed Rural - R/side Tree Main 16 Plan</t>
  </si>
  <si>
    <t>03125.013</t>
  </si>
  <si>
    <t>Sealed Rural - Guidepost Repairs Plan 38</t>
  </si>
  <si>
    <t>03125.014</t>
  </si>
  <si>
    <t>Sealed Rural - Guardrail Repairs Plan 38</t>
  </si>
  <si>
    <t>03125.027</t>
  </si>
  <si>
    <t>Sealed Rural - Other Road Items Plan 38</t>
  </si>
  <si>
    <t>03125.029</t>
  </si>
  <si>
    <t>Sealed Rural - R/side Waste Remo 38 Plan</t>
  </si>
  <si>
    <t>03131</t>
  </si>
  <si>
    <t>Unsealed Rural Roads - Planned</t>
  </si>
  <si>
    <t>03131.005</t>
  </si>
  <si>
    <t>Unsealed Rural - Maint Grading 20 Plan</t>
  </si>
  <si>
    <t>03131.007</t>
  </si>
  <si>
    <t>Unsealed Rural - Mow with Slash 25 Plan</t>
  </si>
  <si>
    <t>03131.009</t>
  </si>
  <si>
    <t>Unsealed Rural - Veg Cont By Che 14 Plan</t>
  </si>
  <si>
    <t>03131.012</t>
  </si>
  <si>
    <t>Unsealed Rural-R/side Tree Main 17 Plan</t>
  </si>
  <si>
    <t>03131.013</t>
  </si>
  <si>
    <t>Unsealed Rural - Guidepost Rep 39 Plan</t>
  </si>
  <si>
    <t>03131.014</t>
  </si>
  <si>
    <t>Unsealed Rural - Guardrail Rep 40 Plan</t>
  </si>
  <si>
    <t>03131.015</t>
  </si>
  <si>
    <t>Unsealed Rural - Dead Animal Rem 41 Plan</t>
  </si>
  <si>
    <t>03131.027</t>
  </si>
  <si>
    <t>Unsealed Rural - Other Road Item 42 Plan</t>
  </si>
  <si>
    <t>03131.029</t>
  </si>
  <si>
    <t>Unsealed Rural-R/side Waste Rem 43 Plan</t>
  </si>
  <si>
    <t>03135</t>
  </si>
  <si>
    <t>Bridge Maintenance - Planned</t>
  </si>
  <si>
    <t>03135.025</t>
  </si>
  <si>
    <t>Timber Bridge Maintenance  26 Plan</t>
  </si>
  <si>
    <t>03135.026</t>
  </si>
  <si>
    <t>Concrete Bridge Maintenance  27 Plan</t>
  </si>
  <si>
    <t>03135.028</t>
  </si>
  <si>
    <t>Helen Street Footbridge Annual Mntce 27</t>
  </si>
  <si>
    <t>03141</t>
  </si>
  <si>
    <t>Footpaths - Planned</t>
  </si>
  <si>
    <t>03141.001</t>
  </si>
  <si>
    <t>Paving Maintenance  28 Plan</t>
  </si>
  <si>
    <t>03145</t>
  </si>
  <si>
    <t>Sign Maintenance - Planned</t>
  </si>
  <si>
    <t>03145.017</t>
  </si>
  <si>
    <t>Regularly &amp; Warning Signs 29 Plan</t>
  </si>
  <si>
    <t>03145.018</t>
  </si>
  <si>
    <t>Guide Signs 30 Plan</t>
  </si>
  <si>
    <t>03155</t>
  </si>
  <si>
    <t>Private Works</t>
  </si>
  <si>
    <t>03155.001</t>
  </si>
  <si>
    <t>Priv. Wks. - Plant &amp; Truck Assessment</t>
  </si>
  <si>
    <t>03155.014</t>
  </si>
  <si>
    <t>Priv. Wks. - D. Carney</t>
  </si>
  <si>
    <t>03155.056</t>
  </si>
  <si>
    <t>Priv. Wks. - R. Butcher</t>
  </si>
  <si>
    <t>03160</t>
  </si>
  <si>
    <t>Paid Parking Expenses</t>
  </si>
  <si>
    <t>03160.025</t>
  </si>
  <si>
    <t>Lease of Paid Parking Meters</t>
  </si>
  <si>
    <t>03160.026</t>
  </si>
  <si>
    <t>Implementation of Additional Paid Park'g</t>
  </si>
  <si>
    <t>03160.027</t>
  </si>
  <si>
    <t>03160.028</t>
  </si>
  <si>
    <t>Maintenance</t>
  </si>
  <si>
    <t>03160.031</t>
  </si>
  <si>
    <t>Casual Salaries</t>
  </si>
  <si>
    <t>03160.032</t>
  </si>
  <si>
    <t>Merchant Fees Citibank</t>
  </si>
  <si>
    <t>03160.033</t>
  </si>
  <si>
    <t>Simple Pay Transaction Fees</t>
  </si>
  <si>
    <t>03161</t>
  </si>
  <si>
    <t>Other Expenses - Planned</t>
  </si>
  <si>
    <t>03161.001</t>
  </si>
  <si>
    <t>Bus Shelters 44 Plan</t>
  </si>
  <si>
    <t>03161.002</t>
  </si>
  <si>
    <t>Traffic Counts 45 Plan</t>
  </si>
  <si>
    <t>03161.003</t>
  </si>
  <si>
    <t>Traffic Accidents 45.5 Plan</t>
  </si>
  <si>
    <t>03161.006</t>
  </si>
  <si>
    <t>New Years Eve Byron Clean Up 55 Plan</t>
  </si>
  <si>
    <t>03161.013</t>
  </si>
  <si>
    <t>Community Bus &amp; Life Educ Van 48  Plan</t>
  </si>
  <si>
    <t>03161.018</t>
  </si>
  <si>
    <t>Asset Management  56 Plan</t>
  </si>
  <si>
    <t>03161.036</t>
  </si>
  <si>
    <t>Survey Investigation          49 Plan</t>
  </si>
  <si>
    <t>03161.037</t>
  </si>
  <si>
    <t>Banner Installations        50 Plan</t>
  </si>
  <si>
    <t>03161.049</t>
  </si>
  <si>
    <t>Maintenance Town Clock 51 Plan</t>
  </si>
  <si>
    <t>03161.054</t>
  </si>
  <si>
    <t>Small Plant Annual Charge 52 Plan</t>
  </si>
  <si>
    <t>03161.069</t>
  </si>
  <si>
    <t>New Years Eve Traffic Control 55.5 Plan</t>
  </si>
  <si>
    <t>03161.070</t>
  </si>
  <si>
    <t>NYE Brunswick Clean Up 55.4 Plan</t>
  </si>
  <si>
    <t>03161.079</t>
  </si>
  <si>
    <t>Depot Comm Infrast. Store Issues 54.896</t>
  </si>
  <si>
    <t>03161.080</t>
  </si>
  <si>
    <t>Local Rd - Side Arm Hire 24.5</t>
  </si>
  <si>
    <t>03161.108</t>
  </si>
  <si>
    <t>Bangalow Wetland Maintenance</t>
  </si>
  <si>
    <t>03161.113</t>
  </si>
  <si>
    <t>Drains Software Annual Maintenance</t>
  </si>
  <si>
    <t>03163</t>
  </si>
  <si>
    <t>Stormwater Management - Planned</t>
  </si>
  <si>
    <t>03163.001</t>
  </si>
  <si>
    <t>Stormwater Management - Adminis Plan</t>
  </si>
  <si>
    <t>03166</t>
  </si>
  <si>
    <t>Community Event Costs</t>
  </si>
  <si>
    <t>03166.001</t>
  </si>
  <si>
    <t>Writers Festival</t>
  </si>
  <si>
    <t>03168</t>
  </si>
  <si>
    <t>03168.001</t>
  </si>
  <si>
    <t>03169</t>
  </si>
  <si>
    <t>03169.091</t>
  </si>
  <si>
    <t>03173</t>
  </si>
  <si>
    <t>Byron Bay Stormwater Drainage Maintenance</t>
  </si>
  <si>
    <t>03173.001</t>
  </si>
  <si>
    <t>Byron Bay Stormwater Drainage Maintenanc</t>
  </si>
  <si>
    <t>03174</t>
  </si>
  <si>
    <t>Park and Ride Trial</t>
  </si>
  <si>
    <t>03174.001</t>
  </si>
  <si>
    <t>Provision of Bus Services - (Except NYE)</t>
  </si>
  <si>
    <t>01721</t>
  </si>
  <si>
    <t>01721.003</t>
  </si>
  <si>
    <t>Street Lighting Subsidy</t>
  </si>
  <si>
    <t>01722</t>
  </si>
  <si>
    <t>Paid Parking Income</t>
  </si>
  <si>
    <t>01722.013</t>
  </si>
  <si>
    <t>Paid Parking  Jan 16 Onwards</t>
  </si>
  <si>
    <t>01722.014</t>
  </si>
  <si>
    <t>National Parks - Captain Cook Carpark</t>
  </si>
  <si>
    <t>01723</t>
  </si>
  <si>
    <t>Stormwater Management Service Charge</t>
  </si>
  <si>
    <t>01723.001</t>
  </si>
  <si>
    <t>Annual Charge from Rates Notice</t>
  </si>
  <si>
    <t>01724</t>
  </si>
  <si>
    <t>Income Coupon Paid Parking Resident Stickers</t>
  </si>
  <si>
    <t>01724.001</t>
  </si>
  <si>
    <t>Coupon Parking Resident Stickers</t>
  </si>
  <si>
    <t>01725</t>
  </si>
  <si>
    <t>Fees and Charges</t>
  </si>
  <si>
    <t>01725.001</t>
  </si>
  <si>
    <t>Road Closures</t>
  </si>
  <si>
    <t>01725.002</t>
  </si>
  <si>
    <t>Other Income Roads</t>
  </si>
  <si>
    <t>01725.009</t>
  </si>
  <si>
    <t>Hire of Banner Poles</t>
  </si>
  <si>
    <t>01726</t>
  </si>
  <si>
    <t>Private Works Income</t>
  </si>
  <si>
    <t>01726.001</t>
  </si>
  <si>
    <t>Priv. Wks. - Plant &amp; Truck Assessments</t>
  </si>
  <si>
    <t>Roads and Maritime Services (1.11.04.05.00.00)</t>
  </si>
  <si>
    <t>03211</t>
  </si>
  <si>
    <t>Regional Road 463 - Planned</t>
  </si>
  <si>
    <t>03211.001</t>
  </si>
  <si>
    <t>Reg - 463 Hand Patching Plan</t>
  </si>
  <si>
    <t>03211.003</t>
  </si>
  <si>
    <t>Reg - 463 Heavy Patching Plan</t>
  </si>
  <si>
    <t>03211.005</t>
  </si>
  <si>
    <t>Reg - 463 Shoulder Grading Plan</t>
  </si>
  <si>
    <t>03211.007</t>
  </si>
  <si>
    <t>Reg - 463 Roadside Slashing Plan</t>
  </si>
  <si>
    <t>03211.008</t>
  </si>
  <si>
    <t>Reg - 463 Veg Control by Hand Plan</t>
  </si>
  <si>
    <t>03211.009</t>
  </si>
  <si>
    <t>Reg - 463 Veg Control by Chemical Plan</t>
  </si>
  <si>
    <t>03211.011</t>
  </si>
  <si>
    <t>Reg - 463 Other Road Drain Maint. Plan</t>
  </si>
  <si>
    <t>03211.012</t>
  </si>
  <si>
    <t>Reg - 463 Roadside Tree Maint Plan</t>
  </si>
  <si>
    <t>03211.014</t>
  </si>
  <si>
    <t>Reg - 463 Guardrail Rep &amp; Install Plan</t>
  </si>
  <si>
    <t>03211.017</t>
  </si>
  <si>
    <t>Reg - 463 Reg &amp; Warn Sign Maint Plan</t>
  </si>
  <si>
    <t>03211.019</t>
  </si>
  <si>
    <t>Reg - 463 Road Markings Plan</t>
  </si>
  <si>
    <t>03211.022</t>
  </si>
  <si>
    <t>Reg - 463 Traffic Facilities (New) Plan</t>
  </si>
  <si>
    <t>03211.026</t>
  </si>
  <si>
    <t>Reg - 463 Concrete Bridge Plan</t>
  </si>
  <si>
    <t>03211.043</t>
  </si>
  <si>
    <t>Regional Road 463 - Other Road Items</t>
  </si>
  <si>
    <t>03213</t>
  </si>
  <si>
    <t>Regional Roads 545 - Planned</t>
  </si>
  <si>
    <t>03213.001</t>
  </si>
  <si>
    <t>REG 545 - Hand Patching Plan</t>
  </si>
  <si>
    <t>03213.003</t>
  </si>
  <si>
    <t>REG 545 - Heavy Patching Plan</t>
  </si>
  <si>
    <t>03213.005</t>
  </si>
  <si>
    <t>REG 545 - Shoulder Grading Plan</t>
  </si>
  <si>
    <t>03213.007</t>
  </si>
  <si>
    <t>REG 545 - Roadside Slashing Plan</t>
  </si>
  <si>
    <t>03213.008</t>
  </si>
  <si>
    <t>REG 545 - Veg Control by Hand Plan</t>
  </si>
  <si>
    <t>03213.009</t>
  </si>
  <si>
    <t>REG 545 - Veg Control by Chemical Plan</t>
  </si>
  <si>
    <t>03213.011</t>
  </si>
  <si>
    <t>REG 545 - Other Road Drainage Maint Plan</t>
  </si>
  <si>
    <t>03213.012</t>
  </si>
  <si>
    <t>REG 545 - Roadside Tree Maint Plan</t>
  </si>
  <si>
    <t>03213.013</t>
  </si>
  <si>
    <t>REG 545 - Guidepost Maintenance Plan</t>
  </si>
  <si>
    <t>03213.014</t>
  </si>
  <si>
    <t>REG 545 - G/rail Rep &amp; Installati Plan</t>
  </si>
  <si>
    <t>03213.017</t>
  </si>
  <si>
    <t>REG 545 - R &amp; W Sign Mainten Plan</t>
  </si>
  <si>
    <t>03213.019</t>
  </si>
  <si>
    <t>REG 545 - Road Markings Plan</t>
  </si>
  <si>
    <t>03213.022</t>
  </si>
  <si>
    <t>REG 545 - Traffic Facilities Plan</t>
  </si>
  <si>
    <t>03213.024</t>
  </si>
  <si>
    <t>REG 545 - Bitumen Reseal Plan</t>
  </si>
  <si>
    <t>03213.026</t>
  </si>
  <si>
    <t>REG 545 - Concrete Bridge Plan</t>
  </si>
  <si>
    <t>03213.043</t>
  </si>
  <si>
    <t>Regional Road 545 - Other Road Items</t>
  </si>
  <si>
    <t>03214</t>
  </si>
  <si>
    <t>Regional Roads 679 - Planned</t>
  </si>
  <si>
    <t>03214.001</t>
  </si>
  <si>
    <t>REG 679 - Hand Patching Plan</t>
  </si>
  <si>
    <t>03214.005</t>
  </si>
  <si>
    <t>REG 679 - Shoulder Grading Plan</t>
  </si>
  <si>
    <t>03214.007</t>
  </si>
  <si>
    <t>REG 679 - Roadside Slashing Plan</t>
  </si>
  <si>
    <t>03214.008</t>
  </si>
  <si>
    <t>REG 679 - Veg Control by Hand Plan</t>
  </si>
  <si>
    <t>03214.009</t>
  </si>
  <si>
    <t>REG 679 - Veg Control by Chemical Plan</t>
  </si>
  <si>
    <t>03214.011</t>
  </si>
  <si>
    <t>REG 679 - Other Road Drain Maint Plan</t>
  </si>
  <si>
    <t>03214.012</t>
  </si>
  <si>
    <t>REG 679 - Roadside Tree Maint Plan</t>
  </si>
  <si>
    <t>03214.014</t>
  </si>
  <si>
    <t>REG 679 - G/rail Rep &amp; Installati Plan</t>
  </si>
  <si>
    <t>03214.017</t>
  </si>
  <si>
    <t>REG 679 - R &amp; W Sign Mainten Plan</t>
  </si>
  <si>
    <t>03214.019</t>
  </si>
  <si>
    <t>REG 679 - Road Markings Plan</t>
  </si>
  <si>
    <t>03214.043</t>
  </si>
  <si>
    <t>Regional Road 679 - Other Road Items</t>
  </si>
  <si>
    <t>03216</t>
  </si>
  <si>
    <t>Regional Roads 689 - Planned</t>
  </si>
  <si>
    <t>03216.001</t>
  </si>
  <si>
    <t>REG 689 - Hand Patching Plan</t>
  </si>
  <si>
    <t>03216.043</t>
  </si>
  <si>
    <t>Regional Road 689 - Other Road Items</t>
  </si>
  <si>
    <t>03219</t>
  </si>
  <si>
    <t>03219.091</t>
  </si>
  <si>
    <t>Administration</t>
  </si>
  <si>
    <t>01745</t>
  </si>
  <si>
    <t>External Contributions</t>
  </si>
  <si>
    <t>01745.001</t>
  </si>
  <si>
    <t>Regional Roads Block Grant</t>
  </si>
  <si>
    <t>Open Spaces and Recreation (1.11.04.06.00.00)</t>
  </si>
  <si>
    <t>02311</t>
  </si>
  <si>
    <t>Bangalow Pool</t>
  </si>
  <si>
    <t>02311.001</t>
  </si>
  <si>
    <t>Bangalow Pool Mtce &amp; Repair</t>
  </si>
  <si>
    <t>02370</t>
  </si>
  <si>
    <t>Operational Lease/Rental Contracts</t>
  </si>
  <si>
    <t>02370.001</t>
  </si>
  <si>
    <t>Aerodrome Crown Special</t>
  </si>
  <si>
    <t>03231</t>
  </si>
  <si>
    <t>Streets and Parks - Planned</t>
  </si>
  <si>
    <t>03231.001</t>
  </si>
  <si>
    <t>Waste Collection / Disposal Plan</t>
  </si>
  <si>
    <t>03231.003</t>
  </si>
  <si>
    <t>Subsidy from Waste Management Plan</t>
  </si>
  <si>
    <t>03235</t>
  </si>
  <si>
    <t>Parks &amp; Reserves Maintenance Council</t>
  </si>
  <si>
    <t>03235.001</t>
  </si>
  <si>
    <t>Park &amp; Res. Maint-Rural-Council Plan 1</t>
  </si>
  <si>
    <t>03235.002</t>
  </si>
  <si>
    <t>Park &amp; Res. Maint-Byr. Bay-Coun Plan 2</t>
  </si>
  <si>
    <t>03235.003</t>
  </si>
  <si>
    <t>Park &amp; Res. Maint.-Mullum-Council Plan 3</t>
  </si>
  <si>
    <t>03235.005</t>
  </si>
  <si>
    <t>Park &amp; Res. Maint-O/Shores-Cou Plan 5</t>
  </si>
  <si>
    <t>03235.006</t>
  </si>
  <si>
    <t>Park &amp; Res. Maint.-S/Park-Council Plan 6</t>
  </si>
  <si>
    <t>03235.007</t>
  </si>
  <si>
    <t>Park &amp; Res. Maint-Bangalow-Cou Plan 7</t>
  </si>
  <si>
    <t>03235.008</t>
  </si>
  <si>
    <t>Park &amp; Res. Maint.-B/Heads-Counl Plan 8</t>
  </si>
  <si>
    <t>03235.009</t>
  </si>
  <si>
    <t>Park - Illegal Waste Rem - Counl Plan 9</t>
  </si>
  <si>
    <t>03235.017</t>
  </si>
  <si>
    <t>Small Plant Annual Charge Plan 11</t>
  </si>
  <si>
    <t>03235.022</t>
  </si>
  <si>
    <t>School Leavers Clean Up Plan 14</t>
  </si>
  <si>
    <t>03235.028</t>
  </si>
  <si>
    <t>APEX Park Maintenance 14.2</t>
  </si>
  <si>
    <t>03235.047</t>
  </si>
  <si>
    <t>Urban Roadside Veg Cont By Hand</t>
  </si>
  <si>
    <t>03235.048</t>
  </si>
  <si>
    <t>Urban Roadside Veg Cont By Chem</t>
  </si>
  <si>
    <t>03235.050</t>
  </si>
  <si>
    <t>Urban Roadside Tree Maintenance</t>
  </si>
  <si>
    <t>03236</t>
  </si>
  <si>
    <t>Parks &amp; Reserves Maintenance Crown</t>
  </si>
  <si>
    <t>03236.001</t>
  </si>
  <si>
    <t>Parks &amp; Res. Maint. - Rural - Cr Plan 16</t>
  </si>
  <si>
    <t>03236.002</t>
  </si>
  <si>
    <t>Park &amp; Res. Maint.-Byro Bay-Cro  Plan 17</t>
  </si>
  <si>
    <t>03236.003</t>
  </si>
  <si>
    <t>Park &amp; Res. Maint.-Mullum-Crown Plan 18</t>
  </si>
  <si>
    <t>03236.005</t>
  </si>
  <si>
    <t>Park &amp; Re. Maint.-O/Shores-Cro Plan 19</t>
  </si>
  <si>
    <t>03236.008</t>
  </si>
  <si>
    <t>Park &amp; Res. Maint.-B/Heads-Cro Pla 22</t>
  </si>
  <si>
    <t>03238</t>
  </si>
  <si>
    <t>Tennis Court Maintenance</t>
  </si>
  <si>
    <t>03238.001</t>
  </si>
  <si>
    <t>Tennis Court Maintenance  45.1</t>
  </si>
  <si>
    <t>03248</t>
  </si>
  <si>
    <t>Byron Bay Recreational Sports Fields</t>
  </si>
  <si>
    <t>03248.001</t>
  </si>
  <si>
    <t>B/Bay - Rec 1 - Council 44.1</t>
  </si>
  <si>
    <t>03248.006</t>
  </si>
  <si>
    <t>B/Bay - Rec Maint Upgrade - Council 44.1</t>
  </si>
  <si>
    <t>03250</t>
  </si>
  <si>
    <t>New Brighton Sports Fields</t>
  </si>
  <si>
    <t>03250.001</t>
  </si>
  <si>
    <t>New Brighton - Tom Kendall - Cncil 44.1</t>
  </si>
  <si>
    <t>03250.003</t>
  </si>
  <si>
    <t>New Brighton - Maint Upgrade -Cncil 44.1</t>
  </si>
  <si>
    <t>03251</t>
  </si>
  <si>
    <t>Suffolk Park Sports Fields</t>
  </si>
  <si>
    <t>03251.001</t>
  </si>
  <si>
    <t>Suffolk Park - Oval - Council 44.1</t>
  </si>
  <si>
    <t>03252</t>
  </si>
  <si>
    <t>Bangalow Sports Fields</t>
  </si>
  <si>
    <t>03252.001</t>
  </si>
  <si>
    <t>Bangalow - Schultz - Council 44.1</t>
  </si>
  <si>
    <t>03252.006</t>
  </si>
  <si>
    <t>Bangalow - Maint Upgrade - Council 44.1</t>
  </si>
  <si>
    <t>03253</t>
  </si>
  <si>
    <t>Mullumbimby Recreational Sports Fields</t>
  </si>
  <si>
    <t>03253.001</t>
  </si>
  <si>
    <t>Mullumbimby - Rec Barry Lom - Crown 44.1</t>
  </si>
  <si>
    <t>03253.004</t>
  </si>
  <si>
    <t>Mullum - Rec Maint Upgde - Crown 44.1</t>
  </si>
  <si>
    <t>03254</t>
  </si>
  <si>
    <t>Mullumbimby Pine Avenue Sports Fields</t>
  </si>
  <si>
    <t>03254.001</t>
  </si>
  <si>
    <t>Mullumbimby - Pine Soccer - Crown 44.1</t>
  </si>
  <si>
    <t>03254.003</t>
  </si>
  <si>
    <t>Mullum -Pine Maint Upgrade - Crown 44.1</t>
  </si>
  <si>
    <t>03255</t>
  </si>
  <si>
    <t>Eureka Sports Fields</t>
  </si>
  <si>
    <t>03255.001</t>
  </si>
  <si>
    <t>Eureka - Soccer - Crown 44.1</t>
  </si>
  <si>
    <t>03256</t>
  </si>
  <si>
    <t>Brunswick Heads Sports Fields</t>
  </si>
  <si>
    <t>03256.001</t>
  </si>
  <si>
    <t>Brunswick Heads - Hockey - Crown 44.1</t>
  </si>
  <si>
    <t>03256.006</t>
  </si>
  <si>
    <t>B/Heads Maint Upgrade - Crown 44.1</t>
  </si>
  <si>
    <t>03263</t>
  </si>
  <si>
    <t>Parks - Other Expenses</t>
  </si>
  <si>
    <t>03263.001</t>
  </si>
  <si>
    <t>Continual Town/Reserves Cleaning Plan 24</t>
  </si>
  <si>
    <t>03263.003</t>
  </si>
  <si>
    <t>Urban Tree Management Plan 48</t>
  </si>
  <si>
    <t>03263.005</t>
  </si>
  <si>
    <t>Steam Weeding &amp; Grafitti Removal Team</t>
  </si>
  <si>
    <t>03263.008</t>
  </si>
  <si>
    <t>03264</t>
  </si>
  <si>
    <t>Bushfire Hazard Reduction</t>
  </si>
  <si>
    <t>03264.001</t>
  </si>
  <si>
    <t>Bushfire Hazard Reduc Counl Land Pl 44.9</t>
  </si>
  <si>
    <t>03267</t>
  </si>
  <si>
    <t>Cont to Surf Life Saving - Non Inco Crown Res Plan</t>
  </si>
  <si>
    <t>03267.001</t>
  </si>
  <si>
    <t>Con Surf Life Sav-Non Inc Cr Res Plan 50</t>
  </si>
  <si>
    <t>03279</t>
  </si>
  <si>
    <t>Natural Disaster PW 4 June 2016</t>
  </si>
  <si>
    <t>03279.010</t>
  </si>
  <si>
    <t>Tree - Coolamon Scenic, nr Friday Hut Rd</t>
  </si>
  <si>
    <t>03279.017</t>
  </si>
  <si>
    <t>Trees - Broken Head Road</t>
  </si>
  <si>
    <t>03279.029</t>
  </si>
  <si>
    <t>Main Beach Access Restoration</t>
  </si>
  <si>
    <t>03279.030</t>
  </si>
  <si>
    <t>Trees - Sandpiper Court</t>
  </si>
  <si>
    <t>03279.031</t>
  </si>
  <si>
    <t>Trees - Kamala Court</t>
  </si>
  <si>
    <t>03279.034</t>
  </si>
  <si>
    <t>Debris - Marvell and Middleton</t>
  </si>
  <si>
    <t>03279.042</t>
  </si>
  <si>
    <t>Tree - Friday Hut Road</t>
  </si>
  <si>
    <t>03279.044</t>
  </si>
  <si>
    <t>Tree - Yamble Drive</t>
  </si>
  <si>
    <t>03279.045</t>
  </si>
  <si>
    <t>Tree - Myocum Street</t>
  </si>
  <si>
    <t>03279.046</t>
  </si>
  <si>
    <t>Pine Tree Branches, Gahwang Court</t>
  </si>
  <si>
    <t>03285</t>
  </si>
  <si>
    <t>Beach Maintenance</t>
  </si>
  <si>
    <t>03285.001</t>
  </si>
  <si>
    <t>Beach Foreshores Maint. Plan 78</t>
  </si>
  <si>
    <t>03285.002</t>
  </si>
  <si>
    <t>Beach Walkways Maint. Plan 79</t>
  </si>
  <si>
    <t>03301</t>
  </si>
  <si>
    <t>Byron Bay Cemetery</t>
  </si>
  <si>
    <t>03301.001</t>
  </si>
  <si>
    <t>Byron Bay Cemetery - Interments Plan 93</t>
  </si>
  <si>
    <t>03301.002</t>
  </si>
  <si>
    <t>Byron Bay Cemetery - Maintenance Plan 94</t>
  </si>
  <si>
    <t>03301.003</t>
  </si>
  <si>
    <t>Small Plant Annual Charge Plan 95</t>
  </si>
  <si>
    <t>03301.004</t>
  </si>
  <si>
    <t>Payroll Tax 95.1</t>
  </si>
  <si>
    <t>03305</t>
  </si>
  <si>
    <t>Mullumbimby Cemetery</t>
  </si>
  <si>
    <t>03305.001</t>
  </si>
  <si>
    <t>Mullumbimby Cemetery - Interm Plan 96</t>
  </si>
  <si>
    <t>03305.002</t>
  </si>
  <si>
    <t>Mullumbimby Cemetery - Maint Plan 97</t>
  </si>
  <si>
    <t>03311</t>
  </si>
  <si>
    <t>Clunes Cemetery</t>
  </si>
  <si>
    <t>03311.001</t>
  </si>
  <si>
    <t>Clunes Cemetery - Interments Plan 98</t>
  </si>
  <si>
    <t>03311.002</t>
  </si>
  <si>
    <t>Clunes Cemetery - Maintenance Plan 99</t>
  </si>
  <si>
    <t>03315</t>
  </si>
  <si>
    <t>Bangalow Cemetery</t>
  </si>
  <si>
    <t>03315.001</t>
  </si>
  <si>
    <t>Bangalow Cemetery - Interments Plan 100</t>
  </si>
  <si>
    <t>03315.002</t>
  </si>
  <si>
    <t>Bangalow Cemetery - Maint Plan 101</t>
  </si>
  <si>
    <t>03318</t>
  </si>
  <si>
    <t>03318.001</t>
  </si>
  <si>
    <t>Interest on Loans  106</t>
  </si>
  <si>
    <t>03319</t>
  </si>
  <si>
    <t>03319.091</t>
  </si>
  <si>
    <t>Support Services Costs Allocated 107</t>
  </si>
  <si>
    <t>03321</t>
  </si>
  <si>
    <t>Aerodrome Costs</t>
  </si>
  <si>
    <t>03321.001</t>
  </si>
  <si>
    <t>Mowing</t>
  </si>
  <si>
    <t>03321.004</t>
  </si>
  <si>
    <t>03321.008</t>
  </si>
  <si>
    <t>Remedial Drainage Works</t>
  </si>
  <si>
    <t>03321.009</t>
  </si>
  <si>
    <t>Airstrip Levelling</t>
  </si>
  <si>
    <t>03321.011</t>
  </si>
  <si>
    <t>Airfield Inspections/Other</t>
  </si>
  <si>
    <t>03321.095</t>
  </si>
  <si>
    <t>Rates &amp; Charges</t>
  </si>
  <si>
    <t>03323</t>
  </si>
  <si>
    <t>Bush Regeneration Team</t>
  </si>
  <si>
    <t>03323.001</t>
  </si>
  <si>
    <t>03323.002</t>
  </si>
  <si>
    <t>Other Bush Regeneration Costs</t>
  </si>
  <si>
    <t>01190</t>
  </si>
  <si>
    <t>Community - Licence Fees - Temporary</t>
  </si>
  <si>
    <t>01190.001</t>
  </si>
  <si>
    <t>Other Community</t>
  </si>
  <si>
    <t>01193</t>
  </si>
  <si>
    <t>Operational - Licence Fees - Temporary</t>
  </si>
  <si>
    <t>01193.001</t>
  </si>
  <si>
    <t>Use of Council  Land  - Events</t>
  </si>
  <si>
    <t>01193.002</t>
  </si>
  <si>
    <t>Use of Council  Land  - Agistments</t>
  </si>
  <si>
    <t>01197</t>
  </si>
  <si>
    <t>Crown - Licence Fees Temporary Use</t>
  </si>
  <si>
    <t>01197.001</t>
  </si>
  <si>
    <t>Use of Crown Reserve</t>
  </si>
  <si>
    <t>01200</t>
  </si>
  <si>
    <t>Other - Licence Fees - Access</t>
  </si>
  <si>
    <t>01200.001</t>
  </si>
  <si>
    <t>Commercial Activities</t>
  </si>
  <si>
    <t>01200.002</t>
  </si>
  <si>
    <t>Other Tenure</t>
  </si>
  <si>
    <t>01204</t>
  </si>
  <si>
    <t>Tyagarah Aerodrome</t>
  </si>
  <si>
    <t>01204.001</t>
  </si>
  <si>
    <t>Operational Leases</t>
  </si>
  <si>
    <t>01204.002</t>
  </si>
  <si>
    <t>User Charges</t>
  </si>
  <si>
    <t>01204.003</t>
  </si>
  <si>
    <t>Other Lease/Rental agreements</t>
  </si>
  <si>
    <t>01204.004</t>
  </si>
  <si>
    <t>Landing Fees</t>
  </si>
  <si>
    <t>01204.005</t>
  </si>
  <si>
    <t>Parking Fees</t>
  </si>
  <si>
    <t>01755</t>
  </si>
  <si>
    <t>01755.008</t>
  </si>
  <si>
    <t>Dep of Lands - Cont to Crown Land Mntnce</t>
  </si>
  <si>
    <t>01755.009</t>
  </si>
  <si>
    <t>Dep of Lands - Cont to Foreshore Mntce</t>
  </si>
  <si>
    <t>01758</t>
  </si>
  <si>
    <t>Sportsfield User Income</t>
  </si>
  <si>
    <t>01758.001</t>
  </si>
  <si>
    <t>New Brighton Soccer Field</t>
  </si>
  <si>
    <t>01759</t>
  </si>
  <si>
    <t>User Charges - Tennis Court Income</t>
  </si>
  <si>
    <t>01759.001</t>
  </si>
  <si>
    <t>Suffolk Park Tennis Courts</t>
  </si>
  <si>
    <t>01760</t>
  </si>
  <si>
    <t>Other User Charges</t>
  </si>
  <si>
    <t>01760.004</t>
  </si>
  <si>
    <t>Surf Life Saving</t>
  </si>
  <si>
    <t>01760.005</t>
  </si>
  <si>
    <t>Special Events Response and Mitigation</t>
  </si>
  <si>
    <t>01761</t>
  </si>
  <si>
    <t>Cemetery Fees and Charges</t>
  </si>
  <si>
    <t>01761.001</t>
  </si>
  <si>
    <t>Public Cemeteries Income</t>
  </si>
  <si>
    <t>01761.002</t>
  </si>
  <si>
    <t>Internment</t>
  </si>
  <si>
    <t>01761.003</t>
  </si>
  <si>
    <t>Land</t>
  </si>
  <si>
    <t>01761.004</t>
  </si>
  <si>
    <t>01761.005</t>
  </si>
  <si>
    <t>Quarries (1.11.04.07.00.00)</t>
  </si>
  <si>
    <t>03341</t>
  </si>
  <si>
    <t>Myocum Quarry Operating Expenses</t>
  </si>
  <si>
    <t>03341.001</t>
  </si>
  <si>
    <t>Extraction &amp; Crushing</t>
  </si>
  <si>
    <t>03341.002</t>
  </si>
  <si>
    <t>Sundry Operating Expenses</t>
  </si>
  <si>
    <t>03341.007</t>
  </si>
  <si>
    <t>Myocum Quarry Upgrade &amp; Remediation Wks</t>
  </si>
  <si>
    <t>03341.009</t>
  </si>
  <si>
    <t>Quarry Crushing</t>
  </si>
  <si>
    <t>03349</t>
  </si>
  <si>
    <t>03349.091</t>
  </si>
  <si>
    <t>01781</t>
  </si>
  <si>
    <t>Quarry Income</t>
  </si>
  <si>
    <t>01781.002</t>
  </si>
  <si>
    <t>Quarry - Internal Sales</t>
  </si>
  <si>
    <t>Waste &amp; Recycling (1.11.04.11.00.00)</t>
  </si>
  <si>
    <t>02809</t>
  </si>
  <si>
    <t>02809.002</t>
  </si>
  <si>
    <t>Rental Administration Centre</t>
  </si>
  <si>
    <t>02809.091</t>
  </si>
  <si>
    <t>03413</t>
  </si>
  <si>
    <t>Myocum Landfill</t>
  </si>
  <si>
    <t>03413.001</t>
  </si>
  <si>
    <t>Management Costs</t>
  </si>
  <si>
    <t>03413.002</t>
  </si>
  <si>
    <t>Landfill Operations</t>
  </si>
  <si>
    <t>03413.003</t>
  </si>
  <si>
    <t>Landfill Maintenance</t>
  </si>
  <si>
    <t>03413.005</t>
  </si>
  <si>
    <t>Stormwater, Sediment and Erosion Control</t>
  </si>
  <si>
    <t>03413.006</t>
  </si>
  <si>
    <t>Surveys</t>
  </si>
  <si>
    <t>03413.007</t>
  </si>
  <si>
    <t>Leachate Management</t>
  </si>
  <si>
    <t>03413.008</t>
  </si>
  <si>
    <t>Weed Management</t>
  </si>
  <si>
    <t>03413.009</t>
  </si>
  <si>
    <t>Environmental Monitoring</t>
  </si>
  <si>
    <t>03413.012</t>
  </si>
  <si>
    <t>Odour Management</t>
  </si>
  <si>
    <t>03413.013</t>
  </si>
  <si>
    <t>Landfill Gas Management</t>
  </si>
  <si>
    <t>03414</t>
  </si>
  <si>
    <t>Myocum Transfer Station</t>
  </si>
  <si>
    <t>03414.001</t>
  </si>
  <si>
    <t>03414.002</t>
  </si>
  <si>
    <t>Gatehouse Operations</t>
  </si>
  <si>
    <t>03414.003</t>
  </si>
  <si>
    <t>Weighbridge Maintenance</t>
  </si>
  <si>
    <t>03414.004</t>
  </si>
  <si>
    <t>Transfer Station Operations</t>
  </si>
  <si>
    <t>03414.005</t>
  </si>
  <si>
    <t>Transfer Station Maintenance</t>
  </si>
  <si>
    <t>03414.006</t>
  </si>
  <si>
    <t>Street Sweeping</t>
  </si>
  <si>
    <t>03414.007</t>
  </si>
  <si>
    <t>Waste Tyre Collection</t>
  </si>
  <si>
    <t>03414.008</t>
  </si>
  <si>
    <t>Fridge Degassing</t>
  </si>
  <si>
    <t>03414.009</t>
  </si>
  <si>
    <t>Ewaste Collection</t>
  </si>
  <si>
    <t>03414.011</t>
  </si>
  <si>
    <t>Metal Recovery</t>
  </si>
  <si>
    <t>03414.012</t>
  </si>
  <si>
    <t>Batteries Collection</t>
  </si>
  <si>
    <t>03414.013</t>
  </si>
  <si>
    <t>Hazardous Waste Management</t>
  </si>
  <si>
    <t>03414.014</t>
  </si>
  <si>
    <t>Green Waste Operations</t>
  </si>
  <si>
    <t>03414.015</t>
  </si>
  <si>
    <t>Green Waste Maintenance</t>
  </si>
  <si>
    <t>03414.017</t>
  </si>
  <si>
    <t>Second Hand Shop Operations</t>
  </si>
  <si>
    <t>03414.018</t>
  </si>
  <si>
    <t>03414.019</t>
  </si>
  <si>
    <t>Mixed Waste Transport &amp; Disposal</t>
  </si>
  <si>
    <t>03414.021</t>
  </si>
  <si>
    <t>Inert Waste Transport and Disposal</t>
  </si>
  <si>
    <t>03414.022</t>
  </si>
  <si>
    <t>Recycling Transport and Disposal</t>
  </si>
  <si>
    <t>03415</t>
  </si>
  <si>
    <t>Kerbside Collection</t>
  </si>
  <si>
    <t>03415.001</t>
  </si>
  <si>
    <t>03415.002</t>
  </si>
  <si>
    <t>Domestic Residual Collection</t>
  </si>
  <si>
    <t>03415.003</t>
  </si>
  <si>
    <t>Domestic Recycling Collection</t>
  </si>
  <si>
    <t>03415.004</t>
  </si>
  <si>
    <t>03415.005</t>
  </si>
  <si>
    <t>Domestic Organics Collection</t>
  </si>
  <si>
    <t>03415.006</t>
  </si>
  <si>
    <t>Organics Disposal</t>
  </si>
  <si>
    <t>03415.007</t>
  </si>
  <si>
    <t>Commerical Collection</t>
  </si>
  <si>
    <t>03415.008</t>
  </si>
  <si>
    <t>Council Street and Park Bins</t>
  </si>
  <si>
    <t>03415.011</t>
  </si>
  <si>
    <t>Special Event Recycling and Waste Collec</t>
  </si>
  <si>
    <t>03415.014</t>
  </si>
  <si>
    <t>Public Place Bin Maintenance &amp; Cleaning</t>
  </si>
  <si>
    <t>03415.018</t>
  </si>
  <si>
    <t>Collection Contracts charge for Admin</t>
  </si>
  <si>
    <t>03416</t>
  </si>
  <si>
    <t>Other Expenditure</t>
  </si>
  <si>
    <t>03416.001</t>
  </si>
  <si>
    <t>Clean Up Australia Day</t>
  </si>
  <si>
    <t>03416.002</t>
  </si>
  <si>
    <t>Education and Promotion</t>
  </si>
  <si>
    <t>03416.003</t>
  </si>
  <si>
    <t>Waste Management Strategy (Implementatio</t>
  </si>
  <si>
    <t>03416.004</t>
  </si>
  <si>
    <t>Contribution to NEWF</t>
  </si>
  <si>
    <t>03416.005</t>
  </si>
  <si>
    <t>Dingo Lane East Property Maintenance/fee</t>
  </si>
  <si>
    <t>03416.007</t>
  </si>
  <si>
    <t>3 &amp; 29  Manse Road, Myocum Maintenance</t>
  </si>
  <si>
    <t>03416.014</t>
  </si>
  <si>
    <t>03418</t>
  </si>
  <si>
    <t>03418.001</t>
  </si>
  <si>
    <t>03419</t>
  </si>
  <si>
    <t>Indirect Costs - Internal Charge</t>
  </si>
  <si>
    <t>03419.091</t>
  </si>
  <si>
    <t>01641</t>
  </si>
  <si>
    <t>01641.001</t>
  </si>
  <si>
    <t>Pensioner Subsidy</t>
  </si>
  <si>
    <t>01645</t>
  </si>
  <si>
    <t>Fees and Charges - Domestic</t>
  </si>
  <si>
    <t>01645.001</t>
  </si>
  <si>
    <t>Domestic Waste Management Charges</t>
  </si>
  <si>
    <t>01645.002</t>
  </si>
  <si>
    <t>Pensioner Charges Abandonments</t>
  </si>
  <si>
    <t>01645.004</t>
  </si>
  <si>
    <t>Compost Bins</t>
  </si>
  <si>
    <t>01645.006</t>
  </si>
  <si>
    <t>E-Waste Recycling</t>
  </si>
  <si>
    <t>01801</t>
  </si>
  <si>
    <t>Collection &amp; Disposal Charges - External Users</t>
  </si>
  <si>
    <t>01801.001</t>
  </si>
  <si>
    <t>Commercial - Annual Charges</t>
  </si>
  <si>
    <t>01801.002</t>
  </si>
  <si>
    <t>01801.003</t>
  </si>
  <si>
    <t>Annual Waste Operations Charge</t>
  </si>
  <si>
    <t>01805</t>
  </si>
  <si>
    <t>Collection &amp; Disposal Charges - Internal Users</t>
  </si>
  <si>
    <t>01805.002</t>
  </si>
  <si>
    <t>Streets &amp; Parks (Bins)</t>
  </si>
  <si>
    <t>01805.003</t>
  </si>
  <si>
    <t>Special Events Waste Charge</t>
  </si>
  <si>
    <t>01807</t>
  </si>
  <si>
    <t>01807.001</t>
  </si>
  <si>
    <t>Lease - 1 Dingo Lane East</t>
  </si>
  <si>
    <t>01807.002</t>
  </si>
  <si>
    <t>Myocum Lands Agistment</t>
  </si>
  <si>
    <t>01807.003</t>
  </si>
  <si>
    <t>3 &amp; 29  Manse Road, Myocum Lease</t>
  </si>
  <si>
    <t>01811</t>
  </si>
  <si>
    <t>Waste Disposal Charges - External Customers</t>
  </si>
  <si>
    <t>01811.001</t>
  </si>
  <si>
    <t>Waste Disposal Fees</t>
  </si>
  <si>
    <t>01811.003</t>
  </si>
  <si>
    <t>Sale of Scrap Metal</t>
  </si>
  <si>
    <t>01811.013</t>
  </si>
  <si>
    <t>Byron Shire Second Hand Shop</t>
  </si>
  <si>
    <t>01811.015</t>
  </si>
  <si>
    <t>Sale of Carbon Credits</t>
  </si>
  <si>
    <t>01811.018</t>
  </si>
  <si>
    <t>Organics Collections Systems Funding</t>
  </si>
  <si>
    <t>Cavanbah Sports Centre (1.11.04.12.00.00)</t>
  </si>
  <si>
    <t>02431</t>
  </si>
  <si>
    <t>Multipurpose Centre Management Costs</t>
  </si>
  <si>
    <t>02431.001</t>
  </si>
  <si>
    <t>Salaries and Oncosts (Council &amp; JHA)</t>
  </si>
  <si>
    <t>02432</t>
  </si>
  <si>
    <t>Multipurpose Centre Building Maintenance</t>
  </si>
  <si>
    <t>02432.001</t>
  </si>
  <si>
    <t>Air-Conditioning Maintenance</t>
  </si>
  <si>
    <t>02432.002</t>
  </si>
  <si>
    <t>Building Maintenance</t>
  </si>
  <si>
    <t>02432.003</t>
  </si>
  <si>
    <t>Furniture and Fittings Maintenance</t>
  </si>
  <si>
    <t>02432.004</t>
  </si>
  <si>
    <t>Electrical Maintenance</t>
  </si>
  <si>
    <t>02432.006</t>
  </si>
  <si>
    <t>Pest &amp; Fire Inspections</t>
  </si>
  <si>
    <t>02432.008</t>
  </si>
  <si>
    <t>Sport Equipment Maintenance</t>
  </si>
  <si>
    <t>02433</t>
  </si>
  <si>
    <t>Multipurpose Centre Operational Costs</t>
  </si>
  <si>
    <t>02433.001</t>
  </si>
  <si>
    <t>02433.002</t>
  </si>
  <si>
    <t>02433.003</t>
  </si>
  <si>
    <t>02433.004</t>
  </si>
  <si>
    <t>02433.005</t>
  </si>
  <si>
    <t>02433.006</t>
  </si>
  <si>
    <t>02433.007</t>
  </si>
  <si>
    <t>IT</t>
  </si>
  <si>
    <t>02433.008</t>
  </si>
  <si>
    <t>02433.009</t>
  </si>
  <si>
    <t>Food and Beverage Supplies</t>
  </si>
  <si>
    <t>02433.011</t>
  </si>
  <si>
    <t>Approvals and Licences</t>
  </si>
  <si>
    <t>02433.012</t>
  </si>
  <si>
    <t>02433.016</t>
  </si>
  <si>
    <t>Bank Fees</t>
  </si>
  <si>
    <t>02438</t>
  </si>
  <si>
    <t>02438.001</t>
  </si>
  <si>
    <t>02439</t>
  </si>
  <si>
    <t>02439.091</t>
  </si>
  <si>
    <t>03249</t>
  </si>
  <si>
    <t>Cavanbah Sports Centre</t>
  </si>
  <si>
    <t>03249.001</t>
  </si>
  <si>
    <t>CSC - Athletics/Hockey - Council 44.2</t>
  </si>
  <si>
    <t>03249.006</t>
  </si>
  <si>
    <t>CSC - Maint Upgrade - Council 44.2</t>
  </si>
  <si>
    <t>03249.007</t>
  </si>
  <si>
    <t>CSC - Outbuilding Maintenance 44.2</t>
  </si>
  <si>
    <t>03249.008</t>
  </si>
  <si>
    <t>CSC - Carpark Maintenance 44.2</t>
  </si>
  <si>
    <t>03249.009</t>
  </si>
  <si>
    <t>CSC - Lighting Maintenance 44.2</t>
  </si>
  <si>
    <t>01281</t>
  </si>
  <si>
    <t>Multipurpose Centre Room Hire Charges</t>
  </si>
  <si>
    <t>01281.001</t>
  </si>
  <si>
    <t>Meeting Room - M1a</t>
  </si>
  <si>
    <t>01281.003</t>
  </si>
  <si>
    <t>Meeting Room - M2</t>
  </si>
  <si>
    <t>01281.004</t>
  </si>
  <si>
    <t>Multi-Function Room - MF1</t>
  </si>
  <si>
    <t>01281.005</t>
  </si>
  <si>
    <t>Multi-Function Room - MF2</t>
  </si>
  <si>
    <t>01282</t>
  </si>
  <si>
    <t>Multipurpose Centre Court 1 Hire Charges</t>
  </si>
  <si>
    <t>01282.001</t>
  </si>
  <si>
    <t>Court 1</t>
  </si>
  <si>
    <t>01283</t>
  </si>
  <si>
    <t>Multipurpose Centre Court 2 Hire Charges</t>
  </si>
  <si>
    <t>01283.001</t>
  </si>
  <si>
    <t>01284</t>
  </si>
  <si>
    <t>Multipurpose Centre Other Charges</t>
  </si>
  <si>
    <t>01284.001</t>
  </si>
  <si>
    <t>Food and Beverage Sales</t>
  </si>
  <si>
    <t>01284.002</t>
  </si>
  <si>
    <t>Kitchen</t>
  </si>
  <si>
    <t>01284.003</t>
  </si>
  <si>
    <t>Canteen</t>
  </si>
  <si>
    <t>01284.004</t>
  </si>
  <si>
    <t>External Netball Courts</t>
  </si>
  <si>
    <t>01284.008</t>
  </si>
  <si>
    <t>Total Complex Hire</t>
  </si>
  <si>
    <t>01284.009</t>
  </si>
  <si>
    <t>Storage Area - Large</t>
  </si>
  <si>
    <t>01284.015</t>
  </si>
  <si>
    <t>AFL Lease</t>
  </si>
  <si>
    <t>01284.016</t>
  </si>
  <si>
    <t>EFT Fees Collected</t>
  </si>
  <si>
    <t>01284.017</t>
  </si>
  <si>
    <t>Internet Usage</t>
  </si>
  <si>
    <t>01284.018</t>
  </si>
  <si>
    <t>Table Tennis</t>
  </si>
  <si>
    <t>01284.019</t>
  </si>
  <si>
    <t>Memberships</t>
  </si>
  <si>
    <t>01762</t>
  </si>
  <si>
    <t>Cavanabah Sports Centre Sportsfields User Charges</t>
  </si>
  <si>
    <t>01762.001</t>
  </si>
  <si>
    <t>BRSCC User Charges - Sports Clubs</t>
  </si>
  <si>
    <t>Asset Management Planning (1.11.04.13.00.00)</t>
  </si>
  <si>
    <t>02208</t>
  </si>
  <si>
    <t>Section 94 Expenses</t>
  </si>
  <si>
    <t>02208.001</t>
  </si>
  <si>
    <t>02208.002</t>
  </si>
  <si>
    <t>02208.004</t>
  </si>
  <si>
    <t>Consultants</t>
  </si>
  <si>
    <t>02208.092</t>
  </si>
  <si>
    <t>03031</t>
  </si>
  <si>
    <t>Other Asset Management Planning Costs</t>
  </si>
  <si>
    <t>03031.001</t>
  </si>
  <si>
    <t>Asset Management Consultancy Services</t>
  </si>
  <si>
    <t>03031.002</t>
  </si>
  <si>
    <t>Asset Revaluation Services</t>
  </si>
  <si>
    <t>03031.003</t>
  </si>
  <si>
    <t>Specialist Condition Assessment Services</t>
  </si>
  <si>
    <t>03032</t>
  </si>
  <si>
    <t>Asset Management Planning</t>
  </si>
  <si>
    <t>03032.001</t>
  </si>
  <si>
    <t>03032.092</t>
  </si>
  <si>
    <t>03039</t>
  </si>
  <si>
    <t>03039.091</t>
  </si>
  <si>
    <t>Support Services Allocated</t>
  </si>
  <si>
    <t>03039.910</t>
  </si>
  <si>
    <t>Projects &amp; Commercial Development (1.11.04.14.00.00)</t>
  </si>
  <si>
    <t>03009</t>
  </si>
  <si>
    <t>Projects &amp; Commercial Development</t>
  </si>
  <si>
    <t>03009.001</t>
  </si>
  <si>
    <t>03009.092</t>
  </si>
  <si>
    <t>03012</t>
  </si>
  <si>
    <t>Other Projects &amp; Commercial Development Expenses</t>
  </si>
  <si>
    <t>03012.001</t>
  </si>
  <si>
    <t>Property Consultancy Services</t>
  </si>
  <si>
    <t>03012.002</t>
  </si>
  <si>
    <t>Survey Services</t>
  </si>
  <si>
    <t>03012.003</t>
  </si>
  <si>
    <t>Property Maintenance Services</t>
  </si>
  <si>
    <t>03019</t>
  </si>
  <si>
    <t>03019.091</t>
  </si>
  <si>
    <t>Facilities Management (1.11.04.15.00.00)</t>
  </si>
  <si>
    <t>02281</t>
  </si>
  <si>
    <t>Property Management</t>
  </si>
  <si>
    <t>02281.002</t>
  </si>
  <si>
    <t>Projects Officer/Coordinator</t>
  </si>
  <si>
    <t>02281.004</t>
  </si>
  <si>
    <t>Property Maintenance Co-Ordinator</t>
  </si>
  <si>
    <t>02281.092</t>
  </si>
  <si>
    <t>02291</t>
  </si>
  <si>
    <t>Council Administration Centre Operations</t>
  </si>
  <si>
    <t>02291.001</t>
  </si>
  <si>
    <t>Cleaning Contract</t>
  </si>
  <si>
    <t>02291.002</t>
  </si>
  <si>
    <t>Electricity Supply</t>
  </si>
  <si>
    <t>02291.003</t>
  </si>
  <si>
    <t>Furniture &amp; Fittings Maint. &amp; Repair</t>
  </si>
  <si>
    <t>02291.004</t>
  </si>
  <si>
    <t>Security Services</t>
  </si>
  <si>
    <t>02291.005</t>
  </si>
  <si>
    <t>Air-conditioning Repairs</t>
  </si>
  <si>
    <t>02291.006</t>
  </si>
  <si>
    <t>Lift Maint.</t>
  </si>
  <si>
    <t>02291.007</t>
  </si>
  <si>
    <t>Other Maintenance Expenses</t>
  </si>
  <si>
    <t>02291.012</t>
  </si>
  <si>
    <t>Cleaning and Consumables</t>
  </si>
  <si>
    <t>02291.013</t>
  </si>
  <si>
    <t>Waste &amp; Sanitation</t>
  </si>
  <si>
    <t>02291.015</t>
  </si>
  <si>
    <t>Electrical Repairs &amp; Maintenance</t>
  </si>
  <si>
    <t>02291.016</t>
  </si>
  <si>
    <t>Air-conditioning Replacement</t>
  </si>
  <si>
    <t>02291.017</t>
  </si>
  <si>
    <t>Plumbing Repairs</t>
  </si>
  <si>
    <t>02291.018</t>
  </si>
  <si>
    <t>Pest Control</t>
  </si>
  <si>
    <t>02291.019</t>
  </si>
  <si>
    <t>Ground Works</t>
  </si>
  <si>
    <t>02291.021</t>
  </si>
  <si>
    <t>Indoor Plant Hire</t>
  </si>
  <si>
    <t>02291.022</t>
  </si>
  <si>
    <t>02291.095</t>
  </si>
  <si>
    <t>02301</t>
  </si>
  <si>
    <t>Byron Pool</t>
  </si>
  <si>
    <t>02301.001</t>
  </si>
  <si>
    <t>Other Maint.</t>
  </si>
  <si>
    <t>02301.002</t>
  </si>
  <si>
    <t>Council Rates &amp; Charges</t>
  </si>
  <si>
    <t>02301.003</t>
  </si>
  <si>
    <t>Chemicals and Other Cleaning</t>
  </si>
  <si>
    <t>02301.004</t>
  </si>
  <si>
    <t>02301.005</t>
  </si>
  <si>
    <t>Contract</t>
  </si>
  <si>
    <t>02301.006</t>
  </si>
  <si>
    <t>Services</t>
  </si>
  <si>
    <t>02301.008</t>
  </si>
  <si>
    <t>02305</t>
  </si>
  <si>
    <t>Mullumbimby Pool</t>
  </si>
  <si>
    <t>02305.001</t>
  </si>
  <si>
    <t>02305.002</t>
  </si>
  <si>
    <t>02305.004</t>
  </si>
  <si>
    <t>02305.005</t>
  </si>
  <si>
    <t>02305.006</t>
  </si>
  <si>
    <t>02305.008</t>
  </si>
  <si>
    <t>02306</t>
  </si>
  <si>
    <t>Other Property Expenses</t>
  </si>
  <si>
    <t>02306.017</t>
  </si>
  <si>
    <t>70-90 Station Street Sub Div Invest</t>
  </si>
  <si>
    <t>02318</t>
  </si>
  <si>
    <t>02318.001</t>
  </si>
  <si>
    <t>02319</t>
  </si>
  <si>
    <t>02319.091</t>
  </si>
  <si>
    <t>02319.097</t>
  </si>
  <si>
    <t>Administration Centre Recharged</t>
  </si>
  <si>
    <t>02320</t>
  </si>
  <si>
    <t>Community Buildings Maint - Special Rate Program</t>
  </si>
  <si>
    <t>02320.014</t>
  </si>
  <si>
    <t>Bruns Memorial Hall-Structural Eng Assmt</t>
  </si>
  <si>
    <t>02320.051</t>
  </si>
  <si>
    <t>Urgent/Unplanned Maintenance</t>
  </si>
  <si>
    <t>02320.119</t>
  </si>
  <si>
    <t>B'wick Memorial Hall - Gutter Guard Inst</t>
  </si>
  <si>
    <t>02320.136</t>
  </si>
  <si>
    <t>South Golden Beach Hall Renovations</t>
  </si>
  <si>
    <t>02320.139</t>
  </si>
  <si>
    <t>Mullumibmby Drill Hall</t>
  </si>
  <si>
    <t>02320.141</t>
  </si>
  <si>
    <t>Asbestos Register Compliance</t>
  </si>
  <si>
    <t>02320.147</t>
  </si>
  <si>
    <t>Bangalow A &amp; I Hall</t>
  </si>
  <si>
    <t>02320.154</t>
  </si>
  <si>
    <t>Community Pre Schools</t>
  </si>
  <si>
    <t>02320.155</t>
  </si>
  <si>
    <t>Council Facilities</t>
  </si>
  <si>
    <t>02320.156</t>
  </si>
  <si>
    <t>Autumn Club Byron Bay</t>
  </si>
  <si>
    <t>02320.157</t>
  </si>
  <si>
    <t>Pioneer Hall</t>
  </si>
  <si>
    <t>02353</t>
  </si>
  <si>
    <t>Community - Maintenance - Preventative</t>
  </si>
  <si>
    <t>02353.001</t>
  </si>
  <si>
    <t>Building Condition Assessments</t>
  </si>
  <si>
    <t>02353.002</t>
  </si>
  <si>
    <t>02353.003</t>
  </si>
  <si>
    <t>02353.004</t>
  </si>
  <si>
    <t>Fire Safety</t>
  </si>
  <si>
    <t>02354</t>
  </si>
  <si>
    <t>Community - Maintenance - Unplanned</t>
  </si>
  <si>
    <t>02354.001</t>
  </si>
  <si>
    <t>Electrical Repairs</t>
  </si>
  <si>
    <t>02354.002</t>
  </si>
  <si>
    <t>Safety Works</t>
  </si>
  <si>
    <t>02354.003</t>
  </si>
  <si>
    <t>Plumbing</t>
  </si>
  <si>
    <t>02354.004</t>
  </si>
  <si>
    <t>02354.005</t>
  </si>
  <si>
    <t>Vandal Damage</t>
  </si>
  <si>
    <t>02354.006</t>
  </si>
  <si>
    <t>Public Toilets</t>
  </si>
  <si>
    <t>02355</t>
  </si>
  <si>
    <t>Community - Services</t>
  </si>
  <si>
    <t>02355.001</t>
  </si>
  <si>
    <t>02355.002</t>
  </si>
  <si>
    <t>Hygience Services</t>
  </si>
  <si>
    <t>02355.003</t>
  </si>
  <si>
    <t>Other Operational</t>
  </si>
  <si>
    <t>02356</t>
  </si>
  <si>
    <t>Community - Fees and Charges</t>
  </si>
  <si>
    <t>02356.001</t>
  </si>
  <si>
    <t>Approvals</t>
  </si>
  <si>
    <t>02356.002</t>
  </si>
  <si>
    <t>s356 General Rates (Property Management)</t>
  </si>
  <si>
    <t>02356.003</t>
  </si>
  <si>
    <t>Rural Land Board Rates</t>
  </si>
  <si>
    <t>02356.004</t>
  </si>
  <si>
    <t>02371</t>
  </si>
  <si>
    <t>Operational -  Maintenance - Preventative</t>
  </si>
  <si>
    <t>02371.001</t>
  </si>
  <si>
    <t>02371.002</t>
  </si>
  <si>
    <t>02372</t>
  </si>
  <si>
    <t>Operational -  Maintenance - Unplanned</t>
  </si>
  <si>
    <t>02372.002</t>
  </si>
  <si>
    <t>02373</t>
  </si>
  <si>
    <t>Operational -  Services</t>
  </si>
  <si>
    <t>02373.001</t>
  </si>
  <si>
    <t>02375</t>
  </si>
  <si>
    <t>Crown - Maintenance - Unplanned</t>
  </si>
  <si>
    <t>02375.001</t>
  </si>
  <si>
    <t>Other Crown Reserves</t>
  </si>
  <si>
    <t>02375.002</t>
  </si>
  <si>
    <t>Public Toilet Crown</t>
  </si>
  <si>
    <t>02376</t>
  </si>
  <si>
    <t>Other Tenure Lease/Rental Contracts</t>
  </si>
  <si>
    <t>02376.001</t>
  </si>
  <si>
    <t>Lease - ARTC</t>
  </si>
  <si>
    <t>02376.002</t>
  </si>
  <si>
    <t>Lic Agreement - Suffolk Park Pub School</t>
  </si>
  <si>
    <t>02376.004</t>
  </si>
  <si>
    <t>Crown Lease - Mullum Neighbourhood Centr</t>
  </si>
  <si>
    <t>02376.005</t>
  </si>
  <si>
    <t>Crown Lease - Mullum War Widows Cottage</t>
  </si>
  <si>
    <t>02377</t>
  </si>
  <si>
    <t>Administration Costs</t>
  </si>
  <si>
    <t>02377.003</t>
  </si>
  <si>
    <t>Storage Sheds</t>
  </si>
  <si>
    <t>03283</t>
  </si>
  <si>
    <t>Public Toilets Council</t>
  </si>
  <si>
    <t>03283.001</t>
  </si>
  <si>
    <t>Public Toilets Council - Rural Plan 51</t>
  </si>
  <si>
    <t>03283.002</t>
  </si>
  <si>
    <t>Public Toilets Council - B Bay Plan 52</t>
  </si>
  <si>
    <t>03283.003</t>
  </si>
  <si>
    <t>Public Toilets Council - Mullum Plan 53</t>
  </si>
  <si>
    <t>03283.004</t>
  </si>
  <si>
    <t>Public Toilets Council - O/Shos Plan 54</t>
  </si>
  <si>
    <t>03283.005</t>
  </si>
  <si>
    <t>Public Toilets Council - S/Park Plan 55</t>
  </si>
  <si>
    <t>03283.006</t>
  </si>
  <si>
    <t>Public Toilets Council - Bang Plan 56</t>
  </si>
  <si>
    <t>03283.007</t>
  </si>
  <si>
    <t>Public Toilet Coun - Bruns Hds Plan 57</t>
  </si>
  <si>
    <t>03284</t>
  </si>
  <si>
    <t>Public Toilets Crown</t>
  </si>
  <si>
    <t>03284.001</t>
  </si>
  <si>
    <t>Public Toilets Crown - Rural Plan 58</t>
  </si>
  <si>
    <t>03284.002</t>
  </si>
  <si>
    <t>Public Toilets Crown - By Bay Plan 59</t>
  </si>
  <si>
    <t>03284.003</t>
  </si>
  <si>
    <t>Public Toilets Crown - Mullum Plan 60</t>
  </si>
  <si>
    <t>03284.004</t>
  </si>
  <si>
    <t>Public Toilets Crown - O/Sho Plan 61</t>
  </si>
  <si>
    <t>03284.007</t>
  </si>
  <si>
    <t>Public Toil Crown - Bruns Hds Plan 64</t>
  </si>
  <si>
    <t>01188</t>
  </si>
  <si>
    <t>Community - Lease/ Rental Agreements</t>
  </si>
  <si>
    <t>01188.001</t>
  </si>
  <si>
    <t>Byron Bay Tennis Courts</t>
  </si>
  <si>
    <t>01188.002</t>
  </si>
  <si>
    <t>Old Station Masters Cottage Byron Bay</t>
  </si>
  <si>
    <t>01188.003</t>
  </si>
  <si>
    <t>01188.004</t>
  </si>
  <si>
    <t>01189</t>
  </si>
  <si>
    <t>Community - User Fees and Charges</t>
  </si>
  <si>
    <t>01189.001</t>
  </si>
  <si>
    <t>Byron Bay Swimming Pool</t>
  </si>
  <si>
    <t>01191</t>
  </si>
  <si>
    <t>Operational - Lease/ Rental Agreements</t>
  </si>
  <si>
    <t>01191.002</t>
  </si>
  <si>
    <t>Admininstration Building Ballina Sh RFS</t>
  </si>
  <si>
    <t>01191.004</t>
  </si>
  <si>
    <t>Old Country Energy Building (Contra)</t>
  </si>
  <si>
    <t>01191.005</t>
  </si>
  <si>
    <t>Ocean Shores (Billinudgel)  Pre-School</t>
  </si>
  <si>
    <t>01191.007</t>
  </si>
  <si>
    <t>01191.009</t>
  </si>
  <si>
    <t>Lilly Pilly Community Pre-School</t>
  </si>
  <si>
    <t>01195</t>
  </si>
  <si>
    <t>Crown - Lease/ Rental Agreements</t>
  </si>
  <si>
    <t>01195.001</t>
  </si>
  <si>
    <t>Byron Bay Pool CafÃ©</t>
  </si>
  <si>
    <t>01195.002</t>
  </si>
  <si>
    <t>01196</t>
  </si>
  <si>
    <t>Crown - User Fees and Charges</t>
  </si>
  <si>
    <t>01196.001</t>
  </si>
  <si>
    <t>Mullumbimby Swimming Pool</t>
  </si>
  <si>
    <t>01198</t>
  </si>
  <si>
    <t>Other - Lease/ Rental Agreements</t>
  </si>
  <si>
    <t>01198.001</t>
  </si>
  <si>
    <t>Clarkes Beach Cafe</t>
  </si>
  <si>
    <t>01198.002</t>
  </si>
  <si>
    <t>01198.004</t>
  </si>
  <si>
    <t>Other Crown Tenure</t>
  </si>
  <si>
    <t>01198.005</t>
  </si>
  <si>
    <t>Crown Lease Mullum War Widows Cottage</t>
  </si>
  <si>
    <t>First Sun Holiday Park (1.11.04.16.00.00)</t>
  </si>
  <si>
    <t>02511</t>
  </si>
  <si>
    <t>Operating Expenses - First Sun Caravan Park</t>
  </si>
  <si>
    <t>02511.001</t>
  </si>
  <si>
    <t>02511.003</t>
  </si>
  <si>
    <t>Conference/Seminar Expenses</t>
  </si>
  <si>
    <t>02511.004</t>
  </si>
  <si>
    <t>Managers Commission</t>
  </si>
  <si>
    <t>02511.005</t>
  </si>
  <si>
    <t>02511.006</t>
  </si>
  <si>
    <t>Gas</t>
  </si>
  <si>
    <t>02511.007</t>
  </si>
  <si>
    <t>02511.008</t>
  </si>
  <si>
    <t>License Fee</t>
  </si>
  <si>
    <t>02511.009</t>
  </si>
  <si>
    <t>General Maintenance</t>
  </si>
  <si>
    <t>02511.010</t>
  </si>
  <si>
    <t>Cabin Maintenance</t>
  </si>
  <si>
    <t>02511.011</t>
  </si>
  <si>
    <t>Manager's Residence - Mtce</t>
  </si>
  <si>
    <t>02511.012</t>
  </si>
  <si>
    <t>Maintenance - Contractors</t>
  </si>
  <si>
    <t>02511.013</t>
  </si>
  <si>
    <t>Telephone &amp; Fax</t>
  </si>
  <si>
    <t>02511.014</t>
  </si>
  <si>
    <t>Chemicals &amp; Cleaning</t>
  </si>
  <si>
    <t>02511.015</t>
  </si>
  <si>
    <t>Garbage &amp; Waste Removal</t>
  </si>
  <si>
    <t>02511.016</t>
  </si>
  <si>
    <t>Sundry Operating Costs</t>
  </si>
  <si>
    <t>02511.017</t>
  </si>
  <si>
    <t>Lease Payments</t>
  </si>
  <si>
    <t>02511.021</t>
  </si>
  <si>
    <t>Computer System Maintenance</t>
  </si>
  <si>
    <t>02511.022</t>
  </si>
  <si>
    <t>Council Administration Wages</t>
  </si>
  <si>
    <t>02511.095</t>
  </si>
  <si>
    <t>02511.096</t>
  </si>
  <si>
    <t>Rates &amp; Charges - Water &amp; Sewerage</t>
  </si>
  <si>
    <t>02529</t>
  </si>
  <si>
    <t>02529.090</t>
  </si>
  <si>
    <t>02529.091</t>
  </si>
  <si>
    <t>02529.097</t>
  </si>
  <si>
    <t>01261</t>
  </si>
  <si>
    <t>First Sun Accommodation Income</t>
  </si>
  <si>
    <t>01261.001</t>
  </si>
  <si>
    <t>Cabin Accommodation</t>
  </si>
  <si>
    <t>01261.003</t>
  </si>
  <si>
    <t>Tourist Sites</t>
  </si>
  <si>
    <t>01261.005</t>
  </si>
  <si>
    <t>Lodging Accommodation</t>
  </si>
  <si>
    <t>01261.006</t>
  </si>
  <si>
    <t>Safari Tent Income</t>
  </si>
  <si>
    <t>01269</t>
  </si>
  <si>
    <t>First Sun Sundry Income</t>
  </si>
  <si>
    <t>01269.001</t>
  </si>
  <si>
    <t>Laundry Hire</t>
  </si>
  <si>
    <t>01269.002</t>
  </si>
  <si>
    <t>Other (including office rental)</t>
  </si>
  <si>
    <t>01269.008</t>
  </si>
  <si>
    <t>Beautify Byron Contribution</t>
  </si>
  <si>
    <t>Suffolk Park Holiday Park (1.11.04.17.00.00)</t>
  </si>
  <si>
    <t>02521</t>
  </si>
  <si>
    <t>Operating Expenses - Suffolk Park</t>
  </si>
  <si>
    <t>02521.001</t>
  </si>
  <si>
    <t>02521.004</t>
  </si>
  <si>
    <t>02521.007</t>
  </si>
  <si>
    <t>02521.009</t>
  </si>
  <si>
    <t>02521.011</t>
  </si>
  <si>
    <t>02521.013</t>
  </si>
  <si>
    <t>02521.014</t>
  </si>
  <si>
    <t>02521.015</t>
  </si>
  <si>
    <t>02521.016</t>
  </si>
  <si>
    <t>02521.019</t>
  </si>
  <si>
    <t>Electricity and Gas</t>
  </si>
  <si>
    <t>02521.021</t>
  </si>
  <si>
    <t>Power/Water/Sewer/Stormwater Maintenance</t>
  </si>
  <si>
    <t>02521.022</t>
  </si>
  <si>
    <t>L'dry/BBQ's/Kitchen/Toilets/Showers Mtce</t>
  </si>
  <si>
    <t>02521.023</t>
  </si>
  <si>
    <t>Grounds Mtce - Sites/Roads/Fencing</t>
  </si>
  <si>
    <t>02521.024</t>
  </si>
  <si>
    <t>02521.025</t>
  </si>
  <si>
    <t>02521.026</t>
  </si>
  <si>
    <t>02521.027</t>
  </si>
  <si>
    <t>Cabins, Safaris and Tent Maintenance</t>
  </si>
  <si>
    <t>02521.029</t>
  </si>
  <si>
    <t>On Site Van Maintenance</t>
  </si>
  <si>
    <t>02521.095</t>
  </si>
  <si>
    <t>02521.096</t>
  </si>
  <si>
    <t>Rates &amp; Charges - Water &amp; Sewer</t>
  </si>
  <si>
    <t>02530</t>
  </si>
  <si>
    <t>02530.090</t>
  </si>
  <si>
    <t>02530.091</t>
  </si>
  <si>
    <t>01271</t>
  </si>
  <si>
    <t>Suffolk Park Accommodation Income</t>
  </si>
  <si>
    <t>01271.001</t>
  </si>
  <si>
    <t>01271.002</t>
  </si>
  <si>
    <t>Permanent Income</t>
  </si>
  <si>
    <t>01271.003</t>
  </si>
  <si>
    <t>01271.005</t>
  </si>
  <si>
    <t>Caravan Income</t>
  </si>
  <si>
    <t>01271.006</t>
  </si>
  <si>
    <t>Safari Tents - small</t>
  </si>
  <si>
    <t>01279</t>
  </si>
  <si>
    <t>Suffolk Park Sundry Income</t>
  </si>
  <si>
    <t>01279.001</t>
  </si>
  <si>
    <t>01279.002</t>
  </si>
  <si>
    <t>01279.003</t>
  </si>
  <si>
    <t>01279.004</t>
  </si>
  <si>
    <t>Public liability Insurance Contribution</t>
  </si>
  <si>
    <t>01279.006</t>
  </si>
  <si>
    <t>01279.007</t>
  </si>
  <si>
    <t>WiFi - Permanents</t>
  </si>
  <si>
    <t>01279.008</t>
  </si>
  <si>
    <t>WiFi - Guests</t>
  </si>
  <si>
    <t>Development &amp; Certification (1.11.05.01.00.00)</t>
  </si>
  <si>
    <t>02175</t>
  </si>
  <si>
    <t>02175.006</t>
  </si>
  <si>
    <t>02175.009</t>
  </si>
  <si>
    <t>Milk, Tea &amp; Coffee Supplies</t>
  </si>
  <si>
    <t>02701</t>
  </si>
  <si>
    <t>Directorate &amp; Managers-Planning,Development &amp; Envt</t>
  </si>
  <si>
    <t>02701.001</t>
  </si>
  <si>
    <t>02701.005</t>
  </si>
  <si>
    <t>02701.092</t>
  </si>
  <si>
    <t>02705</t>
  </si>
  <si>
    <t>Development Assessment - Fast Track Team</t>
  </si>
  <si>
    <t>02705.001</t>
  </si>
  <si>
    <t>02705.092</t>
  </si>
  <si>
    <t>02711</t>
  </si>
  <si>
    <t>Salaries - Planning</t>
  </si>
  <si>
    <t>02711.001</t>
  </si>
  <si>
    <t>02711.003</t>
  </si>
  <si>
    <t>Temp Resourcing/Overtime/Expert Advice</t>
  </si>
  <si>
    <t>02715</t>
  </si>
  <si>
    <t>Other Assessment Expenses</t>
  </si>
  <si>
    <t>02715.001</t>
  </si>
  <si>
    <t>02715.002</t>
  </si>
  <si>
    <t>02715.004</t>
  </si>
  <si>
    <t>02715.011</t>
  </si>
  <si>
    <t>Online Applications</t>
  </si>
  <si>
    <t>02729</t>
  </si>
  <si>
    <t>02729.091</t>
  </si>
  <si>
    <t>02751</t>
  </si>
  <si>
    <t>Building Certification Unit</t>
  </si>
  <si>
    <t>02751.001</t>
  </si>
  <si>
    <t>02751.004</t>
  </si>
  <si>
    <t>Temp Resourcing/Overtime</t>
  </si>
  <si>
    <t>02751.005</t>
  </si>
  <si>
    <t>Heritage Advisor</t>
  </si>
  <si>
    <t>02751.092</t>
  </si>
  <si>
    <t>02753</t>
  </si>
  <si>
    <t>Footpath Dining</t>
  </si>
  <si>
    <t>02753.001</t>
  </si>
  <si>
    <t>02754</t>
  </si>
  <si>
    <t>Development Support &amp; Administration</t>
  </si>
  <si>
    <t>02754.001</t>
  </si>
  <si>
    <t>02755</t>
  </si>
  <si>
    <t>02755.001</t>
  </si>
  <si>
    <t>02755.005</t>
  </si>
  <si>
    <t>Stationery/Photocopying/Printing</t>
  </si>
  <si>
    <t>01152</t>
  </si>
  <si>
    <t>Fees and Charges - Commercial Property</t>
  </si>
  <si>
    <t>01152.001</t>
  </si>
  <si>
    <t>Lease - Footpath Dining - Bangalow</t>
  </si>
  <si>
    <t>01152.003</t>
  </si>
  <si>
    <t>Lease - Footpath Dining - Brunswick Head</t>
  </si>
  <si>
    <t>01152.004</t>
  </si>
  <si>
    <t>Lease - Footpath Dining - Byron Bay</t>
  </si>
  <si>
    <t>01152.005</t>
  </si>
  <si>
    <t>Lease - Footpath Dining - Mullumbimby</t>
  </si>
  <si>
    <t>01152.006</t>
  </si>
  <si>
    <t>Lease - Footpath Dining - Other</t>
  </si>
  <si>
    <t>01601</t>
  </si>
  <si>
    <t>Fees and Charges - Regulatory</t>
  </si>
  <si>
    <t>01601.001</t>
  </si>
  <si>
    <t>Development Application Fees</t>
  </si>
  <si>
    <t>01603</t>
  </si>
  <si>
    <t>Fees and Charges - Discretionary</t>
  </si>
  <si>
    <t>01603.001</t>
  </si>
  <si>
    <t>Advertising Income</t>
  </si>
  <si>
    <t>01603.002</t>
  </si>
  <si>
    <t>Development Panel Advice/Planning Enq</t>
  </si>
  <si>
    <t>01603.004</t>
  </si>
  <si>
    <t>Engineering Inspection Fees</t>
  </si>
  <si>
    <t>01611</t>
  </si>
  <si>
    <t>01611.001</t>
  </si>
  <si>
    <t>Certificate Registration Fee</t>
  </si>
  <si>
    <t>01611.002</t>
  </si>
  <si>
    <t>Compliance Certificates - Inspections</t>
  </si>
  <si>
    <t>01611.003</t>
  </si>
  <si>
    <t>Complying Development Certificate</t>
  </si>
  <si>
    <t>01611.004</t>
  </si>
  <si>
    <t>Construction Certificates</t>
  </si>
  <si>
    <t>01611.013</t>
  </si>
  <si>
    <t>Sundry Building Control Income</t>
  </si>
  <si>
    <t>01611.016</t>
  </si>
  <si>
    <t>Building Certificates - 149D</t>
  </si>
  <si>
    <t>01611.017</t>
  </si>
  <si>
    <t>Section 68 Approvals &amp; Inspection - Pt B</t>
  </si>
  <si>
    <t>01611.018</t>
  </si>
  <si>
    <t>Application &amp; Inspection Fees Roads Act</t>
  </si>
  <si>
    <t>01611.023</t>
  </si>
  <si>
    <t>Income Activities Over Road Reserves</t>
  </si>
  <si>
    <t>01611.024</t>
  </si>
  <si>
    <t>DEEWR Traineeship Incentives</t>
  </si>
  <si>
    <t>01613</t>
  </si>
  <si>
    <t>01613.001</t>
  </si>
  <si>
    <t>01613.002</t>
  </si>
  <si>
    <t>Commission on Long Service Levy</t>
  </si>
  <si>
    <t>Economic Development (1.11.05.06.00.00)</t>
  </si>
  <si>
    <t>02011</t>
  </si>
  <si>
    <t>Tourism</t>
  </si>
  <si>
    <t>02011.001</t>
  </si>
  <si>
    <t>Salaries and on-costs - Research Officer</t>
  </si>
  <si>
    <t>02011.027</t>
  </si>
  <si>
    <t>Tourism Memberships and Projects</t>
  </si>
  <si>
    <t>02013</t>
  </si>
  <si>
    <t>02013.091</t>
  </si>
  <si>
    <t>02014</t>
  </si>
  <si>
    <t>Economic Development and Tourism</t>
  </si>
  <si>
    <t>02014.001</t>
  </si>
  <si>
    <t>Salaries - Ec Dev &amp; Tourism Officer</t>
  </si>
  <si>
    <t>02014.002</t>
  </si>
  <si>
    <t>Events &amp; Grants Support Officer</t>
  </si>
  <si>
    <t>02014.004</t>
  </si>
  <si>
    <t>Festival Funding Suport</t>
  </si>
  <si>
    <t>02014.092</t>
  </si>
  <si>
    <t>02343</t>
  </si>
  <si>
    <t>Economic Development</t>
  </si>
  <si>
    <t>02343.001</t>
  </si>
  <si>
    <t>02343.013</t>
  </si>
  <si>
    <t>Project 1 - Research and Analysis</t>
  </si>
  <si>
    <t>02343.014</t>
  </si>
  <si>
    <t>Project 2 - Priority Sectors/Issues</t>
  </si>
  <si>
    <t>02343.015</t>
  </si>
  <si>
    <t>Byron Bay Town Centre Masterplan</t>
  </si>
  <si>
    <t>02343.016</t>
  </si>
  <si>
    <t>New Years Eve Events</t>
  </si>
  <si>
    <t>02343.022</t>
  </si>
  <si>
    <t>Business Retention and Expansion Survey</t>
  </si>
  <si>
    <t>02343.092</t>
  </si>
  <si>
    <t>Motor Vehicle Allowance</t>
  </si>
  <si>
    <t>01003</t>
  </si>
  <si>
    <t>Sponsorship / Contributions</t>
  </si>
  <si>
    <t>01003.003</t>
  </si>
  <si>
    <t>Making Things Happen</t>
  </si>
  <si>
    <t>Land &amp; Natural Environment (1.11.05.07.00.00)</t>
  </si>
  <si>
    <t>02601</t>
  </si>
  <si>
    <t>Employee and Office Expenses</t>
  </si>
  <si>
    <t>02601.001</t>
  </si>
  <si>
    <t>02601.003</t>
  </si>
  <si>
    <t>02601.004</t>
  </si>
  <si>
    <t>02601.006</t>
  </si>
  <si>
    <t>02601.092</t>
  </si>
  <si>
    <t>02605</t>
  </si>
  <si>
    <t>Environmental Strategic Studies/Plans</t>
  </si>
  <si>
    <t>02605.004</t>
  </si>
  <si>
    <t>Rural Settlement Strategy</t>
  </si>
  <si>
    <t>02605.032</t>
  </si>
  <si>
    <t>Studies and Plans</t>
  </si>
  <si>
    <t>02605.042</t>
  </si>
  <si>
    <t>Planning Studies Special Rate</t>
  </si>
  <si>
    <t>02605.063</t>
  </si>
  <si>
    <t>Sustainability Program</t>
  </si>
  <si>
    <t>02605.065</t>
  </si>
  <si>
    <t>Revolving Energy Fund</t>
  </si>
  <si>
    <t>02605.069</t>
  </si>
  <si>
    <t>Coastline Management - Beach Scraping</t>
  </si>
  <si>
    <t>02605.074</t>
  </si>
  <si>
    <t>Comprehensive Koala Plan of Management</t>
  </si>
  <si>
    <t>02605.083</t>
  </si>
  <si>
    <t>CZMP for Byron Bay Embayment</t>
  </si>
  <si>
    <t>02605.101</t>
  </si>
  <si>
    <t>Coastal Hazard Monitoring</t>
  </si>
  <si>
    <t>02605.102</t>
  </si>
  <si>
    <t>Vegetation Mapping â Stage 2 project</t>
  </si>
  <si>
    <t>02605.105</t>
  </si>
  <si>
    <t>Estuary CZMP</t>
  </si>
  <si>
    <t>02605.106</t>
  </si>
  <si>
    <t>Employment Land Strategy</t>
  </si>
  <si>
    <t>02605.107</t>
  </si>
  <si>
    <t>Residential Land Strategy</t>
  </si>
  <si>
    <t>02605.108</t>
  </si>
  <si>
    <t>LEP and DCP Review</t>
  </si>
  <si>
    <t>02606</t>
  </si>
  <si>
    <t>Environmental Levy Works and Services Program</t>
  </si>
  <si>
    <t>02606.018</t>
  </si>
  <si>
    <t>02606.019</t>
  </si>
  <si>
    <t>Community Infrastructure Maintenance Pgm</t>
  </si>
  <si>
    <t>02606.024</t>
  </si>
  <si>
    <t>02606.025</t>
  </si>
  <si>
    <t>Wild Dog, Fox and Feral control Program</t>
  </si>
  <si>
    <t>02606.027</t>
  </si>
  <si>
    <t>Rev of Biodiversity Cons Strategy '04</t>
  </si>
  <si>
    <t>02606.028</t>
  </si>
  <si>
    <t>Land for Wildlife Program</t>
  </si>
  <si>
    <t>02606.031</t>
  </si>
  <si>
    <t>02606.032</t>
  </si>
  <si>
    <t>Low Carbon Strategy</t>
  </si>
  <si>
    <t>02606.033</t>
  </si>
  <si>
    <t>Prepare Plan(s) of Mgmt for Bat Colonys</t>
  </si>
  <si>
    <t>02606.034</t>
  </si>
  <si>
    <t>Byron Zero Emissions Project</t>
  </si>
  <si>
    <t>02609</t>
  </si>
  <si>
    <t>Tweed Byron Bush Futures Project</t>
  </si>
  <si>
    <t>02609.002</t>
  </si>
  <si>
    <t>Contractors/Consultants</t>
  </si>
  <si>
    <t>02611</t>
  </si>
  <si>
    <t>Council Funded Local Environment Plans</t>
  </si>
  <si>
    <t>02611.009</t>
  </si>
  <si>
    <t>LEP Public Exhibition</t>
  </si>
  <si>
    <t>02613</t>
  </si>
  <si>
    <t>Koala Connections</t>
  </si>
  <si>
    <t>02613.003</t>
  </si>
  <si>
    <t>Invasive Species Management</t>
  </si>
  <si>
    <t>02613.007</t>
  </si>
  <si>
    <t>02615</t>
  </si>
  <si>
    <t>Applicant Funded Local Environment Plans</t>
  </si>
  <si>
    <t>02615.048</t>
  </si>
  <si>
    <t>268 Ewingsdale Road (Lot 181 DP 755695)</t>
  </si>
  <si>
    <t>02615.049</t>
  </si>
  <si>
    <t>29 Buckleys Road Tyagarah</t>
  </si>
  <si>
    <t>02619</t>
  </si>
  <si>
    <t>02619.091</t>
  </si>
  <si>
    <t>02622</t>
  </si>
  <si>
    <t>Graminoid Clay Heath Restoration Project</t>
  </si>
  <si>
    <t>02622.001</t>
  </si>
  <si>
    <t>02623</t>
  </si>
  <si>
    <t>Land for Wildlife - Restoring Rainforest</t>
  </si>
  <si>
    <t>02623.001</t>
  </si>
  <si>
    <t>01501</t>
  </si>
  <si>
    <t>Operating Grants - Environmental Planning</t>
  </si>
  <si>
    <t>01501.064</t>
  </si>
  <si>
    <t>NCCARF Partnership Payment</t>
  </si>
  <si>
    <t>01501.065</t>
  </si>
  <si>
    <t>Sustainability Plan</t>
  </si>
  <si>
    <t>01504</t>
  </si>
  <si>
    <t>Community Planning - Contributions</t>
  </si>
  <si>
    <t>01504.003</t>
  </si>
  <si>
    <t>Sustainable House Day Contributions</t>
  </si>
  <si>
    <t>01505</t>
  </si>
  <si>
    <t>01505.043</t>
  </si>
  <si>
    <t>Section 149 Certificates</t>
  </si>
  <si>
    <t>01505.046</t>
  </si>
  <si>
    <t>Sewer Location Plan Fees</t>
  </si>
  <si>
    <t>01505.052</t>
  </si>
  <si>
    <t>01505.053</t>
  </si>
  <si>
    <t>Frog Posters</t>
  </si>
  <si>
    <t>Environment &amp; Compliance Services (1.11.05.08.00.00)</t>
  </si>
  <si>
    <t>02781</t>
  </si>
  <si>
    <t>Health Employee Costs</t>
  </si>
  <si>
    <t>02781.001</t>
  </si>
  <si>
    <t>02781.002</t>
  </si>
  <si>
    <t>Overtime/Consultants</t>
  </si>
  <si>
    <t>02781.092</t>
  </si>
  <si>
    <t>02783</t>
  </si>
  <si>
    <t>Compliance Employee Costs</t>
  </si>
  <si>
    <t>02783.001</t>
  </si>
  <si>
    <t>02783.092</t>
  </si>
  <si>
    <t>02785</t>
  </si>
  <si>
    <t>02785.001</t>
  </si>
  <si>
    <t>02785.002</t>
  </si>
  <si>
    <t>02785.005</t>
  </si>
  <si>
    <t>02785.008</t>
  </si>
  <si>
    <t>Stock</t>
  </si>
  <si>
    <t>02785.011</t>
  </si>
  <si>
    <t>Minor Equipment</t>
  </si>
  <si>
    <t>02785.012</t>
  </si>
  <si>
    <t>02785.014</t>
  </si>
  <si>
    <t>Asset Maintenance</t>
  </si>
  <si>
    <t>02785.015</t>
  </si>
  <si>
    <t>Immunisations</t>
  </si>
  <si>
    <t>02785.029</t>
  </si>
  <si>
    <t>On-Site Sewerage Mgmt (Rate Notice)</t>
  </si>
  <si>
    <t>02799</t>
  </si>
  <si>
    <t>02799.091</t>
  </si>
  <si>
    <t>02861</t>
  </si>
  <si>
    <t>Infringement Processing</t>
  </si>
  <si>
    <t>02861.001</t>
  </si>
  <si>
    <t>02861.003</t>
  </si>
  <si>
    <t>Overtime</t>
  </si>
  <si>
    <t>02865</t>
  </si>
  <si>
    <t>Public Order and Safety Operating Expenses</t>
  </si>
  <si>
    <t>02865.001</t>
  </si>
  <si>
    <t>Abandoned Vehicle Disposal</t>
  </si>
  <si>
    <t>02865.002</t>
  </si>
  <si>
    <t>Advertising / Postage / Printing / Unifo</t>
  </si>
  <si>
    <t>02865.004</t>
  </si>
  <si>
    <t>Impounding Expenses - W/O's Only</t>
  </si>
  <si>
    <t>02865.008</t>
  </si>
  <si>
    <t>Professional Development</t>
  </si>
  <si>
    <t>02865.009</t>
  </si>
  <si>
    <t>Signage</t>
  </si>
  <si>
    <t>02865.011</t>
  </si>
  <si>
    <t>Vet Fees</t>
  </si>
  <si>
    <t>02865.012</t>
  </si>
  <si>
    <t>02865.019</t>
  </si>
  <si>
    <t>Local Court Prosecution Costs</t>
  </si>
  <si>
    <t>02865.020</t>
  </si>
  <si>
    <t>Public Education</t>
  </si>
  <si>
    <t>02865.028</t>
  </si>
  <si>
    <t>Investigation Consultants</t>
  </si>
  <si>
    <t>02865.031</t>
  </si>
  <si>
    <t>Impounding Expenses</t>
  </si>
  <si>
    <t>02865.032</t>
  </si>
  <si>
    <t>Responsible Pet Ownership</t>
  </si>
  <si>
    <t>02871</t>
  </si>
  <si>
    <t>02871.001</t>
  </si>
  <si>
    <t>Collection Fees on Fine Income</t>
  </si>
  <si>
    <t>02871.002</t>
  </si>
  <si>
    <t>Hand Held Infringement Devices</t>
  </si>
  <si>
    <t>02871.003</t>
  </si>
  <si>
    <t>Licence Plate Recog (LPR) Supp &amp; Maint</t>
  </si>
  <si>
    <t>02871.005</t>
  </si>
  <si>
    <t>01625</t>
  </si>
  <si>
    <t>01625.001</t>
  </si>
  <si>
    <t>Caravan Parks Inspection Fees</t>
  </si>
  <si>
    <t>01625.003</t>
  </si>
  <si>
    <t>Itinerant Vendors / Market Stall Permits</t>
  </si>
  <si>
    <t>01625.004</t>
  </si>
  <si>
    <t>Market Inspection Fees</t>
  </si>
  <si>
    <t>01625.005</t>
  </si>
  <si>
    <t>On-Site Sewage-Operation&amp;Install. Applic</t>
  </si>
  <si>
    <t>01625.007</t>
  </si>
  <si>
    <t>Food/Health Inspection Fees</t>
  </si>
  <si>
    <t>01625.008</t>
  </si>
  <si>
    <t>Other LGA Approvals</t>
  </si>
  <si>
    <t>01625.019</t>
  </si>
  <si>
    <t>Food Administration Fee</t>
  </si>
  <si>
    <t>01625.022</t>
  </si>
  <si>
    <t>Public Health Registration</t>
  </si>
  <si>
    <t>01625.023</t>
  </si>
  <si>
    <t>01629</t>
  </si>
  <si>
    <t>Miscellaneous Revenues</t>
  </si>
  <si>
    <t>01629.003</t>
  </si>
  <si>
    <t>Administration Fees</t>
  </si>
  <si>
    <t>01631</t>
  </si>
  <si>
    <t>Compliance Fees &amp; Charges</t>
  </si>
  <si>
    <t>01631.002</t>
  </si>
  <si>
    <t>Section 735A Certificates</t>
  </si>
  <si>
    <t>01633</t>
  </si>
  <si>
    <t>Compliance Miscellaneous Revenues</t>
  </si>
  <si>
    <t>01633.001</t>
  </si>
  <si>
    <t>Administrative Fees - Notice &amp; Orders</t>
  </si>
  <si>
    <t>01633.009</t>
  </si>
  <si>
    <t>Impounding Notice</t>
  </si>
  <si>
    <t>01671</t>
  </si>
  <si>
    <t>Fees and Charges - Regulated</t>
  </si>
  <si>
    <t>01671.003</t>
  </si>
  <si>
    <t>Cat &amp; Dog Registrations</t>
  </si>
  <si>
    <t>01671.004</t>
  </si>
  <si>
    <t>Microchip Fees - Dogs &amp; Cats</t>
  </si>
  <si>
    <t>01675</t>
  </si>
  <si>
    <t>01675.001</t>
  </si>
  <si>
    <t>Animals - Impounding Fees</t>
  </si>
  <si>
    <t>01675.002</t>
  </si>
  <si>
    <t>Animals - Sales</t>
  </si>
  <si>
    <t>01675.003</t>
  </si>
  <si>
    <t>Beach Access - Permits</t>
  </si>
  <si>
    <t>01675.004</t>
  </si>
  <si>
    <t>Buskers - Permits</t>
  </si>
  <si>
    <t>01675.006</t>
  </si>
  <si>
    <t>Dogs - Release &amp; Maint. Fees</t>
  </si>
  <si>
    <t>01675.009</t>
  </si>
  <si>
    <t>Overgrown Properties - Inspection Fees</t>
  </si>
  <si>
    <t>01675.013</t>
  </si>
  <si>
    <t>Compliance Inspections</t>
  </si>
  <si>
    <t>01675.014</t>
  </si>
  <si>
    <t>Fire Safety Inspections - Complaint Gen</t>
  </si>
  <si>
    <t>01675.015</t>
  </si>
  <si>
    <t>Reminder Notice Fee - Fire Safety Stmt</t>
  </si>
  <si>
    <t>01675.016</t>
  </si>
  <si>
    <t>Swimming Pool Inspections</t>
  </si>
  <si>
    <t>01675.017</t>
  </si>
  <si>
    <t>Boarding House Compliance Inspections</t>
  </si>
  <si>
    <t>01681</t>
  </si>
  <si>
    <t>Fines and Other Revenues</t>
  </si>
  <si>
    <t>01681.001</t>
  </si>
  <si>
    <t>Infringement Revenue - Parking &amp; Other</t>
  </si>
  <si>
    <t>01681.006</t>
  </si>
  <si>
    <t>Licence Plate Recognition Resource Share</t>
  </si>
  <si>
    <t>Water Supplies (1.12.06.01.00.00)</t>
  </si>
  <si>
    <t>06101</t>
  </si>
  <si>
    <t>Management &amp; Administration</t>
  </si>
  <si>
    <t>06101.001</t>
  </si>
  <si>
    <t>06105</t>
  </si>
  <si>
    <t>Engineering &amp; Supervision</t>
  </si>
  <si>
    <t>06105.001</t>
  </si>
  <si>
    <t>06105.092</t>
  </si>
  <si>
    <t>06107</t>
  </si>
  <si>
    <t>S64 Engineering</t>
  </si>
  <si>
    <t>06107.001</t>
  </si>
  <si>
    <t>06111</t>
  </si>
  <si>
    <t>Employee Costs - Compliance</t>
  </si>
  <si>
    <t>06111.001</t>
  </si>
  <si>
    <t>06111.092</t>
  </si>
  <si>
    <t>06115</t>
  </si>
  <si>
    <t>Employee Costs - Administration and Education</t>
  </si>
  <si>
    <t>06115.001</t>
  </si>
  <si>
    <t>06121</t>
  </si>
  <si>
    <t>Meter Reading Contract</t>
  </si>
  <si>
    <t>06121.002</t>
  </si>
  <si>
    <t>Payment to AMRS</t>
  </si>
  <si>
    <t>06125</t>
  </si>
  <si>
    <t>Training and Recruitment</t>
  </si>
  <si>
    <t>06125.003</t>
  </si>
  <si>
    <t>Technical Skills</t>
  </si>
  <si>
    <t>06141</t>
  </si>
  <si>
    <t>06141.001</t>
  </si>
  <si>
    <t>06141.002</t>
  </si>
  <si>
    <t>Communication Systems</t>
  </si>
  <si>
    <t>06141.006</t>
  </si>
  <si>
    <t>Misc Equip/Expenses</t>
  </si>
  <si>
    <t>06141.009</t>
  </si>
  <si>
    <t>s356 Water Supplies Mgmt (Com bldg Wat)</t>
  </si>
  <si>
    <t>06141.011</t>
  </si>
  <si>
    <t>Fletcher St Property Expenses</t>
  </si>
  <si>
    <t>06141.012</t>
  </si>
  <si>
    <t>Books/Journals</t>
  </si>
  <si>
    <t>06141.014</t>
  </si>
  <si>
    <t>Payroll Tax</t>
  </si>
  <si>
    <t>06141.025</t>
  </si>
  <si>
    <t>Rainwater Tank Rebate</t>
  </si>
  <si>
    <t>06141.027</t>
  </si>
  <si>
    <t>Tax Equivalent Payments to General Fund</t>
  </si>
  <si>
    <t>06141.032</t>
  </si>
  <si>
    <t>Audit of Best Practice Mngmt Compliance</t>
  </si>
  <si>
    <t>06141.033</t>
  </si>
  <si>
    <t>Wategoes Res. Optus Lease Expenses</t>
  </si>
  <si>
    <t>06141.038</t>
  </si>
  <si>
    <t>Water Directorate</t>
  </si>
  <si>
    <t>06141.039</t>
  </si>
  <si>
    <t>Rent Donation - 18 Fletcher St Byron Bay</t>
  </si>
  <si>
    <t>06141.045</t>
  </si>
  <si>
    <t>Old Library Expenses</t>
  </si>
  <si>
    <t>06145</t>
  </si>
  <si>
    <t>Abandonments</t>
  </si>
  <si>
    <t>06145.002</t>
  </si>
  <si>
    <t>Charges Abandoned</t>
  </si>
  <si>
    <t>06145.003</t>
  </si>
  <si>
    <t>06159</t>
  </si>
  <si>
    <t>06159.001</t>
  </si>
  <si>
    <t>Contribution to Depot</t>
  </si>
  <si>
    <t>06159.003</t>
  </si>
  <si>
    <t>06159.090</t>
  </si>
  <si>
    <t>06159.091</t>
  </si>
  <si>
    <t>06205</t>
  </si>
  <si>
    <t>06205.006</t>
  </si>
  <si>
    <t>Water Mains Maintenance</t>
  </si>
  <si>
    <t>06205.007</t>
  </si>
  <si>
    <t>Water Mains Operation</t>
  </si>
  <si>
    <t>06205.011</t>
  </si>
  <si>
    <t>Reservoir Operation</t>
  </si>
  <si>
    <t>06205.012</t>
  </si>
  <si>
    <t>Reservoir Maintenance</t>
  </si>
  <si>
    <t>06205.015</t>
  </si>
  <si>
    <t>Other Operations</t>
  </si>
  <si>
    <t>06205.016</t>
  </si>
  <si>
    <t>Other Maintenance</t>
  </si>
  <si>
    <t>06205.022</t>
  </si>
  <si>
    <t>Purchase of Water</t>
  </si>
  <si>
    <t>06235</t>
  </si>
  <si>
    <t>06235.001</t>
  </si>
  <si>
    <t>WTW Planned Maint.</t>
  </si>
  <si>
    <t>06235.006</t>
  </si>
  <si>
    <t>WTW Chemicals</t>
  </si>
  <si>
    <t>06235.007</t>
  </si>
  <si>
    <t>WTW Operation</t>
  </si>
  <si>
    <t>06001</t>
  </si>
  <si>
    <t>06001.001</t>
  </si>
  <si>
    <t>Pensioners Subsidy</t>
  </si>
  <si>
    <t>06011</t>
  </si>
  <si>
    <t>Rates and Service Availability Charges</t>
  </si>
  <si>
    <t>06011.001</t>
  </si>
  <si>
    <t>Residential</t>
  </si>
  <si>
    <t>06011.002</t>
  </si>
  <si>
    <t>Non-Residential</t>
  </si>
  <si>
    <t>06011.003</t>
  </si>
  <si>
    <t>06021</t>
  </si>
  <si>
    <t>Water Consumption Charges</t>
  </si>
  <si>
    <t>06021.001</t>
  </si>
  <si>
    <t>06021.002</t>
  </si>
  <si>
    <t>06021.003</t>
  </si>
  <si>
    <t>06031</t>
  </si>
  <si>
    <t>Fees</t>
  </si>
  <si>
    <t>06031.001</t>
  </si>
  <si>
    <t>Lease - Lighthouse Rd Tower Site</t>
  </si>
  <si>
    <t>06031.002</t>
  </si>
  <si>
    <t>Lease - 18 Fletcher St</t>
  </si>
  <si>
    <t>06031.003</t>
  </si>
  <si>
    <t>Lease - Byron Library</t>
  </si>
  <si>
    <t>06031.004</t>
  </si>
  <si>
    <t>Connection / Tapping Fees</t>
  </si>
  <si>
    <t>06031.005</t>
  </si>
  <si>
    <t>Standpipes</t>
  </si>
  <si>
    <t>06031.006</t>
  </si>
  <si>
    <t>Sundry Income (Includes Meter Test)</t>
  </si>
  <si>
    <t>06031.013</t>
  </si>
  <si>
    <t>Lease - Paterson St Water Res. Optus</t>
  </si>
  <si>
    <t>06031.014</t>
  </si>
  <si>
    <t>Rainwater Tank Rebate from Rous</t>
  </si>
  <si>
    <t>06031.015</t>
  </si>
  <si>
    <t>Wategoes Water Res - Lease Optus</t>
  </si>
  <si>
    <t>06031.017</t>
  </si>
  <si>
    <t>Wategoes - Vodafone Lease</t>
  </si>
  <si>
    <t>06031.018</t>
  </si>
  <si>
    <t>Optus Lease - Tongarra Rd Reservior</t>
  </si>
  <si>
    <t>06035</t>
  </si>
  <si>
    <t>06035.009</t>
  </si>
  <si>
    <t>Priv Wks Inc Water General</t>
  </si>
  <si>
    <t>06041</t>
  </si>
  <si>
    <t>Extra Charges</t>
  </si>
  <si>
    <t>06041.001</t>
  </si>
  <si>
    <t>Interest on Fixed Charges</t>
  </si>
  <si>
    <t>06041.003</t>
  </si>
  <si>
    <t>Interest on Consumption Charges</t>
  </si>
  <si>
    <t>06051</t>
  </si>
  <si>
    <t>Interest on Investments</t>
  </si>
  <si>
    <t>06051.001</t>
  </si>
  <si>
    <t>Surplus Funds</t>
  </si>
  <si>
    <t>06051.002</t>
  </si>
  <si>
    <t>S64 Contributions</t>
  </si>
  <si>
    <t>Sewerage Services - Management (1.13.09.01.00.00)</t>
  </si>
  <si>
    <t>07101</t>
  </si>
  <si>
    <t>07101.001</t>
  </si>
  <si>
    <t>07101.002</t>
  </si>
  <si>
    <t>Apprentice's Salary for TAFE Days</t>
  </si>
  <si>
    <t>07105</t>
  </si>
  <si>
    <t>07105.001</t>
  </si>
  <si>
    <t>Salaries &amp; oncosts</t>
  </si>
  <si>
    <t>07105.092</t>
  </si>
  <si>
    <t>07106</t>
  </si>
  <si>
    <t>Engineering S64 Assessment</t>
  </si>
  <si>
    <t>07106.001</t>
  </si>
  <si>
    <t>07111</t>
  </si>
  <si>
    <t>07111.001</t>
  </si>
  <si>
    <t>07111.092</t>
  </si>
  <si>
    <t>07115</t>
  </si>
  <si>
    <t>07115.001</t>
  </si>
  <si>
    <t>07115.092</t>
  </si>
  <si>
    <t>07121</t>
  </si>
  <si>
    <t>07121.002</t>
  </si>
  <si>
    <t>Payment to AMRF</t>
  </si>
  <si>
    <t>07125</t>
  </si>
  <si>
    <t>07125.003</t>
  </si>
  <si>
    <t>07141</t>
  </si>
  <si>
    <t>07141.001</t>
  </si>
  <si>
    <t>07141.002</t>
  </si>
  <si>
    <t>07141.006</t>
  </si>
  <si>
    <t>Miscellaneous Equipment/Expenses</t>
  </si>
  <si>
    <t>07141.008</t>
  </si>
  <si>
    <t>Laundry</t>
  </si>
  <si>
    <t>07141.009</t>
  </si>
  <si>
    <t>s356 Sewerage Services (Com Bldg Sew)</t>
  </si>
  <si>
    <t>07141.012</t>
  </si>
  <si>
    <t>Books Journals</t>
  </si>
  <si>
    <t>07141.014</t>
  </si>
  <si>
    <t>07141.019</t>
  </si>
  <si>
    <t>07141.024</t>
  </si>
  <si>
    <t>Maintenance Lease - 125 Vallances Rd</t>
  </si>
  <si>
    <t>07141.027</t>
  </si>
  <si>
    <t>Pony Paddock - Mullumbimby Expenditure</t>
  </si>
  <si>
    <t>07141.035</t>
  </si>
  <si>
    <t>07151</t>
  </si>
  <si>
    <t>07151.002</t>
  </si>
  <si>
    <t>Charges Ab&amp;oned</t>
  </si>
  <si>
    <t>07151.003</t>
  </si>
  <si>
    <t>Bad Debts Ab&amp;oned</t>
  </si>
  <si>
    <t>07155</t>
  </si>
  <si>
    <t>07155.001</t>
  </si>
  <si>
    <t>Property Maint. Costs</t>
  </si>
  <si>
    <t>07161</t>
  </si>
  <si>
    <t>07161.001</t>
  </si>
  <si>
    <t>07169</t>
  </si>
  <si>
    <t>07169.002</t>
  </si>
  <si>
    <t>07169.090</t>
  </si>
  <si>
    <t>07169.091</t>
  </si>
  <si>
    <t>07203</t>
  </si>
  <si>
    <t>Plant Running Expenses</t>
  </si>
  <si>
    <t>07203.001</t>
  </si>
  <si>
    <t>Fuel and Oil</t>
  </si>
  <si>
    <t>07203.002</t>
  </si>
  <si>
    <t>Parts and Materials</t>
  </si>
  <si>
    <t>07203.003</t>
  </si>
  <si>
    <t>Tyres</t>
  </si>
  <si>
    <t>07203.004</t>
  </si>
  <si>
    <t>Contract Repairs</t>
  </si>
  <si>
    <t>07203.006</t>
  </si>
  <si>
    <t>Labour</t>
  </si>
  <si>
    <t>07203.007</t>
  </si>
  <si>
    <t>Insurance and Registration</t>
  </si>
  <si>
    <t>07205</t>
  </si>
  <si>
    <t>07205.001</t>
  </si>
  <si>
    <t>Co-Ordination-Maint.</t>
  </si>
  <si>
    <t>07205.005</t>
  </si>
  <si>
    <t>Gravity Mains Operation</t>
  </si>
  <si>
    <t>07205.006</t>
  </si>
  <si>
    <t>Gravity Mains Maintenance</t>
  </si>
  <si>
    <t>07205.008</t>
  </si>
  <si>
    <t>LPPS Breakdowns / Repairs</t>
  </si>
  <si>
    <t>07205.009</t>
  </si>
  <si>
    <t>SPS Operation</t>
  </si>
  <si>
    <t>07205.011</t>
  </si>
  <si>
    <t>SPS Maintenance</t>
  </si>
  <si>
    <t>07205.012</t>
  </si>
  <si>
    <t>SPS Power</t>
  </si>
  <si>
    <t>07205.021</t>
  </si>
  <si>
    <t>Treatment Operations Expenses</t>
  </si>
  <si>
    <t>07205.022</t>
  </si>
  <si>
    <t>Chemical Costs</t>
  </si>
  <si>
    <t>07205.023</t>
  </si>
  <si>
    <t>Energy Costs</t>
  </si>
  <si>
    <t>07205.024</t>
  </si>
  <si>
    <t>Treatment Effluent Management</t>
  </si>
  <si>
    <t>07205.025</t>
  </si>
  <si>
    <t>Treatment Biosolids Management</t>
  </si>
  <si>
    <t>07205.026</t>
  </si>
  <si>
    <t>Treatment Maintenance</t>
  </si>
  <si>
    <t>07205.027</t>
  </si>
  <si>
    <t>Other Operations Expenses</t>
  </si>
  <si>
    <t>07205.028</t>
  </si>
  <si>
    <t>07243</t>
  </si>
  <si>
    <t>Byron Bay System</t>
  </si>
  <si>
    <t>07243.012</t>
  </si>
  <si>
    <t>Splendour - Staffing Requirements</t>
  </si>
  <si>
    <t>07001</t>
  </si>
  <si>
    <t>07001.001</t>
  </si>
  <si>
    <t>07011</t>
  </si>
  <si>
    <t>Rates and Service Availability Charges.</t>
  </si>
  <si>
    <t>07011.001</t>
  </si>
  <si>
    <t>07011.002</t>
  </si>
  <si>
    <t>Non Residential</t>
  </si>
  <si>
    <t>07011.003</t>
  </si>
  <si>
    <t>Trade Waste</t>
  </si>
  <si>
    <t>07011.004</t>
  </si>
  <si>
    <t>07021</t>
  </si>
  <si>
    <t>07021.001</t>
  </si>
  <si>
    <t>07021.002</t>
  </si>
  <si>
    <t>07021.003</t>
  </si>
  <si>
    <t>07031</t>
  </si>
  <si>
    <t>07031.006</t>
  </si>
  <si>
    <t>Property Rental Income</t>
  </si>
  <si>
    <t>07031.009</t>
  </si>
  <si>
    <t>Sundry Income</t>
  </si>
  <si>
    <t>07031.014</t>
  </si>
  <si>
    <t>Trade Waste Processing Fees</t>
  </si>
  <si>
    <t>07031.015</t>
  </si>
  <si>
    <t>Plant Income</t>
  </si>
  <si>
    <t>07031.019</t>
  </si>
  <si>
    <t>Lease - 125 Vallances Road</t>
  </si>
  <si>
    <t>07031.021</t>
  </si>
  <si>
    <t>Agistment - Vallances Rd House - A Morr</t>
  </si>
  <si>
    <t>07031.024</t>
  </si>
  <si>
    <t>Pony Paddock Agistment - Mullumbimby</t>
  </si>
  <si>
    <t>07031.025</t>
  </si>
  <si>
    <t>Vallances Rd STP Optus Tower</t>
  </si>
  <si>
    <t>07031.026</t>
  </si>
  <si>
    <t>Application - Dispose of Waste to Sewer</t>
  </si>
  <si>
    <t>07031.028</t>
  </si>
  <si>
    <t>Festival Waste Processing Fees</t>
  </si>
  <si>
    <t>07041</t>
  </si>
  <si>
    <t>07041.001</t>
  </si>
  <si>
    <t>07041.003</t>
  </si>
  <si>
    <t>Interest on Residential Consumption</t>
  </si>
  <si>
    <t>07041.005</t>
  </si>
  <si>
    <t>Interest on Trade Waste Consumption</t>
  </si>
  <si>
    <t>07041.007</t>
  </si>
  <si>
    <t>Interst on Non Residential Consumption</t>
  </si>
  <si>
    <t>07051</t>
  </si>
  <si>
    <t>07051.001</t>
  </si>
  <si>
    <t>07051.002</t>
  </si>
  <si>
    <t>Job Number</t>
  </si>
  <si>
    <t>Statement Coding</t>
  </si>
  <si>
    <t>WATER FUND</t>
  </si>
  <si>
    <t>SEWER FUND</t>
  </si>
  <si>
    <t>Assumption Index</t>
  </si>
  <si>
    <t>Rates and Annual Charges</t>
  </si>
  <si>
    <t>User Charges and Fees</t>
  </si>
  <si>
    <t>Grants and Contribuitons - Operating</t>
  </si>
  <si>
    <t>Grants and Contributions - Capital</t>
  </si>
  <si>
    <t xml:space="preserve">Depreciation </t>
  </si>
  <si>
    <t>GENERAL FUND</t>
  </si>
  <si>
    <t>CONSOLIDATED ALL FUNDS</t>
  </si>
  <si>
    <t>Total</t>
  </si>
  <si>
    <t>02999.033</t>
  </si>
  <si>
    <t>02999.071</t>
  </si>
  <si>
    <t>02999.013</t>
  </si>
  <si>
    <t>Emergency Services Depreciation</t>
  </si>
  <si>
    <t>RFS Depreciation</t>
  </si>
  <si>
    <t>02999.014</t>
  </si>
  <si>
    <t>02999.010</t>
  </si>
  <si>
    <t>02999.152</t>
  </si>
  <si>
    <t>02999.057</t>
  </si>
  <si>
    <t>Depreciation - Stormwater Drainage</t>
  </si>
  <si>
    <t>02999.111</t>
  </si>
  <si>
    <t>Depreciation - Urban Roads Local</t>
  </si>
  <si>
    <t>Depreciation - Sealed Rural Roads</t>
  </si>
  <si>
    <t>02999.113</t>
  </si>
  <si>
    <t>Depreciation - Unsealed Rural Roads</t>
  </si>
  <si>
    <t>02999.115</t>
  </si>
  <si>
    <t>Depreciation - Bridges on Urban Regional Roads</t>
  </si>
  <si>
    <t>Depreciation - Bridges on Sealed Rural Roads</t>
  </si>
  <si>
    <t>02999.118</t>
  </si>
  <si>
    <t>02999.119</t>
  </si>
  <si>
    <t>Depreciation - Footpaths/Cycleways</t>
  </si>
  <si>
    <t>02999.123</t>
  </si>
  <si>
    <t>Depreciation - Pasrking Areas</t>
  </si>
  <si>
    <t>Depreciation - Bus Shelters and Services</t>
  </si>
  <si>
    <t>02999.125</t>
  </si>
  <si>
    <t>02999.126</t>
  </si>
  <si>
    <t>02999.130</t>
  </si>
  <si>
    <t>02999.078</t>
  </si>
  <si>
    <t>02999.079</t>
  </si>
  <si>
    <t>Depreciation - Sporting Grounds</t>
  </si>
  <si>
    <t>Depreciation - Parks &amp; Gardens</t>
  </si>
  <si>
    <t>Depreciation - Beaches</t>
  </si>
  <si>
    <t>02999.012</t>
  </si>
  <si>
    <t>02999.124</t>
  </si>
  <si>
    <t>Depreciation - Aerodromes</t>
  </si>
  <si>
    <t>02999.054</t>
  </si>
  <si>
    <t>Depreciation - Other Waste Management</t>
  </si>
  <si>
    <t>02999.081</t>
  </si>
  <si>
    <t>Depreciation - Cavanbah Centre</t>
  </si>
  <si>
    <t>02999.142</t>
  </si>
  <si>
    <t>Depreciation - First Sun Holiday Park</t>
  </si>
  <si>
    <t>Depreciation - Suffolk Beachfront Holiday Park</t>
  </si>
  <si>
    <t>02999.143</t>
  </si>
  <si>
    <t>Depreciation - Admin Centre</t>
  </si>
  <si>
    <t>02999.002</t>
  </si>
  <si>
    <t>Depreciation - Conveniences</t>
  </si>
  <si>
    <t>Depreciation - Community Centres / Halls</t>
  </si>
  <si>
    <t>Depreciation Swimming Pools</t>
  </si>
  <si>
    <t>Depreciation - Tourist Information Centre</t>
  </si>
  <si>
    <t>02999.061</t>
  </si>
  <si>
    <t>02999.74/5</t>
  </si>
  <si>
    <t>02999.077</t>
  </si>
  <si>
    <t>02999.151</t>
  </si>
  <si>
    <t>02999.001</t>
  </si>
  <si>
    <t>Depreciation - Animal Control</t>
  </si>
  <si>
    <t>Depreciation - Ranger Services</t>
  </si>
  <si>
    <t>02999.011</t>
  </si>
  <si>
    <t>02999.005</t>
  </si>
  <si>
    <t>Depreciation - Workshop</t>
  </si>
  <si>
    <t>Depreciation - Fleet</t>
  </si>
  <si>
    <t>06211.093</t>
  </si>
  <si>
    <t>Depreciation - Water</t>
  </si>
  <si>
    <t>Depreciation - Sewerage Fund</t>
  </si>
  <si>
    <t>07209.093</t>
  </si>
  <si>
    <t>Salary/Wages</t>
  </si>
  <si>
    <t>Oncosts</t>
  </si>
  <si>
    <t>Comment</t>
  </si>
  <si>
    <t>General Fund</t>
  </si>
  <si>
    <t>Water Fund</t>
  </si>
  <si>
    <t>Sewer Fund</t>
  </si>
  <si>
    <t>Expense</t>
  </si>
  <si>
    <t>Amount to</t>
  </si>
  <si>
    <t>Totals are taken from Salaries 2016-2017 Budget from Salaries - Oncosts tab</t>
  </si>
  <si>
    <t xml:space="preserve">Water Fund </t>
  </si>
  <si>
    <t>Adjustment rounded to nearest $100</t>
  </si>
  <si>
    <t>Fund</t>
  </si>
  <si>
    <t>Capitalised</t>
  </si>
  <si>
    <t>Assume 10%</t>
  </si>
  <si>
    <t>Employee costs already directly mapped as expensed in data sheet</t>
  </si>
  <si>
    <t>Adjustment to make against Materials and Contracts in each Fund</t>
  </si>
  <si>
    <t>Note:</t>
  </si>
  <si>
    <t>Recalculation is done to ascertain total employee costs, epsecially those charged to maintenance works and are not direct salary allocations.</t>
  </si>
  <si>
    <t>Base Year: 2016/2017</t>
  </si>
  <si>
    <t>Rounding to adjust total expenditure</t>
  </si>
  <si>
    <t>Developer Contributions - General Fund</t>
  </si>
  <si>
    <t>01525</t>
  </si>
  <si>
    <t>Sect. 94 - Community Facilities</t>
  </si>
  <si>
    <t>01525.001</t>
  </si>
  <si>
    <t>Byron Bay</t>
  </si>
  <si>
    <t>01525.002</t>
  </si>
  <si>
    <t>01525.006</t>
  </si>
  <si>
    <t>Ocean Shores</t>
  </si>
  <si>
    <t>01525.007</t>
  </si>
  <si>
    <t>Shire Wide</t>
  </si>
  <si>
    <t>01526</t>
  </si>
  <si>
    <t>Sect. 94 - Open Space</t>
  </si>
  <si>
    <t>01526.001</t>
  </si>
  <si>
    <t>01526.002</t>
  </si>
  <si>
    <t>01526.006</t>
  </si>
  <si>
    <t>01526.007</t>
  </si>
  <si>
    <t>01535</t>
  </si>
  <si>
    <t>Sect. 94 - Bikeways</t>
  </si>
  <si>
    <t>01535.001</t>
  </si>
  <si>
    <t>01535.002</t>
  </si>
  <si>
    <t>01535.006</t>
  </si>
  <si>
    <t>01535.009</t>
  </si>
  <si>
    <t>01546</t>
  </si>
  <si>
    <t>Sect. 94 - Roads (Urban and Rural)</t>
  </si>
  <si>
    <t>01546.001</t>
  </si>
  <si>
    <t>01546.002</t>
  </si>
  <si>
    <t>01546.009</t>
  </si>
  <si>
    <t>Rural South</t>
  </si>
  <si>
    <t>01546.011</t>
  </si>
  <si>
    <t>Batsons Quarry</t>
  </si>
  <si>
    <t>01546.015</t>
  </si>
  <si>
    <t>Shirewide</t>
  </si>
  <si>
    <t>01561</t>
  </si>
  <si>
    <t>Sect. 94 - Council Offices</t>
  </si>
  <si>
    <t>01561.001</t>
  </si>
  <si>
    <t>Shire-wide</t>
  </si>
  <si>
    <t>01562</t>
  </si>
  <si>
    <t>Section 94A Levy Income</t>
  </si>
  <si>
    <t>01562.001</t>
  </si>
  <si>
    <t>Section 94A Levy</t>
  </si>
  <si>
    <t>Total Developer Contributions - General Fund</t>
  </si>
  <si>
    <t>Developer Contributions - Water Fund</t>
  </si>
  <si>
    <t>Total Developer Contributions - Water Fund</t>
  </si>
  <si>
    <t>Developer Contributions - Sewer Fund</t>
  </si>
  <si>
    <t>Total Developer Contributions - Sewer Fund</t>
  </si>
  <si>
    <t>06066</t>
  </si>
  <si>
    <t>Section 64 Contributions under Plan</t>
  </si>
  <si>
    <t>06066.001</t>
  </si>
  <si>
    <t>06066.005</t>
  </si>
  <si>
    <t>06066.010</t>
  </si>
  <si>
    <t>S64 Application Admin Fee</t>
  </si>
  <si>
    <t>07066</t>
  </si>
  <si>
    <t>07066.001</t>
  </si>
  <si>
    <t>07066.005</t>
  </si>
  <si>
    <t>07401</t>
  </si>
  <si>
    <t>Capital Income</t>
  </si>
  <si>
    <t>07401.301</t>
  </si>
  <si>
    <t>Developer Contributions - S64</t>
  </si>
  <si>
    <t>Capital Grants - General Fund</t>
  </si>
  <si>
    <t>Total Capital Grants - General Fund</t>
  </si>
  <si>
    <t>Capital Grants - Water Fund</t>
  </si>
  <si>
    <t>Total Capital Grants - Water Fund</t>
  </si>
  <si>
    <t>Capital Grants - Sewer Fund</t>
  </si>
  <si>
    <t>Total Capital Grants - Sewer Fund</t>
  </si>
  <si>
    <t>Asset Sales - General Fund</t>
  </si>
  <si>
    <t>Total Asset Sales - General Fund</t>
  </si>
  <si>
    <t>New Loan Borrowings - General Fund</t>
  </si>
  <si>
    <t>Total New Loan Borrowings - General Fund</t>
  </si>
  <si>
    <t>Total Deferred Debtor Repayments - General Fund</t>
  </si>
  <si>
    <t>Deferred Debtor Repayments - General Fund</t>
  </si>
  <si>
    <t>TOTAL GENERAL FUND CAPITAL REVENUE</t>
  </si>
  <si>
    <t>Asset Sales - Water Fund</t>
  </si>
  <si>
    <t>Total Asset Sales - Water Fund</t>
  </si>
  <si>
    <t>New Loan Borrowings - Water Fund</t>
  </si>
  <si>
    <t>Total New Loan Borrowings - Water Fund</t>
  </si>
  <si>
    <t>Deferred Debtor Repayments - Water Fund</t>
  </si>
  <si>
    <t>Total Deferred Debtor Repayments - Water Fund</t>
  </si>
  <si>
    <t>TOTAL WATER FUND CAPITAL REVENUE</t>
  </si>
  <si>
    <t>Asset Sales - Sewer Fund</t>
  </si>
  <si>
    <t>Total Asset Sales - Sewer Fund</t>
  </si>
  <si>
    <t>New Loan Borrowings - Sewer Fund</t>
  </si>
  <si>
    <t>Total New Loan Borrowings - Sewer Fund</t>
  </si>
  <si>
    <t>Deferred Debtor Repayments - Sewer Fund</t>
  </si>
  <si>
    <t>Total Deferred Debtor Repayments - Sewer Fund</t>
  </si>
  <si>
    <t>TOTAL SEWER FUND CAPITAL REVENUE</t>
  </si>
  <si>
    <t>Sale of Lot 12 Bayshore Drive</t>
  </si>
  <si>
    <t>Sale of Station Street Mullumbimby Sub Division</t>
  </si>
  <si>
    <t>Miscellaneous Land Sales</t>
  </si>
  <si>
    <t>Public Libraries</t>
  </si>
  <si>
    <t>Local Priority Grant</t>
  </si>
  <si>
    <t>Emergency Services</t>
  </si>
  <si>
    <t>Opening Tallow Creek Mouth</t>
  </si>
  <si>
    <t>Local Roads and Drainage</t>
  </si>
  <si>
    <t>.</t>
  </si>
  <si>
    <t>Byron Bay Bypass</t>
  </si>
  <si>
    <t>Byron Bay Bypass  Stage 2 investigatipons</t>
  </si>
  <si>
    <t>Clifford Street intersection with Broken Head Road, Suffolk Park, traffic control upgrade (RMS)</t>
  </si>
  <si>
    <t>Bayshore and Ewingsdale  Roundabout</t>
  </si>
  <si>
    <t>Clifford Street intersection with Broken Head Road, Suffolk Park, traffic control upgrade</t>
  </si>
  <si>
    <t>Coolamon Scenic Drive - Construction Works</t>
  </si>
  <si>
    <t>Ewingsdale Road, McGettigans Lane to Highway</t>
  </si>
  <si>
    <t>Grays Lane, Tyagarah, pavement upgrade</t>
  </si>
  <si>
    <t>Skinners Shoot Road South of Yagers Lane</t>
  </si>
  <si>
    <t>Ruskin Lane Stormwater Aigmentation</t>
  </si>
  <si>
    <t>Rajah Road/Orana Road, ocean Shores, - new path from Shopping Centre to Wirree Drive</t>
  </si>
  <si>
    <t xml:space="preserve">Marvel St, Byron Bay - northern side Tennyson St to Middleton St </t>
  </si>
  <si>
    <t>Mullum High School Footpath</t>
  </si>
  <si>
    <t>Wilson Creek School Footpath</t>
  </si>
  <si>
    <t>Rifle Range Road Intersection upgrade (John Holland)</t>
  </si>
  <si>
    <t>Cycleway - Bangalow Rd Tennyson St to Old Bangalow Rd</t>
  </si>
  <si>
    <t>Roads to Recovery</t>
  </si>
  <si>
    <t>Bangalow Rd Telofa - Stage 2</t>
  </si>
  <si>
    <t>Myocum Road</t>
  </si>
  <si>
    <t>Bangalow Road, Hayters Hill, pavement upgrade</t>
  </si>
  <si>
    <t>Federal Drive, Goonengerry, pavement upgrade</t>
  </si>
  <si>
    <t>Coolamon Scenic Drive - Construction Works (RTR)</t>
  </si>
  <si>
    <t>MAIN ARM SHOP WEST</t>
  </si>
  <si>
    <t>Bangalow Rd Segment 1190.50 CH7.94-8.62km (Design Only)</t>
  </si>
  <si>
    <t>Bangalow Rd Segment 1190.50 CH7.94-8.62km</t>
  </si>
  <si>
    <t>Main Arm Rd Segment 452.90 CH 14.84-15.18km (Design Only)</t>
  </si>
  <si>
    <t>Main Arm Rd Segment 452.90 CH 14.84-15.18km</t>
  </si>
  <si>
    <t>Myocum Rd Segment 545.10 CH1.59-2.44km</t>
  </si>
  <si>
    <t>Myocum Rd Segment</t>
  </si>
  <si>
    <t>Myocum Rd Segment 545.20 CH 6.62 Possum Shoot Intersection 100m (Design Only)</t>
  </si>
  <si>
    <t>Myocum Rd Segment 545.20 CH 6.62 Possum Shoot Intersection 100m</t>
  </si>
  <si>
    <t>Myocum Rd Segment 545.20 CH 6.27-6.57km (Design Only)</t>
  </si>
  <si>
    <t>Myocum Rd Segment 545.20 CH 6.27-6.57km</t>
  </si>
  <si>
    <t>Myocum Rd Segment 545.20 CH 5.41-5.84km (Design Only)</t>
  </si>
  <si>
    <t>Myocum Rd Segment 545.20 CH 5.41-5.84km</t>
  </si>
  <si>
    <t>The Pocket Road, Segment 568.30 CH 7.28-7.38km</t>
  </si>
  <si>
    <t>The Pocket Road, Segment 568.1 CH 3.51-3.69km</t>
  </si>
  <si>
    <t>The Pocket Road, Segment 568.1 CH 2.81-3.42km</t>
  </si>
  <si>
    <t>Parkers Bridge - condition 3 &amp; condition 4 element replacements &amp; repairs</t>
  </si>
  <si>
    <t>2008/09 Bridge - O'Meara's</t>
  </si>
  <si>
    <t>Massinger St - Kipling to Carlyle Streets - Proposed Reconstruction Projects</t>
  </si>
  <si>
    <t>Wilsons Creek Rd Segment 498.40 CH 7.65- (Reseal)</t>
  </si>
  <si>
    <t>Bangalow Rd Segment 1190.10 CH0.05-1.70k (Reseal)</t>
  </si>
  <si>
    <t>Main Arm Rd Segment 452.70 CH 11.20-12.0</t>
  </si>
  <si>
    <t>Myocum Rd Segment 545.20 CH 2.66-3.43km</t>
  </si>
  <si>
    <t>Myocum Rd Segment 545.10 CH1.04-1.54</t>
  </si>
  <si>
    <t>Bangalow Rd Segment 1190.50 CH7.56-7.93k</t>
  </si>
  <si>
    <t>Bangalow Rd Segment 1190.40 CH5.87-6.11k</t>
  </si>
  <si>
    <t>Bangalow Rd Segment 1190.10 CH0.05-1.70k</t>
  </si>
  <si>
    <t>Coolamon Scenic Drv Segment 521.30 CH0.4</t>
  </si>
  <si>
    <t>Wilsons Creek Rd Segment 498.40 CH 9.61-</t>
  </si>
  <si>
    <t>Wilsons Creek Rd Segment 498.40 CH 8.15-</t>
  </si>
  <si>
    <t>Lighthouse Rd from Palm Valley Way to ca</t>
  </si>
  <si>
    <t>FEDERAL DRIVE</t>
  </si>
  <si>
    <t>Parkers Bridge</t>
  </si>
  <si>
    <t>Lawson/Massinger Street, Byron Bay, roundabout and drainage and kerb &amp; gutter</t>
  </si>
  <si>
    <t>RMS</t>
  </si>
  <si>
    <t>Access ramps and footpaths Works</t>
  </si>
  <si>
    <t>Myocum Rd Segment 545.10 CH0.6-1.04km</t>
  </si>
  <si>
    <t>Safer Roads project - Coolamon Scenic Drive</t>
  </si>
  <si>
    <t>Wilson Ck PS Bus Bay</t>
  </si>
  <si>
    <t>Coolamon Scenic Drive Speed Zone Signs</t>
  </si>
  <si>
    <t>Myocum Road Speed Zone Signs</t>
  </si>
  <si>
    <t>St Helena Rd  Speed Zone Signs</t>
  </si>
  <si>
    <t>Children Crossing</t>
  </si>
  <si>
    <t>Bangalow Rd, Byron Bay</t>
  </si>
  <si>
    <t>Ewingsdale Rd, at Banksia Dve</t>
  </si>
  <si>
    <t>Wilson Ck Bus Bay</t>
  </si>
  <si>
    <t>Blackspot funding</t>
  </si>
  <si>
    <t>Brunswick Valley Way/Tweed Valley Way Yelgun - Intersection Upgrade</t>
  </si>
  <si>
    <t>Wilsons Creek Road, East of Montecullum Road, Mullumbimby</t>
  </si>
  <si>
    <t xml:space="preserve">Regional Road Repair Program - Broken Head Rd - pavement reconstruction 1090m south of Midgen Flat Rd - approx 525m long </t>
  </si>
  <si>
    <t>Regional REPAIR Program - Broken Head Rd 763 - pavement reconstruction near House  - 5045m south of Clifford St  - approx 400m long</t>
  </si>
  <si>
    <t>Open Spaces and Recreation</t>
  </si>
  <si>
    <t>Brunswick Head Pontoon adjacent to boatramp</t>
  </si>
  <si>
    <t>Belongil Rockwalls</t>
  </si>
  <si>
    <t>Byron Bay CCTV Apex Park Jonson Street</t>
  </si>
  <si>
    <t>Contribution from Telstra</t>
  </si>
  <si>
    <t>N/Shire Sport. Fields - Stan Thompson Lighting</t>
  </si>
  <si>
    <t>Brunswick Heads Recreation Ground 6 Bay Storage Shed adjacent to Carpark</t>
  </si>
  <si>
    <t>Brunswick Heads Recreation Ground Carpark Reconstruction</t>
  </si>
  <si>
    <t>Upgrade of Cricket Practice Wickets at Brunswick Heads Recreation Ground</t>
  </si>
  <si>
    <t>Upgrade of Turf Wicket - Stan Thompson Oval Brunswick  Heads</t>
  </si>
  <si>
    <t>Installation of barrier netting on western perimeter of Tom Kendall Oval New Brighton</t>
  </si>
  <si>
    <t>Installation of 2 x Grandstands at Tom Kendall Oval</t>
  </si>
  <si>
    <t>Upgrade Lighting - Fields 2 and 3 Bangalow Recreation Ground</t>
  </si>
  <si>
    <t>Revised Plan of Management - all sporting fields shire wide</t>
  </si>
  <si>
    <t>Byron Bay Recreation Ground - replace lighing on Field #1 - Western perimeter and Replace lighting on Field 2</t>
  </si>
  <si>
    <t>Pine Avenue Soccer Fields - replace fencing</t>
  </si>
  <si>
    <t>Skate Facility - Byron Bay</t>
  </si>
  <si>
    <t>Heritage Park boat ramp upgrade</t>
  </si>
  <si>
    <t>Sports Ground Storage Sheds</t>
  </si>
  <si>
    <t>South Golden Beach Hall Exercise Equipment</t>
  </si>
  <si>
    <t>Waste &amp; Recycling</t>
  </si>
  <si>
    <t>Organics Waste</t>
  </si>
  <si>
    <t>Resource Recovery Centre Upgraded Expansion</t>
  </si>
  <si>
    <t>Entrance Signage</t>
  </si>
  <si>
    <t>BRSCC - AFL -  Barrier Netting - South western fields</t>
  </si>
  <si>
    <t>New Court Extension – 2 Courts with retractable stadium seating</t>
  </si>
  <si>
    <t>Constructed Wetlands along Ewingsdale Road Frontage - and adjacent gardens</t>
  </si>
  <si>
    <t>Aquatic Centre - Shovel Ready</t>
  </si>
  <si>
    <t>BMX Track</t>
  </si>
  <si>
    <t>SUSTAINABLE ENVIRONMENT &amp; ECONOMY</t>
  </si>
  <si>
    <t>Development &amp; Certification</t>
  </si>
  <si>
    <t xml:space="preserve">Local Heritage Advisory service </t>
  </si>
  <si>
    <t>Suffolk Park</t>
  </si>
  <si>
    <t>Bangalow</t>
  </si>
  <si>
    <t>Brunswick Heads</t>
  </si>
  <si>
    <t>Rural North</t>
  </si>
  <si>
    <t>Byron Bay/Suffolk Park</t>
  </si>
  <si>
    <t>Carparking</t>
  </si>
  <si>
    <t>Bruinswick Heads</t>
  </si>
  <si>
    <t>Shire Rural</t>
  </si>
  <si>
    <t>Mudges Quarry</t>
  </si>
  <si>
    <t>Leela Quarry</t>
  </si>
  <si>
    <t>Myocum Quarry (Council)</t>
  </si>
  <si>
    <t>Civic and Urban Improvements</t>
  </si>
  <si>
    <t>Shire Support Services</t>
  </si>
  <si>
    <t>Shire - Rural</t>
  </si>
  <si>
    <t>TOTAL CAPITAL REVENUE ALL FUNDS</t>
  </si>
  <si>
    <t>Less: Asset Sales</t>
  </si>
  <si>
    <t>Residual Capital Grants and Contributions</t>
  </si>
  <si>
    <t>To be confirmed</t>
  </si>
  <si>
    <t>Governance - Organisation Business Continuity</t>
  </si>
  <si>
    <t>Governance Services - Total</t>
  </si>
  <si>
    <t>Information Services</t>
  </si>
  <si>
    <t>Minor Equipment Replacement</t>
  </si>
  <si>
    <t>Meeting Rooms -  SV Equipment upgrade</t>
  </si>
  <si>
    <t>GIS upgrade to GIS 10.1 maintain vendor support</t>
  </si>
  <si>
    <t>IT Disaster Recovery Plan</t>
  </si>
  <si>
    <t>TRIM / Authority upgrade and new SOE uplift for Windows 7, Office 2010, and ESRI GIS 10.1 to maintain vendor support</t>
  </si>
  <si>
    <t>Records Management Program for legislative compliance</t>
  </si>
  <si>
    <t>IS Strategic Plan Development and Implem</t>
  </si>
  <si>
    <t>Automated Agenda &amp; Minutes</t>
  </si>
  <si>
    <t>Information Services - Total</t>
  </si>
  <si>
    <t>Sandhills</t>
  </si>
  <si>
    <t>WHS Works</t>
  </si>
  <si>
    <t>Sandhills - Total</t>
  </si>
  <si>
    <t>Community Development</t>
  </si>
  <si>
    <t>Library Services</t>
  </si>
  <si>
    <t>Local prorities Grant to be allocated</t>
  </si>
  <si>
    <t>Mullumbimby Library- New purpose built circulation desk</t>
  </si>
  <si>
    <t>Mullumbimby Library – internal renovation to expand workroom. In order to do this effectively the area would include the staff area, circulation desk and workroom.</t>
  </si>
  <si>
    <t>Brunswick Heads Library – New purpose built circulation desk</t>
  </si>
  <si>
    <t>Brunswick Heads Library An awning over front entrance of library giving patrons an all weather access point (this area gets wet and dangerous)</t>
  </si>
  <si>
    <t>Brunswick Heads Library - major renovation to the area out the back of the library which is underutilised due to poor standards and inadequate design.  Would include removal of walls to open up the library space, providing more public space and create a new workroom area. Incorporate disabled access into the design</t>
  </si>
  <si>
    <t>Library Services - Total</t>
  </si>
  <si>
    <t>Depot Services &amp; Fleet Management</t>
  </si>
  <si>
    <t>Jetmaster pot hole patching machine</t>
  </si>
  <si>
    <t>Renewal</t>
  </si>
  <si>
    <t>Emulsion tank</t>
  </si>
  <si>
    <t>HOWARD SLASHER EHD180 - OFFSET</t>
  </si>
  <si>
    <t>Small Plant Replacements</t>
  </si>
  <si>
    <t>Motor Vehicle Replacements</t>
  </si>
  <si>
    <t xml:space="preserve">Byron Bay Depot Upgrade of Administration Offices </t>
  </si>
  <si>
    <t>Lusty Allis Low Loader F-87443</t>
  </si>
  <si>
    <t>HERCULES 3 AXLE DOG TRAILER L-24636</t>
  </si>
  <si>
    <t>Caterpillar 12G Grader  QKW-584</t>
  </si>
  <si>
    <t>Nissan QPO2L25U Forklift</t>
  </si>
  <si>
    <t>VOLVO NH-12 6X4 PRIME MOVER + TANK</t>
  </si>
  <si>
    <t>MITSUBISHI 547 WATER TRUCK</t>
  </si>
  <si>
    <t>HINO DUTRO 6500 DUMP  SWIFTCO FITS MAXILIFT CRANE</t>
  </si>
  <si>
    <t>ISUZU NPR300 MEDIUM PREMIUM</t>
  </si>
  <si>
    <t>FUSO 4x2 16,000 kg GVM TIPPER with weighing system</t>
  </si>
  <si>
    <t>Scania R420 6x4 Tipper</t>
  </si>
  <si>
    <t>Mitsubishi Fuso Fighter 6</t>
  </si>
  <si>
    <t>Isuzu NPR400 Medium with Service body</t>
  </si>
  <si>
    <t>Schwaze A6500XL Sweeper / Isuzu FSR850 Truck</t>
  </si>
  <si>
    <t>Mack Granite Tipper</t>
  </si>
  <si>
    <t>Western Star 5864SS Tandem Tipper</t>
  </si>
  <si>
    <t>Isuzu NPR200/275 Tipper</t>
  </si>
  <si>
    <t>Mitsubishi FE C71 Truck</t>
  </si>
  <si>
    <t>Mitsubishi Fuso Tilt Tray &amp; Crane</t>
  </si>
  <si>
    <t>CATERPILLAR 140H MOTOR GRADER</t>
  </si>
  <si>
    <t>JCB 3CX4 4x4 BACKHOE LOADER</t>
  </si>
  <si>
    <t>NEW HOLLAND TL80A 4x4 TRACTOR</t>
  </si>
  <si>
    <t>JCB 456 ZX WHEEL LOADER</t>
  </si>
  <si>
    <t>KX41-3 Excavator</t>
  </si>
  <si>
    <t>Kubota KX121-3 Excavator</t>
  </si>
  <si>
    <t>JCB 3CX APC Backhoe Loader</t>
  </si>
  <si>
    <t>New Holland T5040 4wd Tractor &amp; AP35S Loader</t>
  </si>
  <si>
    <t>Caterpillar 315DL Excavator</t>
  </si>
  <si>
    <t>Caterpillar CS56 Smooth Drum Roller</t>
  </si>
  <si>
    <t xml:space="preserve">Komatsu FD30T Forklift </t>
  </si>
  <si>
    <t>Kubota KX040-4 3.0 tonne Excavator</t>
  </si>
  <si>
    <t>Massey Ferguson MF5430 Tractor</t>
  </si>
  <si>
    <t>Kubota KX057-4 5.6 tonne Excavator</t>
  </si>
  <si>
    <t>A1 ROADLINE PTC1000 TRAFFIC SIGNALS</t>
  </si>
  <si>
    <t>Solar Traffic signals</t>
  </si>
  <si>
    <t>Toro Groundmaster 7210 Zero Turm Mower</t>
  </si>
  <si>
    <t>Kubota F3690 Outfront Mower</t>
  </si>
  <si>
    <t>Toro Groundmaster GM360 Midmount mower</t>
  </si>
  <si>
    <t>Ride on Mechanical Street Sweeper</t>
  </si>
  <si>
    <t>New</t>
  </si>
  <si>
    <t>Depot Services &amp; Fleet Management - Total</t>
  </si>
  <si>
    <t>LOCAL ROADS &amp; DRAINAGE</t>
  </si>
  <si>
    <t>Roads Reconstruction</t>
  </si>
  <si>
    <t>Broken Head Road, Broken Head – near house no 76</t>
  </si>
  <si>
    <t>Tweed Street Master Plan</t>
  </si>
  <si>
    <t>Tweed Valley Way, North of jones Rd</t>
  </si>
  <si>
    <t>Roads Reconstruction (RTR Program</t>
  </si>
  <si>
    <t>Parking Demand and Supply Study Bangalow/Brunswick/Mullum/Byron (Carparking S94 Old Plan)</t>
  </si>
  <si>
    <t>Parking Meters - Byron Bay</t>
  </si>
  <si>
    <t>Poinciana Car Park, Mullumbimby, upgrade</t>
  </si>
  <si>
    <t>Parking Studies for Bangalow, Brunswick Heads &amp; Mullumbimby</t>
  </si>
  <si>
    <t>Survey and design and legal costs for a car park at Bangalow sports fields</t>
  </si>
  <si>
    <t>Butler Street Car park</t>
  </si>
  <si>
    <t>Lawson St South Carpark - extension of carpark to Railway Park</t>
  </si>
  <si>
    <t>Rails Carpark - upgrade carpark &amp; introduce pay parking</t>
  </si>
  <si>
    <t>Bridges</t>
  </si>
  <si>
    <t>Footpaths/Kerb and Gutter Works</t>
  </si>
  <si>
    <t>Revision of PAMP</t>
  </si>
  <si>
    <t>Marine Parade Footpath at Watego's</t>
  </si>
  <si>
    <t>Rural Roads Program</t>
  </si>
  <si>
    <t>Pavement condition surveys and valuations</t>
  </si>
  <si>
    <t>Urban Roads Program</t>
  </si>
  <si>
    <t>Left Bank Rd &amp; Azalea Sts, Mullumbimby - Stage 1</t>
  </si>
  <si>
    <t>Orana Road Ocean Shores</t>
  </si>
  <si>
    <t>Broken Head Road - Rehabilitation</t>
  </si>
  <si>
    <t>Lighthouse Road, Byron Bay (500m from the turn off to The Pass towards the Lighthouse) Design Only</t>
  </si>
  <si>
    <t>Roads Pavement Renewals</t>
  </si>
  <si>
    <t>Locality: Rural North</t>
  </si>
  <si>
    <t xml:space="preserve">Myocum Rd Segment </t>
  </si>
  <si>
    <t>The Pocket Rd Segment 568.10 CH1.79-2.81km (Design Only)</t>
  </si>
  <si>
    <t xml:space="preserve">The Pocket Rd Segment 568.10 CH1.79-2.81km </t>
  </si>
  <si>
    <t>Main Arm Rd Segment 452.20</t>
  </si>
  <si>
    <t>Myocum Rd Segment 545.20 CH 2.4 Possum Shoot Intersection 100m (Design Only)</t>
  </si>
  <si>
    <t>Myocum Rd Segment 545.20 CH 2.4 Possum Shoot Intersection 100m</t>
  </si>
  <si>
    <t>Proposed Reconstruction Works - Fingal Street</t>
  </si>
  <si>
    <t>Proposed Reconstruction Works - Massinger St - Kipling to Carlyle Streets</t>
  </si>
  <si>
    <t>Wilsons Creek Rd</t>
  </si>
  <si>
    <t>Locality: Rural South</t>
  </si>
  <si>
    <t>Kings Bridge</t>
  </si>
  <si>
    <t>Expansion</t>
  </si>
  <si>
    <t>Main Arm Road - Blind Mouth causeway upgrade - construction</t>
  </si>
  <si>
    <t>South Arm Bridge Walkway Repairs</t>
  </si>
  <si>
    <t>Locality: Byron Bay</t>
  </si>
  <si>
    <t>Belongil Creek Bridge Works</t>
  </si>
  <si>
    <t>Belongil Bridge Pile Repairs</t>
  </si>
  <si>
    <t>Locality: Various</t>
  </si>
  <si>
    <t>Bridge works subject to future bridge inspections</t>
  </si>
  <si>
    <t>O'Meara's Bridge Renewal</t>
  </si>
  <si>
    <t>Scarrabelottis Bridge (if replacement required) or other bridge - loan funding for new bridge</t>
  </si>
  <si>
    <t>James Bridge Renewal</t>
  </si>
  <si>
    <t>Parkers Bridge Renewal</t>
  </si>
  <si>
    <t>Booyong Bridge Renewal</t>
  </si>
  <si>
    <t>Byron Creek Bridge Refurbishment</t>
  </si>
  <si>
    <t>Purchase of Surplus ADF Bridges</t>
  </si>
  <si>
    <t>Cycleways</t>
  </si>
  <si>
    <t>Suffolk park to Byron Bay - on road cycleway</t>
  </si>
  <si>
    <t>Cycleway - Ewingsdale Road, McGettigans Lane to Highway</t>
  </si>
  <si>
    <t>Replacement of damaged Kerb and Gutter Shire Wide as per inspection Report</t>
  </si>
  <si>
    <t>Replacement of damaged Footpaths Shire Wide as per inspection Report</t>
  </si>
  <si>
    <t>Locality: Ocean Shores</t>
  </si>
  <si>
    <t>Locality: Brunswick Heads</t>
  </si>
  <si>
    <t>The Terrace &amp; Mullumbimbi Sts intersection</t>
  </si>
  <si>
    <t>Locality: Bangalow</t>
  </si>
  <si>
    <t>Leslie Street to Station St, Bangalow - footpath and stairs / ramps across railway line</t>
  </si>
  <si>
    <t>Mullum High School Footpaths</t>
  </si>
  <si>
    <t>Drainage</t>
  </si>
  <si>
    <t>24 South Beach Lane - overland flow path</t>
  </si>
  <si>
    <t>16 Little Burns Street - System amplification to resolve stormwater flooding</t>
  </si>
  <si>
    <t>SGB Street Drainage Improvements</t>
  </si>
  <si>
    <t>Ruskin Lane Stormwater Augmentation</t>
  </si>
  <si>
    <t>Burns Street Open Drain Maintenance (use Levy as this funded the wetland)</t>
  </si>
  <si>
    <t>Lilly Pilly Drain Maintenace (use Levy as this funded the wetland)</t>
  </si>
  <si>
    <t>Wordsworth Street Street System Amplification</t>
  </si>
  <si>
    <t>Pipe Dryden Street inlet pit to Shirley street</t>
  </si>
  <si>
    <t>22 Bangalow Road - resolve stormwater flooding of backyard</t>
  </si>
  <si>
    <t>SGB Street Drainage Upgrade Stage 2 - Rear easements Augmentation West side</t>
  </si>
  <si>
    <t>SGB Street Drainage Upgrade Stage 3 Peter Street</t>
  </si>
  <si>
    <t>Water Lilly Park Lake – remediation options study</t>
  </si>
  <si>
    <t>8 Jubilee Ave, Mullumbimby drainage to eliminate problems with tree roots blocking stormwater flows</t>
  </si>
  <si>
    <t>Coolamon Scenic Dr near Mango Lane-culvert repair due to subsidence</t>
  </si>
  <si>
    <t>Replace pipeline through parcel No.54790</t>
  </si>
  <si>
    <t>Langi Place replace pipes between D000012132 and D000012132</t>
  </si>
  <si>
    <t>Matong Drive replace pipes between pits D000011322 and D00001321</t>
  </si>
  <si>
    <t>Not Applicable</t>
  </si>
  <si>
    <t>Bay lane oveland flow path and system applification</t>
  </si>
  <si>
    <t>Upgrade</t>
  </si>
  <si>
    <t>44 Kingsley Lane - Kerb and Gutter to prevent property flooding</t>
  </si>
  <si>
    <t>18 Old Bangalow Road - pipe open drain to reserve</t>
  </si>
  <si>
    <t>38 Byron Street - lower rear footpath to allow overland flows from low spot</t>
  </si>
  <si>
    <t>40a Marvel Lane - resolve flooding of yard</t>
  </si>
  <si>
    <t>Investigate bank erosion and protect assets adj Childe Street/Manfred St</t>
  </si>
  <si>
    <t>Belongil Voluntary House Raising (1:2 grant)</t>
  </si>
  <si>
    <t>Lighthouse Road Stormwater</t>
  </si>
  <si>
    <t>9 Bian Court - Control run off from uphill properties</t>
  </si>
  <si>
    <t>Gaggin Street New Brighton - resolve property flooding poor subdivison driveway designs</t>
  </si>
  <si>
    <t>Brunswick Street New Brighton - pipe open drain and regen outlet</t>
  </si>
  <si>
    <t>24 Balemo Drive - Overland flow to golf course</t>
  </si>
  <si>
    <t>SGB Street Drainage Upgrade - Peter Street</t>
  </si>
  <si>
    <t>SGB Street Drainage Upgrade - Robin Street</t>
  </si>
  <si>
    <t>SGB Street Drainage Upgrade - Helen Street (east)</t>
  </si>
  <si>
    <t>SGB Street Drainage Upgrade - Elizabeth Street</t>
  </si>
  <si>
    <t>SGB Street Drainage Upgrade - Pacific Esplanade</t>
  </si>
  <si>
    <t>SGB Street Drainage Upgrade - Phillip Street</t>
  </si>
  <si>
    <t>SGB Street Drainage Upgrade - Clifford Street</t>
  </si>
  <si>
    <t>SGB Street Drainage Upgrade - Gloria Street (east)</t>
  </si>
  <si>
    <t>SGB Street Drainage Upgrade - Beach Avenue</t>
  </si>
  <si>
    <t>SGB Street Drainage Upgrade - Royal Ave &amp; Gloria (west)</t>
  </si>
  <si>
    <t>SGB Street Drainage - Rear easements Augmentation East side</t>
  </si>
  <si>
    <t>SGB Street Drainage Stage - Rear easements Augmentation West side</t>
  </si>
  <si>
    <t>Rock protection of capricornia canal revetment walls</t>
  </si>
  <si>
    <t>Pipe exisitng drain along the edge of The Strand</t>
  </si>
  <si>
    <t>Locality: Mullumbimby</t>
  </si>
  <si>
    <t>8 Jubilee Ave - resolve flooding in front yard and nature strip</t>
  </si>
  <si>
    <t>Studal Lane Drainage System Upgrade</t>
  </si>
  <si>
    <t>Station Street - System amplifification to resolve stormwater flooding</t>
  </si>
  <si>
    <t>Upgrade culvert @ Whian and Stuart Street Intersection</t>
  </si>
  <si>
    <t>Fingal Lane - prevent flooding issues from lane developments</t>
  </si>
  <si>
    <t>Lane 6 Brunswick Heads - amplyfy system to prevent property flooding</t>
  </si>
  <si>
    <t>48 Fingal Street - System amplification overland flow not available</t>
  </si>
  <si>
    <t>44 The Terrace - Pipe soakage pit to existing system or new system</t>
  </si>
  <si>
    <t>Minyon and Teven - System amplifiaftion</t>
  </si>
  <si>
    <t>Massey Green Caravan Park Stormwater infrastructure renewal</t>
  </si>
  <si>
    <t>Bangalow Wetland Maintenance (use Levy as this funded the wetland)</t>
  </si>
  <si>
    <t>16 Leslie Street - prevent flooding under house</t>
  </si>
  <si>
    <t>Bangalow Parklands weir project</t>
  </si>
  <si>
    <t>Locality: Suffolk Park</t>
  </si>
  <si>
    <t>Raise footpath at Tallow Lake</t>
  </si>
  <si>
    <t>Upgrade Broken Head Road Crossing at BP Servo</t>
  </si>
  <si>
    <t>Upgrade Coogera Circuit Detention Basin</t>
  </si>
  <si>
    <t>Minor urgent works</t>
  </si>
  <si>
    <t>Reseal/Renewal Program</t>
  </si>
  <si>
    <t>Proposed Reseal Projects</t>
  </si>
  <si>
    <t>Main Arm Rd Segment 452.70 CH 11.20-12.02km</t>
  </si>
  <si>
    <t>Bangalow Rd Segment 1190.50 CH7.56-7.93km</t>
  </si>
  <si>
    <t>Bangalow Rd Segment 1190.40 CH5.87-6.11km</t>
  </si>
  <si>
    <t>Bangalow Rd Segment 1190.10 CH0.05-1.70km</t>
  </si>
  <si>
    <t>Coolamon Scenic Drv Segment 521.30 CH0.48-2.20km</t>
  </si>
  <si>
    <t>Wilsons Creek Rd Segment 498.40 CH 9.61-10.05km</t>
  </si>
  <si>
    <t>Wilsons Creek Rd Segment 498.40 CH 8.15-8.54km</t>
  </si>
  <si>
    <t>Wilsons Creek Rd Segment 498.40 CH 7.65-6.84km</t>
  </si>
  <si>
    <t>Lighthouse Rd from Palm Valley Way to carpark</t>
  </si>
  <si>
    <t>Main Arm Rd</t>
  </si>
  <si>
    <t>Binna Burra</t>
  </si>
  <si>
    <t>Coolamon Scenic Drive</t>
  </si>
  <si>
    <t>Bangalow Rd</t>
  </si>
  <si>
    <t>Wilson Creek Rd</t>
  </si>
  <si>
    <t>Left Bank Rd</t>
  </si>
  <si>
    <t>Federal Drive</t>
  </si>
  <si>
    <t>Myocum Rd</t>
  </si>
  <si>
    <t>Eureka Rd</t>
  </si>
  <si>
    <t>Springvale Road</t>
  </si>
  <si>
    <t>Bangalow Road</t>
  </si>
  <si>
    <t>Goonengerry Road</t>
  </si>
  <si>
    <t>Eureka Road</t>
  </si>
  <si>
    <t>Coolamon Scenic Drive (South)</t>
  </si>
  <si>
    <t>Broken Head Reserve Road</t>
  </si>
  <si>
    <t xml:space="preserve">Projects to be determined </t>
  </si>
  <si>
    <t>Broken Head Road, Suffolk Park - south of Clifford St for 450m</t>
  </si>
  <si>
    <t>Skinners Shoot Rd Final Seal and AC required to remediate works funded by residents</t>
  </si>
  <si>
    <t>Coolamon Scenic Drive - Land Acquisition</t>
  </si>
  <si>
    <t>Rifle Range Road Intersection Upgrade at Lismore Road</t>
  </si>
  <si>
    <t>Settlement Rd</t>
  </si>
  <si>
    <t>Bangalow Road, Hayters Hill, pavement upgrade (RTR)</t>
  </si>
  <si>
    <t>Broken Head Road</t>
  </si>
  <si>
    <t>Middleton St, Byron Bay - Bay St to Lawson St</t>
  </si>
  <si>
    <t>Tahra Crescent, Ewingsdale, turning head and drainage controls</t>
  </si>
  <si>
    <t>Road pavement reconstruction works in Byron Bay Town Centre with locations to be determined using new road condition survey from 2015 and funded from Council Paid Parking Reserve funds</t>
  </si>
  <si>
    <t>Paterson St</t>
  </si>
  <si>
    <t>Old Bangalow Rd, west of Cemetery Rd</t>
  </si>
  <si>
    <t>Byron Bay Bypass  Stage 2 investigations</t>
  </si>
  <si>
    <t>Byron St</t>
  </si>
  <si>
    <t>Kolora Way, Ocean Shores - Stage 1</t>
  </si>
  <si>
    <t>Kolora Way, Ocean Shores, Bridge Upgrade and bikeway extension to Redgate Road</t>
  </si>
  <si>
    <t>River Street, New Brighton</t>
  </si>
  <si>
    <t>Roundhouse funded road renewals</t>
  </si>
  <si>
    <t>Station St, Mullumbimby - Fern st to Lane 9</t>
  </si>
  <si>
    <t>Fern St</t>
  </si>
  <si>
    <t>The Terrace - Fingal St to Mullumbimbi St</t>
  </si>
  <si>
    <t>Beach Avenue, South Golden Beach</t>
  </si>
  <si>
    <t>The Esplanade, New Brighton</t>
  </si>
  <si>
    <t>Orana Road, Ocean Shores</t>
  </si>
  <si>
    <t>Coomburra Crescent, Ocean Shores</t>
  </si>
  <si>
    <t>Clifford Street intersection with Broken Head Road, Suffolk Park, traffic control upgrade (RMS) (subject to funding)</t>
  </si>
  <si>
    <t>Paid Parking fund to be spend shire wide. (this is half of revenue collect, the other half goes to Byron Bay)</t>
  </si>
  <si>
    <t>Special Rate Increase allocated to Bridges and Roads</t>
  </si>
  <si>
    <t>Black Spot Programme</t>
  </si>
  <si>
    <t>Urban Improvements</t>
  </si>
  <si>
    <t>Project Investigation &amp; Planning</t>
  </si>
  <si>
    <t>Bayshore and Ewingsdale  Roundabout (subject to funding)</t>
  </si>
  <si>
    <t>Parking Implementation</t>
  </si>
  <si>
    <t xml:space="preserve">Tweed Street Master Plan </t>
  </si>
  <si>
    <t>Country Transport Scheme</t>
  </si>
  <si>
    <t>Lawson St 2 Lane Project</t>
  </si>
  <si>
    <t>Broken Head Road Bus Shelter</t>
  </si>
  <si>
    <t>Bus Zone Rajah Road</t>
  </si>
  <si>
    <t xml:space="preserve"> Pacific St New Brighton</t>
  </si>
  <si>
    <t>Local Roads &amp; Drainage - Total</t>
  </si>
  <si>
    <t>Tweed Valley Way - North of Jones Road</t>
  </si>
  <si>
    <t>Upgrade Works Mullumbimby Road near Gulgan Road</t>
  </si>
  <si>
    <t>Ewingsdale Road</t>
  </si>
  <si>
    <t>RMS - Total</t>
  </si>
  <si>
    <t>Open Space and Recreation</t>
  </si>
  <si>
    <t>Civic Improvements Byron Bay Town Centre</t>
  </si>
  <si>
    <t>Suffolk Park West Upgrade</t>
  </si>
  <si>
    <t>BRSCC - sportsfield lighting for south western and community fields</t>
  </si>
  <si>
    <t>Byron Bay Town Centre Upgrade - Landscape/Precinct Plan</t>
  </si>
  <si>
    <t>Bangalow Skate Park</t>
  </si>
  <si>
    <t>Additional Lights in Apex Park for Schoolies and NYE</t>
  </si>
  <si>
    <t xml:space="preserve">Playground Equipment </t>
  </si>
  <si>
    <t>Brunswick Heads Oval - picket fence replacement</t>
  </si>
  <si>
    <t>New Toilets Apex Park</t>
  </si>
  <si>
    <t>Bangalow Parklands Weir</t>
  </si>
  <si>
    <t>Suffolk Park Play Area Shade Cloth</t>
  </si>
  <si>
    <t>Upgrade Pathway lights from Apex Park to Clarkes Beach</t>
  </si>
  <si>
    <t>Belongil Beach Access Upgrade</t>
  </si>
  <si>
    <t>Apex Park Upgrade (Sprinklers and Turf Management)</t>
  </si>
  <si>
    <t xml:space="preserve">Heritage Park Play equipment </t>
  </si>
  <si>
    <t xml:space="preserve">Pool park Mullumbimby   P/N 35350  Play equipment and shade sail </t>
  </si>
  <si>
    <t xml:space="preserve">Pine Ave sports ground Mullumbimby P/N 128960  Play equipment and shade sail </t>
  </si>
  <si>
    <t>Heritage Park upgrade</t>
  </si>
  <si>
    <t>South Beach Tennis Court</t>
  </si>
  <si>
    <t>Sports Ground Storage Sheds (subject to funding)</t>
  </si>
  <si>
    <t>Landscape Desigh Plan Brunswick Heads</t>
  </si>
  <si>
    <t>Solar lighting around walking track PN 238382</t>
  </si>
  <si>
    <t>Bangalow Railway Park site rationalisation</t>
  </si>
  <si>
    <t>Railway Park Toilet Block Refurb</t>
  </si>
  <si>
    <t>Sports field electrical upgrades</t>
  </si>
  <si>
    <t>Bangalow Weir</t>
  </si>
  <si>
    <t>Dip Site Carpark</t>
  </si>
  <si>
    <t>Lanscape Design Plan Bangalow</t>
  </si>
  <si>
    <t>Waterlily park  P/N 63020 Play unit and Shade sail</t>
  </si>
  <si>
    <t>Fern Beach  P/N 227610 Play unit &amp; sail</t>
  </si>
  <si>
    <t>Shara Boulevard Sports Fields Development</t>
  </si>
  <si>
    <t>Tallowwood Ridge Shade Sail for Playground</t>
  </si>
  <si>
    <t>Integrated Weed &amp; Pest Management Policy &amp; Strategic Action Plan</t>
  </si>
  <si>
    <t>Installation of Shed for Better Byron Crew - Byron Bay Recreation Grounds</t>
  </si>
  <si>
    <t>Tyagarah Aircraft Landing Area - Installation of Automated Aircraft Monitoring System</t>
  </si>
  <si>
    <t>Outdoor Exercise Equipment</t>
  </si>
  <si>
    <t>Waterlily playscape</t>
  </si>
  <si>
    <t>Waterlily park shelter and BBQ</t>
  </si>
  <si>
    <t>Devines Hill Boardwalk</t>
  </si>
  <si>
    <t>North Shire Works Funded from Roundhouse</t>
  </si>
  <si>
    <t>Locality: Other</t>
  </si>
  <si>
    <t>Public Bubblers</t>
  </si>
  <si>
    <t>Amenities Block, Tom Kendall Oval</t>
  </si>
  <si>
    <t>South Golden Beach Skate Park</t>
  </si>
  <si>
    <t>Sports field lighting upgrade</t>
  </si>
  <si>
    <t>Federal Tennis Court Surface Replacement</t>
  </si>
  <si>
    <t>Open Space and Recreation - Total</t>
  </si>
  <si>
    <t>Roundhouse Subdivision Finalisation</t>
  </si>
  <si>
    <t>Lot 12 Bayshore Drive Byron Bay Remediation</t>
  </si>
  <si>
    <t xml:space="preserve">Implement Station St Mullumbimby Subdivision </t>
  </si>
  <si>
    <t>Tyagarah Airfield Development and Subdivision</t>
  </si>
  <si>
    <t>Lot 22 Mullumbimby South Development</t>
  </si>
  <si>
    <t>Depot Relocation</t>
  </si>
  <si>
    <t xml:space="preserve">Surplus Property Sales </t>
  </si>
  <si>
    <t>Asset Management Planning - Total</t>
  </si>
  <si>
    <t>Waste Disposal Facility</t>
  </si>
  <si>
    <t>New Landfill</t>
  </si>
  <si>
    <t>Development of New Landfill Capacity</t>
  </si>
  <si>
    <t>Leachate Storage</t>
  </si>
  <si>
    <t>Final Closure Costs</t>
  </si>
  <si>
    <t>WASiP - Sustainable Leachate Management</t>
  </si>
  <si>
    <t>BWRF - EPS Recycling</t>
  </si>
  <si>
    <t>BWRF - Cardboard Recycling</t>
  </si>
  <si>
    <t>BWRF - Resource Recovery Ctr Master Plan</t>
  </si>
  <si>
    <t>BWRF -Public Place Recycling Enclosures</t>
  </si>
  <si>
    <t>Minor Capital</t>
  </si>
  <si>
    <t>Upgrade of Public Bin Enclosures</t>
  </si>
  <si>
    <t>RFID Chips</t>
  </si>
  <si>
    <t>Organics Mobile Garbage Bins</t>
  </si>
  <si>
    <t>Tip Rehab - Leachate System</t>
  </si>
  <si>
    <t>Waste Disposal Facility - Total</t>
  </si>
  <si>
    <t>Cavanbah Centre</t>
  </si>
  <si>
    <t>All Access Playground</t>
  </si>
  <si>
    <t>Field Lighting - Community Field</t>
  </si>
  <si>
    <t>Outdoor Court Lighting</t>
  </si>
  <si>
    <t>Gymnasium Extension (northern room space or second storey on the western facing side of the building)</t>
  </si>
  <si>
    <t>Assessment/Physio Rooms</t>
  </si>
  <si>
    <t xml:space="preserve">External Door for Commercial Kitchen on to western veranda </t>
  </si>
  <si>
    <t>Provide mezzanine level above foyer with both storage, and office space</t>
  </si>
  <si>
    <t>Access doors to the stage from inside the storage rooms either side</t>
  </si>
  <si>
    <t>Installation of 4 x Grandstands 5 Tiers - 50-60 adult capacity for each - including concrete slabs and Shelter</t>
  </si>
  <si>
    <t>6 Bay storage Shed - South western Fields - Ewingsdale Road Frontage</t>
  </si>
  <si>
    <t xml:space="preserve">Storage Shed - Community Fields/Netball Courts adjacent to New Court Extension </t>
  </si>
  <si>
    <t>Installation of Amenties, changerooms and Canteen facilites at South Western fields - Ewingsdale Road Frontage</t>
  </si>
  <si>
    <t>Installation of Amenties, changerooms and Canteen facilites at Community fields - Ewingsdale Road Frontage</t>
  </si>
  <si>
    <t xml:space="preserve">Carpark landscaped areas drainage improvements </t>
  </si>
  <si>
    <t>Foyer renovation to include additional desk/office space</t>
  </si>
  <si>
    <t>Solar update</t>
  </si>
  <si>
    <t xml:space="preserve">Additional Signage </t>
  </si>
  <si>
    <t>Vending machines X 2</t>
  </si>
  <si>
    <t>Market Infrastructure</t>
  </si>
  <si>
    <t>Club trophy cabinets</t>
  </si>
  <si>
    <t>Mirror wall plus curtains Ballet room</t>
  </si>
  <si>
    <t>Full Wall mirror and rail</t>
  </si>
  <si>
    <t>Byron overflow carpark</t>
  </si>
  <si>
    <t>Floor Tiles ($5.40 each at .5mx.5m)</t>
  </si>
  <si>
    <t>Revenue Capital Works Adjustment</t>
  </si>
  <si>
    <t>Cavanbah Centre - Total</t>
  </si>
  <si>
    <t>Caravan Parks</t>
  </si>
  <si>
    <t>First Sun</t>
  </si>
  <si>
    <t>Site Layouts</t>
  </si>
  <si>
    <t>Cabins</t>
  </si>
  <si>
    <t>Electrical</t>
  </si>
  <si>
    <t>Landscaping</t>
  </si>
  <si>
    <t>Painting</t>
  </si>
  <si>
    <t>Lodgings</t>
  </si>
  <si>
    <t>Safari Tents</t>
  </si>
  <si>
    <t>Hot Water Systems</t>
  </si>
  <si>
    <t>Bbqs, Signs, Minor works</t>
  </si>
  <si>
    <t>Amenities/Camp Kitchen Refurbishment</t>
  </si>
  <si>
    <t>Laundry Refurbishment</t>
  </si>
  <si>
    <t>Turf Upgrade Management</t>
  </si>
  <si>
    <t>Sub Total</t>
  </si>
  <si>
    <t>Amenities Block Replacement</t>
  </si>
  <si>
    <t>Total Council Parks</t>
  </si>
  <si>
    <t>Facilities Management</t>
  </si>
  <si>
    <t>Byron Bay Pool Improvements</t>
  </si>
  <si>
    <t>Improvements - Shade provision</t>
  </si>
  <si>
    <t>Improvements - Drainage upgrade</t>
  </si>
  <si>
    <t>Mullumbimby Pool Improvements</t>
  </si>
  <si>
    <t>Path and kiosk shade upgrades</t>
  </si>
  <si>
    <t>Disabled chair lift for pool access replacement</t>
  </si>
  <si>
    <t xml:space="preserve">Grandstand roof replacement and stormwater </t>
  </si>
  <si>
    <t>Byron Pool Stage 2 Works</t>
  </si>
  <si>
    <t>S94 Funded Non-Cncl Asset Broken Hd Hall</t>
  </si>
  <si>
    <t>Mullum Civic Hall Precinct Work Upgrade</t>
  </si>
  <si>
    <t>Suffolk Park Hall Upgrade</t>
  </si>
  <si>
    <t>Public Toilet Upgrade - Special Rate Variations</t>
  </si>
  <si>
    <t>Public Toilet Upgrade - Special Rate Variations Byron Bay Recreation Ground</t>
  </si>
  <si>
    <t>Public Toilet Upgrade - Special Rate Variations Ocean Shores Water Lillty Park</t>
  </si>
  <si>
    <t>Public Toilet Upgrade - Special Rate Variations Brunswick Heads Recreation Ground</t>
  </si>
  <si>
    <t>Public Toilet Upgrade - Special Rate Variations Suffolk Park Skate Park</t>
  </si>
  <si>
    <t>Public Toilet Upgrade - Contingencies</t>
  </si>
  <si>
    <t>Byron Bay Railway Park Amenities</t>
  </si>
  <si>
    <t>Byron Bay Library</t>
  </si>
  <si>
    <t>Roundhouse Subdivision Development Costs</t>
  </si>
  <si>
    <t>Mullumbimby Administration Centre</t>
  </si>
  <si>
    <t>Internal Painting</t>
  </si>
  <si>
    <t>Carpet Replacement</t>
  </si>
  <si>
    <t>Chambers Air Con Upgrade</t>
  </si>
  <si>
    <t>Facilities Management - Total</t>
  </si>
  <si>
    <t>Total General Fund</t>
  </si>
  <si>
    <t>Account/Project Description</t>
  </si>
  <si>
    <t>Type</t>
  </si>
  <si>
    <t>Community Development  - Total</t>
  </si>
  <si>
    <t>Bangalow Reservoir Construction</t>
  </si>
  <si>
    <t>Pipe Work Capacity Upgrades - Medium Term</t>
  </si>
  <si>
    <t>Pipe Work Renewals Long Term</t>
  </si>
  <si>
    <t>Miscellaneous Replacement/Renewals</t>
  </si>
  <si>
    <t>Miscellaneous Reservoir Renewals</t>
  </si>
  <si>
    <t>Mullumbimby Trunk Main Replacement</t>
  </si>
  <si>
    <t>Mullumbimby Water Treatment Plant Refurbishment Implementation</t>
  </si>
  <si>
    <t>Argyle Street South Side Water main Renewal</t>
  </si>
  <si>
    <t>West Mullumbimby Water Reticulation</t>
  </si>
  <si>
    <t>Mullumbimby Weir - Streamflow gauging station</t>
  </si>
  <si>
    <t>Mullumbimby Pipeline Renewals - Upgrade</t>
  </si>
  <si>
    <t>Mullumbimby - Tincogan St Capacity Upgrade</t>
  </si>
  <si>
    <t>Miscellaneous WPS renewals</t>
  </si>
  <si>
    <t>Pipeline Replacement/Renewals</t>
  </si>
  <si>
    <t>Pump Station renewals - Palmer St/Flinders Way</t>
  </si>
  <si>
    <t>North/South Ocean Shores Fire Main Upgrade</t>
  </si>
  <si>
    <t>South Ocean Shores Fire Main Upgrade</t>
  </si>
  <si>
    <t>Reservoir Renewals</t>
  </si>
  <si>
    <t>Water Reticulation Renewal - Yallakool/Jarrah/Goon</t>
  </si>
  <si>
    <t>Coopers Shoot Reservoir - Additional Storage/Land Purchase</t>
  </si>
  <si>
    <t>Lighthouse Rd Water Main Replacement</t>
  </si>
  <si>
    <t>Pump Station Renewals - Corkwood Close</t>
  </si>
  <si>
    <t>Miscellaneous Reservior Renewals</t>
  </si>
  <si>
    <t>Watego Roof Replacement</t>
  </si>
  <si>
    <t>Cavanbah Street Water Main Upgrade</t>
  </si>
  <si>
    <t>South Byron pipelines capacity upgrade</t>
  </si>
  <si>
    <t>Recycled Waste Water from West Byron to Byron Foreshore res 15-616</t>
  </si>
  <si>
    <t>Demand Management</t>
  </si>
  <si>
    <t>Miscellaneous Extensions Water Reticulation System</t>
  </si>
  <si>
    <t>Meter Replacement Program</t>
  </si>
  <si>
    <t>Telemetry System</t>
  </si>
  <si>
    <t>Fletcher Street Development Planning</t>
  </si>
  <si>
    <t>Reuse - Establishment St 2</t>
  </si>
  <si>
    <t>Bangalow STP site development and sale</t>
  </si>
  <si>
    <t>Bangalow STP Minor Upgrades</t>
  </si>
  <si>
    <t>Bangalow Long Term Capacity (Membranes)</t>
  </si>
  <si>
    <t>Bangalow - Pump Station Renewals</t>
  </si>
  <si>
    <t>Pipe Renewals / Upgrades  (Moved $50,000 Reserve  funds $50,000 S64 funds from 2015/16 December Review)</t>
  </si>
  <si>
    <t>West Byron / Tyagarah Reuse Project</t>
  </si>
  <si>
    <t>STP Upgrade</t>
  </si>
  <si>
    <t>STP Renewals</t>
  </si>
  <si>
    <t>SCADA Conversion</t>
  </si>
  <si>
    <t>Miscellanous Pump Station Upgrades</t>
  </si>
  <si>
    <t>Pump Station Renewals</t>
  </si>
  <si>
    <t>Pipe Renewals / Upgrades</t>
  </si>
  <si>
    <t>South Byron STP Redevelopment/ Remediation</t>
  </si>
  <si>
    <t>Byron Bay Upsize SPS3024 Rising Main</t>
  </si>
  <si>
    <t>Recycled Waste Water from West Byron to Byron Foreshore Res 15-616</t>
  </si>
  <si>
    <t>South Byron STP Demolition/Removal</t>
  </si>
  <si>
    <t>SPS3001 Manhole Repair/Renewal</t>
  </si>
  <si>
    <t>Recycled Waste Water - West Byron to Byron Foreshore</t>
  </si>
  <si>
    <t>Brunswick Valley Sewerage Treatment Plant</t>
  </si>
  <si>
    <t>Vallances Rd Subdivision</t>
  </si>
  <si>
    <t>Vallances Rd nursery demolition</t>
  </si>
  <si>
    <t>Lot 4 Mullumbimby Development</t>
  </si>
  <si>
    <t>Medium Term Pipeline Renewals</t>
  </si>
  <si>
    <t>Long Term Upgrade STP</t>
  </si>
  <si>
    <t>Pump Station Upgrades</t>
  </si>
  <si>
    <t>STP - detailed site contamination study</t>
  </si>
  <si>
    <t>SPS4002 Rising Main extension</t>
  </si>
  <si>
    <t>Azalea Street Sewer Replacement / Upgrade</t>
  </si>
  <si>
    <t>Mullumbimby STP Site Remediation</t>
  </si>
  <si>
    <t>Pipe Renewals / Upgrades - Bindarra Cl/Orana Rd/Kiah Cl</t>
  </si>
  <si>
    <t>Pump Renewals</t>
  </si>
  <si>
    <t>Coastal Erosion Planning Measures and  Contingency</t>
  </si>
  <si>
    <t>Miscellaneous Pump Station Upgrades</t>
  </si>
  <si>
    <t>Ocean Shores STP Upgrade Project</t>
  </si>
  <si>
    <t>Narooma Drive Ocean Shores Sewer Upgrade</t>
  </si>
  <si>
    <t>7438.2</t>
  </si>
  <si>
    <t>7438.5</t>
  </si>
  <si>
    <t>Miscellaneous Works</t>
  </si>
  <si>
    <t>7438.18</t>
  </si>
  <si>
    <t>Telemetry System Software Upgrade</t>
  </si>
  <si>
    <t>7438.12</t>
  </si>
  <si>
    <t>Emergency Generator</t>
  </si>
  <si>
    <t>7444</t>
  </si>
  <si>
    <t>Sewerage System Capacity Planning</t>
  </si>
  <si>
    <t>7438.30</t>
  </si>
  <si>
    <t>Steam Weeding &amp; Grafitti Removal Team - purchase of capital equipment</t>
  </si>
  <si>
    <t>Bangalow Total</t>
  </si>
  <si>
    <t>Brunswick Heads Total</t>
  </si>
  <si>
    <t>Mullumbimby Total</t>
  </si>
  <si>
    <t>Ocean Shores Total</t>
  </si>
  <si>
    <t>Byron Bay Total</t>
  </si>
  <si>
    <t>Miscellaneous Total</t>
  </si>
  <si>
    <t>Total Sewer Fund Capital Works</t>
  </si>
  <si>
    <t>Total Capital Works All Funds</t>
  </si>
  <si>
    <t xml:space="preserve">Ocean Shores  </t>
  </si>
  <si>
    <t xml:space="preserve">Mullumbimby  </t>
  </si>
  <si>
    <t xml:space="preserve">Byron Bay   </t>
  </si>
  <si>
    <t>Total Water Fund Capital Works</t>
  </si>
  <si>
    <t xml:space="preserve">Miscellaneous   </t>
  </si>
  <si>
    <t xml:space="preserve">Ocean Shores </t>
  </si>
  <si>
    <t xml:space="preserve">Brunswick Heads </t>
  </si>
  <si>
    <t xml:space="preserve">Bangalow  </t>
  </si>
  <si>
    <t>PROPOSED LOANS</t>
  </si>
  <si>
    <t>GENERAL FUND LOAN REPAYMENTS</t>
  </si>
  <si>
    <t>2013/2014</t>
  </si>
  <si>
    <t>Loan Number</t>
  </si>
  <si>
    <t>Year Drawn Down</t>
  </si>
  <si>
    <t>Financial Institution</t>
  </si>
  <si>
    <t>%</t>
  </si>
  <si>
    <t>Borrowed</t>
  </si>
  <si>
    <t>Interest Rate</t>
  </si>
  <si>
    <t>Annual Repayment</t>
  </si>
  <si>
    <t>Outstanding @ 30/6/14</t>
  </si>
  <si>
    <t>Maturity</t>
  </si>
  <si>
    <t>Purpose</t>
  </si>
  <si>
    <t>PRINCIPAL</t>
  </si>
  <si>
    <t>INTEREST</t>
  </si>
  <si>
    <t>CORPORATE &amp; COMMUNITY SERVICES</t>
  </si>
  <si>
    <t>Financial Services</t>
  </si>
  <si>
    <t>NAB</t>
  </si>
  <si>
    <t>Debt Redemption</t>
  </si>
  <si>
    <t>Total Financial Services</t>
  </si>
  <si>
    <t>WBC</t>
  </si>
  <si>
    <t>Electronic Document Management System</t>
  </si>
  <si>
    <t>Total Information Services</t>
  </si>
  <si>
    <t>TOTAL FOR CORPORATE &amp; COMMUNITY SERVICES</t>
  </si>
  <si>
    <t>INFRASTRUCTURE SERVICES</t>
  </si>
  <si>
    <t>Local Roads &amp; Drainage</t>
  </si>
  <si>
    <t>Sth Golden Beach Drainage</t>
  </si>
  <si>
    <t>CBA</t>
  </si>
  <si>
    <t>Helen St Footbridge</t>
  </si>
  <si>
    <t>Possum Creek Bridge</t>
  </si>
  <si>
    <t>Clarkes Beach Carpark</t>
  </si>
  <si>
    <t>Donaghy's Bridge</t>
  </si>
  <si>
    <t>Total Local Roads and Drainage</t>
  </si>
  <si>
    <t>Open Spaces &amp; Recreation</t>
  </si>
  <si>
    <t>Byron Bay Rec Ground</t>
  </si>
  <si>
    <t>Mullumbimby Sporting Fields</t>
  </si>
  <si>
    <t>Embellishment of Northern Sporting Fields</t>
  </si>
  <si>
    <t>Embellishment of Other Sporting Fields</t>
  </si>
  <si>
    <t>Heritage Park Bangalow</t>
  </si>
  <si>
    <t>Total Open Spaces &amp; Recreation</t>
  </si>
  <si>
    <t>Southern Expansion</t>
  </si>
  <si>
    <t>Land Purchase</t>
  </si>
  <si>
    <t>Total Waste Disposal Facility</t>
  </si>
  <si>
    <t>Cavanbah Sports Centre Construction</t>
  </si>
  <si>
    <t>Total Cavanbah Sports Centre</t>
  </si>
  <si>
    <t>Holiday Parks - Council</t>
  </si>
  <si>
    <t>Total Holiday Parks - Council</t>
  </si>
  <si>
    <t>Land Purchase at Mullumbimby</t>
  </si>
  <si>
    <t>Bangalow Community Park</t>
  </si>
  <si>
    <t>Mullumbimby Pool Amenities</t>
  </si>
  <si>
    <t>Mullumbimby Civic Centre</t>
  </si>
  <si>
    <t>Suffolk Park Child Care Centre</t>
  </si>
  <si>
    <t>CLIC-Safety Works</t>
  </si>
  <si>
    <t>Youth Activities Centre Upgrade</t>
  </si>
  <si>
    <t>Byron/Mullumbimby Pools</t>
  </si>
  <si>
    <t>Total Facilities Management</t>
  </si>
  <si>
    <t>TOTAL FOR INFRASTRUCTURE SERVICES</t>
  </si>
  <si>
    <t>WATER FUND LOAN REPAYMENTS</t>
  </si>
  <si>
    <t>WATER</t>
  </si>
  <si>
    <t>TOTAL FOR WATER FUND</t>
  </si>
  <si>
    <t>SEWER FUND LOAN REPAYMENTS</t>
  </si>
  <si>
    <t>SEWER</t>
  </si>
  <si>
    <t>Sewer Systems Upgrade</t>
  </si>
  <si>
    <t>Subsidised Works Program 2004/05</t>
  </si>
  <si>
    <t>Subsidised Works Program 2005/06</t>
  </si>
  <si>
    <t>Brunswick Valley STP</t>
  </si>
  <si>
    <t>67 (Prev 56)</t>
  </si>
  <si>
    <t>Brunswick Valley STP, Mullumbimby Inflow Works, Misc Switchboard Replacements</t>
  </si>
  <si>
    <t>TOTAL FOR SEWER FUND</t>
  </si>
  <si>
    <t>Total All Funds</t>
  </si>
  <si>
    <t>TOTAL FOR GENERAL FUND</t>
  </si>
  <si>
    <t>Expenditure Indexation (efficiency dividend)</t>
  </si>
  <si>
    <t>Financial Assistance Grant</t>
  </si>
  <si>
    <t>Index</t>
  </si>
  <si>
    <t>E</t>
  </si>
  <si>
    <t>Subsequent Years Workings</t>
  </si>
  <si>
    <t>Gross Employee Costs</t>
  </si>
  <si>
    <t>Asset Revaluation Reserve</t>
  </si>
  <si>
    <t>Information Technology</t>
  </si>
  <si>
    <t>Risk Management</t>
  </si>
  <si>
    <t>Property</t>
  </si>
  <si>
    <t>Childrens Services</t>
  </si>
  <si>
    <t>General Managers Office</t>
  </si>
  <si>
    <t>Tennis Court Reserve</t>
  </si>
  <si>
    <t>Structural Change Reserve</t>
  </si>
  <si>
    <t>Brunswick Heads Memorial Hall</t>
  </si>
  <si>
    <t>South Golden Beach Hall</t>
  </si>
  <si>
    <t>Infrastructure Renewal Reserve</t>
  </si>
  <si>
    <t>Byron Bay Library Exhibition Space S355</t>
  </si>
  <si>
    <t>Special Events Response &amp; Mitigation</t>
  </si>
  <si>
    <t>Property Development Reserve</t>
  </si>
  <si>
    <t>Suffolk Park Open Space</t>
  </si>
  <si>
    <t>Bangalow Heritage House</t>
  </si>
  <si>
    <t>Bridge Replacement Fund</t>
  </si>
  <si>
    <t>Unexpended Loans</t>
  </si>
  <si>
    <t>Domestic Waste Management</t>
  </si>
  <si>
    <t>Bonds and Deposits</t>
  </si>
  <si>
    <t>Quarry</t>
  </si>
  <si>
    <t>2015/2016</t>
  </si>
  <si>
    <t>Check</t>
  </si>
  <si>
    <t>Recalculated Employee Costs</t>
  </si>
  <si>
    <t>Total Recalulated Employee Costs</t>
  </si>
  <si>
    <t>Adjustment</t>
  </si>
  <si>
    <t>Opening</t>
  </si>
  <si>
    <t>Balance</t>
  </si>
  <si>
    <t>Net</t>
  </si>
  <si>
    <t>Movement</t>
  </si>
  <si>
    <t>Closing</t>
  </si>
  <si>
    <t>Reserve Description</t>
  </si>
  <si>
    <t>Internal Reserves</t>
  </si>
  <si>
    <t>TOTAL GENERAL FUND RESERVES</t>
  </si>
  <si>
    <t>TOTAL SEWERAGE FUND RESERVES</t>
  </si>
  <si>
    <t>TOTAL RESERVES - ALL FUNDS</t>
  </si>
  <si>
    <t>Summary:</t>
  </si>
  <si>
    <t>Total Internal Restrictions</t>
  </si>
  <si>
    <t>Total External Restrictions</t>
  </si>
  <si>
    <t>TOTAL WATER FUND RESERVES</t>
  </si>
  <si>
    <t>Total Internal Reserves</t>
  </si>
  <si>
    <t>External Reserves</t>
  </si>
  <si>
    <t xml:space="preserve">Total External Reserves </t>
  </si>
  <si>
    <t>SEWERAGE FUND</t>
  </si>
  <si>
    <t>Caravan Park - Council</t>
  </si>
  <si>
    <t>Waste Management Facility</t>
  </si>
  <si>
    <t>Plant</t>
  </si>
  <si>
    <t>Carryover - Infrastructure Services</t>
  </si>
  <si>
    <t>Enviornmental Planning</t>
  </si>
  <si>
    <t>Paid Parking</t>
  </si>
  <si>
    <t>Human Resources</t>
  </si>
  <si>
    <t>Stormwater Drainage</t>
  </si>
  <si>
    <t>Enviornmental Levy Reserve</t>
  </si>
  <si>
    <t>2002/2003 Special Rate Carryover Reserve</t>
  </si>
  <si>
    <t>2003/2004 Special Rate Carryover Reserve</t>
  </si>
  <si>
    <t>2005/2006 Special Rate Carryover Reserve</t>
  </si>
  <si>
    <t>2006/2007 Special Rate Carryover Reserve</t>
  </si>
  <si>
    <t>2007/2008 Special Rate Carryover Reserve</t>
  </si>
  <si>
    <t>2008/2009 Special Rate Carryover Reserve</t>
  </si>
  <si>
    <t>Brunswick Valley Communtiy Centre</t>
  </si>
  <si>
    <t>Suffolk Park Community Centre</t>
  </si>
  <si>
    <t>On-Site Sewerage Management</t>
  </si>
  <si>
    <t>Crown Reserves</t>
  </si>
  <si>
    <t>Cown Reserves - Paid Parking</t>
  </si>
  <si>
    <t>Section 94 - Council Administration</t>
  </si>
  <si>
    <t>Section 94 - Section 94A Levy Income</t>
  </si>
  <si>
    <t>Section 64 Developer Contributions</t>
  </si>
  <si>
    <t>Capital Works Reserve</t>
  </si>
  <si>
    <t>Plant Reserve</t>
  </si>
  <si>
    <t>Election Reserve</t>
  </si>
  <si>
    <t>Section 94 - Open Space - Byron Bay</t>
  </si>
  <si>
    <t>Section 94 - Open Space - Suffolk Park</t>
  </si>
  <si>
    <t>Section 94 - Open Space - Mullumbimby</t>
  </si>
  <si>
    <t>Section 94 - Open Space - Brunswick Heads</t>
  </si>
  <si>
    <t>Section 94 - Open Space - Bangalow</t>
  </si>
  <si>
    <t>Section 94 - Open Space - Ocean Shores</t>
  </si>
  <si>
    <t>Section 94 - Open Space - Shire Wide</t>
  </si>
  <si>
    <t>Section 94 - Community Facilities - Byron Bay/Suffolk Park</t>
  </si>
  <si>
    <t>Section 94 - Open Space - Rural North</t>
  </si>
  <si>
    <t>Section 94 - Open Space - Rural South</t>
  </si>
  <si>
    <t>Section 94 - Community Facilities - Mullumbimby</t>
  </si>
  <si>
    <t>Section 94 - Community Facilities - Bangalow</t>
  </si>
  <si>
    <t>Section 94 - Community Facilities - Brunswick Heads</t>
  </si>
  <si>
    <t>Section 94 - Community Facilities - Ocean Shores</t>
  </si>
  <si>
    <t>Section 94 - Community Facilities - Shire Wide</t>
  </si>
  <si>
    <t>Section 94 - Community Facilities - Rural North</t>
  </si>
  <si>
    <t>Section 94 - Community Facilities - Rural South</t>
  </si>
  <si>
    <t>Section 94 - Car Parking - Byron Bay</t>
  </si>
  <si>
    <t>Section 94 - Car Parking - Mullumbimby</t>
  </si>
  <si>
    <t>Section 94 - Car Parking - Bangalow</t>
  </si>
  <si>
    <t>Section 94 - Car Parking - Brunswick Heads</t>
  </si>
  <si>
    <t>Section 94 - Cycleways - Byron Bay/Suffolk Park</t>
  </si>
  <si>
    <t>Section 94 - Cycleways - Mullumbimby</t>
  </si>
  <si>
    <t>Section 94 - Cycleways - Bangalow</t>
  </si>
  <si>
    <t>Section 94 - Cycleways - Brunswick Heads</t>
  </si>
  <si>
    <t>Section 94 - Cycleways - Ocean Shores</t>
  </si>
  <si>
    <t>Section 94 - Cycleways - Rural North</t>
  </si>
  <si>
    <t>Section 94 - Cycleways - Rural South</t>
  </si>
  <si>
    <t>Section 94 - Cycleways - Shire Wide</t>
  </si>
  <si>
    <t>Section 94 - Urban Roads - Byron Bay/Suffolk Park</t>
  </si>
  <si>
    <t>Section 94 - Urban Roads - Mullumbimby</t>
  </si>
  <si>
    <t>Section 94 - Urban Roads - Bangalow</t>
  </si>
  <si>
    <t>Section 94 - Urban Roads - Brunswick Heads</t>
  </si>
  <si>
    <t>Section 94 - Urban Roads - Ocean Shores</t>
  </si>
  <si>
    <t>Section 94 - Urban Roads - Batson Quarry</t>
  </si>
  <si>
    <t>Section 94 - Urban Roads - Shire Wide</t>
  </si>
  <si>
    <t>Section 94 - Rural Roads - Shire Rural</t>
  </si>
  <si>
    <t>Section 94 - Rural Roads - Mudges Quarry</t>
  </si>
  <si>
    <t>Section 94 - Rural Roads - Leela Quarry</t>
  </si>
  <si>
    <t>Section 94 - Rural Roads - Myocum Quarry</t>
  </si>
  <si>
    <t>Section 94 - Rural Roads - Rural North</t>
  </si>
  <si>
    <t>Section 94 - Rural Roads - Rural South</t>
  </si>
  <si>
    <t>Section 94 - Civic &amp; Urban Improvements - Byron Bay/Suffolk Park</t>
  </si>
  <si>
    <t>Section 94 - Civic &amp; Urban Improvements - Mullumbimby</t>
  </si>
  <si>
    <t>Section 94 - Civic &amp; Urban Improvements - Bangalow</t>
  </si>
  <si>
    <t>Section 94 - Civic &amp; Urban Improvements - Brunswick Heads</t>
  </si>
  <si>
    <t>Section 94 - Civic &amp; Urban Improvements - Ocean Shores</t>
  </si>
  <si>
    <t>Section 94 - Civic &amp; Urban Improvements - Rural North</t>
  </si>
  <si>
    <t>Section 94 - Civic &amp; Urban Improvements - Rural South</t>
  </si>
  <si>
    <t>Section 94 - Shire Support Facilities - Shire Rural</t>
  </si>
  <si>
    <t>Section 94 - Shire Support Facilities - Byron Bay/Suffolk Park</t>
  </si>
  <si>
    <t>Section 94 - Shire Support Facilities - Mullumbimby</t>
  </si>
  <si>
    <t>Section 94 - Shire Support Facilities - Bangalow</t>
  </si>
  <si>
    <t>Section 94 - Shire Support Facilities - Ocean Shores</t>
  </si>
  <si>
    <t>Section 94 - Shire Support Facilities - Brunswick Heads</t>
  </si>
  <si>
    <t>Section 94 - Shire Support Facilities - Rural North</t>
  </si>
  <si>
    <t>Section 94 - Shire Support Facilities - Rural South</t>
  </si>
  <si>
    <t>Gross Cash</t>
  </si>
  <si>
    <t>Less External Restrictions</t>
  </si>
  <si>
    <t>Less Internal Restrictions</t>
  </si>
  <si>
    <t>Unrestricted Cash</t>
  </si>
  <si>
    <t>Difference</t>
  </si>
  <si>
    <t>Unrestricted Cash Estimated</t>
  </si>
  <si>
    <t>Reserve: Information Technology</t>
  </si>
  <si>
    <t>Transfer to Reserve</t>
  </si>
  <si>
    <t>Capital Revenue</t>
  </si>
  <si>
    <t>Operating Revenue</t>
  </si>
  <si>
    <t>Total Transfer to Reserve</t>
  </si>
  <si>
    <t>Transfer from Reserve</t>
  </si>
  <si>
    <t>Capital Expenditure</t>
  </si>
  <si>
    <t>Loan Principal Repayments</t>
  </si>
  <si>
    <t>Total Transfer From Reserve</t>
  </si>
  <si>
    <t>Net Reserve Movement</t>
  </si>
  <si>
    <t>Reserve: Caravan Park - Council</t>
  </si>
  <si>
    <t>Reserve: Employee Leave Entitlements</t>
  </si>
  <si>
    <t>Reserve: Waste Management Facility (Other Waste)</t>
  </si>
  <si>
    <t>Reserve: Plant</t>
  </si>
  <si>
    <t>Reserve: Quarry</t>
  </si>
  <si>
    <t>Reserve: Risk Management</t>
  </si>
  <si>
    <t>Reserve: Property</t>
  </si>
  <si>
    <t>Reserve: Infrastructure Services - Carryover</t>
  </si>
  <si>
    <t>Reserve: Environmental Planning</t>
  </si>
  <si>
    <t>Reserve: Footpath Dining</t>
  </si>
  <si>
    <t>Reserve: Byron Bay Library</t>
  </si>
  <si>
    <t>Reserve: Paid Parking (Council)</t>
  </si>
  <si>
    <t>Reserve: Human Resources</t>
  </si>
  <si>
    <t>Reserve: Legal Services</t>
  </si>
  <si>
    <t>Reserve: Community Development</t>
  </si>
  <si>
    <t>Reserve: Environmental Levy</t>
  </si>
  <si>
    <t>Reserve: Stormwater Drainage</t>
  </si>
  <si>
    <t>Reserve: Childrens Services</t>
  </si>
  <si>
    <t>Reserve: General Managers Office</t>
  </si>
  <si>
    <t>Reserve: Revolving Energy Fund</t>
  </si>
  <si>
    <t>Reserve: Tennis Court Reserve</t>
  </si>
  <si>
    <t>Reserve: Asset Revaluation</t>
  </si>
  <si>
    <t>Reserve: 2002/2003 Special Rate Carryover</t>
  </si>
  <si>
    <t>Reserve: 2003/2004 Special Rate Carryover</t>
  </si>
  <si>
    <t>Reserve: 2005/2006 Special Rate Carryover</t>
  </si>
  <si>
    <t>Reserve: 2006/2007 Special Rate Carryover</t>
  </si>
  <si>
    <t>Reserve: 2007/2008 Special Rate Carryover</t>
  </si>
  <si>
    <t>Reserve: 2008/2009 Special Rate Carryover</t>
  </si>
  <si>
    <t>Reserve: Structural Change Reserve</t>
  </si>
  <si>
    <t>Reserve: Mullumbimby Civic Hall</t>
  </si>
  <si>
    <t>Reserve: South Golden Beach Hall</t>
  </si>
  <si>
    <t>Reserve: Brunswick Heads Memorial Hall</t>
  </si>
  <si>
    <t>Reserve: Infrastructure Renewal Reserve</t>
  </si>
  <si>
    <t>Reserve: Mullumbimby Pioneer Centre</t>
  </si>
  <si>
    <t>Reserve: Byron Bay Exhibition Space S355</t>
  </si>
  <si>
    <t>Reserve: Brunswick Valley Community Centre</t>
  </si>
  <si>
    <t>Reserve: Suffolk Park Community Centre</t>
  </si>
  <si>
    <t>Reserve: On Site Sewerage Management</t>
  </si>
  <si>
    <t>Reserve: Special EventsResponse and Mitigation</t>
  </si>
  <si>
    <t>Reserve: Property Development Reserve</t>
  </si>
  <si>
    <t>Reserve: Suffolk Park Open Space</t>
  </si>
  <si>
    <t>Reserve: Bangalow Heritage House</t>
  </si>
  <si>
    <t>Reserve: Bridge Replacement Fund</t>
  </si>
  <si>
    <t>Reserve: Ocean Shores Community Centre</t>
  </si>
  <si>
    <t>Reserve: Election Reserve</t>
  </si>
  <si>
    <t>Reserve: Unexpended General Fund Loans</t>
  </si>
  <si>
    <t>SUMMARY:</t>
  </si>
  <si>
    <t>Internal Reserves - Total Transfers From</t>
  </si>
  <si>
    <t>Internal Reserves - Total Transfers To</t>
  </si>
  <si>
    <t xml:space="preserve">Byron Shire Council </t>
  </si>
  <si>
    <t>Reserve: Crown Reserves</t>
  </si>
  <si>
    <t>Reserve: Caravan Park - Domestic Waste Management</t>
  </si>
  <si>
    <t>Reserve: Crown Reserve - Paid Parking</t>
  </si>
  <si>
    <t>Reserve: Section 94 - Open Space - Byron Bay</t>
  </si>
  <si>
    <t>Reserve: Section 94 - Open Space -  Suffolk Park</t>
  </si>
  <si>
    <t>Reserve: Section 94 - Open Space -  Mullumbimby</t>
  </si>
  <si>
    <t>Reserve: Section 94 - Open Space -  Bangalow</t>
  </si>
  <si>
    <t>Reserve: Section 94 - Open Space -  Brunswick Heads</t>
  </si>
  <si>
    <t>Reserve: Section 94 - Open Space -  Ocean Shores</t>
  </si>
  <si>
    <t>Reserve: Section 94 - Open Space -  Shire Wide</t>
  </si>
  <si>
    <t>Reserve: Section 94 - Open Space -  Rural North</t>
  </si>
  <si>
    <t>Reserve: Section 94 - Open Space -  Rural South</t>
  </si>
  <si>
    <t>Reserve: Section 94 - Community Facilities - Byron Bay/Suffolk Park</t>
  </si>
  <si>
    <t>Reserve: Section 94 - Community Facilities - Mullumbimby</t>
  </si>
  <si>
    <t>Reserve: Section 94 - Community Facilities - Bangalow</t>
  </si>
  <si>
    <t>Reserve: Section 94 - Community Facilities - Brunswick Heads</t>
  </si>
  <si>
    <t>Reserve: Section 94 - Community Facilities - Ocean Shores</t>
  </si>
  <si>
    <t>Reserve: Section 94 - Carparking - Byron Bay</t>
  </si>
  <si>
    <t>Reserve: Section 94 - Carparking - Mullumbimby</t>
  </si>
  <si>
    <t>Reserve: Section 94 - Carparking - Bangalow</t>
  </si>
  <si>
    <t>Reserve: Section 94 - Carparking - Brunswick Heads</t>
  </si>
  <si>
    <t>Reserve: Section 94 - Community Facilities - Shire Wide</t>
  </si>
  <si>
    <t>Reserve: Section 94 - Community Facilities - Rural North</t>
  </si>
  <si>
    <t>Reserve: Section 94 - Community Facilities - Rural South</t>
  </si>
  <si>
    <t>Reserve: Section 94 - Cycleways - Byron/Suffolk Park</t>
  </si>
  <si>
    <t>Reserve: Section 94 - Cycleways - Mullumbimby</t>
  </si>
  <si>
    <t>Reserve: Section 94 - Cycleways - Bangalow</t>
  </si>
  <si>
    <t>Reserve: Section 94 - Cycleways - Brunswick Heads</t>
  </si>
  <si>
    <t>Reserve: Section 94 - Cycleways - Ocean Shores</t>
  </si>
  <si>
    <t>Reserve: Section 94 - Cycleways - Rural North</t>
  </si>
  <si>
    <t>Reserve: Section 94 - Cycleways - Shire Wide</t>
  </si>
  <si>
    <t>Reserve: Section 94 - Urban Roads - Byron Bay/Suffolk P ark</t>
  </si>
  <si>
    <t>Reserve: Section 94 - Urban Roads - Mullumbimby</t>
  </si>
  <si>
    <t>Reserve: Section 94 - Urban Roads - Bangalow</t>
  </si>
  <si>
    <t>Reserve: Section 94 - Urban Roads - Brunswick Heads</t>
  </si>
  <si>
    <t>Reserve: Section 94 - Urban Roads - Ocean Shores</t>
  </si>
  <si>
    <t>Reserve: Section 94 - Urban Roads - Batson Quarry</t>
  </si>
  <si>
    <t>Reserve: Section 94 - Urban Roads - Shire Wide</t>
  </si>
  <si>
    <t>Reserve: Section 94 - Rural Roads - Shire Rural</t>
  </si>
  <si>
    <t>Reserve: Section 94 - Rural Roads - Mudges Quarry</t>
  </si>
  <si>
    <t>Reserve: Section 94 - Rural Roads - Leela Quarry</t>
  </si>
  <si>
    <t>Reserve: Section 94 - Rural Roads - Myocum Quarry</t>
  </si>
  <si>
    <t>Reserve: Section 94 - Rural Roads - Rural North</t>
  </si>
  <si>
    <t>Reserve: Section 94 - Rural Roads - Rural South</t>
  </si>
  <si>
    <t>Reserve: Section 94 - Civic &amp; Urban Improvements - Byron Bay/Suffolk Park</t>
  </si>
  <si>
    <t>Reserve: Section 94 - Civic &amp; Urban Improvements - Mullumbimby</t>
  </si>
  <si>
    <t>Reserve: Section 94 - Civic &amp; Urban Improvements - Bangalow</t>
  </si>
  <si>
    <t>Reserve: Section 94 - Civic &amp; Urban Improvements - Brunswick Heads</t>
  </si>
  <si>
    <t>Reserve: Section 94 - Civic &amp; Urban Improvements - Ocean Shores</t>
  </si>
  <si>
    <t>Reserve: Section 94 - Civic &amp; Urban Improvements - Rural North</t>
  </si>
  <si>
    <t>Reserve: Section 94 - Civic &amp; Urban Improvements - Rural South</t>
  </si>
  <si>
    <t>Reserve: Section 94 - Council Administration</t>
  </si>
  <si>
    <t>Reserve: Section 94 - Shire Support Facilities - Shire Rural</t>
  </si>
  <si>
    <t>Reserve: Section 94 - Shire Support Facilities - Byron Bay/Suffolk Park</t>
  </si>
  <si>
    <t>Reserve: Section 94 - Shire Support Facilities - Mullumbimby</t>
  </si>
  <si>
    <t>Reserve: Section 94 - Shire Support Facilities - Bangalow</t>
  </si>
  <si>
    <t>Reserve: Section 94 - Shire Support Facilities - Ocean Shores</t>
  </si>
  <si>
    <t>Reserve: Section 94 - Shire Support Facilities - Brunswick Heads</t>
  </si>
  <si>
    <t>Reserve: Section 94 - Shire Support Facilities - Rural North</t>
  </si>
  <si>
    <t>Reserve: Section 94 - Shire Support Facilities - Rural South</t>
  </si>
  <si>
    <t>Reserve: Section 94 - Section 94A Levy Income</t>
  </si>
  <si>
    <t>Reserve: Bonds and Deposits</t>
  </si>
  <si>
    <t>SUMMARY GENERAL FUND:</t>
  </si>
  <si>
    <t>External Reserves - Total Transfers To</t>
  </si>
  <si>
    <t>External Reserves - Total Transfers From</t>
  </si>
  <si>
    <t>Reserve: Section 64 Developer Contributions</t>
  </si>
  <si>
    <t>Reserve: Capital Works Reserve</t>
  </si>
  <si>
    <t>SUMMARY WATER FUND:</t>
  </si>
  <si>
    <t>Reserve: Plant Reserve</t>
  </si>
  <si>
    <t>SUMMARY SEWERAGE FUND:</t>
  </si>
  <si>
    <t>Increase/(Decrease) in Unrestricted Cash</t>
  </si>
  <si>
    <t>Capital Grants and Contributions</t>
  </si>
  <si>
    <t>Less Depreciation</t>
  </si>
  <si>
    <t>Less: Depreciation</t>
  </si>
  <si>
    <t>Operating Result before Capital Amounts from Income Statement Surplus/(Deficit)</t>
  </si>
  <si>
    <t>Reserve: Section 94 - Cycleways - Rural South</t>
  </si>
  <si>
    <t>Increase/(Decrease) in Cash Position</t>
  </si>
  <si>
    <t>Transfer to Infrastructure Renewal Reserve</t>
  </si>
  <si>
    <t>Transfer from Paid Parking Reserve</t>
  </si>
  <si>
    <t>Less: Transfer to Crown Paid Parking - 28%</t>
  </si>
  <si>
    <t>Less: Apportionment of Costs to Crown Paid Parking 28%</t>
  </si>
  <si>
    <t>Transfer from Paid Parking Council</t>
  </si>
  <si>
    <t>Sewerage Charge Increase</t>
  </si>
  <si>
    <t>Water Charge Increase</t>
  </si>
  <si>
    <t>Commercial Activities on Crown Reserves</t>
  </si>
  <si>
    <t>Surf Lifesaving</t>
  </si>
  <si>
    <t>Crown Reserves - Byron Tiolets Maintenance</t>
  </si>
  <si>
    <t>Crown Reserves - Byron Parks</t>
  </si>
  <si>
    <t>Schoolies Management</t>
  </si>
  <si>
    <t>Apex Park Byron Maintenance</t>
  </si>
  <si>
    <t>Item</t>
  </si>
  <si>
    <t>Roads to Recvoery Grant - Treat as Operating Grant even though used for Capitl</t>
  </si>
  <si>
    <t>2017</t>
  </si>
  <si>
    <t>Opening Cassh Balance</t>
  </si>
  <si>
    <t>Closing Cash Balance</t>
  </si>
  <si>
    <t>Calculated Gross Interest</t>
  </si>
  <si>
    <t>2014/2015</t>
  </si>
  <si>
    <t>Historical Interest on Investment Earnings</t>
  </si>
  <si>
    <t>Average Estimated Cash Balance Manual to stop cirular formula</t>
  </si>
  <si>
    <t>Calculated Average Cash Balance</t>
  </si>
  <si>
    <t>Apportionment</t>
  </si>
  <si>
    <t>Section 94</t>
  </si>
  <si>
    <t>Other General Fund External</t>
  </si>
  <si>
    <t>Water S64</t>
  </si>
  <si>
    <t>Water Other</t>
  </si>
  <si>
    <t>Sewer S 64</t>
  </si>
  <si>
    <t>Sewer Other</t>
  </si>
  <si>
    <t>Unrestricted</t>
  </si>
  <si>
    <t>Year</t>
  </si>
  <si>
    <t>General Fund External and Unrestricted</t>
  </si>
  <si>
    <t>Asset Renewals</t>
  </si>
  <si>
    <t>New Assets</t>
  </si>
  <si>
    <t>Capacity Upgrades</t>
  </si>
  <si>
    <t>Manual entry to</t>
  </si>
  <si>
    <t xml:space="preserve">stop circular </t>
  </si>
  <si>
    <t>formula</t>
  </si>
  <si>
    <t>Interest on S94 Levies</t>
  </si>
  <si>
    <t>Interest on Section 94 Funds</t>
  </si>
  <si>
    <t>Performance Indicator</t>
  </si>
  <si>
    <t>Result</t>
  </si>
  <si>
    <t>1, Operating Performance Ratio</t>
  </si>
  <si>
    <t>Total continuing operating revenue (excl capital grants and contribuions) - operating expenses</t>
  </si>
  <si>
    <t>Total continuing operating revenue (excl capital grants and contribuions)</t>
  </si>
  <si>
    <t>Benchmark Result</t>
  </si>
  <si>
    <t>Required Benchmark = Greater then breakeven</t>
  </si>
  <si>
    <t>2. Own Source Operating Revenue</t>
  </si>
  <si>
    <t>Total continuing operating revenue (less ALL grants and contributions)</t>
  </si>
  <si>
    <t>Total continuing operating revenue (inclusive of capital grants and contributions)</t>
  </si>
  <si>
    <t>Required Benchmark = Greater then 60%</t>
  </si>
  <si>
    <t>3. Debt Service Cover Ratio</t>
  </si>
  <si>
    <t>Loan principal repayments plus interest costs</t>
  </si>
  <si>
    <t>Operating result before capital excluding interest and depreciation</t>
  </si>
  <si>
    <t>4. Debt Service Ratio</t>
  </si>
  <si>
    <t>Cost of debt service (interest expense and principal repayments)</t>
  </si>
  <si>
    <t>Total continuing operating revenue (excluding capital grants and contributions)</t>
  </si>
  <si>
    <t>Required Benchmark = Greater then 0% but less then 20%</t>
  </si>
  <si>
    <t>Required Benchmark = Greater then 2.00</t>
  </si>
  <si>
    <t>5. Asset Maintenance Ratio</t>
  </si>
  <si>
    <t>Actual Asset Maintenance</t>
  </si>
  <si>
    <t>Required Asset Maintenance</t>
  </si>
  <si>
    <t>Benchmark Results</t>
  </si>
  <si>
    <t>Required Benchmark = Greater then 1.00</t>
  </si>
  <si>
    <t>Drainage Maintenance - Urban and Rural</t>
  </si>
  <si>
    <t>Urban Road Maintenance</t>
  </si>
  <si>
    <t>Street Cleaning</t>
  </si>
  <si>
    <t>Sealed Rural Roads Maintenance</t>
  </si>
  <si>
    <t>Unsealed Rural Roads Maintenance</t>
  </si>
  <si>
    <t>Footpaths</t>
  </si>
  <si>
    <t>Signs</t>
  </si>
  <si>
    <t>Byron Bay Drainage</t>
  </si>
  <si>
    <t>RMS Regional Roads</t>
  </si>
  <si>
    <t>Mullum Pool</t>
  </si>
  <si>
    <t>Community Buildings</t>
  </si>
  <si>
    <t>Water</t>
  </si>
  <si>
    <t>Sewerage</t>
  </si>
  <si>
    <t>Public Toilets - Council/Crown</t>
  </si>
  <si>
    <t>Total Asset Maintenance</t>
  </si>
  <si>
    <t>Bus Shelters</t>
  </si>
  <si>
    <t>6. Infrastructure Renewal Ratio</t>
  </si>
  <si>
    <t>Asset Renewals - Infrastructure</t>
  </si>
  <si>
    <t>Depreciation Expense - Infrastructure</t>
  </si>
  <si>
    <t>Less Unfunded Capital Expenditure</t>
  </si>
  <si>
    <t>Less Unfunded Plant Purchases</t>
  </si>
  <si>
    <t>Water Fund Summary</t>
  </si>
  <si>
    <t>General Fund Summary - Infrastructure</t>
  </si>
  <si>
    <t>Total Water Fund</t>
  </si>
  <si>
    <t>Sewerage Fund Summary</t>
  </si>
  <si>
    <t>Total Sewerage Fund</t>
  </si>
  <si>
    <t>Not A[[licable</t>
  </si>
  <si>
    <t>Estimated Cost to bring Assets to a satisfactory standard</t>
  </si>
  <si>
    <t>Total Written Down Value of Infrastructuure Assets</t>
  </si>
  <si>
    <t>Required Benchmark = Less then 2%</t>
  </si>
  <si>
    <t>7. Infrastructure Backlog Ratio</t>
  </si>
  <si>
    <t>NOT INFRASTRUCTURE SO DO NOT MARK FOR RATIO CALC</t>
  </si>
  <si>
    <t>Funding</t>
  </si>
  <si>
    <t>Less Unfunded Works</t>
  </si>
  <si>
    <t>Less: Unfunded Works</t>
  </si>
  <si>
    <t>Revenue</t>
  </si>
  <si>
    <t>Special Rate</t>
  </si>
  <si>
    <t>$130,000 paid parking, $150,000 special rate $600,000 roads to recovery</t>
  </si>
  <si>
    <t>Unknown</t>
  </si>
  <si>
    <t>$29,900 S94 rest revenue</t>
  </si>
  <si>
    <t>Special Rate/Revenue</t>
  </si>
  <si>
    <t>Stormwater Levy</t>
  </si>
  <si>
    <t>Grants $500,000, S 94 $311,000</t>
  </si>
  <si>
    <t>Grant $150,000, S94 $50,500, Revenue $99,500</t>
  </si>
  <si>
    <t>Grant</t>
  </si>
  <si>
    <t>S94</t>
  </si>
  <si>
    <t>S94 first year, revenue</t>
  </si>
  <si>
    <t>Crown Reserve</t>
  </si>
  <si>
    <t>Infrastructure Renewal</t>
  </si>
  <si>
    <t>$220,000  infrastructure reneal</t>
  </si>
  <si>
    <t>Clear Balance to Infrastructure Renewal Reserve</t>
  </si>
  <si>
    <t>Main Arm Road</t>
  </si>
  <si>
    <t>Scarabelotti's Bridge</t>
  </si>
  <si>
    <t>James Bridge</t>
  </si>
  <si>
    <t>Grays Lane Tyagarah</t>
  </si>
  <si>
    <t>Rifle Range Road Intersection</t>
  </si>
  <si>
    <t>Road Reconstructions</t>
  </si>
  <si>
    <t>Peterson Street</t>
  </si>
  <si>
    <t>The Terrace</t>
  </si>
  <si>
    <t>Rural Road Reconstructions</t>
  </si>
  <si>
    <t>Byron Bay Skatepark</t>
  </si>
  <si>
    <t>Apex Park Lighting</t>
  </si>
  <si>
    <t>2018</t>
  </si>
  <si>
    <t>2019</t>
  </si>
  <si>
    <t>2020</t>
  </si>
  <si>
    <t>2021</t>
  </si>
  <si>
    <t>2022</t>
  </si>
  <si>
    <t>2023</t>
  </si>
  <si>
    <t>2024</t>
  </si>
  <si>
    <t>2025</t>
  </si>
  <si>
    <t>2026</t>
  </si>
  <si>
    <t>Reserve  Checks</t>
  </si>
  <si>
    <t>Reserve Movements from Reserve Summary</t>
  </si>
  <si>
    <t>Consolidated</t>
  </si>
  <si>
    <t>Total Movment</t>
  </si>
  <si>
    <t>Variance</t>
  </si>
  <si>
    <t>Operating Checks</t>
  </si>
  <si>
    <t>As per income statement</t>
  </si>
  <si>
    <t>As per data sheet</t>
  </si>
  <si>
    <t>Capital Checks</t>
  </si>
  <si>
    <t>As per funding statement</t>
  </si>
  <si>
    <t>Sale of property, plant and equipment</t>
  </si>
  <si>
    <t>Depreciation Check</t>
  </si>
  <si>
    <t>Reserve Movements from calculations</t>
  </si>
  <si>
    <t>General Fund Internal Trans from</t>
  </si>
  <si>
    <t>General Fund Internal Trans to</t>
  </si>
  <si>
    <t>General Fund External Trans to</t>
  </si>
  <si>
    <t>General Fund External Trans from</t>
  </si>
  <si>
    <t>Water Fund External Trans to</t>
  </si>
  <si>
    <t>Water Fund External Trans from</t>
  </si>
  <si>
    <t>Sewer Fund External Trans to</t>
  </si>
  <si>
    <t>Sewer Fund External Trans from</t>
  </si>
  <si>
    <t>Not material</t>
  </si>
  <si>
    <t>Estimated Additional Income</t>
  </si>
  <si>
    <t>Estimated Unrestricted Cash Balance</t>
  </si>
  <si>
    <t>Cash and Investments at end of reporting period</t>
  </si>
  <si>
    <t>Cash and Investments at beginning of reporting period</t>
  </si>
  <si>
    <t>Net increase/(decrease) in Cash and Investments</t>
  </si>
  <si>
    <t>This is for high risk assets</t>
  </si>
  <si>
    <t>Roads and Maritime Services</t>
  </si>
  <si>
    <t>Total Capital Works</t>
  </si>
  <si>
    <t>Overall Total</t>
  </si>
  <si>
    <t>Overall 10 year average</t>
  </si>
  <si>
    <t>Capital Works - Excludes major one off items in 2016/2017</t>
  </si>
  <si>
    <t>Long Term Financial Plan 2016-2026 Assumptions (Scenario 1)</t>
  </si>
  <si>
    <t>Scenario 1:</t>
  </si>
  <si>
    <t>5% effective SRV to fund additional infrastructure works with rate pegging amount for operations.</t>
  </si>
  <si>
    <t>Based on a 7.5% rate increase inclusive of rate pegging (assumed at 2.5%) per annum for four years commencing 1 July 2018.</t>
  </si>
  <si>
    <t>Long Term Financial Plan 2016 - 2026 Capital Expenditure (Scenario 1)</t>
  </si>
  <si>
    <t>Date</t>
  </si>
  <si>
    <t>Principal</t>
  </si>
  <si>
    <t>Repayment</t>
  </si>
  <si>
    <t>Interest Rate per payment</t>
  </si>
  <si>
    <t>Number of payments per year</t>
  </si>
  <si>
    <t>Term (Years)</t>
  </si>
  <si>
    <t>Total Payments</t>
  </si>
  <si>
    <t>Loan Instalment Amount</t>
  </si>
  <si>
    <t>Loan Drawdown Year</t>
  </si>
  <si>
    <t>Totals</t>
  </si>
  <si>
    <t>Loan No 1</t>
  </si>
  <si>
    <t>Loan No 2</t>
  </si>
  <si>
    <t>Loan No 3</t>
  </si>
  <si>
    <t>Bridge Replacements</t>
  </si>
  <si>
    <t>General Rate Increase (SRV 5% + 2.5% Rate Peg)</t>
  </si>
  <si>
    <t>Consolidated Funding Statement (Scenario 1)</t>
  </si>
  <si>
    <t>Sewerage Fund Funding Statement (Scenario 1)</t>
  </si>
  <si>
    <t>Water Fund Funding Statement (Scenario 1)</t>
  </si>
  <si>
    <t>Loans</t>
  </si>
  <si>
    <t>Bridge Replacement Program</t>
  </si>
  <si>
    <t>Bridge Replacement</t>
  </si>
  <si>
    <t>D</t>
  </si>
  <si>
    <t>Depreciation Expense Growth Rate</t>
  </si>
  <si>
    <t>Loan Repayment Checks</t>
  </si>
  <si>
    <t>Interest and principal</t>
  </si>
  <si>
    <t>As per loan sheet</t>
  </si>
  <si>
    <t>New borrowings of $6,000,000 over three  years ($2,000,000) per annum commencing 2017/2018 to fund bridge replacements.</t>
  </si>
  <si>
    <t>Reserve: Special Rates Variation 2018-2021</t>
  </si>
  <si>
    <t>2016-2018 Special Rates Variation</t>
  </si>
  <si>
    <t>Less Unfunded Capital Works</t>
  </si>
  <si>
    <t>SRV Expenditure Proprtions from consultation</t>
  </si>
  <si>
    <t>Roads, Bridges, Foothapths and Road Drainage</t>
  </si>
  <si>
    <t>Urban Stormwater</t>
  </si>
  <si>
    <t>Rural Drainage and Culverts</t>
  </si>
  <si>
    <t>Buildings and Public Amenities</t>
  </si>
  <si>
    <t>Parks and Open Space</t>
  </si>
  <si>
    <t>Identified</t>
  </si>
  <si>
    <t>Amount</t>
  </si>
  <si>
    <t>% Allocation</t>
  </si>
  <si>
    <t>Consolidated Income Statement (Scenario 1)</t>
  </si>
  <si>
    <t>Sewerage Fund Income Statement (Scenario 1)</t>
  </si>
  <si>
    <t>Water Fund Income Statement (Scenario 1)</t>
  </si>
  <si>
    <t>Consolidated Cash Flow Statement (Scenario 1)</t>
  </si>
  <si>
    <t>Sewerage Fund Cash Flow Statement (Scenario 1)</t>
  </si>
  <si>
    <t>Water Fund Cash Flow Statement (Scenario 1)</t>
  </si>
  <si>
    <t>Roads, Bridges, Foothapths and Road Drainage Maintenance</t>
  </si>
  <si>
    <t>Urban Stormwater Maintenance</t>
  </si>
  <si>
    <t>Rural Drainage and Culverts Maintenance</t>
  </si>
  <si>
    <t>Buildings and Public Amenities Maintenance</t>
  </si>
  <si>
    <t>Parks and Open Space Maintenance</t>
  </si>
  <si>
    <t>Less Maintenance Amounts</t>
  </si>
  <si>
    <t>SRV Allocation</t>
  </si>
  <si>
    <t>Net Capital Amounts</t>
  </si>
  <si>
    <t>Maintenance Amount</t>
  </si>
  <si>
    <t>Long Term Financial Plan 2016 - 2026 ledger data - operations (Scenario 1)</t>
  </si>
  <si>
    <t>Long Term Financial Plan 2016 Integrity Checks (Scenario 1)</t>
  </si>
  <si>
    <t>Long Term Financial Plan 2025-2026 Employee Costs Recalculation  (Scenario 1)</t>
  </si>
  <si>
    <t>Long Term Financial Plan 2016 - 2026 Capital Revenue (Scenario 1)</t>
  </si>
  <si>
    <t>Long Term Financial Plan 2016 - 2026 Loan Repayments (Scenario 1)</t>
  </si>
  <si>
    <t>Long Term Financial Plan 2016 - 2026 - Interest Revenue Calculation (Scenario 1)</t>
  </si>
  <si>
    <t>Long Term Financial Plan 2016 - 2026 Reserves Summary (Scenario 1)</t>
  </si>
  <si>
    <t>Long Term Financial Plan 2016 - 2026 Reserve Calculations Internal (Scenario 1)</t>
  </si>
  <si>
    <t>Long Term Financial Plan 2016 - 2026 Reserve Calculations External (Scenario 1)</t>
  </si>
  <si>
    <t>Long Term Financial Plan 2016 - 2026 Performance Indicators Consolidated (Scenario 1)</t>
  </si>
  <si>
    <t>Additional Maintenance</t>
  </si>
  <si>
    <t>SRV Allocation Roads and Bridges</t>
  </si>
  <si>
    <t>SRV Open Space and Parks</t>
  </si>
  <si>
    <t>SRV Facilities/Buildings</t>
  </si>
  <si>
    <t>Additional Maintenance Roads and Bridges</t>
  </si>
  <si>
    <t>Long Term Financial Plan 2016 - 2026 Asset Maintenance and Funding for Capital Works - Consolidated Funds (Scenario 1)</t>
  </si>
  <si>
    <t>Loan repayments for new borrowings ($6,000,000) to be funded from overall budget.</t>
  </si>
  <si>
    <t>Operating Revenue - Yields calculated in Part A IPART Workbook</t>
  </si>
  <si>
    <t>General Fund Income Statement (Adopted Scenario)</t>
  </si>
  <si>
    <t>General Fund Funding Statement (Adopted Scenario)</t>
  </si>
  <si>
    <t>General Fund Cash Flow Statement (Adopted Scenario)</t>
  </si>
  <si>
    <t>Long Term Financial Plan 2016 - 2026 Performance Indicators General Fund (Adopted Scenario)</t>
  </si>
  <si>
    <t xml:space="preserve">8. Operating Balance Ratio </t>
  </si>
  <si>
    <t>Net Operating Result before capital grants and contributions</t>
  </si>
  <si>
    <t>Operating revenue before capital grants and contributions</t>
  </si>
  <si>
    <t>9. Unrestricted current ratio - see commentary in LTFP document</t>
  </si>
  <si>
    <t>10. Rates and Annual Charges Ratio</t>
  </si>
  <si>
    <t>Rates and Annual Charges Revenue</t>
  </si>
  <si>
    <t>12. Broad Liabilities Ratio</t>
  </si>
  <si>
    <t>Total Debt plus Infrastructure Backlog</t>
  </si>
  <si>
    <t>13. Asset Renewal Ratio - see indicator six above not recalculated</t>
  </si>
  <si>
    <t>11. Debt Service Ratio - see indicator 4 above not recalculated</t>
  </si>
  <si>
    <t>Outstanding Loans General Fund</t>
  </si>
  <si>
    <t>Infrastructure Backlog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</si>
</sst>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Red]\(#,##0\)"/>
    <numFmt numFmtId="165" formatCode="0.000"/>
    <numFmt numFmtId="166" formatCode="_(* #,##0_);_(* \(#,##0\);_(* &quot;-&quot;_);_(@_)"/>
    <numFmt numFmtId="167" formatCode="#,##0_ ;\(#,##0\ \)"/>
    <numFmt numFmtId="168" formatCode="#,##0_ ;[Red]\-#,##0\ "/>
    <numFmt numFmtId="169" formatCode="_(* #,##0.00_);_(* \(#,##0.00\);_(* &quot;-&quot;??_);_(@_)"/>
    <numFmt numFmtId="170" formatCode="_(* #,##0_);_(* \(#,##0\);_(* &quot;-&quot;??_);_(@_)"/>
    <numFmt numFmtId="171" formatCode="#,##0.00_ ;\(#,##0.00\ \)"/>
    <numFmt numFmtId="172" formatCode="_-* #,##0_-;\-* #,##0_-;_-* &quot;-&quot;??_-;_-@_-"/>
    <numFmt numFmtId="173" formatCode="#,##0\ ;[Red]\(#,##0\)"/>
  </numFmts>
  <fonts count="24" x14ac:knownFonts="1">
    <font>
      <sz val="11"/>
      <color theme="1"/>
      <name val="Calibri"/>
      <family val="2"/>
      <scheme val="minor"/>
    </font>
    <font>
      <b/>
      <sz val="11"/>
      <color theme="1"/>
      <name val="Calibri"/>
      <family val="2"/>
      <scheme val="minor"/>
    </font>
    <font>
      <b/>
      <sz val="16"/>
      <color theme="1"/>
      <name val="Calibri"/>
      <family val="2"/>
      <scheme val="minor"/>
    </font>
    <font>
      <b/>
      <sz val="14"/>
      <color theme="0"/>
      <name val="Calibri"/>
      <family val="2"/>
      <scheme val="minor"/>
    </font>
    <font>
      <b/>
      <sz val="11"/>
      <color theme="1"/>
      <name val="Calibri"/>
      <family val="2"/>
    </font>
    <font>
      <sz val="11"/>
      <name val="Calibri"/>
      <family val="2"/>
      <scheme val="minor"/>
    </font>
    <font>
      <sz val="9"/>
      <color indexed="81"/>
      <name val="Tahoma"/>
      <family val="2"/>
    </font>
    <font>
      <b/>
      <sz val="9"/>
      <color indexed="81"/>
      <name val="Tahoma"/>
      <family val="2"/>
    </font>
    <font>
      <sz val="11"/>
      <color theme="1"/>
      <name val="Calibri"/>
      <family val="2"/>
      <scheme val="minor"/>
    </font>
    <font>
      <b/>
      <sz val="12"/>
      <color theme="1"/>
      <name val="Calibri"/>
      <family val="2"/>
      <scheme val="minor"/>
    </font>
    <font>
      <sz val="10"/>
      <color theme="1"/>
      <name val="Calibri"/>
      <family val="2"/>
      <scheme val="minor"/>
    </font>
    <font>
      <sz val="10"/>
      <color indexed="8"/>
      <name val="Arial"/>
      <family val="2"/>
    </font>
    <font>
      <sz val="10"/>
      <name val="MS Sans Serif"/>
      <family val="2"/>
    </font>
    <font>
      <sz val="10"/>
      <color indexed="8"/>
      <name val="Calibri"/>
      <family val="2"/>
      <scheme val="minor"/>
    </font>
    <font>
      <b/>
      <sz val="8"/>
      <color indexed="81"/>
      <name val="Tahoma"/>
      <family val="2"/>
    </font>
    <font>
      <sz val="8"/>
      <color indexed="81"/>
      <name val="Tahoma"/>
      <family val="2"/>
    </font>
    <font>
      <b/>
      <sz val="11"/>
      <name val="Calibri"/>
      <family val="2"/>
      <scheme val="minor"/>
    </font>
    <font>
      <sz val="11"/>
      <color indexed="8"/>
      <name val="Calibri"/>
      <family val="2"/>
      <scheme val="minor"/>
    </font>
    <font>
      <b/>
      <sz val="11"/>
      <color indexed="8"/>
      <name val="Calibri"/>
      <family val="2"/>
      <scheme val="minor"/>
    </font>
    <font>
      <b/>
      <u/>
      <sz val="11"/>
      <name val="Calibri"/>
      <family val="2"/>
      <scheme val="minor"/>
    </font>
    <font>
      <sz val="11"/>
      <color rgb="FF0070C0"/>
      <name val="Calibri"/>
      <family val="2"/>
      <scheme val="minor"/>
    </font>
    <font>
      <sz val="11"/>
      <color indexed="40"/>
      <name val="Calibri"/>
      <family val="2"/>
      <scheme val="minor"/>
    </font>
    <font>
      <b/>
      <u/>
      <sz val="11"/>
      <color theme="1"/>
      <name val="Calibri"/>
      <family val="2"/>
      <scheme val="minor"/>
    </font>
    <font>
      <sz val="11"/>
      <color indexed="63"/>
      <name val="Calibri"/>
      <family val="2"/>
      <scheme val="minor"/>
    </font>
  </fonts>
  <fills count="11">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2060"/>
        <bgColor indexed="64"/>
      </patternFill>
    </fill>
    <fill>
      <patternFill patternType="solid">
        <fgColor rgb="FFFF0000"/>
        <bgColor indexed="64"/>
      </patternFill>
    </fill>
    <fill>
      <patternFill patternType="solid">
        <fgColor theme="8" tint="0.59999389629810485"/>
        <bgColor indexed="64"/>
      </patternFill>
    </fill>
  </fills>
  <borders count="44">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double">
        <color auto="1"/>
      </top>
      <bottom style="double">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bottom style="thin">
        <color indexed="8"/>
      </bottom>
      <diagonal/>
    </border>
    <border>
      <left style="thin">
        <color auto="1"/>
      </left>
      <right style="thin">
        <color auto="1"/>
      </right>
      <top style="double">
        <color auto="1"/>
      </top>
      <bottom/>
      <diagonal/>
    </border>
  </borders>
  <cellStyleXfs count="6">
    <xf numFmtId="0" fontId="0" fillId="0" borderId="0"/>
    <xf numFmtId="43" fontId="8" fillId="0" borderId="0" applyFont="0" applyFill="0" applyBorder="0" applyAlignment="0" applyProtection="0"/>
    <xf numFmtId="0" fontId="11" fillId="0" borderId="0">
      <alignment vertical="top"/>
    </xf>
    <xf numFmtId="0" fontId="12" fillId="0" borderId="0"/>
    <xf numFmtId="9" fontId="8" fillId="0" borderId="0" applyFont="0" applyFill="0" applyBorder="0" applyAlignment="0" applyProtection="0"/>
    <xf numFmtId="169" fontId="12" fillId="0" borderId="0" applyFont="0" applyFill="0" applyBorder="0" applyAlignment="0" applyProtection="0"/>
  </cellStyleXfs>
  <cellXfs count="506">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xf numFmtId="0" fontId="0" fillId="0" borderId="5" xfId="0" applyBorder="1"/>
    <xf numFmtId="0" fontId="0" fillId="0" borderId="2" xfId="0" applyBorder="1"/>
    <xf numFmtId="0" fontId="0" fillId="0" borderId="6" xfId="0" applyBorder="1"/>
    <xf numFmtId="0" fontId="0" fillId="0" borderId="3" xfId="0" applyBorder="1"/>
    <xf numFmtId="0" fontId="1" fillId="0" borderId="7" xfId="0" applyFont="1" applyBorder="1"/>
    <xf numFmtId="0" fontId="0" fillId="0" borderId="7" xfId="0" applyFont="1" applyBorder="1"/>
    <xf numFmtId="0" fontId="4" fillId="0" borderId="7" xfId="0" applyFont="1" applyBorder="1"/>
    <xf numFmtId="0" fontId="1" fillId="0" borderId="0" xfId="0" applyFont="1" applyBorder="1"/>
    <xf numFmtId="0" fontId="0" fillId="0" borderId="0" xfId="0"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 xfId="0" applyBorder="1" applyAlignment="1">
      <alignment vertical="center"/>
    </xf>
    <xf numFmtId="38" fontId="0" fillId="0" borderId="0" xfId="0" applyNumberFormat="1" applyAlignment="1">
      <alignment vertical="center"/>
    </xf>
    <xf numFmtId="38"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3" borderId="0" xfId="0" applyFill="1" applyAlignment="1">
      <alignment vertical="center"/>
    </xf>
    <xf numFmtId="38" fontId="0" fillId="0" borderId="14" xfId="0" applyNumberFormat="1" applyBorder="1"/>
    <xf numFmtId="38" fontId="1" fillId="0" borderId="13" xfId="0" applyNumberFormat="1" applyFont="1" applyBorder="1" applyAlignment="1">
      <alignment horizontal="center"/>
    </xf>
    <xf numFmtId="38" fontId="1" fillId="0" borderId="1" xfId="0" applyNumberFormat="1" applyFont="1" applyBorder="1" applyAlignment="1">
      <alignment horizontal="center"/>
    </xf>
    <xf numFmtId="38" fontId="1" fillId="0" borderId="4" xfId="0" applyNumberFormat="1" applyFont="1" applyBorder="1" applyAlignment="1">
      <alignment horizontal="center"/>
    </xf>
    <xf numFmtId="38" fontId="1" fillId="0" borderId="14" xfId="0" applyNumberFormat="1" applyFont="1" applyBorder="1" applyAlignment="1">
      <alignment horizontal="center"/>
    </xf>
    <xf numFmtId="38" fontId="0" fillId="0" borderId="0" xfId="0" applyNumberFormat="1" applyBorder="1"/>
    <xf numFmtId="38" fontId="0" fillId="0" borderId="8" xfId="0" applyNumberFormat="1" applyBorder="1"/>
    <xf numFmtId="38" fontId="1" fillId="0" borderId="1" xfId="0" applyNumberFormat="1" applyFont="1" applyBorder="1"/>
    <xf numFmtId="38" fontId="0" fillId="0" borderId="5" xfId="0" applyNumberFormat="1" applyBorder="1"/>
    <xf numFmtId="38" fontId="0" fillId="0" borderId="2" xfId="0" applyNumberFormat="1" applyBorder="1"/>
    <xf numFmtId="38" fontId="0" fillId="0" borderId="6" xfId="0" applyNumberFormat="1" applyBorder="1"/>
    <xf numFmtId="38" fontId="0" fillId="0" borderId="0" xfId="0" applyNumberFormat="1"/>
    <xf numFmtId="0" fontId="1" fillId="0" borderId="15" xfId="0" applyNumberFormat="1" applyFont="1" applyBorder="1" applyAlignment="1">
      <alignment horizontal="center"/>
    </xf>
    <xf numFmtId="0" fontId="1" fillId="0" borderId="2" xfId="0" applyNumberFormat="1" applyFont="1" applyBorder="1" applyAlignment="1">
      <alignment horizontal="center"/>
    </xf>
    <xf numFmtId="0" fontId="1" fillId="0" borderId="6" xfId="0" applyNumberFormat="1" applyFont="1" applyBorder="1" applyAlignment="1">
      <alignment horizontal="center"/>
    </xf>
    <xf numFmtId="0" fontId="0" fillId="0" borderId="0" xfId="0" quotePrefix="1" applyAlignment="1">
      <alignment vertical="center"/>
    </xf>
    <xf numFmtId="164" fontId="5" fillId="0" borderId="0" xfId="0" applyNumberFormat="1" applyFont="1" applyFill="1" applyBorder="1" applyAlignment="1">
      <alignment horizontal="left"/>
    </xf>
    <xf numFmtId="164" fontId="5" fillId="0" borderId="0" xfId="0" applyNumberFormat="1" applyFont="1" applyFill="1" applyBorder="1"/>
    <xf numFmtId="0" fontId="0" fillId="0" borderId="0" xfId="0" applyFill="1" applyAlignment="1">
      <alignment vertical="center"/>
    </xf>
    <xf numFmtId="0" fontId="1" fillId="0" borderId="0" xfId="0" applyFont="1"/>
    <xf numFmtId="0" fontId="9" fillId="0" borderId="0" xfId="0" applyFont="1"/>
    <xf numFmtId="38" fontId="9" fillId="0" borderId="0" xfId="0" applyNumberFormat="1" applyFont="1"/>
    <xf numFmtId="38" fontId="1" fillId="0" borderId="2" xfId="0" applyNumberFormat="1" applyFont="1" applyBorder="1" applyAlignment="1">
      <alignment horizontal="center"/>
    </xf>
    <xf numFmtId="38" fontId="1" fillId="0" borderId="0" xfId="0" applyNumberFormat="1" applyFont="1"/>
    <xf numFmtId="38" fontId="1" fillId="0" borderId="1" xfId="0" applyNumberFormat="1" applyFont="1" applyBorder="1" applyAlignment="1">
      <alignment horizontal="left"/>
    </xf>
    <xf numFmtId="0" fontId="10" fillId="0" borderId="0" xfId="0" applyFont="1" applyAlignment="1">
      <alignment vertical="center"/>
    </xf>
    <xf numFmtId="0" fontId="10" fillId="0" borderId="0" xfId="0" applyFont="1"/>
    <xf numFmtId="164" fontId="5" fillId="0" borderId="0" xfId="0" applyNumberFormat="1" applyFont="1" applyFill="1" applyBorder="1" applyAlignment="1">
      <alignment horizontal="right"/>
    </xf>
    <xf numFmtId="0" fontId="0" fillId="0" borderId="0" xfId="0" applyFont="1" applyBorder="1"/>
    <xf numFmtId="0" fontId="13" fillId="0" borderId="0" xfId="2" applyFont="1" applyBorder="1">
      <alignment vertical="top"/>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Font="1" applyFill="1"/>
    <xf numFmtId="167" fontId="16" fillId="0" borderId="0" xfId="3" applyNumberFormat="1" applyFont="1" applyFill="1" applyBorder="1" applyAlignment="1">
      <alignment wrapText="1"/>
    </xf>
    <xf numFmtId="167" fontId="5" fillId="0" borderId="0" xfId="3" applyNumberFormat="1" applyFont="1" applyFill="1" applyBorder="1" applyAlignment="1">
      <alignment wrapText="1"/>
    </xf>
    <xf numFmtId="0" fontId="17" fillId="0" borderId="0" xfId="0" applyFont="1" applyFill="1" applyBorder="1" applyAlignment="1">
      <alignment horizontal="left" vertical="center" wrapText="1"/>
    </xf>
    <xf numFmtId="167" fontId="5" fillId="0" borderId="0" xfId="3" applyNumberFormat="1" applyFont="1" applyFill="1" applyBorder="1" applyAlignment="1">
      <alignment horizontal="center" wrapText="1"/>
    </xf>
    <xf numFmtId="0" fontId="18" fillId="0" borderId="0" xfId="0" applyFont="1" applyFill="1" applyBorder="1" applyAlignment="1">
      <alignment horizontal="left" vertical="center" wrapText="1"/>
    </xf>
    <xf numFmtId="167" fontId="19" fillId="0" borderId="0" xfId="3" applyNumberFormat="1" applyFont="1" applyFill="1" applyBorder="1" applyAlignment="1">
      <alignment horizontal="left" wrapText="1"/>
    </xf>
    <xf numFmtId="165" fontId="17" fillId="0" borderId="0" xfId="0" applyNumberFormat="1" applyFont="1" applyFill="1" applyBorder="1" applyAlignment="1">
      <alignment horizontal="left" vertical="center" wrapText="1"/>
    </xf>
    <xf numFmtId="2" fontId="17" fillId="0" borderId="0" xfId="0" applyNumberFormat="1" applyFont="1" applyFill="1" applyBorder="1" applyAlignment="1">
      <alignment horizontal="left" vertical="center" wrapText="1"/>
    </xf>
    <xf numFmtId="0" fontId="17" fillId="0" borderId="0" xfId="0" applyFont="1" applyFill="1" applyBorder="1" applyAlignment="1">
      <alignment horizontal="center" vertical="center"/>
    </xf>
    <xf numFmtId="0" fontId="0" fillId="0" borderId="0" xfId="0" applyFont="1" applyFill="1" applyBorder="1"/>
    <xf numFmtId="49" fontId="0" fillId="0" borderId="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38" fontId="5" fillId="0" borderId="0" xfId="1" applyNumberFormat="1" applyFont="1" applyFill="1" applyBorder="1" applyAlignment="1">
      <alignment vertical="top" wrapText="1"/>
    </xf>
    <xf numFmtId="164" fontId="16" fillId="0" borderId="0" xfId="0" applyNumberFormat="1" applyFont="1" applyFill="1" applyBorder="1"/>
    <xf numFmtId="0" fontId="5" fillId="0" borderId="0" xfId="0" applyFont="1"/>
    <xf numFmtId="0" fontId="5" fillId="0" borderId="0" xfId="0" applyFont="1" applyAlignment="1">
      <alignment horizontal="center"/>
    </xf>
    <xf numFmtId="0" fontId="16" fillId="0" borderId="0" xfId="0" applyFont="1" applyFill="1" applyAlignment="1">
      <alignment horizontal="center"/>
    </xf>
    <xf numFmtId="10" fontId="16" fillId="0" borderId="0" xfId="4" applyNumberFormat="1" applyFont="1" applyFill="1" applyAlignment="1">
      <alignment horizontal="center"/>
    </xf>
    <xf numFmtId="0" fontId="16" fillId="0" borderId="0" xfId="0" applyFont="1" applyFill="1" applyAlignment="1"/>
    <xf numFmtId="10" fontId="16" fillId="0" borderId="0" xfId="4" applyNumberFormat="1" applyFont="1" applyFill="1" applyAlignment="1"/>
    <xf numFmtId="0" fontId="5" fillId="0" borderId="0" xfId="0" applyFont="1" applyFill="1" applyBorder="1"/>
    <xf numFmtId="0" fontId="5" fillId="0" borderId="0" xfId="0" applyFont="1" applyBorder="1"/>
    <xf numFmtId="0" fontId="5" fillId="0" borderId="1" xfId="0" applyFont="1" applyBorder="1"/>
    <xf numFmtId="0" fontId="5" fillId="0" borderId="21" xfId="0" applyFont="1" applyBorder="1"/>
    <xf numFmtId="0" fontId="5" fillId="0" borderId="24" xfId="0" applyFont="1" applyBorder="1" applyAlignment="1">
      <alignment horizontal="center"/>
    </xf>
    <xf numFmtId="0" fontId="16" fillId="0" borderId="24" xfId="0" applyFont="1" applyFill="1" applyBorder="1" applyAlignment="1"/>
    <xf numFmtId="0" fontId="16" fillId="0" borderId="24" xfId="0" applyFont="1" applyFill="1" applyBorder="1"/>
    <xf numFmtId="10" fontId="16" fillId="4" borderId="24" xfId="4" applyNumberFormat="1" applyFont="1" applyFill="1" applyBorder="1"/>
    <xf numFmtId="3" fontId="5" fillId="0" borderId="24" xfId="0" applyNumberFormat="1" applyFont="1" applyBorder="1"/>
    <xf numFmtId="0" fontId="16" fillId="0" borderId="24" xfId="0" quotePrefix="1" applyFont="1" applyBorder="1" applyAlignment="1">
      <alignment horizontal="center"/>
    </xf>
    <xf numFmtId="0" fontId="5" fillId="0" borderId="24" xfId="0" applyFont="1" applyBorder="1"/>
    <xf numFmtId="0" fontId="5" fillId="0" borderId="21" xfId="0" applyFont="1" applyBorder="1" applyAlignment="1"/>
    <xf numFmtId="10" fontId="5" fillId="0" borderId="24" xfId="4" applyNumberFormat="1" applyFont="1" applyBorder="1" applyAlignment="1">
      <alignment horizontal="center"/>
    </xf>
    <xf numFmtId="0" fontId="5" fillId="0" borderId="24" xfId="0" applyFont="1" applyBorder="1" applyAlignment="1">
      <alignment horizontal="right"/>
    </xf>
    <xf numFmtId="10" fontId="5" fillId="0" borderId="24" xfId="4" applyNumberFormat="1" applyFont="1" applyBorder="1" applyAlignment="1">
      <alignment horizontal="right"/>
    </xf>
    <xf numFmtId="14" fontId="16" fillId="0" borderId="21" xfId="0" applyNumberFormat="1" applyFont="1" applyBorder="1" applyAlignment="1">
      <alignment horizontal="center"/>
    </xf>
    <xf numFmtId="3" fontId="5" fillId="0" borderId="24" xfId="0" applyNumberFormat="1" applyFont="1" applyBorder="1" applyAlignment="1"/>
    <xf numFmtId="0" fontId="16" fillId="0" borderId="24" xfId="0" applyFont="1" applyBorder="1" applyAlignment="1">
      <alignment horizontal="centerContinuous"/>
    </xf>
    <xf numFmtId="0" fontId="16" fillId="0" borderId="0" xfId="0" applyFont="1" applyBorder="1" applyAlignment="1">
      <alignment horizontal="centerContinuous"/>
    </xf>
    <xf numFmtId="0" fontId="16" fillId="0" borderId="0" xfId="0" applyFont="1" applyBorder="1" applyAlignment="1">
      <alignment horizontal="center"/>
    </xf>
    <xf numFmtId="0" fontId="5" fillId="0" borderId="0" xfId="0" applyFont="1" applyAlignment="1"/>
    <xf numFmtId="3" fontId="16" fillId="0" borderId="14" xfId="0" applyNumberFormat="1" applyFont="1" applyBorder="1" applyAlignment="1">
      <alignment horizontal="center" wrapText="1"/>
    </xf>
    <xf numFmtId="10" fontId="16" fillId="0" borderId="14" xfId="4" applyNumberFormat="1" applyFont="1" applyBorder="1" applyAlignment="1">
      <alignment horizontal="center" wrapText="1"/>
    </xf>
    <xf numFmtId="0" fontId="16" fillId="0" borderId="28" xfId="0" applyFont="1" applyBorder="1"/>
    <xf numFmtId="0" fontId="16" fillId="0" borderId="0" xfId="0" applyFont="1" applyBorder="1"/>
    <xf numFmtId="0" fontId="16" fillId="0" borderId="29" xfId="0" applyFont="1" applyBorder="1" applyAlignment="1">
      <alignment horizontal="center"/>
    </xf>
    <xf numFmtId="0" fontId="16" fillId="0" borderId="23" xfId="0" applyFont="1" applyBorder="1" applyAlignment="1">
      <alignment horizontal="center"/>
    </xf>
    <xf numFmtId="0" fontId="16" fillId="0" borderId="30" xfId="0" applyFont="1" applyBorder="1" applyAlignment="1">
      <alignment horizontal="center"/>
    </xf>
    <xf numFmtId="0" fontId="16" fillId="0" borderId="31" xfId="0" applyFont="1" applyBorder="1"/>
    <xf numFmtId="0" fontId="16" fillId="0" borderId="30" xfId="0" applyFont="1" applyBorder="1"/>
    <xf numFmtId="0" fontId="16" fillId="0" borderId="32" xfId="0" applyFont="1" applyBorder="1" applyAlignment="1">
      <alignment horizontal="center"/>
    </xf>
    <xf numFmtId="0" fontId="5" fillId="0" borderId="3" xfId="0" applyFont="1" applyFill="1" applyBorder="1" applyAlignment="1">
      <alignment horizontal="center"/>
    </xf>
    <xf numFmtId="1" fontId="5" fillId="0" borderId="13" xfId="0" applyNumberFormat="1" applyFont="1" applyFill="1" applyBorder="1" applyAlignment="1">
      <alignment horizontal="center"/>
    </xf>
    <xf numFmtId="3" fontId="5" fillId="0" borderId="13" xfId="0" applyNumberFormat="1" applyFont="1" applyFill="1" applyBorder="1" applyAlignment="1">
      <alignment horizontal="center"/>
    </xf>
    <xf numFmtId="10" fontId="5" fillId="0" borderId="1" xfId="4" applyNumberFormat="1" applyFont="1" applyFill="1" applyBorder="1" applyAlignment="1">
      <alignment horizontal="center"/>
    </xf>
    <xf numFmtId="14" fontId="16" fillId="0" borderId="13" xfId="0" applyNumberFormat="1" applyFont="1" applyBorder="1" applyAlignment="1">
      <alignment horizontal="center"/>
    </xf>
    <xf numFmtId="10" fontId="16" fillId="0" borderId="13" xfId="4" applyNumberFormat="1" applyFont="1" applyBorder="1" applyAlignment="1">
      <alignment horizontal="center"/>
    </xf>
    <xf numFmtId="14" fontId="16" fillId="0" borderId="3" xfId="0" applyNumberFormat="1" applyFont="1" applyBorder="1" applyAlignment="1">
      <alignment horizontal="center"/>
    </xf>
    <xf numFmtId="0" fontId="16" fillId="0" borderId="33" xfId="0" applyFont="1" applyBorder="1" applyAlignment="1">
      <alignment horizontal="centerContinuous"/>
    </xf>
    <xf numFmtId="0" fontId="16" fillId="0" borderId="34" xfId="0" applyFont="1" applyBorder="1" applyAlignment="1">
      <alignment horizontal="centerContinuous"/>
    </xf>
    <xf numFmtId="0" fontId="16" fillId="0" borderId="35" xfId="0" applyFont="1" applyBorder="1" applyAlignment="1">
      <alignment horizontal="centerContinuous"/>
    </xf>
    <xf numFmtId="0" fontId="5" fillId="0" borderId="36" xfId="0" applyFont="1" applyBorder="1" applyAlignment="1"/>
    <xf numFmtId="0" fontId="5" fillId="0" borderId="7" xfId="0" applyFont="1" applyFill="1" applyBorder="1" applyAlignment="1">
      <alignment horizontal="center"/>
    </xf>
    <xf numFmtId="1" fontId="5" fillId="0" borderId="14" xfId="0" applyNumberFormat="1" applyFont="1" applyFill="1" applyBorder="1" applyAlignment="1">
      <alignment horizontal="center"/>
    </xf>
    <xf numFmtId="3" fontId="5" fillId="0" borderId="14" xfId="0" applyNumberFormat="1" applyFont="1" applyFill="1" applyBorder="1" applyAlignment="1">
      <alignment horizontal="center"/>
    </xf>
    <xf numFmtId="10" fontId="5" fillId="0" borderId="0" xfId="4" applyNumberFormat="1" applyFont="1" applyFill="1" applyBorder="1" applyAlignment="1">
      <alignment horizontal="center"/>
    </xf>
    <xf numFmtId="14" fontId="16" fillId="0" borderId="14" xfId="0" applyNumberFormat="1" applyFont="1" applyBorder="1" applyAlignment="1">
      <alignment horizontal="center"/>
    </xf>
    <xf numFmtId="10" fontId="16" fillId="0" borderId="14" xfId="4" applyNumberFormat="1" applyFont="1" applyBorder="1" applyAlignment="1">
      <alignment horizontal="center"/>
    </xf>
    <xf numFmtId="14" fontId="16" fillId="0" borderId="7" xfId="0" applyNumberFormat="1" applyFont="1" applyBorder="1" applyAlignment="1">
      <alignment horizontal="center"/>
    </xf>
    <xf numFmtId="14" fontId="16" fillId="0" borderId="14" xfId="0" applyNumberFormat="1" applyFont="1" applyBorder="1" applyAlignment="1"/>
    <xf numFmtId="0" fontId="16" fillId="0" borderId="29" xfId="0" applyFont="1" applyBorder="1" applyAlignment="1">
      <alignment horizontal="centerContinuous"/>
    </xf>
    <xf numFmtId="0" fontId="16" fillId="0" borderId="7" xfId="0" applyFont="1" applyBorder="1" applyAlignment="1">
      <alignment horizontal="centerContinuous"/>
    </xf>
    <xf numFmtId="0" fontId="5" fillId="0" borderId="8" xfId="0" applyFont="1" applyBorder="1"/>
    <xf numFmtId="14" fontId="16" fillId="0" borderId="7" xfId="0" applyNumberFormat="1" applyFont="1" applyFill="1" applyBorder="1" applyAlignment="1">
      <alignment horizontal="center"/>
    </xf>
    <xf numFmtId="3" fontId="16" fillId="0" borderId="14" xfId="0" applyNumberFormat="1" applyFont="1" applyBorder="1"/>
    <xf numFmtId="3" fontId="5" fillId="0" borderId="14" xfId="0" applyNumberFormat="1" applyFont="1" applyBorder="1"/>
    <xf numFmtId="10" fontId="5" fillId="0" borderId="14" xfId="4" applyNumberFormat="1" applyFont="1" applyBorder="1"/>
    <xf numFmtId="3" fontId="5" fillId="0" borderId="7" xfId="0" applyNumberFormat="1" applyFont="1" applyBorder="1"/>
    <xf numFmtId="3" fontId="5" fillId="0" borderId="7" xfId="0" applyNumberFormat="1" applyFont="1" applyFill="1" applyBorder="1"/>
    <xf numFmtId="1" fontId="5" fillId="0" borderId="14" xfId="0" applyNumberFormat="1" applyFont="1" applyBorder="1"/>
    <xf numFmtId="3" fontId="5" fillId="0" borderId="0" xfId="0" applyNumberFormat="1" applyFont="1" applyBorder="1"/>
    <xf numFmtId="3" fontId="5" fillId="0" borderId="29" xfId="0" applyNumberFormat="1" applyFont="1" applyBorder="1"/>
    <xf numFmtId="3" fontId="5" fillId="0" borderId="8" xfId="0" applyNumberFormat="1" applyFont="1" applyBorder="1"/>
    <xf numFmtId="3" fontId="5" fillId="0" borderId="0" xfId="0" applyNumberFormat="1" applyFont="1"/>
    <xf numFmtId="10" fontId="16" fillId="0" borderId="14" xfId="4" applyNumberFormat="1" applyFont="1" applyBorder="1"/>
    <xf numFmtId="3" fontId="16" fillId="0" borderId="7" xfId="0" applyNumberFormat="1" applyFont="1" applyBorder="1"/>
    <xf numFmtId="3" fontId="16" fillId="0" borderId="7" xfId="0" applyNumberFormat="1" applyFont="1" applyFill="1" applyBorder="1"/>
    <xf numFmtId="3" fontId="16" fillId="0" borderId="0" xfId="0" applyNumberFormat="1" applyFont="1" applyBorder="1"/>
    <xf numFmtId="3" fontId="16" fillId="0" borderId="29" xfId="0" applyNumberFormat="1" applyFont="1" applyBorder="1"/>
    <xf numFmtId="3" fontId="16" fillId="0" borderId="8" xfId="0" applyNumberFormat="1" applyFont="1" applyBorder="1"/>
    <xf numFmtId="0" fontId="16" fillId="0" borderId="0" xfId="0" applyFont="1"/>
    <xf numFmtId="1" fontId="16" fillId="0" borderId="14" xfId="0" applyNumberFormat="1" applyFont="1" applyBorder="1"/>
    <xf numFmtId="3" fontId="5" fillId="0" borderId="14" xfId="0" applyNumberFormat="1" applyFont="1" applyFill="1" applyBorder="1"/>
    <xf numFmtId="10" fontId="5" fillId="0" borderId="14" xfId="4" applyNumberFormat="1" applyFont="1" applyFill="1" applyBorder="1"/>
    <xf numFmtId="0" fontId="5" fillId="0" borderId="7" xfId="0" quotePrefix="1" applyNumberFormat="1" applyFont="1" applyFill="1" applyBorder="1"/>
    <xf numFmtId="0" fontId="16" fillId="0" borderId="7" xfId="0" applyFont="1" applyBorder="1" applyAlignment="1">
      <alignment horizontal="center"/>
    </xf>
    <xf numFmtId="1" fontId="16" fillId="0" borderId="14" xfId="0" applyNumberFormat="1" applyFont="1" applyBorder="1" applyAlignment="1">
      <alignment horizontal="center"/>
    </xf>
    <xf numFmtId="3" fontId="16" fillId="0" borderId="14" xfId="0" applyNumberFormat="1" applyFont="1" applyBorder="1" applyAlignment="1">
      <alignment horizontal="center"/>
    </xf>
    <xf numFmtId="10" fontId="16" fillId="0" borderId="0" xfId="4" applyNumberFormat="1" applyFont="1" applyBorder="1" applyAlignment="1">
      <alignment horizontal="center"/>
    </xf>
    <xf numFmtId="3" fontId="16" fillId="0" borderId="14" xfId="0" applyNumberFormat="1" applyFont="1" applyFill="1" applyBorder="1"/>
    <xf numFmtId="0" fontId="16" fillId="0" borderId="7" xfId="0" applyFont="1" applyFill="1" applyBorder="1" applyAlignment="1">
      <alignment horizontal="center"/>
    </xf>
    <xf numFmtId="1" fontId="16" fillId="0" borderId="14" xfId="0" applyNumberFormat="1" applyFont="1" applyFill="1" applyBorder="1" applyAlignment="1">
      <alignment horizontal="center"/>
    </xf>
    <xf numFmtId="3" fontId="16" fillId="0" borderId="14" xfId="0" applyNumberFormat="1" applyFont="1" applyFill="1" applyBorder="1" applyAlignment="1">
      <alignment horizontal="center"/>
    </xf>
    <xf numFmtId="10" fontId="16" fillId="0" borderId="0" xfId="4" applyNumberFormat="1" applyFont="1" applyFill="1" applyBorder="1" applyAlignment="1">
      <alignment horizontal="center"/>
    </xf>
    <xf numFmtId="10" fontId="16" fillId="0" borderId="14" xfId="4" applyNumberFormat="1" applyFont="1" applyFill="1" applyBorder="1"/>
    <xf numFmtId="1" fontId="5" fillId="0" borderId="14" xfId="0" applyNumberFormat="1" applyFont="1" applyFill="1" applyBorder="1"/>
    <xf numFmtId="170" fontId="5" fillId="0" borderId="0" xfId="1" applyNumberFormat="1" applyFont="1" applyBorder="1"/>
    <xf numFmtId="170" fontId="5" fillId="0" borderId="0" xfId="1" applyNumberFormat="1" applyFont="1"/>
    <xf numFmtId="0" fontId="16" fillId="5" borderId="7" xfId="0" applyFont="1" applyFill="1" applyBorder="1" applyAlignment="1">
      <alignment horizontal="center"/>
    </xf>
    <xf numFmtId="1" fontId="16" fillId="5" borderId="14" xfId="0" applyNumberFormat="1" applyFont="1" applyFill="1" applyBorder="1" applyAlignment="1">
      <alignment horizontal="center"/>
    </xf>
    <xf numFmtId="3" fontId="16" fillId="5" borderId="14" xfId="0" applyNumberFormat="1" applyFont="1" applyFill="1" applyBorder="1" applyAlignment="1">
      <alignment horizontal="center"/>
    </xf>
    <xf numFmtId="10" fontId="16" fillId="5" borderId="0" xfId="4" applyNumberFormat="1" applyFont="1" applyFill="1" applyBorder="1" applyAlignment="1">
      <alignment horizontal="center"/>
    </xf>
    <xf numFmtId="3" fontId="16" fillId="5" borderId="14" xfId="0" applyNumberFormat="1" applyFont="1" applyFill="1" applyBorder="1" applyAlignment="1">
      <alignment horizontal="right"/>
    </xf>
    <xf numFmtId="10" fontId="16" fillId="5" borderId="14" xfId="4" applyNumberFormat="1" applyFont="1" applyFill="1" applyBorder="1" applyAlignment="1">
      <alignment horizontal="right"/>
    </xf>
    <xf numFmtId="3" fontId="16" fillId="5" borderId="7" xfId="0" applyNumberFormat="1" applyFont="1" applyFill="1" applyBorder="1"/>
    <xf numFmtId="3" fontId="16" fillId="5" borderId="14" xfId="0" applyNumberFormat="1" applyFont="1" applyFill="1" applyBorder="1"/>
    <xf numFmtId="3" fontId="16" fillId="5" borderId="0" xfId="0" applyNumberFormat="1" applyFont="1" applyFill="1" applyBorder="1" applyAlignment="1">
      <alignment horizontal="right"/>
    </xf>
    <xf numFmtId="3" fontId="16" fillId="5" borderId="29" xfId="0" applyNumberFormat="1" applyFont="1" applyFill="1" applyBorder="1" applyAlignment="1">
      <alignment horizontal="right"/>
    </xf>
    <xf numFmtId="3" fontId="16" fillId="5" borderId="0" xfId="0" applyNumberFormat="1" applyFont="1" applyFill="1" applyBorder="1"/>
    <xf numFmtId="3" fontId="16" fillId="5" borderId="7" xfId="0" applyNumberFormat="1" applyFont="1" applyFill="1" applyBorder="1" applyAlignment="1">
      <alignment horizontal="right"/>
    </xf>
    <xf numFmtId="3" fontId="16" fillId="5" borderId="8" xfId="0" applyNumberFormat="1" applyFont="1" applyFill="1" applyBorder="1" applyAlignment="1">
      <alignment horizontal="right"/>
    </xf>
    <xf numFmtId="3" fontId="16" fillId="5" borderId="8" xfId="0" applyNumberFormat="1" applyFont="1" applyFill="1" applyBorder="1"/>
    <xf numFmtId="3" fontId="16" fillId="0" borderId="0" xfId="0" applyNumberFormat="1" applyFont="1" applyFill="1" applyBorder="1"/>
    <xf numFmtId="3" fontId="16" fillId="0" borderId="29" xfId="0" applyNumberFormat="1" applyFont="1" applyFill="1" applyBorder="1"/>
    <xf numFmtId="3" fontId="16" fillId="0" borderId="8" xfId="0" applyNumberFormat="1" applyFont="1" applyFill="1" applyBorder="1"/>
    <xf numFmtId="0" fontId="16" fillId="0" borderId="0" xfId="0" applyFont="1" applyFill="1"/>
    <xf numFmtId="3" fontId="16" fillId="0" borderId="7" xfId="0" applyNumberFormat="1" applyFont="1" applyBorder="1" applyAlignment="1">
      <alignment horizontal="center"/>
    </xf>
    <xf numFmtId="3" fontId="16" fillId="0" borderId="7" xfId="0" applyNumberFormat="1" applyFont="1" applyFill="1" applyBorder="1" applyAlignment="1">
      <alignment horizontal="center"/>
    </xf>
    <xf numFmtId="3" fontId="5" fillId="0" borderId="0" xfId="0" applyNumberFormat="1" applyFont="1" applyFill="1" applyBorder="1"/>
    <xf numFmtId="0" fontId="5" fillId="0" borderId="0" xfId="0" applyFont="1" applyFill="1"/>
    <xf numFmtId="3" fontId="5" fillId="0" borderId="0" xfId="0" applyNumberFormat="1" applyFont="1" applyFill="1"/>
    <xf numFmtId="3" fontId="16" fillId="0" borderId="0" xfId="0" applyNumberFormat="1" applyFont="1"/>
    <xf numFmtId="4" fontId="5" fillId="0" borderId="0" xfId="0" applyNumberFormat="1" applyFont="1" applyFill="1" applyBorder="1"/>
    <xf numFmtId="4" fontId="5" fillId="0" borderId="0" xfId="0" applyNumberFormat="1" applyFont="1" applyFill="1"/>
    <xf numFmtId="3" fontId="5" fillId="0" borderId="29" xfId="0" applyNumberFormat="1" applyFont="1" applyFill="1" applyBorder="1"/>
    <xf numFmtId="3" fontId="5" fillId="0" borderId="7" xfId="0" applyNumberFormat="1" applyFont="1" applyFill="1" applyBorder="1" applyAlignment="1">
      <alignment horizontal="right"/>
    </xf>
    <xf numFmtId="3" fontId="5" fillId="0" borderId="8" xfId="0" applyNumberFormat="1" applyFont="1" applyFill="1" applyBorder="1"/>
    <xf numFmtId="3" fontId="16" fillId="0" borderId="0" xfId="0" applyNumberFormat="1" applyFont="1" applyBorder="1" applyAlignment="1">
      <alignment horizontal="right"/>
    </xf>
    <xf numFmtId="3" fontId="16" fillId="0" borderId="0" xfId="0" applyNumberFormat="1" applyFont="1" applyAlignment="1">
      <alignment horizontal="right"/>
    </xf>
    <xf numFmtId="4" fontId="5" fillId="0" borderId="0" xfId="0" applyNumberFormat="1" applyFont="1" applyBorder="1"/>
    <xf numFmtId="4" fontId="5" fillId="0" borderId="0" xfId="0" applyNumberFormat="1" applyFont="1"/>
    <xf numFmtId="0" fontId="16" fillId="5" borderId="5" xfId="0" applyFont="1" applyFill="1" applyBorder="1" applyAlignment="1">
      <alignment horizontal="center"/>
    </xf>
    <xf numFmtId="1" fontId="16" fillId="5" borderId="15" xfId="0" applyNumberFormat="1" applyFont="1" applyFill="1" applyBorder="1" applyAlignment="1">
      <alignment horizontal="center"/>
    </xf>
    <xf numFmtId="3" fontId="16" fillId="5" borderId="15" xfId="0" applyNumberFormat="1" applyFont="1" applyFill="1" applyBorder="1" applyAlignment="1">
      <alignment horizontal="center"/>
    </xf>
    <xf numFmtId="10" fontId="16" fillId="5" borderId="2" xfId="4" applyNumberFormat="1" applyFont="1" applyFill="1" applyBorder="1" applyAlignment="1">
      <alignment horizontal="center"/>
    </xf>
    <xf numFmtId="3" fontId="16" fillId="5" borderId="15" xfId="0" applyNumberFormat="1" applyFont="1" applyFill="1" applyBorder="1" applyAlignment="1">
      <alignment horizontal="right"/>
    </xf>
    <xf numFmtId="10" fontId="16" fillId="5" borderId="15" xfId="4" applyNumberFormat="1" applyFont="1" applyFill="1" applyBorder="1" applyAlignment="1">
      <alignment horizontal="right"/>
    </xf>
    <xf numFmtId="3" fontId="16" fillId="5" borderId="5" xfId="0" applyNumberFormat="1" applyFont="1" applyFill="1" applyBorder="1" applyAlignment="1">
      <alignment horizontal="center"/>
    </xf>
    <xf numFmtId="3" fontId="16" fillId="5" borderId="15" xfId="0" applyNumberFormat="1" applyFont="1" applyFill="1" applyBorder="1" applyAlignment="1"/>
    <xf numFmtId="3" fontId="16" fillId="5" borderId="15" xfId="0" applyNumberFormat="1" applyFont="1" applyFill="1" applyBorder="1"/>
    <xf numFmtId="3" fontId="16" fillId="5" borderId="23" xfId="0" applyNumberFormat="1" applyFont="1" applyFill="1" applyBorder="1" applyAlignment="1">
      <alignment horizontal="right"/>
    </xf>
    <xf numFmtId="3" fontId="16" fillId="5" borderId="0" xfId="0" applyNumberFormat="1" applyFont="1" applyFill="1" applyAlignment="1">
      <alignment horizontal="right"/>
    </xf>
    <xf numFmtId="0" fontId="5" fillId="0" borderId="3" xfId="0" applyFont="1" applyBorder="1" applyAlignment="1">
      <alignment horizontal="center"/>
    </xf>
    <xf numFmtId="3" fontId="5" fillId="0" borderId="13" xfId="0" applyNumberFormat="1" applyFont="1" applyBorder="1" applyAlignment="1">
      <alignment horizontal="center"/>
    </xf>
    <xf numFmtId="10" fontId="5" fillId="0" borderId="1" xfId="4" applyNumberFormat="1" applyFont="1" applyBorder="1" applyAlignment="1">
      <alignment horizontal="center"/>
    </xf>
    <xf numFmtId="3" fontId="5" fillId="0" borderId="1" xfId="0" applyNumberFormat="1" applyFont="1" applyBorder="1"/>
    <xf numFmtId="10" fontId="5" fillId="0" borderId="1" xfId="4" applyNumberFormat="1" applyFont="1" applyBorder="1"/>
    <xf numFmtId="3" fontId="5" fillId="0" borderId="3" xfId="0" applyNumberFormat="1" applyFont="1" applyBorder="1"/>
    <xf numFmtId="3" fontId="5" fillId="0" borderId="13" xfId="0" applyNumberFormat="1" applyFont="1" applyBorder="1"/>
    <xf numFmtId="3" fontId="16" fillId="5" borderId="2" xfId="0" applyNumberFormat="1" applyFont="1" applyFill="1" applyBorder="1" applyAlignment="1">
      <alignment horizontal="right"/>
    </xf>
    <xf numFmtId="10" fontId="16" fillId="5" borderId="2" xfId="4" applyNumberFormat="1" applyFont="1" applyFill="1" applyBorder="1" applyAlignment="1">
      <alignment horizontal="right"/>
    </xf>
    <xf numFmtId="3" fontId="16" fillId="5" borderId="5" xfId="0" applyNumberFormat="1" applyFont="1" applyFill="1" applyBorder="1"/>
    <xf numFmtId="3" fontId="16" fillId="5" borderId="37" xfId="0" applyNumberFormat="1" applyFont="1" applyFill="1" applyBorder="1" applyAlignment="1">
      <alignment horizontal="right"/>
    </xf>
    <xf numFmtId="3" fontId="16" fillId="5" borderId="22" xfId="0" applyNumberFormat="1" applyFont="1" applyFill="1" applyBorder="1" applyAlignment="1">
      <alignment horizontal="right"/>
    </xf>
    <xf numFmtId="3" fontId="16" fillId="5" borderId="5" xfId="0" applyNumberFormat="1" applyFont="1" applyFill="1" applyBorder="1" applyAlignment="1">
      <alignment horizontal="right"/>
    </xf>
    <xf numFmtId="3" fontId="16" fillId="5" borderId="6" xfId="0" applyNumberFormat="1" applyFont="1" applyFill="1" applyBorder="1" applyAlignment="1">
      <alignment horizontal="right"/>
    </xf>
    <xf numFmtId="10" fontId="5" fillId="0" borderId="0" xfId="4" applyNumberFormat="1" applyFont="1" applyAlignment="1">
      <alignment horizontal="center"/>
    </xf>
    <xf numFmtId="10" fontId="16" fillId="0" borderId="0" xfId="4" applyNumberFormat="1" applyFont="1" applyAlignment="1">
      <alignment horizontal="right"/>
    </xf>
    <xf numFmtId="3" fontId="5" fillId="0" borderId="28" xfId="0" applyNumberFormat="1" applyFont="1" applyBorder="1"/>
    <xf numFmtId="10" fontId="5" fillId="0" borderId="0" xfId="4" applyNumberFormat="1" applyFont="1" applyAlignment="1">
      <alignment horizontal="right"/>
    </xf>
    <xf numFmtId="0" fontId="5" fillId="0" borderId="0" xfId="0" applyFont="1" applyAlignment="1">
      <alignment horizontal="right"/>
    </xf>
    <xf numFmtId="3" fontId="16" fillId="0" borderId="28" xfId="0" applyNumberFormat="1" applyFont="1" applyBorder="1"/>
    <xf numFmtId="0" fontId="16" fillId="0" borderId="0" xfId="0" applyFont="1" applyFill="1" applyAlignment="1">
      <alignment horizontal="left"/>
    </xf>
    <xf numFmtId="3" fontId="5" fillId="0" borderId="0" xfId="0" applyNumberFormat="1" applyFont="1" applyBorder="1" applyAlignment="1"/>
    <xf numFmtId="3" fontId="16" fillId="0" borderId="13" xfId="0" applyNumberFormat="1" applyFont="1" applyBorder="1" applyAlignment="1">
      <alignment horizontal="center" wrapText="1"/>
    </xf>
    <xf numFmtId="3" fontId="16" fillId="0" borderId="18" xfId="0" applyNumberFormat="1" applyFont="1" applyBorder="1" applyAlignment="1">
      <alignment horizontal="center" wrapText="1"/>
    </xf>
    <xf numFmtId="10" fontId="16" fillId="0" borderId="18" xfId="4" applyNumberFormat="1" applyFont="1" applyBorder="1" applyAlignment="1">
      <alignment horizontal="center" wrapText="1"/>
    </xf>
    <xf numFmtId="0" fontId="16" fillId="0" borderId="38" xfId="0" applyFont="1" applyBorder="1"/>
    <xf numFmtId="0" fontId="16" fillId="0" borderId="33" xfId="0" applyFont="1" applyBorder="1"/>
    <xf numFmtId="0" fontId="16" fillId="0" borderId="34" xfId="0" applyFont="1" applyBorder="1" applyAlignment="1">
      <alignment horizontal="center"/>
    </xf>
    <xf numFmtId="0" fontId="16" fillId="0" borderId="33" xfId="0" applyFont="1" applyBorder="1" applyAlignment="1">
      <alignment horizontal="center"/>
    </xf>
    <xf numFmtId="0" fontId="16" fillId="0" borderId="21" xfId="0" applyFont="1" applyBorder="1"/>
    <xf numFmtId="0" fontId="16" fillId="0" borderId="24" xfId="0" applyFont="1" applyBorder="1"/>
    <xf numFmtId="0" fontId="16" fillId="0" borderId="19" xfId="0" applyFont="1" applyBorder="1"/>
    <xf numFmtId="3" fontId="16" fillId="0" borderId="13" xfId="0" applyNumberFormat="1" applyFont="1" applyBorder="1"/>
    <xf numFmtId="0" fontId="16" fillId="0" borderId="7" xfId="0" applyFont="1" applyBorder="1"/>
    <xf numFmtId="0" fontId="16" fillId="0" borderId="8" xfId="0" applyFont="1" applyBorder="1"/>
    <xf numFmtId="0" fontId="21" fillId="0" borderId="7" xfId="0" applyFont="1" applyFill="1" applyBorder="1"/>
    <xf numFmtId="3" fontId="5" fillId="0" borderId="28" xfId="0" applyNumberFormat="1" applyFont="1" applyFill="1" applyBorder="1"/>
    <xf numFmtId="3" fontId="16" fillId="5" borderId="2" xfId="0" applyNumberFormat="1" applyFont="1" applyFill="1" applyBorder="1" applyAlignment="1">
      <alignment horizontal="center"/>
    </xf>
    <xf numFmtId="3" fontId="16" fillId="5" borderId="6" xfId="0" applyNumberFormat="1" applyFont="1" applyFill="1" applyBorder="1"/>
    <xf numFmtId="0" fontId="16" fillId="0" borderId="24" xfId="0" applyFont="1" applyBorder="1" applyAlignment="1">
      <alignment horizontal="center"/>
    </xf>
    <xf numFmtId="14" fontId="16" fillId="0" borderId="24" xfId="0" applyNumberFormat="1" applyFont="1" applyBorder="1" applyAlignment="1">
      <alignment horizontal="center"/>
    </xf>
    <xf numFmtId="3" fontId="5" fillId="0" borderId="19" xfId="0" applyNumberFormat="1" applyFont="1" applyBorder="1" applyAlignment="1"/>
    <xf numFmtId="0" fontId="16" fillId="0" borderId="14" xfId="0" applyFont="1" applyBorder="1" applyAlignment="1">
      <alignment horizontal="center"/>
    </xf>
    <xf numFmtId="10" fontId="16" fillId="0" borderId="13" xfId="4" applyNumberFormat="1" applyFont="1" applyBorder="1"/>
    <xf numFmtId="0" fontId="5" fillId="0" borderId="14" xfId="0" applyNumberFormat="1" applyFont="1" applyFill="1" applyBorder="1" applyAlignment="1">
      <alignment horizontal="center"/>
    </xf>
    <xf numFmtId="1" fontId="5" fillId="0" borderId="14" xfId="0" applyNumberFormat="1" applyFont="1" applyBorder="1" applyAlignment="1">
      <alignment horizontal="center"/>
    </xf>
    <xf numFmtId="0" fontId="5" fillId="0" borderId="14" xfId="0" applyFont="1" applyFill="1" applyBorder="1" applyAlignment="1">
      <alignment horizontal="center"/>
    </xf>
    <xf numFmtId="3" fontId="5" fillId="0" borderId="14" xfId="0" applyNumberFormat="1" applyFont="1" applyBorder="1" applyAlignment="1">
      <alignment wrapText="1"/>
    </xf>
    <xf numFmtId="3" fontId="5" fillId="0" borderId="14" xfId="0" applyNumberFormat="1" applyFont="1" applyBorder="1" applyAlignment="1">
      <alignment horizontal="left"/>
    </xf>
    <xf numFmtId="0" fontId="5" fillId="0" borderId="7" xfId="0" applyFont="1" applyFill="1" applyBorder="1"/>
    <xf numFmtId="0" fontId="5" fillId="0" borderId="8" xfId="0" applyFont="1" applyFill="1" applyBorder="1"/>
    <xf numFmtId="0" fontId="16" fillId="5" borderId="15" xfId="0" applyFont="1" applyFill="1" applyBorder="1" applyAlignment="1">
      <alignment horizontal="center"/>
    </xf>
    <xf numFmtId="10" fontId="0" fillId="0" borderId="0" xfId="0" applyNumberFormat="1" applyBorder="1"/>
    <xf numFmtId="10" fontId="0" fillId="0" borderId="8" xfId="0" applyNumberFormat="1" applyBorder="1"/>
    <xf numFmtId="10" fontId="0" fillId="0" borderId="2" xfId="0" applyNumberFormat="1" applyBorder="1"/>
    <xf numFmtId="10" fontId="0" fillId="0" borderId="6" xfId="0" applyNumberFormat="1" applyBorder="1"/>
    <xf numFmtId="0" fontId="9" fillId="0" borderId="0" xfId="0" applyFont="1" applyAlignment="1">
      <alignment horizontal="left" vertical="center"/>
    </xf>
    <xf numFmtId="9" fontId="0" fillId="0" borderId="0" xfId="0" applyNumberFormat="1"/>
    <xf numFmtId="38" fontId="0" fillId="0" borderId="0" xfId="0" quotePrefix="1" applyNumberFormat="1"/>
    <xf numFmtId="0" fontId="0" fillId="0" borderId="0" xfId="0" quotePrefix="1"/>
    <xf numFmtId="0" fontId="0" fillId="6" borderId="0" xfId="0" applyFill="1" applyAlignment="1">
      <alignment vertical="center"/>
    </xf>
    <xf numFmtId="0" fontId="0" fillId="0" borderId="0" xfId="0" applyFont="1"/>
    <xf numFmtId="38" fontId="1" fillId="0" borderId="0" xfId="0" applyNumberFormat="1" applyFont="1" applyBorder="1" applyAlignment="1">
      <alignment horizontal="center"/>
    </xf>
    <xf numFmtId="38" fontId="1" fillId="0" borderId="0" xfId="0" applyNumberFormat="1" applyFont="1" applyAlignment="1">
      <alignment horizontal="center"/>
    </xf>
    <xf numFmtId="0" fontId="1" fillId="0" borderId="1" xfId="0" applyFont="1" applyBorder="1"/>
    <xf numFmtId="0" fontId="1" fillId="0" borderId="0" xfId="0" applyFont="1" applyAlignment="1">
      <alignment horizontal="center"/>
    </xf>
    <xf numFmtId="38" fontId="1" fillId="0" borderId="1" xfId="0" quotePrefix="1" applyNumberFormat="1" applyFont="1" applyBorder="1" applyAlignment="1">
      <alignment horizontal="center"/>
    </xf>
    <xf numFmtId="0" fontId="22" fillId="0" borderId="0" xfId="0" applyFont="1"/>
    <xf numFmtId="0" fontId="0" fillId="3" borderId="0" xfId="0" applyFill="1"/>
    <xf numFmtId="0" fontId="0" fillId="0" borderId="0" xfId="0" applyFill="1"/>
    <xf numFmtId="0" fontId="9" fillId="0" borderId="0" xfId="0" applyFont="1" applyAlignment="1">
      <alignment vertical="center"/>
    </xf>
    <xf numFmtId="38" fontId="1" fillId="0" borderId="1" xfId="0" applyNumberFormat="1" applyFont="1" applyBorder="1" applyAlignment="1">
      <alignment horizontal="center" vertical="center"/>
    </xf>
    <xf numFmtId="173" fontId="0" fillId="0" borderId="0" xfId="0" applyNumberFormat="1"/>
    <xf numFmtId="173" fontId="1" fillId="0" borderId="1" xfId="0" applyNumberFormat="1" applyFont="1" applyBorder="1" applyAlignment="1">
      <alignment horizontal="center" vertical="center"/>
    </xf>
    <xf numFmtId="173" fontId="1" fillId="0" borderId="2" xfId="0" quotePrefix="1" applyNumberFormat="1" applyFont="1" applyBorder="1" applyAlignment="1">
      <alignment horizontal="center" vertical="center"/>
    </xf>
    <xf numFmtId="164" fontId="0" fillId="0" borderId="0" xfId="0" applyNumberFormat="1" applyAlignment="1">
      <alignment vertical="center"/>
    </xf>
    <xf numFmtId="164" fontId="0" fillId="7" borderId="0" xfId="0" applyNumberFormat="1" applyFill="1" applyAlignment="1">
      <alignment vertical="center"/>
    </xf>
    <xf numFmtId="164" fontId="0" fillId="3" borderId="0" xfId="0" applyNumberFormat="1" applyFill="1" applyAlignment="1">
      <alignment vertical="center"/>
    </xf>
    <xf numFmtId="164" fontId="1" fillId="0" borderId="1" xfId="0" applyNumberFormat="1" applyFont="1" applyBorder="1" applyAlignment="1">
      <alignment vertical="center"/>
    </xf>
    <xf numFmtId="164" fontId="0" fillId="0" borderId="0" xfId="0" applyNumberFormat="1" applyFont="1" applyBorder="1"/>
    <xf numFmtId="164" fontId="0" fillId="0" borderId="0" xfId="0" applyNumberFormat="1"/>
    <xf numFmtId="164" fontId="0" fillId="0" borderId="0" xfId="0" applyNumberFormat="1" applyFont="1" applyFill="1" applyBorder="1"/>
    <xf numFmtId="164" fontId="1" fillId="0" borderId="1" xfId="0" applyNumberFormat="1" applyFont="1" applyFill="1" applyBorder="1"/>
    <xf numFmtId="164" fontId="1" fillId="0" borderId="1" xfId="0" applyNumberFormat="1" applyFont="1" applyBorder="1"/>
    <xf numFmtId="164" fontId="0" fillId="0" borderId="0" xfId="0" applyNumberFormat="1" applyFill="1" applyAlignment="1">
      <alignment vertical="center"/>
    </xf>
    <xf numFmtId="164" fontId="0" fillId="0" borderId="0" xfId="0" applyNumberFormat="1" applyBorder="1"/>
    <xf numFmtId="164" fontId="0" fillId="0" borderId="0" xfId="0" applyNumberFormat="1" applyFill="1"/>
    <xf numFmtId="164" fontId="1" fillId="0" borderId="0" xfId="0" applyNumberFormat="1" applyFont="1" applyBorder="1"/>
    <xf numFmtId="164" fontId="1" fillId="0" borderId="9" xfId="0" applyNumberFormat="1" applyFont="1" applyBorder="1"/>
    <xf numFmtId="164" fontId="0" fillId="6" borderId="0" xfId="0" applyNumberFormat="1" applyFill="1" applyAlignment="1">
      <alignment vertical="center"/>
    </xf>
    <xf numFmtId="164" fontId="5" fillId="0" borderId="0" xfId="1" applyNumberFormat="1" applyFont="1" applyFill="1" applyBorder="1" applyAlignment="1">
      <alignment horizontal="right"/>
    </xf>
    <xf numFmtId="164" fontId="16" fillId="0" borderId="0" xfId="1" applyNumberFormat="1" applyFont="1" applyFill="1" applyBorder="1" applyAlignment="1">
      <alignment horizontal="right"/>
    </xf>
    <xf numFmtId="164" fontId="16" fillId="0" borderId="1" xfId="1" applyNumberFormat="1" applyFont="1" applyFill="1" applyBorder="1" applyAlignment="1">
      <alignment horizontal="right"/>
    </xf>
    <xf numFmtId="164" fontId="5" fillId="0" borderId="0" xfId="1" applyNumberFormat="1" applyFont="1" applyFill="1" applyBorder="1" applyAlignment="1">
      <alignment horizontal="left"/>
    </xf>
    <xf numFmtId="164" fontId="16" fillId="0" borderId="9" xfId="1" applyNumberFormat="1" applyFont="1" applyFill="1" applyBorder="1" applyAlignment="1">
      <alignment horizontal="right"/>
    </xf>
    <xf numFmtId="164" fontId="0" fillId="0" borderId="0" xfId="1" applyNumberFormat="1" applyFont="1" applyFill="1" applyBorder="1" applyAlignment="1"/>
    <xf numFmtId="164" fontId="16" fillId="0" borderId="0" xfId="1" applyNumberFormat="1" applyFont="1" applyFill="1" applyBorder="1" applyAlignment="1">
      <alignment vertical="top"/>
    </xf>
    <xf numFmtId="164" fontId="5" fillId="0" borderId="0" xfId="0" applyNumberFormat="1" applyFont="1" applyFill="1" applyBorder="1" applyAlignment="1">
      <alignment vertical="top"/>
    </xf>
    <xf numFmtId="164" fontId="16" fillId="0" borderId="25" xfId="0" applyNumberFormat="1" applyFont="1" applyFill="1" applyBorder="1" applyAlignment="1">
      <alignment vertical="top"/>
    </xf>
    <xf numFmtId="164" fontId="0" fillId="0" borderId="7" xfId="0" applyNumberFormat="1" applyBorder="1"/>
    <xf numFmtId="164" fontId="0" fillId="0" borderId="8" xfId="0" applyNumberFormat="1" applyBorder="1"/>
    <xf numFmtId="164" fontId="1" fillId="0" borderId="4" xfId="0" applyNumberFormat="1" applyFont="1" applyBorder="1"/>
    <xf numFmtId="164" fontId="1" fillId="0" borderId="10" xfId="0" applyNumberFormat="1" applyFont="1" applyBorder="1"/>
    <xf numFmtId="164" fontId="0" fillId="3" borderId="0" xfId="0" applyNumberFormat="1" applyFill="1"/>
    <xf numFmtId="164" fontId="0" fillId="0" borderId="14" xfId="0" applyNumberFormat="1" applyBorder="1"/>
    <xf numFmtId="164" fontId="1" fillId="0" borderId="13" xfId="0" applyNumberFormat="1" applyFont="1" applyBorder="1"/>
    <xf numFmtId="164" fontId="1" fillId="0" borderId="17" xfId="0" applyNumberFormat="1" applyFont="1" applyBorder="1"/>
    <xf numFmtId="164" fontId="1" fillId="0" borderId="15" xfId="0" applyNumberFormat="1" applyFont="1" applyBorder="1"/>
    <xf numFmtId="164" fontId="1" fillId="0" borderId="2" xfId="0" applyNumberFormat="1" applyFont="1" applyBorder="1"/>
    <xf numFmtId="164" fontId="1" fillId="0" borderId="6" xfId="0" applyNumberFormat="1" applyFont="1" applyBorder="1"/>
    <xf numFmtId="164" fontId="0" fillId="0" borderId="5" xfId="0" applyNumberFormat="1" applyBorder="1"/>
    <xf numFmtId="164" fontId="0" fillId="0" borderId="2" xfId="0" applyNumberFormat="1" applyBorder="1"/>
    <xf numFmtId="164" fontId="0" fillId="0" borderId="6" xfId="0" applyNumberFormat="1" applyBorder="1"/>
    <xf numFmtId="164" fontId="0" fillId="0" borderId="15" xfId="0" applyNumberFormat="1" applyBorder="1"/>
    <xf numFmtId="164" fontId="1" fillId="0" borderId="14" xfId="0" applyNumberFormat="1" applyFont="1" applyBorder="1"/>
    <xf numFmtId="164" fontId="1" fillId="0" borderId="8" xfId="0" applyNumberFormat="1" applyFont="1" applyBorder="1"/>
    <xf numFmtId="164" fontId="1" fillId="0" borderId="16" xfId="0" applyNumberFormat="1" applyFont="1" applyBorder="1"/>
    <xf numFmtId="164" fontId="1" fillId="0" borderId="11" xfId="0" applyNumberFormat="1" applyFont="1" applyBorder="1"/>
    <xf numFmtId="164" fontId="1" fillId="0" borderId="12" xfId="0" applyNumberFormat="1" applyFont="1" applyBorder="1"/>
    <xf numFmtId="0" fontId="0" fillId="0" borderId="2" xfId="0" applyBorder="1" applyAlignment="1">
      <alignment vertical="center"/>
    </xf>
    <xf numFmtId="10" fontId="0" fillId="0" borderId="0" xfId="0" applyNumberFormat="1"/>
    <xf numFmtId="173" fontId="1" fillId="0" borderId="0" xfId="0" applyNumberFormat="1" applyFont="1"/>
    <xf numFmtId="0" fontId="0" fillId="0" borderId="2" xfId="0" applyFont="1" applyBorder="1"/>
    <xf numFmtId="173" fontId="0" fillId="3" borderId="0" xfId="0" applyNumberFormat="1" applyFill="1"/>
    <xf numFmtId="0" fontId="0" fillId="0" borderId="2" xfId="0" applyFont="1" applyBorder="1"/>
    <xf numFmtId="0" fontId="23" fillId="0" borderId="42" xfId="0" applyFont="1" applyBorder="1"/>
    <xf numFmtId="0" fontId="23" fillId="0" borderId="0" xfId="0" applyFont="1" applyBorder="1" applyAlignment="1"/>
    <xf numFmtId="4" fontId="0" fillId="0" borderId="0" xfId="0" applyNumberFormat="1"/>
    <xf numFmtId="0" fontId="0" fillId="0" borderId="0" xfId="0" applyFont="1" applyBorder="1" applyAlignment="1"/>
    <xf numFmtId="0" fontId="0" fillId="0" borderId="2" xfId="0" applyFont="1" applyBorder="1" applyAlignment="1"/>
    <xf numFmtId="173" fontId="0" fillId="0" borderId="0" xfId="0" applyNumberFormat="1" applyFont="1" applyBorder="1" applyAlignment="1"/>
    <xf numFmtId="40" fontId="0" fillId="0" borderId="0" xfId="0" applyNumberFormat="1"/>
    <xf numFmtId="168" fontId="0" fillId="0" borderId="0" xfId="0" applyNumberFormat="1" applyFill="1" applyBorder="1"/>
    <xf numFmtId="173" fontId="1" fillId="0" borderId="7" xfId="0" applyNumberFormat="1" applyFont="1" applyBorder="1" applyAlignment="1">
      <alignment horizontal="center"/>
    </xf>
    <xf numFmtId="173" fontId="1" fillId="0" borderId="0" xfId="0" applyNumberFormat="1" applyFont="1" applyBorder="1" applyAlignment="1">
      <alignment horizontal="center"/>
    </xf>
    <xf numFmtId="173" fontId="1" fillId="0" borderId="8" xfId="0" applyNumberFormat="1" applyFont="1" applyBorder="1" applyAlignment="1">
      <alignment horizontal="center"/>
    </xf>
    <xf numFmtId="173" fontId="0" fillId="3" borderId="7" xfId="0" applyNumberFormat="1" applyFill="1" applyBorder="1"/>
    <xf numFmtId="173" fontId="0" fillId="0" borderId="0" xfId="0" applyNumberFormat="1" applyBorder="1"/>
    <xf numFmtId="173" fontId="0" fillId="0" borderId="8" xfId="0" applyNumberFormat="1" applyBorder="1"/>
    <xf numFmtId="173" fontId="0" fillId="0" borderId="7" xfId="0" applyNumberFormat="1" applyBorder="1"/>
    <xf numFmtId="173" fontId="1" fillId="3" borderId="3" xfId="0" applyNumberFormat="1" applyFont="1" applyFill="1" applyBorder="1"/>
    <xf numFmtId="173" fontId="1" fillId="0" borderId="1" xfId="0" applyNumberFormat="1" applyFont="1" applyBorder="1"/>
    <xf numFmtId="173" fontId="1" fillId="0" borderId="4" xfId="0" applyNumberFormat="1" applyFont="1" applyBorder="1"/>
    <xf numFmtId="173" fontId="1" fillId="0" borderId="3" xfId="0" applyNumberFormat="1" applyFont="1" applyBorder="1"/>
    <xf numFmtId="173" fontId="1" fillId="3" borderId="39" xfId="0" applyNumberFormat="1" applyFont="1" applyFill="1" applyBorder="1"/>
    <xf numFmtId="173" fontId="1" fillId="0" borderId="9" xfId="0" applyNumberFormat="1" applyFont="1" applyBorder="1"/>
    <xf numFmtId="173" fontId="1" fillId="0" borderId="10" xfId="0" applyNumberFormat="1" applyFont="1" applyBorder="1"/>
    <xf numFmtId="173" fontId="1" fillId="0" borderId="39" xfId="0" applyNumberFormat="1" applyFont="1" applyBorder="1"/>
    <xf numFmtId="173" fontId="1" fillId="3" borderId="40" xfId="0" applyNumberFormat="1" applyFont="1" applyFill="1" applyBorder="1"/>
    <xf numFmtId="173" fontId="1" fillId="0" borderId="25" xfId="0" applyNumberFormat="1" applyFont="1" applyBorder="1"/>
    <xf numFmtId="173" fontId="1" fillId="0" borderId="41" xfId="0" applyNumberFormat="1" applyFont="1" applyBorder="1"/>
    <xf numFmtId="173" fontId="1" fillId="0" borderId="40" xfId="0" applyNumberFormat="1" applyFont="1" applyBorder="1"/>
    <xf numFmtId="0" fontId="1" fillId="0" borderId="0" xfId="0" applyFont="1" applyFill="1"/>
    <xf numFmtId="171" fontId="5" fillId="0" borderId="0" xfId="3" applyNumberFormat="1" applyFont="1" applyFill="1" applyBorder="1" applyAlignment="1">
      <alignment horizontal="center" wrapText="1"/>
    </xf>
    <xf numFmtId="167" fontId="5" fillId="0" borderId="0" xfId="3" quotePrefix="1" applyNumberFormat="1" applyFont="1" applyFill="1" applyBorder="1" applyAlignment="1">
      <alignment horizontal="center" wrapText="1"/>
    </xf>
    <xf numFmtId="0" fontId="0" fillId="0" borderId="0" xfId="0" applyFont="1"/>
    <xf numFmtId="173" fontId="0" fillId="0" borderId="0" xfId="0" applyNumberFormat="1" applyFont="1"/>
    <xf numFmtId="38" fontId="0" fillId="0" borderId="0" xfId="0" applyNumberFormat="1" applyFont="1"/>
    <xf numFmtId="0" fontId="0" fillId="0" borderId="0" xfId="0" applyFont="1" applyAlignment="1">
      <alignment vertical="center"/>
    </xf>
    <xf numFmtId="164" fontId="0" fillId="0" borderId="0" xfId="0" applyNumberFormat="1" applyFont="1" applyAlignment="1">
      <alignment vertical="center"/>
    </xf>
    <xf numFmtId="0" fontId="0" fillId="0" borderId="0" xfId="0" applyFont="1" applyAlignment="1">
      <alignment vertical="top"/>
    </xf>
    <xf numFmtId="164" fontId="0" fillId="7" borderId="0" xfId="0" applyNumberFormat="1" applyFont="1" applyFill="1" applyAlignment="1">
      <alignment vertical="center"/>
    </xf>
    <xf numFmtId="164" fontId="0" fillId="0" borderId="0" xfId="0" applyNumberFormat="1" applyFont="1"/>
    <xf numFmtId="164" fontId="0" fillId="0" borderId="0" xfId="0" applyNumberFormat="1" applyFont="1" applyFill="1" applyAlignment="1">
      <alignment vertical="center"/>
    </xf>
    <xf numFmtId="164" fontId="0" fillId="0" borderId="0" xfId="0" applyNumberFormat="1" applyFont="1" applyFill="1" applyAlignment="1">
      <alignment horizontal="right"/>
    </xf>
    <xf numFmtId="164" fontId="0" fillId="0" borderId="0" xfId="0" applyNumberFormat="1" applyFont="1" applyFill="1"/>
    <xf numFmtId="164" fontId="0" fillId="0" borderId="0" xfId="0" applyNumberFormat="1" applyFont="1" applyAlignment="1">
      <alignment vertical="top"/>
    </xf>
    <xf numFmtId="164" fontId="16" fillId="0" borderId="0" xfId="0" applyNumberFormat="1" applyFont="1" applyFill="1" applyBorder="1" applyAlignment="1"/>
    <xf numFmtId="164" fontId="5" fillId="0" borderId="0" xfId="0" applyNumberFormat="1" applyFont="1" applyFill="1" applyBorder="1" applyAlignment="1">
      <alignment horizontal="center"/>
    </xf>
    <xf numFmtId="43" fontId="5" fillId="0" borderId="0" xfId="1" quotePrefix="1" applyFont="1" applyFill="1" applyBorder="1" applyAlignment="1">
      <alignment horizontal="center"/>
    </xf>
    <xf numFmtId="164" fontId="5" fillId="0" borderId="0" xfId="0" quotePrefix="1" applyNumberFormat="1" applyFont="1" applyFill="1" applyBorder="1" applyAlignment="1">
      <alignment horizontal="center"/>
    </xf>
    <xf numFmtId="164" fontId="5" fillId="0" borderId="0" xfId="0" quotePrefix="1" applyNumberFormat="1" applyFont="1" applyFill="1" applyBorder="1" applyAlignment="1"/>
    <xf numFmtId="164" fontId="5" fillId="0" borderId="0" xfId="0" applyNumberFormat="1" applyFont="1" applyFill="1" applyBorder="1" applyAlignment="1"/>
    <xf numFmtId="0" fontId="17" fillId="0" borderId="0" xfId="2" applyFont="1" applyBorder="1">
      <alignment vertical="top"/>
    </xf>
    <xf numFmtId="0" fontId="5" fillId="0" borderId="0" xfId="1" quotePrefix="1" applyNumberFormat="1" applyFont="1" applyFill="1" applyBorder="1" applyAlignment="1">
      <alignment horizontal="center"/>
    </xf>
    <xf numFmtId="165" fontId="5" fillId="0" borderId="0" xfId="1" quotePrefix="1" applyNumberFormat="1" applyFont="1" applyFill="1" applyBorder="1" applyAlignment="1">
      <alignment horizontal="center"/>
    </xf>
    <xf numFmtId="0" fontId="5" fillId="0" borderId="0" xfId="0" quotePrefix="1" applyNumberFormat="1" applyFont="1" applyFill="1" applyBorder="1" applyAlignment="1">
      <alignment horizontal="center"/>
    </xf>
    <xf numFmtId="164" fontId="16" fillId="0" borderId="0" xfId="0" applyNumberFormat="1" applyFont="1" applyFill="1" applyBorder="1" applyAlignment="1">
      <alignment horizontal="center"/>
    </xf>
    <xf numFmtId="166" fontId="5" fillId="0" borderId="0" xfId="0" applyNumberFormat="1" applyFont="1" applyFill="1" applyBorder="1"/>
    <xf numFmtId="10" fontId="1" fillId="0" borderId="1" xfId="0" applyNumberFormat="1" applyFont="1" applyBorder="1" applyAlignment="1">
      <alignment vertical="center"/>
    </xf>
    <xf numFmtId="10" fontId="10" fillId="0" borderId="0" xfId="0" applyNumberFormat="1" applyFont="1"/>
    <xf numFmtId="173" fontId="0" fillId="0" borderId="0" xfId="0" applyNumberFormat="1" applyAlignment="1">
      <alignment vertical="center"/>
    </xf>
    <xf numFmtId="173" fontId="0" fillId="8" borderId="0" xfId="0" applyNumberFormat="1" applyFill="1"/>
    <xf numFmtId="173" fontId="1" fillId="8" borderId="0" xfId="0" applyNumberFormat="1" applyFont="1" applyFill="1"/>
    <xf numFmtId="0" fontId="0" fillId="4" borderId="0" xfId="0" applyFill="1" applyAlignment="1">
      <alignment vertical="center"/>
    </xf>
    <xf numFmtId="164" fontId="1" fillId="0" borderId="7" xfId="0" applyNumberFormat="1" applyFont="1" applyBorder="1"/>
    <xf numFmtId="164" fontId="1" fillId="0" borderId="3" xfId="0" applyNumberFormat="1" applyFont="1" applyBorder="1"/>
    <xf numFmtId="0" fontId="0" fillId="0" borderId="15" xfId="0" applyBorder="1"/>
    <xf numFmtId="164" fontId="1" fillId="0" borderId="43" xfId="0" applyNumberFormat="1" applyFont="1" applyBorder="1"/>
    <xf numFmtId="164" fontId="0" fillId="0" borderId="19" xfId="0" applyNumberFormat="1" applyBorder="1"/>
    <xf numFmtId="0" fontId="9" fillId="0" borderId="0" xfId="0" applyFont="1" applyFill="1"/>
    <xf numFmtId="168" fontId="0" fillId="0" borderId="0" xfId="0" applyNumberFormat="1" applyFont="1" applyFill="1"/>
    <xf numFmtId="0" fontId="0" fillId="0" borderId="1" xfId="0" applyFont="1" applyFill="1" applyBorder="1" applyAlignment="1">
      <alignment vertical="center"/>
    </xf>
    <xf numFmtId="0" fontId="0" fillId="0" borderId="1" xfId="0" applyFont="1" applyFill="1" applyBorder="1" applyAlignment="1">
      <alignment horizontal="center" vertical="center"/>
    </xf>
    <xf numFmtId="168"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5" fillId="0" borderId="0" xfId="3" applyFont="1" applyFill="1" applyBorder="1" applyAlignment="1">
      <alignment horizontal="left"/>
    </xf>
    <xf numFmtId="0" fontId="5" fillId="0" borderId="0" xfId="3" applyFont="1" applyFill="1" applyBorder="1" applyAlignment="1">
      <alignment horizontal="center" wrapText="1"/>
    </xf>
    <xf numFmtId="0" fontId="16" fillId="0" borderId="0" xfId="3" applyFont="1" applyFill="1" applyBorder="1" applyAlignment="1">
      <alignment horizontal="center" wrapText="1"/>
    </xf>
    <xf numFmtId="0" fontId="16" fillId="0" borderId="0" xfId="3" applyFont="1" applyFill="1" applyBorder="1" applyAlignment="1">
      <alignment wrapText="1"/>
    </xf>
    <xf numFmtId="0" fontId="16" fillId="0" borderId="0" xfId="3" applyFont="1" applyFill="1" applyBorder="1" applyAlignment="1">
      <alignment horizontal="left"/>
    </xf>
    <xf numFmtId="0" fontId="5" fillId="0" borderId="0" xfId="3" applyFont="1" applyFill="1" applyBorder="1" applyAlignment="1">
      <alignment wrapText="1"/>
    </xf>
    <xf numFmtId="167" fontId="5" fillId="0" borderId="0" xfId="3" applyNumberFormat="1" applyFont="1" applyFill="1" applyBorder="1" applyAlignment="1">
      <alignment horizontal="left" wrapText="1"/>
    </xf>
    <xf numFmtId="164" fontId="20" fillId="0" borderId="0" xfId="1"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164" fontId="16" fillId="0" borderId="1" xfId="5" applyNumberFormat="1" applyFont="1" applyFill="1" applyBorder="1" applyAlignment="1">
      <alignment horizontal="right"/>
    </xf>
    <xf numFmtId="0" fontId="5" fillId="0" borderId="0" xfId="0" quotePrefix="1" applyNumberFormat="1" applyFont="1" applyFill="1" applyBorder="1" applyAlignment="1">
      <alignment horizontal="left" vertical="center" wrapText="1"/>
    </xf>
    <xf numFmtId="0" fontId="17" fillId="0" borderId="0" xfId="0" quotePrefix="1" applyFont="1" applyFill="1" applyBorder="1" applyAlignment="1">
      <alignment horizontal="left" vertical="center" wrapText="1"/>
    </xf>
    <xf numFmtId="167" fontId="5" fillId="0" borderId="0" xfId="3" applyNumberFormat="1" applyFont="1" applyFill="1" applyBorder="1" applyAlignment="1">
      <alignment horizontal="right" wrapText="1"/>
    </xf>
    <xf numFmtId="0" fontId="1" fillId="0" borderId="0" xfId="0" applyFont="1" applyFill="1" applyBorder="1"/>
    <xf numFmtId="168" fontId="0" fillId="0" borderId="0" xfId="0" applyNumberFormat="1" applyFont="1" applyFill="1" applyBorder="1"/>
    <xf numFmtId="49" fontId="16" fillId="0" borderId="0" xfId="0" applyNumberFormat="1" applyFont="1" applyFill="1" applyBorder="1" applyAlignment="1">
      <alignment horizontal="center" vertical="top"/>
    </xf>
    <xf numFmtId="164" fontId="16" fillId="0" borderId="0" xfId="0" applyNumberFormat="1" applyFont="1" applyFill="1" applyBorder="1" applyAlignment="1">
      <alignment horizontal="center" vertical="top"/>
    </xf>
    <xf numFmtId="0" fontId="16" fillId="0" borderId="0" xfId="0" applyFont="1" applyFill="1" applyBorder="1" applyAlignment="1">
      <alignment vertical="top" wrapText="1"/>
    </xf>
    <xf numFmtId="0" fontId="5" fillId="0" borderId="0" xfId="0" applyFont="1" applyFill="1" applyBorder="1" applyAlignment="1">
      <alignment vertical="top" wrapText="1"/>
    </xf>
    <xf numFmtId="164" fontId="16" fillId="0" borderId="0" xfId="0" applyNumberFormat="1" applyFont="1" applyFill="1" applyBorder="1" applyAlignment="1">
      <alignment vertical="top"/>
    </xf>
    <xf numFmtId="0" fontId="0" fillId="0" borderId="0" xfId="0" applyNumberFormat="1" applyFont="1" applyFill="1" applyBorder="1" applyAlignment="1">
      <alignment horizontal="center" vertical="top"/>
    </xf>
    <xf numFmtId="0" fontId="0" fillId="0" borderId="0" xfId="0" applyFont="1" applyFill="1" applyBorder="1" applyAlignment="1">
      <alignment vertical="top" wrapText="1"/>
    </xf>
    <xf numFmtId="164" fontId="0" fillId="0" borderId="0" xfId="1" applyNumberFormat="1" applyFont="1" applyFill="1" applyBorder="1" applyAlignment="1">
      <alignment vertical="top"/>
    </xf>
    <xf numFmtId="164" fontId="16" fillId="0" borderId="1" xfId="1" applyNumberFormat="1" applyFont="1" applyFill="1" applyBorder="1" applyAlignment="1">
      <alignment vertical="top"/>
    </xf>
    <xf numFmtId="0" fontId="0" fillId="0" borderId="0" xfId="0" quotePrefix="1" applyNumberFormat="1" applyFont="1" applyFill="1" applyBorder="1" applyAlignment="1">
      <alignment horizontal="center" vertical="top"/>
    </xf>
    <xf numFmtId="0" fontId="5" fillId="0" borderId="0" xfId="0" applyNumberFormat="1" applyFont="1" applyFill="1" applyBorder="1" applyAlignment="1">
      <alignment horizontal="center" vertical="top"/>
    </xf>
    <xf numFmtId="165" fontId="0" fillId="0" borderId="0" xfId="0" applyNumberFormat="1" applyFont="1" applyFill="1" applyBorder="1" applyAlignment="1">
      <alignment horizontal="center" vertical="top"/>
    </xf>
    <xf numFmtId="164" fontId="5" fillId="0" borderId="0" xfId="0" applyNumberFormat="1" applyFont="1" applyFill="1" applyBorder="1" applyAlignment="1">
      <alignment vertical="top" wrapText="1"/>
    </xf>
    <xf numFmtId="164" fontId="16" fillId="0" borderId="0" xfId="0" applyNumberFormat="1" applyFont="1" applyFill="1" applyBorder="1" applyAlignment="1">
      <alignment vertical="top" wrapText="1"/>
    </xf>
    <xf numFmtId="164" fontId="16" fillId="0" borderId="9" xfId="1" applyNumberFormat="1" applyFont="1" applyFill="1" applyBorder="1"/>
    <xf numFmtId="49" fontId="16" fillId="0" borderId="0" xfId="0" applyNumberFormat="1" applyFont="1" applyFill="1" applyBorder="1" applyAlignment="1"/>
    <xf numFmtId="49" fontId="5" fillId="0" borderId="0" xfId="0" applyNumberFormat="1" applyFont="1" applyFill="1" applyBorder="1" applyAlignment="1"/>
    <xf numFmtId="172" fontId="16" fillId="0" borderId="0" xfId="1" applyNumberFormat="1" applyFont="1" applyFill="1" applyBorder="1" applyAlignment="1">
      <alignment vertical="top"/>
    </xf>
    <xf numFmtId="172" fontId="5" fillId="0" borderId="0" xfId="1" applyNumberFormat="1" applyFont="1" applyFill="1" applyBorder="1" applyAlignment="1">
      <alignment vertical="top"/>
    </xf>
    <xf numFmtId="38" fontId="0" fillId="0" borderId="0" xfId="1" applyNumberFormat="1" applyFont="1" applyFill="1" applyBorder="1" applyAlignment="1">
      <alignment vertical="top"/>
    </xf>
    <xf numFmtId="38" fontId="8" fillId="0" borderId="0" xfId="1" applyNumberFormat="1" applyFont="1" applyFill="1" applyBorder="1" applyAlignment="1">
      <alignment vertical="top"/>
    </xf>
    <xf numFmtId="38" fontId="16" fillId="0" borderId="0" xfId="1" applyNumberFormat="1" applyFont="1" applyFill="1" applyBorder="1" applyAlignment="1">
      <alignment vertical="top"/>
    </xf>
    <xf numFmtId="38" fontId="5" fillId="0" borderId="0" xfId="1" applyNumberFormat="1" applyFont="1" applyFill="1" applyBorder="1" applyAlignment="1">
      <alignment vertical="top"/>
    </xf>
    <xf numFmtId="1" fontId="0" fillId="0" borderId="0" xfId="0" applyNumberFormat="1" applyFont="1" applyFill="1" applyBorder="1" applyAlignment="1">
      <alignment horizontal="center" vertical="top"/>
    </xf>
    <xf numFmtId="38" fontId="16" fillId="0" borderId="0" xfId="1" applyNumberFormat="1" applyFont="1" applyFill="1" applyBorder="1" applyAlignment="1">
      <alignment vertical="center"/>
    </xf>
    <xf numFmtId="49" fontId="0" fillId="0" borderId="0" xfId="0" applyNumberFormat="1" applyFont="1" applyFill="1" applyBorder="1" applyAlignment="1">
      <alignment horizontal="center" vertical="center"/>
    </xf>
    <xf numFmtId="38" fontId="0" fillId="0" borderId="0" xfId="1" applyNumberFormat="1" applyFont="1" applyFill="1" applyBorder="1" applyAlignment="1">
      <alignment vertical="center"/>
    </xf>
    <xf numFmtId="38" fontId="8" fillId="0" borderId="0" xfId="1" applyNumberFormat="1" applyFont="1" applyFill="1" applyBorder="1" applyAlignment="1">
      <alignment vertical="center"/>
    </xf>
    <xf numFmtId="164" fontId="0" fillId="0" borderId="0" xfId="1" applyNumberFormat="1" applyFont="1" applyFill="1" applyBorder="1" applyAlignment="1">
      <alignment vertical="center"/>
    </xf>
    <xf numFmtId="38" fontId="5" fillId="0" borderId="0" xfId="1" applyNumberFormat="1" applyFont="1" applyFill="1" applyBorder="1" applyAlignment="1">
      <alignment vertical="center"/>
    </xf>
    <xf numFmtId="164" fontId="16" fillId="0" borderId="0" xfId="1" applyNumberFormat="1" applyFont="1" applyFill="1" applyBorder="1" applyAlignment="1">
      <alignment vertical="center"/>
    </xf>
    <xf numFmtId="164" fontId="16" fillId="0" borderId="9" xfId="1" applyNumberFormat="1" applyFont="1" applyFill="1" applyBorder="1" applyAlignment="1">
      <alignment vertical="top"/>
    </xf>
    <xf numFmtId="168" fontId="1" fillId="0" borderId="1" xfId="0" applyNumberFormat="1" applyFont="1" applyFill="1" applyBorder="1"/>
    <xf numFmtId="168" fontId="1" fillId="0" borderId="0" xfId="0" applyNumberFormat="1" applyFont="1" applyFill="1"/>
    <xf numFmtId="14" fontId="0" fillId="0" borderId="0" xfId="0" applyNumberFormat="1"/>
    <xf numFmtId="0" fontId="0" fillId="0" borderId="24" xfId="0" applyBorder="1" applyAlignment="1">
      <alignment horizontal="center"/>
    </xf>
    <xf numFmtId="0" fontId="0" fillId="0" borderId="0" xfId="0" applyBorder="1" applyAlignment="1">
      <alignment horizontal="center"/>
    </xf>
    <xf numFmtId="0" fontId="1" fillId="3" borderId="0" xfId="0" applyFont="1" applyFill="1"/>
    <xf numFmtId="164" fontId="1" fillId="3" borderId="0" xfId="0" applyNumberFormat="1" applyFont="1" applyFill="1" applyBorder="1"/>
    <xf numFmtId="0" fontId="17" fillId="3" borderId="0" xfId="0" applyFont="1" applyFill="1" applyBorder="1" applyAlignment="1">
      <alignment horizontal="left" vertical="center" wrapText="1"/>
    </xf>
    <xf numFmtId="164" fontId="1" fillId="0" borderId="1" xfId="0" applyNumberFormat="1" applyFont="1" applyBorder="1" applyAlignment="1">
      <alignment horizontal="center"/>
    </xf>
    <xf numFmtId="164" fontId="1" fillId="0" borderId="2" xfId="0" applyNumberFormat="1" applyFont="1" applyBorder="1" applyAlignment="1">
      <alignment horizontal="center"/>
    </xf>
    <xf numFmtId="10" fontId="1" fillId="0" borderId="1" xfId="4" applyNumberFormat="1" applyFont="1" applyBorder="1"/>
    <xf numFmtId="167" fontId="5" fillId="3" borderId="0" xfId="3" applyNumberFormat="1" applyFont="1" applyFill="1" applyBorder="1" applyAlignment="1">
      <alignment horizontal="left" wrapText="1"/>
    </xf>
    <xf numFmtId="0" fontId="0" fillId="9" borderId="0" xfId="0" applyFill="1" applyAlignment="1">
      <alignment vertical="center"/>
    </xf>
    <xf numFmtId="164" fontId="5" fillId="9" borderId="0" xfId="0" applyNumberFormat="1" applyFont="1" applyFill="1" applyBorder="1"/>
    <xf numFmtId="0" fontId="0" fillId="10" borderId="0" xfId="0" applyFill="1" applyAlignment="1">
      <alignment vertical="center"/>
    </xf>
    <xf numFmtId="164" fontId="0" fillId="10" borderId="0" xfId="0" applyNumberFormat="1" applyFill="1" applyAlignment="1">
      <alignment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173" fontId="1" fillId="0" borderId="1" xfId="0" applyNumberFormat="1" applyFont="1" applyBorder="1" applyAlignment="1">
      <alignment horizontal="center" vertical="center"/>
    </xf>
    <xf numFmtId="38" fontId="1" fillId="0" borderId="1" xfId="0" applyNumberFormat="1" applyFont="1" applyBorder="1" applyAlignment="1">
      <alignment horizontal="center" vertical="center"/>
    </xf>
    <xf numFmtId="168" fontId="1" fillId="0" borderId="1" xfId="0" applyNumberFormat="1" applyFont="1" applyFill="1" applyBorder="1" applyAlignment="1">
      <alignment horizontal="center" vertical="center"/>
    </xf>
    <xf numFmtId="0" fontId="0" fillId="0" borderId="24" xfId="0" applyFont="1" applyBorder="1"/>
    <xf numFmtId="0" fontId="16" fillId="0" borderId="20" xfId="0" applyFont="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0" fillId="0" borderId="0" xfId="0" applyFont="1"/>
    <xf numFmtId="0" fontId="0" fillId="0" borderId="1" xfId="0" applyFont="1" applyBorder="1" applyAlignment="1"/>
    <xf numFmtId="0" fontId="0" fillId="0" borderId="4" xfId="0" applyFont="1" applyBorder="1" applyAlignment="1"/>
    <xf numFmtId="0" fontId="0" fillId="0" borderId="2" xfId="0" applyFont="1" applyBorder="1"/>
    <xf numFmtId="0" fontId="0" fillId="0" borderId="6" xfId="0" applyFont="1" applyBorder="1"/>
    <xf numFmtId="173" fontId="1" fillId="0" borderId="3" xfId="0" applyNumberFormat="1" applyFont="1" applyBorder="1" applyAlignment="1">
      <alignment horizontal="center"/>
    </xf>
    <xf numFmtId="173" fontId="1" fillId="0" borderId="1" xfId="0" applyNumberFormat="1" applyFont="1" applyBorder="1" applyAlignment="1">
      <alignment horizontal="center"/>
    </xf>
    <xf numFmtId="173" fontId="1" fillId="0" borderId="4" xfId="0" applyNumberFormat="1" applyFont="1" applyBorder="1" applyAlignment="1">
      <alignment horizontal="center"/>
    </xf>
    <xf numFmtId="38" fontId="1" fillId="0" borderId="0" xfId="0" applyNumberFormat="1" applyFont="1" applyBorder="1" applyAlignment="1">
      <alignment horizontal="center"/>
    </xf>
    <xf numFmtId="38" fontId="1" fillId="0" borderId="8" xfId="0" applyNumberFormat="1" applyFont="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6" xfId="0" applyFont="1" applyFill="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10" fontId="0" fillId="0" borderId="0" xfId="4" applyNumberFormat="1" applyFont="1"/>
    <xf numFmtId="173" fontId="0" fillId="0" borderId="1" xfId="0" applyNumberFormat="1" applyBorder="1"/>
  </cellXfs>
  <cellStyles count="6">
    <cellStyle name="Comma" xfId="1" builtinId="3"/>
    <cellStyle name="Comma_5CQ101_" xfId="5"/>
    <cellStyle name="Normal" xfId="0" builtinId="0"/>
    <cellStyle name="Normal_3.8.12 CI Down Load" xfId="2"/>
    <cellStyle name="Normal_5CQ101_"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Operating Performance Ratio - General Fund with SRV</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generalfund'!$B$11:$M$11</c:f>
              <c:numCache>
                <c:formatCode>0.00%</c:formatCode>
                <c:ptCount val="12"/>
                <c:pt idx="0">
                  <c:v>2.5085724598447935E-3</c:v>
                </c:pt>
                <c:pt idx="1">
                  <c:v>2.6869335347432025E-2</c:v>
                </c:pt>
                <c:pt idx="2">
                  <c:v>-2.6464993594707411E-2</c:v>
                </c:pt>
                <c:pt idx="3">
                  <c:v>2.1345982225676498E-2</c:v>
                </c:pt>
                <c:pt idx="4">
                  <c:v>1.4630158592765707E-2</c:v>
                </c:pt>
                <c:pt idx="5">
                  <c:v>3.9442914211707189E-2</c:v>
                </c:pt>
                <c:pt idx="6">
                  <c:v>5.8720077991850132E-2</c:v>
                </c:pt>
                <c:pt idx="7">
                  <c:v>6.5864042052236768E-2</c:v>
                </c:pt>
                <c:pt idx="8">
                  <c:v>6.7839428409001076E-2</c:v>
                </c:pt>
                <c:pt idx="9">
                  <c:v>6.5244964347911813E-2</c:v>
                </c:pt>
                <c:pt idx="10">
                  <c:v>7.2705513953324225E-2</c:v>
                </c:pt>
                <c:pt idx="11">
                  <c:v>7.7330220434493169E-2</c:v>
                </c:pt>
              </c:numCache>
            </c:numRef>
          </c:val>
        </c:ser>
        <c:dLbls>
          <c:showLegendKey val="0"/>
          <c:showVal val="0"/>
          <c:showCatName val="0"/>
          <c:showSerName val="0"/>
          <c:showPercent val="0"/>
          <c:showBubbleSize val="0"/>
        </c:dLbls>
        <c:gapWidth val="75"/>
        <c:overlap val="-25"/>
        <c:axId val="113545216"/>
        <c:axId val="113546752"/>
      </c:barChart>
      <c:lineChart>
        <c:grouping val="standard"/>
        <c:varyColors val="0"/>
        <c:ser>
          <c:idx val="1"/>
          <c:order val="1"/>
          <c:tx>
            <c:v>Required Benchmark</c:v>
          </c:tx>
          <c:marker>
            <c:symbol val="none"/>
          </c:marker>
          <c:val>
            <c:numRef>
              <c:f>'indicators generalfund'!$B$12:$M$12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3545216"/>
        <c:axId val="113546752"/>
      </c:lineChart>
      <c:catAx>
        <c:axId val="113545216"/>
        <c:scaling>
          <c:orientation val="minMax"/>
        </c:scaling>
        <c:delete val="0"/>
        <c:axPos val="b"/>
        <c:majorTickMark val="none"/>
        <c:minorTickMark val="none"/>
        <c:tickLblPos val="nextTo"/>
        <c:crossAx val="113546752"/>
        <c:crosses val="autoZero"/>
        <c:auto val="1"/>
        <c:lblAlgn val="ctr"/>
        <c:lblOffset val="100"/>
        <c:noMultiLvlLbl val="0"/>
      </c:catAx>
      <c:valAx>
        <c:axId val="113546752"/>
        <c:scaling>
          <c:orientation val="minMax"/>
        </c:scaling>
        <c:delete val="0"/>
        <c:axPos val="l"/>
        <c:majorGridlines/>
        <c:numFmt formatCode="0.00%" sourceLinked="1"/>
        <c:majorTickMark val="none"/>
        <c:minorTickMark val="none"/>
        <c:tickLblPos val="nextTo"/>
        <c:crossAx val="11354521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Own</a:t>
            </a:r>
            <a:r>
              <a:rPr lang="en-AU" baseline="0"/>
              <a:t> Source Revenue</a:t>
            </a:r>
            <a:r>
              <a:rPr lang="en-AU"/>
              <a:t> - General Fund with SRV </a:t>
            </a:r>
          </a:p>
        </c:rich>
      </c:tx>
      <c:layout/>
      <c:overlay val="0"/>
    </c:title>
    <c:autoTitleDeleted val="0"/>
    <c:plotArea>
      <c:layout/>
      <c:barChart>
        <c:barDir val="col"/>
        <c:grouping val="clustered"/>
        <c:varyColors val="0"/>
        <c:ser>
          <c:idx val="0"/>
          <c:order val="0"/>
          <c:tx>
            <c:v>Benchmark Result</c:v>
          </c:tx>
          <c:invertIfNegative val="0"/>
          <c:val>
            <c:numRef>
              <c:f>'indicators generalfund'!$B$19:$M$19</c:f>
              <c:numCache>
                <c:formatCode>0.00%</c:formatCode>
                <c:ptCount val="12"/>
                <c:pt idx="0">
                  <c:v>0.65053835350765732</c:v>
                </c:pt>
                <c:pt idx="1">
                  <c:v>0.68516658295663824</c:v>
                </c:pt>
                <c:pt idx="2">
                  <c:v>0.66096765246280464</c:v>
                </c:pt>
                <c:pt idx="3">
                  <c:v>0.84530985846552376</c:v>
                </c:pt>
                <c:pt idx="4">
                  <c:v>0.86795575911814804</c:v>
                </c:pt>
                <c:pt idx="5">
                  <c:v>0.86973624471496269</c:v>
                </c:pt>
                <c:pt idx="6">
                  <c:v>0.87668504405628156</c:v>
                </c:pt>
                <c:pt idx="7">
                  <c:v>0.8790437722146246</c:v>
                </c:pt>
                <c:pt idx="8">
                  <c:v>0.88767885912736044</c:v>
                </c:pt>
                <c:pt idx="9">
                  <c:v>0.88817460010569327</c:v>
                </c:pt>
                <c:pt idx="10">
                  <c:v>0.88870303816111629</c:v>
                </c:pt>
                <c:pt idx="11">
                  <c:v>0.89496743379542065</c:v>
                </c:pt>
              </c:numCache>
            </c:numRef>
          </c:val>
        </c:ser>
        <c:dLbls>
          <c:showLegendKey val="0"/>
          <c:showVal val="0"/>
          <c:showCatName val="0"/>
          <c:showSerName val="0"/>
          <c:showPercent val="0"/>
          <c:showBubbleSize val="0"/>
        </c:dLbls>
        <c:gapWidth val="75"/>
        <c:overlap val="-25"/>
        <c:axId val="113564288"/>
        <c:axId val="114237824"/>
      </c:barChart>
      <c:lineChart>
        <c:grouping val="standard"/>
        <c:varyColors val="0"/>
        <c:ser>
          <c:idx val="1"/>
          <c:order val="1"/>
          <c:tx>
            <c:v>Required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generalfund'!$B$20:$M$20</c:f>
              <c:numCache>
                <c:formatCode>0.00%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dLbls>
          <c:showLegendKey val="0"/>
          <c:showVal val="0"/>
          <c:showCatName val="0"/>
          <c:showSerName val="0"/>
          <c:showPercent val="0"/>
          <c:showBubbleSize val="0"/>
        </c:dLbls>
        <c:marker val="1"/>
        <c:smooth val="0"/>
        <c:axId val="113564288"/>
        <c:axId val="114237824"/>
      </c:lineChart>
      <c:catAx>
        <c:axId val="113564288"/>
        <c:scaling>
          <c:orientation val="minMax"/>
        </c:scaling>
        <c:delete val="0"/>
        <c:axPos val="b"/>
        <c:majorTickMark val="none"/>
        <c:minorTickMark val="none"/>
        <c:tickLblPos val="nextTo"/>
        <c:crossAx val="114237824"/>
        <c:crosses val="autoZero"/>
        <c:auto val="1"/>
        <c:lblAlgn val="ctr"/>
        <c:lblOffset val="100"/>
        <c:noMultiLvlLbl val="0"/>
      </c:catAx>
      <c:valAx>
        <c:axId val="114237824"/>
        <c:scaling>
          <c:orientation val="minMax"/>
        </c:scaling>
        <c:delete val="0"/>
        <c:axPos val="l"/>
        <c:majorGridlines/>
        <c:numFmt formatCode="0.00%" sourceLinked="1"/>
        <c:majorTickMark val="none"/>
        <c:minorTickMark val="none"/>
        <c:tickLblPos val="nextTo"/>
        <c:crossAx val="1135642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Cover Ratio</a:t>
            </a:r>
            <a:r>
              <a:rPr lang="en-AU"/>
              <a:t> - General Fund with SRV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generalfund'!$B$27:$M$27</c:f>
              <c:numCache>
                <c:formatCode>#,##0.00</c:formatCode>
                <c:ptCount val="12"/>
                <c:pt idx="0">
                  <c:v>3.6595505617977526</c:v>
                </c:pt>
                <c:pt idx="1">
                  <c:v>4.1514857881136953</c:v>
                </c:pt>
                <c:pt idx="2">
                  <c:v>3.9470299459990184</c:v>
                </c:pt>
                <c:pt idx="3">
                  <c:v>5.3607890990441325</c:v>
                </c:pt>
                <c:pt idx="4">
                  <c:v>4.9210325776338353</c:v>
                </c:pt>
                <c:pt idx="5">
                  <c:v>5.5680868053924559</c:v>
                </c:pt>
                <c:pt idx="6">
                  <c:v>6.3176783555018137</c:v>
                </c:pt>
                <c:pt idx="7">
                  <c:v>6.578424723890719</c:v>
                </c:pt>
                <c:pt idx="8">
                  <c:v>7.5627521414755456</c:v>
                </c:pt>
                <c:pt idx="9">
                  <c:v>7.713203707890572</c:v>
                </c:pt>
                <c:pt idx="10">
                  <c:v>9.457716069886402</c:v>
                </c:pt>
                <c:pt idx="11">
                  <c:v>9.7571912575566326</c:v>
                </c:pt>
              </c:numCache>
            </c:numRef>
          </c:val>
        </c:ser>
        <c:dLbls>
          <c:showLegendKey val="0"/>
          <c:showVal val="0"/>
          <c:showCatName val="0"/>
          <c:showSerName val="0"/>
          <c:showPercent val="0"/>
          <c:showBubbleSize val="0"/>
        </c:dLbls>
        <c:gapWidth val="75"/>
        <c:overlap val="-25"/>
        <c:axId val="114259456"/>
        <c:axId val="114260992"/>
      </c:barChart>
      <c:lineChart>
        <c:grouping val="standard"/>
        <c:varyColors val="0"/>
        <c:ser>
          <c:idx val="1"/>
          <c:order val="1"/>
          <c:tx>
            <c:v>Required Benchmark</c:v>
          </c:tx>
          <c:marker>
            <c:symbol val="none"/>
          </c:marker>
          <c:val>
            <c:numRef>
              <c:f>'indicators generalfund'!$B$28:$M$28</c:f>
              <c:numCache>
                <c:formatCode>#,##0.00_);[Red]\(#,##0.00\)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ser>
        <c:dLbls>
          <c:showLegendKey val="0"/>
          <c:showVal val="0"/>
          <c:showCatName val="0"/>
          <c:showSerName val="0"/>
          <c:showPercent val="0"/>
          <c:showBubbleSize val="0"/>
        </c:dLbls>
        <c:marker val="1"/>
        <c:smooth val="0"/>
        <c:axId val="114259456"/>
        <c:axId val="114260992"/>
      </c:lineChart>
      <c:catAx>
        <c:axId val="114259456"/>
        <c:scaling>
          <c:orientation val="minMax"/>
        </c:scaling>
        <c:delete val="0"/>
        <c:axPos val="b"/>
        <c:majorTickMark val="none"/>
        <c:minorTickMark val="none"/>
        <c:tickLblPos val="nextTo"/>
        <c:crossAx val="114260992"/>
        <c:crosses val="autoZero"/>
        <c:auto val="1"/>
        <c:lblAlgn val="ctr"/>
        <c:lblOffset val="100"/>
        <c:noMultiLvlLbl val="0"/>
      </c:catAx>
      <c:valAx>
        <c:axId val="114260992"/>
        <c:scaling>
          <c:orientation val="minMax"/>
        </c:scaling>
        <c:delete val="0"/>
        <c:axPos val="l"/>
        <c:majorGridlines/>
        <c:numFmt formatCode="#,##0.00" sourceLinked="1"/>
        <c:majorTickMark val="none"/>
        <c:minorTickMark val="none"/>
        <c:tickLblPos val="nextTo"/>
        <c:crossAx val="1142594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Ratio</a:t>
            </a:r>
            <a:r>
              <a:rPr lang="en-AU"/>
              <a:t> - General Fund with SRV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generalfund'!$B$35:$M$35</c:f>
              <c:numCache>
                <c:formatCode>0.00%</c:formatCode>
                <c:ptCount val="12"/>
                <c:pt idx="0">
                  <c:v>4.8186247969680567E-2</c:v>
                </c:pt>
                <c:pt idx="1">
                  <c:v>5.8459214501510572E-2</c:v>
                </c:pt>
                <c:pt idx="2">
                  <c:v>4.1619078169087463E-2</c:v>
                </c:pt>
                <c:pt idx="3">
                  <c:v>3.8407536219431465E-2</c:v>
                </c:pt>
                <c:pt idx="4">
                  <c:v>4.038585456399011E-2</c:v>
                </c:pt>
                <c:pt idx="5">
                  <c:v>3.8833658634464897E-2</c:v>
                </c:pt>
                <c:pt idx="6">
                  <c:v>3.6251832317522215E-2</c:v>
                </c:pt>
                <c:pt idx="7">
                  <c:v>3.5324152658380334E-2</c:v>
                </c:pt>
                <c:pt idx="8">
                  <c:v>3.0434731419171777E-2</c:v>
                </c:pt>
                <c:pt idx="9">
                  <c:v>2.9067131074820098E-2</c:v>
                </c:pt>
                <c:pt idx="10">
                  <c:v>2.4148009830532401E-2</c:v>
                </c:pt>
                <c:pt idx="11">
                  <c:v>2.3523326426198355E-2</c:v>
                </c:pt>
              </c:numCache>
            </c:numRef>
          </c:val>
        </c:ser>
        <c:dLbls>
          <c:showLegendKey val="0"/>
          <c:showVal val="0"/>
          <c:showCatName val="0"/>
          <c:showSerName val="0"/>
          <c:showPercent val="0"/>
          <c:showBubbleSize val="0"/>
        </c:dLbls>
        <c:gapWidth val="75"/>
        <c:overlap val="-25"/>
        <c:axId val="114295168"/>
        <c:axId val="114296704"/>
      </c:barChart>
      <c:lineChart>
        <c:grouping val="standard"/>
        <c:varyColors val="0"/>
        <c:ser>
          <c:idx val="1"/>
          <c:order val="1"/>
          <c:tx>
            <c:v>Maximim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generalfund'!$B$36:$M$36</c:f>
              <c:numCache>
                <c:formatCode>0.00%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ser>
        <c:dLbls>
          <c:showLegendKey val="0"/>
          <c:showVal val="0"/>
          <c:showCatName val="0"/>
          <c:showSerName val="0"/>
          <c:showPercent val="0"/>
          <c:showBubbleSize val="0"/>
        </c:dLbls>
        <c:marker val="1"/>
        <c:smooth val="0"/>
        <c:axId val="114295168"/>
        <c:axId val="114296704"/>
      </c:lineChart>
      <c:catAx>
        <c:axId val="114295168"/>
        <c:scaling>
          <c:orientation val="minMax"/>
        </c:scaling>
        <c:delete val="0"/>
        <c:axPos val="b"/>
        <c:majorTickMark val="none"/>
        <c:minorTickMark val="none"/>
        <c:tickLblPos val="nextTo"/>
        <c:crossAx val="114296704"/>
        <c:crosses val="autoZero"/>
        <c:auto val="1"/>
        <c:lblAlgn val="ctr"/>
        <c:lblOffset val="100"/>
        <c:noMultiLvlLbl val="0"/>
      </c:catAx>
      <c:valAx>
        <c:axId val="114296704"/>
        <c:scaling>
          <c:orientation val="minMax"/>
        </c:scaling>
        <c:delete val="0"/>
        <c:axPos val="l"/>
        <c:majorGridlines/>
        <c:numFmt formatCode="0.00%" sourceLinked="1"/>
        <c:majorTickMark val="none"/>
        <c:minorTickMark val="none"/>
        <c:tickLblPos val="nextTo"/>
        <c:crossAx val="11429516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Asset Maintenance Ratio</a:t>
            </a:r>
            <a:r>
              <a:rPr lang="en-AU"/>
              <a:t> - General Fund with SRV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generalfund'!$B$43:$M$43</c:f>
              <c:numCache>
                <c:formatCode>#,##0.00</c:formatCode>
                <c:ptCount val="12"/>
                <c:pt idx="0">
                  <c:v>0.85796354992076074</c:v>
                </c:pt>
                <c:pt idx="1">
                  <c:v>1.016989247311828</c:v>
                </c:pt>
                <c:pt idx="2">
                  <c:v>1.0283287914316497</c:v>
                </c:pt>
                <c:pt idx="3">
                  <c:v>1.0395990390191368</c:v>
                </c:pt>
                <c:pt idx="4">
                  <c:v>1.0704370491604533</c:v>
                </c:pt>
                <c:pt idx="5">
                  <c:v>1.110057561898754</c:v>
                </c:pt>
                <c:pt idx="6">
                  <c:v>1.1813985691207016</c:v>
                </c:pt>
                <c:pt idx="7">
                  <c:v>1.1780996697688382</c:v>
                </c:pt>
                <c:pt idx="8">
                  <c:v>1.174891996778209</c:v>
                </c:pt>
                <c:pt idx="9">
                  <c:v>1.1766439261349431</c:v>
                </c:pt>
                <c:pt idx="10">
                  <c:v>1.1785378262536153</c:v>
                </c:pt>
                <c:pt idx="11">
                  <c:v>1.1797242856414354</c:v>
                </c:pt>
              </c:numCache>
            </c:numRef>
          </c:val>
        </c:ser>
        <c:dLbls>
          <c:showLegendKey val="0"/>
          <c:showVal val="0"/>
          <c:showCatName val="0"/>
          <c:showSerName val="0"/>
          <c:showPercent val="0"/>
          <c:showBubbleSize val="0"/>
        </c:dLbls>
        <c:gapWidth val="75"/>
        <c:overlap val="-25"/>
        <c:axId val="114322816"/>
        <c:axId val="114345088"/>
      </c:barChart>
      <c:lineChart>
        <c:grouping val="standard"/>
        <c:varyColors val="0"/>
        <c:ser>
          <c:idx val="1"/>
          <c:order val="1"/>
          <c:tx>
            <c:v>Required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generalfund'!$B$44:$M$44</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114322816"/>
        <c:axId val="114345088"/>
      </c:lineChart>
      <c:catAx>
        <c:axId val="114322816"/>
        <c:scaling>
          <c:orientation val="minMax"/>
        </c:scaling>
        <c:delete val="0"/>
        <c:axPos val="b"/>
        <c:majorTickMark val="none"/>
        <c:minorTickMark val="none"/>
        <c:tickLblPos val="nextTo"/>
        <c:crossAx val="114345088"/>
        <c:crosses val="autoZero"/>
        <c:auto val="1"/>
        <c:lblAlgn val="ctr"/>
        <c:lblOffset val="100"/>
        <c:noMultiLvlLbl val="0"/>
      </c:catAx>
      <c:valAx>
        <c:axId val="114345088"/>
        <c:scaling>
          <c:orientation val="minMax"/>
        </c:scaling>
        <c:delete val="0"/>
        <c:axPos val="l"/>
        <c:majorGridlines/>
        <c:numFmt formatCode="#,##0.00" sourceLinked="1"/>
        <c:majorTickMark val="none"/>
        <c:minorTickMark val="none"/>
        <c:tickLblPos val="nextTo"/>
        <c:crossAx val="11432281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Renewal Ratio</a:t>
            </a:r>
            <a:r>
              <a:rPr lang="en-AU"/>
              <a:t> - General Fund with SRV</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generalfund'!$B$51:$M$51</c:f>
              <c:numCache>
                <c:formatCode>#,##0.00</c:formatCode>
                <c:ptCount val="12"/>
                <c:pt idx="0">
                  <c:v>0.52611333037431574</c:v>
                </c:pt>
                <c:pt idx="1">
                  <c:v>1.6588452787258248</c:v>
                </c:pt>
                <c:pt idx="2">
                  <c:v>1.881254479335333</c:v>
                </c:pt>
                <c:pt idx="3">
                  <c:v>1.2243787697604436</c:v>
                </c:pt>
                <c:pt idx="4">
                  <c:v>0.9890062709791575</c:v>
                </c:pt>
                <c:pt idx="5">
                  <c:v>1.1174242912163641</c:v>
                </c:pt>
                <c:pt idx="6">
                  <c:v>0.90498539708451831</c:v>
                </c:pt>
                <c:pt idx="7">
                  <c:v>0.89343351433261775</c:v>
                </c:pt>
                <c:pt idx="8">
                  <c:v>0.86855463865966487</c:v>
                </c:pt>
                <c:pt idx="9">
                  <c:v>0.84575008046745404</c:v>
                </c:pt>
                <c:pt idx="10">
                  <c:v>0.85668231573528153</c:v>
                </c:pt>
                <c:pt idx="11">
                  <c:v>0.82939912860905129</c:v>
                </c:pt>
              </c:numCache>
            </c:numRef>
          </c:val>
        </c:ser>
        <c:dLbls>
          <c:showLegendKey val="0"/>
          <c:showVal val="0"/>
          <c:showCatName val="0"/>
          <c:showSerName val="0"/>
          <c:showPercent val="0"/>
          <c:showBubbleSize val="0"/>
        </c:dLbls>
        <c:gapWidth val="75"/>
        <c:overlap val="-25"/>
        <c:axId val="114358528"/>
        <c:axId val="114434048"/>
      </c:barChart>
      <c:lineChart>
        <c:grouping val="standard"/>
        <c:varyColors val="0"/>
        <c:ser>
          <c:idx val="1"/>
          <c:order val="1"/>
          <c:tx>
            <c:v>Required Benchmark</c:v>
          </c:tx>
          <c:marker>
            <c:symbol val="none"/>
          </c:marker>
          <c:val>
            <c:numRef>
              <c:f>'indicators generalfund'!$B$52:$M$52</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114358528"/>
        <c:axId val="114434048"/>
      </c:lineChart>
      <c:catAx>
        <c:axId val="114358528"/>
        <c:scaling>
          <c:orientation val="minMax"/>
        </c:scaling>
        <c:delete val="0"/>
        <c:axPos val="b"/>
        <c:majorTickMark val="none"/>
        <c:minorTickMark val="none"/>
        <c:tickLblPos val="nextTo"/>
        <c:crossAx val="114434048"/>
        <c:crosses val="autoZero"/>
        <c:auto val="1"/>
        <c:lblAlgn val="ctr"/>
        <c:lblOffset val="100"/>
        <c:noMultiLvlLbl val="0"/>
      </c:catAx>
      <c:valAx>
        <c:axId val="114434048"/>
        <c:scaling>
          <c:orientation val="minMax"/>
        </c:scaling>
        <c:delete val="0"/>
        <c:axPos val="l"/>
        <c:majorGridlines/>
        <c:numFmt formatCode="#,##0.00" sourceLinked="1"/>
        <c:majorTickMark val="none"/>
        <c:minorTickMark val="none"/>
        <c:tickLblPos val="nextTo"/>
        <c:crossAx val="11435852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Backlog Ratio</a:t>
            </a:r>
            <a:r>
              <a:rPr lang="en-AU"/>
              <a:t> - General Fund with SRV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generalfund'!$B$59:$M$59</c:f>
              <c:numCache>
                <c:formatCode>0.00%</c:formatCode>
                <c:ptCount val="12"/>
                <c:pt idx="0">
                  <c:v>0.10106434080865197</c:v>
                </c:pt>
                <c:pt idx="1">
                  <c:v>0.12686209831879122</c:v>
                </c:pt>
                <c:pt idx="2">
                  <c:v>0.13143515805891093</c:v>
                </c:pt>
                <c:pt idx="3">
                  <c:v>0.13265028144507277</c:v>
                </c:pt>
                <c:pt idx="4">
                  <c:v>0.13915907144006015</c:v>
                </c:pt>
                <c:pt idx="5">
                  <c:v>0.15165668797927143</c:v>
                </c:pt>
                <c:pt idx="6">
                  <c:v>0.15849116411760045</c:v>
                </c:pt>
                <c:pt idx="7">
                  <c:v>0.16541169999117805</c:v>
                </c:pt>
                <c:pt idx="8">
                  <c:v>0.17248656964242884</c:v>
                </c:pt>
                <c:pt idx="9">
                  <c:v>0.17972428986848429</c:v>
                </c:pt>
                <c:pt idx="10">
                  <c:v>0.19025432082323701</c:v>
                </c:pt>
                <c:pt idx="11">
                  <c:v>0.20102198257765544</c:v>
                </c:pt>
              </c:numCache>
            </c:numRef>
          </c:val>
        </c:ser>
        <c:dLbls>
          <c:showLegendKey val="0"/>
          <c:showVal val="0"/>
          <c:showCatName val="0"/>
          <c:showSerName val="0"/>
          <c:showPercent val="0"/>
          <c:showBubbleSize val="0"/>
        </c:dLbls>
        <c:gapWidth val="75"/>
        <c:overlap val="-25"/>
        <c:axId val="114463872"/>
        <c:axId val="114465408"/>
      </c:barChart>
      <c:lineChart>
        <c:grouping val="standard"/>
        <c:varyColors val="0"/>
        <c:ser>
          <c:idx val="1"/>
          <c:order val="1"/>
          <c:tx>
            <c:v>Required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generalfund'!$B$60:$M$60</c:f>
              <c:numCache>
                <c:formatCode>0.00%</c:formatCode>
                <c:ptCount val="12"/>
                <c:pt idx="0">
                  <c:v>0.02</c:v>
                </c:pt>
                <c:pt idx="1">
                  <c:v>0.02</c:v>
                </c:pt>
                <c:pt idx="2">
                  <c:v>0.02</c:v>
                </c:pt>
                <c:pt idx="3">
                  <c:v>0.02</c:v>
                </c:pt>
                <c:pt idx="4">
                  <c:v>0.02</c:v>
                </c:pt>
                <c:pt idx="5">
                  <c:v>0.02</c:v>
                </c:pt>
                <c:pt idx="6">
                  <c:v>0.02</c:v>
                </c:pt>
                <c:pt idx="7">
                  <c:v>0.02</c:v>
                </c:pt>
                <c:pt idx="8">
                  <c:v>0.02</c:v>
                </c:pt>
                <c:pt idx="9">
                  <c:v>0.02</c:v>
                </c:pt>
                <c:pt idx="10">
                  <c:v>0.02</c:v>
                </c:pt>
                <c:pt idx="11">
                  <c:v>0.02</c:v>
                </c:pt>
              </c:numCache>
            </c:numRef>
          </c:val>
          <c:smooth val="0"/>
        </c:ser>
        <c:dLbls>
          <c:showLegendKey val="0"/>
          <c:showVal val="0"/>
          <c:showCatName val="0"/>
          <c:showSerName val="0"/>
          <c:showPercent val="0"/>
          <c:showBubbleSize val="0"/>
        </c:dLbls>
        <c:marker val="1"/>
        <c:smooth val="0"/>
        <c:axId val="114463872"/>
        <c:axId val="114465408"/>
      </c:lineChart>
      <c:catAx>
        <c:axId val="114463872"/>
        <c:scaling>
          <c:orientation val="minMax"/>
        </c:scaling>
        <c:delete val="0"/>
        <c:axPos val="b"/>
        <c:majorTickMark val="none"/>
        <c:minorTickMark val="none"/>
        <c:tickLblPos val="nextTo"/>
        <c:crossAx val="114465408"/>
        <c:crosses val="autoZero"/>
        <c:auto val="1"/>
        <c:lblAlgn val="ctr"/>
        <c:lblOffset val="100"/>
        <c:noMultiLvlLbl val="0"/>
      </c:catAx>
      <c:valAx>
        <c:axId val="114465408"/>
        <c:scaling>
          <c:orientation val="minMax"/>
        </c:scaling>
        <c:delete val="0"/>
        <c:axPos val="l"/>
        <c:majorGridlines/>
        <c:numFmt formatCode="0.00%" sourceLinked="1"/>
        <c:majorTickMark val="none"/>
        <c:minorTickMark val="none"/>
        <c:tickLblPos val="nextTo"/>
        <c:crossAx val="1144638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Operating Performance Ratio - Consolidated</a:t>
            </a:r>
          </a:p>
        </c:rich>
      </c:tx>
      <c:overlay val="0"/>
    </c:title>
    <c:autoTitleDeleted val="0"/>
    <c:plotArea>
      <c:layout/>
      <c:barChart>
        <c:barDir val="col"/>
        <c:grouping val="clustered"/>
        <c:varyColors val="0"/>
        <c:ser>
          <c:idx val="0"/>
          <c:order val="0"/>
          <c:tx>
            <c:v>Benchmark Result</c:v>
          </c:tx>
          <c:invertIfNegative val="0"/>
          <c:val>
            <c:numRef>
              <c:f>'Indicators consolidated'!$B$11:$M$11</c:f>
              <c:numCache>
                <c:formatCode>0.00%</c:formatCode>
                <c:ptCount val="12"/>
                <c:pt idx="0">
                  <c:v>2.5945144551519643E-3</c:v>
                </c:pt>
                <c:pt idx="1">
                  <c:v>2.6055869420560259E-2</c:v>
                </c:pt>
                <c:pt idx="2">
                  <c:v>1.0626746745984015E-2</c:v>
                </c:pt>
                <c:pt idx="3">
                  <c:v>3.7302758271769106E-2</c:v>
                </c:pt>
                <c:pt idx="4">
                  <c:v>2.9713300076806323E-2</c:v>
                </c:pt>
                <c:pt idx="5">
                  <c:v>4.193714554031016E-2</c:v>
                </c:pt>
                <c:pt idx="6">
                  <c:v>5.3604606809316974E-2</c:v>
                </c:pt>
                <c:pt idx="7">
                  <c:v>5.6372587532952906E-2</c:v>
                </c:pt>
                <c:pt idx="8">
                  <c:v>5.6055909144061264E-2</c:v>
                </c:pt>
                <c:pt idx="9">
                  <c:v>5.1625416130685262E-2</c:v>
                </c:pt>
                <c:pt idx="10">
                  <c:v>5.46006311372568E-2</c:v>
                </c:pt>
                <c:pt idx="11">
                  <c:v>5.3201283208337911E-2</c:v>
                </c:pt>
              </c:numCache>
            </c:numRef>
          </c:val>
        </c:ser>
        <c:dLbls>
          <c:showLegendKey val="0"/>
          <c:showVal val="0"/>
          <c:showCatName val="0"/>
          <c:showSerName val="0"/>
          <c:showPercent val="0"/>
          <c:showBubbleSize val="0"/>
        </c:dLbls>
        <c:gapWidth val="75"/>
        <c:overlap val="-25"/>
        <c:axId val="114486656"/>
        <c:axId val="114513024"/>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consolidated'!$B$12:$M$12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14486656"/>
        <c:axId val="114513024"/>
      </c:lineChart>
      <c:catAx>
        <c:axId val="114486656"/>
        <c:scaling>
          <c:orientation val="minMax"/>
        </c:scaling>
        <c:delete val="0"/>
        <c:axPos val="b"/>
        <c:majorTickMark val="none"/>
        <c:minorTickMark val="none"/>
        <c:tickLblPos val="nextTo"/>
        <c:crossAx val="114513024"/>
        <c:crosses val="autoZero"/>
        <c:auto val="1"/>
        <c:lblAlgn val="ctr"/>
        <c:lblOffset val="100"/>
        <c:noMultiLvlLbl val="0"/>
      </c:catAx>
      <c:valAx>
        <c:axId val="114513024"/>
        <c:scaling>
          <c:orientation val="minMax"/>
        </c:scaling>
        <c:delete val="0"/>
        <c:axPos val="l"/>
        <c:majorGridlines/>
        <c:numFmt formatCode="0.00%" sourceLinked="1"/>
        <c:majorTickMark val="none"/>
        <c:minorTickMark val="none"/>
        <c:tickLblPos val="nextTo"/>
        <c:crossAx val="1144866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Own</a:t>
            </a:r>
            <a:r>
              <a:rPr lang="en-AU" baseline="0"/>
              <a:t> Source Revenue</a:t>
            </a:r>
            <a:r>
              <a:rPr lang="en-AU"/>
              <a:t> - Consolidated </a:t>
            </a:r>
          </a:p>
        </c:rich>
      </c:tx>
      <c:overlay val="0"/>
    </c:title>
    <c:autoTitleDeleted val="0"/>
    <c:plotArea>
      <c:layout/>
      <c:barChart>
        <c:barDir val="col"/>
        <c:grouping val="clustered"/>
        <c:varyColors val="0"/>
        <c:ser>
          <c:idx val="0"/>
          <c:order val="0"/>
          <c:tx>
            <c:v>Benchmark Result</c:v>
          </c:tx>
          <c:invertIfNegative val="0"/>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consolidated'!$B$19:$M$19</c:f>
              <c:numCache>
                <c:formatCode>0.00%</c:formatCode>
                <c:ptCount val="12"/>
                <c:pt idx="0">
                  <c:v>0.72014454111703619</c:v>
                </c:pt>
                <c:pt idx="1">
                  <c:v>0.72114157806379409</c:v>
                </c:pt>
                <c:pt idx="2">
                  <c:v>0.73501527119995469</c:v>
                </c:pt>
                <c:pt idx="3">
                  <c:v>0.86873543215271065</c:v>
                </c:pt>
                <c:pt idx="4">
                  <c:v>0.88367054003742962</c:v>
                </c:pt>
                <c:pt idx="5">
                  <c:v>0.88419353393310618</c:v>
                </c:pt>
                <c:pt idx="6">
                  <c:v>0.88861373015882361</c:v>
                </c:pt>
                <c:pt idx="7">
                  <c:v>0.89009027423717513</c:v>
                </c:pt>
                <c:pt idx="8">
                  <c:v>0.89601763807912305</c:v>
                </c:pt>
                <c:pt idx="9">
                  <c:v>0.89623655488635301</c:v>
                </c:pt>
                <c:pt idx="10">
                  <c:v>0.89646253953687827</c:v>
                </c:pt>
                <c:pt idx="11">
                  <c:v>0.90058141384838031</c:v>
                </c:pt>
              </c:numCache>
            </c:numRef>
          </c:val>
        </c:ser>
        <c:dLbls>
          <c:showLegendKey val="0"/>
          <c:showVal val="0"/>
          <c:showCatName val="0"/>
          <c:showSerName val="0"/>
          <c:showPercent val="0"/>
          <c:showBubbleSize val="0"/>
        </c:dLbls>
        <c:gapWidth val="75"/>
        <c:overlap val="-25"/>
        <c:axId val="114546944"/>
        <c:axId val="147980288"/>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consolidated'!$B$20:$M$20</c:f>
              <c:numCache>
                <c:formatCode>0.00%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dLbls>
          <c:showLegendKey val="0"/>
          <c:showVal val="0"/>
          <c:showCatName val="0"/>
          <c:showSerName val="0"/>
          <c:showPercent val="0"/>
          <c:showBubbleSize val="0"/>
        </c:dLbls>
        <c:marker val="1"/>
        <c:smooth val="0"/>
        <c:axId val="114546944"/>
        <c:axId val="147980288"/>
      </c:lineChart>
      <c:catAx>
        <c:axId val="114546944"/>
        <c:scaling>
          <c:orientation val="minMax"/>
        </c:scaling>
        <c:delete val="0"/>
        <c:axPos val="b"/>
        <c:majorTickMark val="none"/>
        <c:minorTickMark val="none"/>
        <c:tickLblPos val="nextTo"/>
        <c:crossAx val="147980288"/>
        <c:crosses val="autoZero"/>
        <c:auto val="1"/>
        <c:lblAlgn val="ctr"/>
        <c:lblOffset val="100"/>
        <c:noMultiLvlLbl val="0"/>
      </c:catAx>
      <c:valAx>
        <c:axId val="147980288"/>
        <c:scaling>
          <c:orientation val="minMax"/>
        </c:scaling>
        <c:delete val="0"/>
        <c:axPos val="l"/>
        <c:majorGridlines/>
        <c:numFmt formatCode="0.00%" sourceLinked="1"/>
        <c:majorTickMark val="none"/>
        <c:minorTickMark val="none"/>
        <c:tickLblPos val="nextTo"/>
        <c:crossAx val="1145469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Cover Ratio</a:t>
            </a:r>
            <a:r>
              <a:rPr lang="en-AU"/>
              <a:t> - Consolidated </a:t>
            </a:r>
          </a:p>
        </c:rich>
      </c:tx>
      <c:overlay val="0"/>
    </c:title>
    <c:autoTitleDeleted val="0"/>
    <c:plotArea>
      <c:layout/>
      <c:barChart>
        <c:barDir val="col"/>
        <c:grouping val="clustered"/>
        <c:varyColors val="0"/>
        <c:ser>
          <c:idx val="0"/>
          <c:order val="0"/>
          <c:tx>
            <c:v>Benchmark Result</c:v>
          </c:tx>
          <c:invertIfNegative val="0"/>
          <c:val>
            <c:numRef>
              <c:f>'Indicators consolidated'!$B$27:$M$27</c:f>
              <c:numCache>
                <c:formatCode>#,##0.00</c:formatCode>
                <c:ptCount val="12"/>
                <c:pt idx="0">
                  <c:v>2.1683919114106884</c:v>
                </c:pt>
                <c:pt idx="1">
                  <c:v>2.376401179941003</c:v>
                </c:pt>
                <c:pt idx="2">
                  <c:v>2.4692518172521489</c:v>
                </c:pt>
                <c:pt idx="3">
                  <c:v>2.8295527270141507</c:v>
                </c:pt>
                <c:pt idx="4">
                  <c:v>2.7076296027469922</c:v>
                </c:pt>
                <c:pt idx="5">
                  <c:v>2.8494495106761564</c:v>
                </c:pt>
                <c:pt idx="6">
                  <c:v>3.0067581778157906</c:v>
                </c:pt>
                <c:pt idx="7">
                  <c:v>3.0434276416377943</c:v>
                </c:pt>
                <c:pt idx="8">
                  <c:v>3.1334574707961771</c:v>
                </c:pt>
                <c:pt idx="9">
                  <c:v>3.0948360379870938</c:v>
                </c:pt>
                <c:pt idx="10">
                  <c:v>3.5265112747201957</c:v>
                </c:pt>
                <c:pt idx="11">
                  <c:v>3.5060087820660968</c:v>
                </c:pt>
              </c:numCache>
            </c:numRef>
          </c:val>
        </c:ser>
        <c:dLbls>
          <c:showLegendKey val="0"/>
          <c:showVal val="0"/>
          <c:showCatName val="0"/>
          <c:showSerName val="0"/>
          <c:showPercent val="0"/>
          <c:showBubbleSize val="0"/>
        </c:dLbls>
        <c:gapWidth val="75"/>
        <c:overlap val="-25"/>
        <c:axId val="148001920"/>
        <c:axId val="148003456"/>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consolidated'!$B$28:$M$28</c:f>
              <c:numCache>
                <c:formatCode>#,##0.00_);[Red]\(#,##0.00\)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ser>
        <c:dLbls>
          <c:showLegendKey val="0"/>
          <c:showVal val="0"/>
          <c:showCatName val="0"/>
          <c:showSerName val="0"/>
          <c:showPercent val="0"/>
          <c:showBubbleSize val="0"/>
        </c:dLbls>
        <c:marker val="1"/>
        <c:smooth val="0"/>
        <c:axId val="148001920"/>
        <c:axId val="148003456"/>
      </c:lineChart>
      <c:catAx>
        <c:axId val="148001920"/>
        <c:scaling>
          <c:orientation val="minMax"/>
        </c:scaling>
        <c:delete val="0"/>
        <c:axPos val="b"/>
        <c:majorTickMark val="none"/>
        <c:minorTickMark val="none"/>
        <c:tickLblPos val="nextTo"/>
        <c:crossAx val="148003456"/>
        <c:crosses val="autoZero"/>
        <c:auto val="1"/>
        <c:lblAlgn val="ctr"/>
        <c:lblOffset val="100"/>
        <c:noMultiLvlLbl val="0"/>
      </c:catAx>
      <c:valAx>
        <c:axId val="148003456"/>
        <c:scaling>
          <c:orientation val="minMax"/>
        </c:scaling>
        <c:delete val="0"/>
        <c:axPos val="l"/>
        <c:majorGridlines/>
        <c:numFmt formatCode="#,##0.00" sourceLinked="1"/>
        <c:majorTickMark val="none"/>
        <c:minorTickMark val="none"/>
        <c:tickLblPos val="nextTo"/>
        <c:crossAx val="1480019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Ratio</a:t>
            </a:r>
            <a:r>
              <a:rPr lang="en-AU"/>
              <a:t> - Consolidated </a:t>
            </a:r>
          </a:p>
        </c:rich>
      </c:tx>
      <c:overlay val="0"/>
    </c:title>
    <c:autoTitleDeleted val="0"/>
    <c:plotArea>
      <c:layout/>
      <c:barChart>
        <c:barDir val="col"/>
        <c:grouping val="clustered"/>
        <c:varyColors val="0"/>
        <c:ser>
          <c:idx val="0"/>
          <c:order val="0"/>
          <c:tx>
            <c:v>Benchmark Result</c:v>
          </c:tx>
          <c:invertIfNegative val="0"/>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consolidated'!$B$35:$M$35</c:f>
              <c:numCache>
                <c:formatCode>0.00%</c:formatCode>
                <c:ptCount val="12"/>
                <c:pt idx="0">
                  <c:v>0.10618337977045576</c:v>
                </c:pt>
                <c:pt idx="1">
                  <c:v>0.110577613089258</c:v>
                </c:pt>
                <c:pt idx="2">
                  <c:v>9.846000615017865E-2</c:v>
                </c:pt>
                <c:pt idx="3">
                  <c:v>9.312776310596288E-2</c:v>
                </c:pt>
                <c:pt idx="4">
                  <c:v>9.3900319545767913E-2</c:v>
                </c:pt>
                <c:pt idx="5">
                  <c:v>9.1045435388192292E-2</c:v>
                </c:pt>
                <c:pt idx="6">
                  <c:v>8.7757010495748786E-2</c:v>
                </c:pt>
                <c:pt idx="7">
                  <c:v>8.6171322479774978E-2</c:v>
                </c:pt>
                <c:pt idx="8">
                  <c:v>8.2022589890630188E-2</c:v>
                </c:pt>
                <c:pt idx="9">
                  <c:v>8.0135131807452423E-2</c:v>
                </c:pt>
                <c:pt idx="10">
                  <c:v>6.9793780106618186E-2</c:v>
                </c:pt>
                <c:pt idx="11">
                  <c:v>6.8597065561165849E-2</c:v>
                </c:pt>
              </c:numCache>
            </c:numRef>
          </c:val>
        </c:ser>
        <c:dLbls>
          <c:showLegendKey val="0"/>
          <c:showVal val="0"/>
          <c:showCatName val="0"/>
          <c:showSerName val="0"/>
          <c:showPercent val="0"/>
          <c:showBubbleSize val="0"/>
        </c:dLbls>
        <c:gapWidth val="75"/>
        <c:overlap val="-25"/>
        <c:axId val="149164032"/>
        <c:axId val="149165568"/>
      </c:barChart>
      <c:lineChart>
        <c:grouping val="standard"/>
        <c:varyColors val="0"/>
        <c:ser>
          <c:idx val="1"/>
          <c:order val="1"/>
          <c:tx>
            <c:v>Required Benchmark</c:v>
          </c:tx>
          <c:marker>
            <c:symbol val="none"/>
          </c:marker>
          <c:val>
            <c:numRef>
              <c:f>'Indicators consolidated'!$B$36:$M$36</c:f>
              <c:numCache>
                <c:formatCode>0.00%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ser>
        <c:dLbls>
          <c:showLegendKey val="0"/>
          <c:showVal val="0"/>
          <c:showCatName val="0"/>
          <c:showSerName val="0"/>
          <c:showPercent val="0"/>
          <c:showBubbleSize val="0"/>
        </c:dLbls>
        <c:marker val="1"/>
        <c:smooth val="0"/>
        <c:axId val="149164032"/>
        <c:axId val="149165568"/>
      </c:lineChart>
      <c:catAx>
        <c:axId val="149164032"/>
        <c:scaling>
          <c:orientation val="minMax"/>
        </c:scaling>
        <c:delete val="0"/>
        <c:axPos val="b"/>
        <c:majorTickMark val="none"/>
        <c:minorTickMark val="none"/>
        <c:tickLblPos val="nextTo"/>
        <c:crossAx val="149165568"/>
        <c:crosses val="autoZero"/>
        <c:auto val="1"/>
        <c:lblAlgn val="ctr"/>
        <c:lblOffset val="100"/>
        <c:noMultiLvlLbl val="0"/>
      </c:catAx>
      <c:valAx>
        <c:axId val="149165568"/>
        <c:scaling>
          <c:orientation val="minMax"/>
        </c:scaling>
        <c:delete val="0"/>
        <c:axPos val="l"/>
        <c:majorGridlines/>
        <c:numFmt formatCode="0.00%" sourceLinked="1"/>
        <c:majorTickMark val="none"/>
        <c:minorTickMark val="none"/>
        <c:tickLblPos val="nextTo"/>
        <c:crossAx val="1491640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Asset Maintenance Ratio</a:t>
            </a:r>
            <a:r>
              <a:rPr lang="en-AU"/>
              <a:t> - Consolidated </a:t>
            </a:r>
          </a:p>
        </c:rich>
      </c:tx>
      <c:overlay val="0"/>
    </c:title>
    <c:autoTitleDeleted val="0"/>
    <c:plotArea>
      <c:layout/>
      <c:barChart>
        <c:barDir val="col"/>
        <c:grouping val="clustered"/>
        <c:varyColors val="0"/>
        <c:ser>
          <c:idx val="0"/>
          <c:order val="0"/>
          <c:tx>
            <c:v>Benchmark Result</c:v>
          </c:tx>
          <c:invertIfNegative val="0"/>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consolidated'!$B$43:$M$43</c:f>
              <c:numCache>
                <c:formatCode>#,##0.00</c:formatCode>
                <c:ptCount val="12"/>
                <c:pt idx="0">
                  <c:v>0.9069314641744548</c:v>
                </c:pt>
                <c:pt idx="1">
                  <c:v>1.007635063303373</c:v>
                </c:pt>
                <c:pt idx="2">
                  <c:v>0.94395815136900463</c:v>
                </c:pt>
                <c:pt idx="3">
                  <c:v>0.94666741127523524</c:v>
                </c:pt>
                <c:pt idx="4">
                  <c:v>0.95817480136208855</c:v>
                </c:pt>
                <c:pt idx="5">
                  <c:v>0.97365297046368648</c:v>
                </c:pt>
                <c:pt idx="6">
                  <c:v>1.0033794295592049</c:v>
                </c:pt>
                <c:pt idx="7">
                  <c:v>0.99957838995556225</c:v>
                </c:pt>
                <c:pt idx="8">
                  <c:v>0.99586205761858537</c:v>
                </c:pt>
                <c:pt idx="9">
                  <c:v>0.99667728757514229</c:v>
                </c:pt>
                <c:pt idx="10">
                  <c:v>0.99753351290403403</c:v>
                </c:pt>
                <c:pt idx="11">
                  <c:v>0.99806730071425842</c:v>
                </c:pt>
              </c:numCache>
            </c:numRef>
          </c:val>
        </c:ser>
        <c:dLbls>
          <c:showLegendKey val="0"/>
          <c:showVal val="0"/>
          <c:showCatName val="0"/>
          <c:showSerName val="0"/>
          <c:showPercent val="0"/>
          <c:showBubbleSize val="0"/>
        </c:dLbls>
        <c:gapWidth val="75"/>
        <c:overlap val="-25"/>
        <c:axId val="149195392"/>
        <c:axId val="149201280"/>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consolidated'!$B$44:$M$44</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149195392"/>
        <c:axId val="149201280"/>
      </c:lineChart>
      <c:catAx>
        <c:axId val="149195392"/>
        <c:scaling>
          <c:orientation val="minMax"/>
        </c:scaling>
        <c:delete val="0"/>
        <c:axPos val="b"/>
        <c:majorTickMark val="none"/>
        <c:minorTickMark val="none"/>
        <c:tickLblPos val="nextTo"/>
        <c:crossAx val="149201280"/>
        <c:crosses val="autoZero"/>
        <c:auto val="1"/>
        <c:lblAlgn val="ctr"/>
        <c:lblOffset val="100"/>
        <c:noMultiLvlLbl val="0"/>
      </c:catAx>
      <c:valAx>
        <c:axId val="149201280"/>
        <c:scaling>
          <c:orientation val="minMax"/>
        </c:scaling>
        <c:delete val="0"/>
        <c:axPos val="l"/>
        <c:majorGridlines/>
        <c:numFmt formatCode="#,##0.00" sourceLinked="1"/>
        <c:majorTickMark val="none"/>
        <c:minorTickMark val="none"/>
        <c:tickLblPos val="nextTo"/>
        <c:crossAx val="149195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Renewal Ratio</a:t>
            </a:r>
            <a:r>
              <a:rPr lang="en-AU"/>
              <a:t> - Consolidated </a:t>
            </a:r>
          </a:p>
        </c:rich>
      </c:tx>
      <c:overlay val="0"/>
    </c:title>
    <c:autoTitleDeleted val="0"/>
    <c:plotArea>
      <c:layout/>
      <c:barChart>
        <c:barDir val="col"/>
        <c:grouping val="clustered"/>
        <c:varyColors val="0"/>
        <c:ser>
          <c:idx val="0"/>
          <c:order val="0"/>
          <c:tx>
            <c:v>Benchmark Result</c:v>
          </c:tx>
          <c:invertIfNegative val="0"/>
          <c:val>
            <c:numRef>
              <c:f>'Indicators consolidated'!$B$51:$M$51</c:f>
              <c:numCache>
                <c:formatCode>#,##0.00</c:formatCode>
                <c:ptCount val="12"/>
                <c:pt idx="0">
                  <c:v>0.37461746174617461</c:v>
                </c:pt>
                <c:pt idx="1">
                  <c:v>1.3679615888258403</c:v>
                </c:pt>
                <c:pt idx="2">
                  <c:v>2.2716206905351264</c:v>
                </c:pt>
                <c:pt idx="3">
                  <c:v>1.1026151293626196</c:v>
                </c:pt>
                <c:pt idx="4">
                  <c:v>0.69054250573274967</c:v>
                </c:pt>
                <c:pt idx="5">
                  <c:v>1.7362914650859436</c:v>
                </c:pt>
                <c:pt idx="6">
                  <c:v>0.77088158120601291</c:v>
                </c:pt>
                <c:pt idx="7">
                  <c:v>0.740223457809288</c:v>
                </c:pt>
                <c:pt idx="8">
                  <c:v>0.7351444002820694</c:v>
                </c:pt>
                <c:pt idx="9">
                  <c:v>0.73479276091337531</c:v>
                </c:pt>
                <c:pt idx="10">
                  <c:v>0.84554845906687726</c:v>
                </c:pt>
                <c:pt idx="11">
                  <c:v>1.6297545229687476</c:v>
                </c:pt>
              </c:numCache>
            </c:numRef>
          </c:val>
        </c:ser>
        <c:dLbls>
          <c:showLegendKey val="0"/>
          <c:showVal val="0"/>
          <c:showCatName val="0"/>
          <c:showSerName val="0"/>
          <c:showPercent val="0"/>
          <c:showBubbleSize val="0"/>
        </c:dLbls>
        <c:gapWidth val="75"/>
        <c:overlap val="-25"/>
        <c:axId val="151078400"/>
        <c:axId val="151079936"/>
      </c:barChart>
      <c:lineChart>
        <c:grouping val="standard"/>
        <c:varyColors val="0"/>
        <c:ser>
          <c:idx val="1"/>
          <c:order val="1"/>
          <c:tx>
            <c:v>Benchmark Required</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consolidated'!$B$52:$M$52</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151078400"/>
        <c:axId val="151079936"/>
      </c:lineChart>
      <c:catAx>
        <c:axId val="151078400"/>
        <c:scaling>
          <c:orientation val="minMax"/>
        </c:scaling>
        <c:delete val="0"/>
        <c:axPos val="b"/>
        <c:majorTickMark val="none"/>
        <c:minorTickMark val="none"/>
        <c:tickLblPos val="nextTo"/>
        <c:crossAx val="151079936"/>
        <c:crosses val="autoZero"/>
        <c:auto val="1"/>
        <c:lblAlgn val="ctr"/>
        <c:lblOffset val="100"/>
        <c:noMultiLvlLbl val="0"/>
      </c:catAx>
      <c:valAx>
        <c:axId val="151079936"/>
        <c:scaling>
          <c:orientation val="minMax"/>
        </c:scaling>
        <c:delete val="0"/>
        <c:axPos val="l"/>
        <c:majorGridlines/>
        <c:numFmt formatCode="#,##0.00" sourceLinked="1"/>
        <c:majorTickMark val="none"/>
        <c:minorTickMark val="none"/>
        <c:tickLblPos val="nextTo"/>
        <c:crossAx val="1510784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Backlog Ratio</a:t>
            </a:r>
            <a:r>
              <a:rPr lang="en-AU"/>
              <a:t> - Consolidated </a:t>
            </a:r>
          </a:p>
        </c:rich>
      </c:tx>
      <c:overlay val="0"/>
    </c:title>
    <c:autoTitleDeleted val="0"/>
    <c:plotArea>
      <c:layout/>
      <c:barChart>
        <c:barDir val="col"/>
        <c:grouping val="clustered"/>
        <c:varyColors val="0"/>
        <c:ser>
          <c:idx val="0"/>
          <c:order val="0"/>
          <c:tx>
            <c:v>Benckmark Result</c:v>
          </c:tx>
          <c:invertIfNegative val="0"/>
          <c:val>
            <c:numRef>
              <c:f>'Indicators consolidated'!$B$59:$M$59</c:f>
              <c:numCache>
                <c:formatCode>0.00%</c:formatCode>
                <c:ptCount val="12"/>
                <c:pt idx="0">
                  <c:v>6.2733346538111759E-2</c:v>
                </c:pt>
                <c:pt idx="1">
                  <c:v>7.9180303712666322E-2</c:v>
                </c:pt>
                <c:pt idx="2">
                  <c:v>8.1322693480073829E-2</c:v>
                </c:pt>
                <c:pt idx="3">
                  <c:v>8.2328538454327999E-2</c:v>
                </c:pt>
                <c:pt idx="4">
                  <c:v>8.6992841998328185E-2</c:v>
                </c:pt>
                <c:pt idx="5">
                  <c:v>9.3400008433027149E-2</c:v>
                </c:pt>
                <c:pt idx="6">
                  <c:v>9.7919905434151078E-2</c:v>
                </c:pt>
                <c:pt idx="7">
                  <c:v>0.10257457496922566</c:v>
                </c:pt>
                <c:pt idx="8">
                  <c:v>0.10731046531524605</c:v>
                </c:pt>
                <c:pt idx="9">
                  <c:v>0.11211872366621671</c:v>
                </c:pt>
                <c:pt idx="10">
                  <c:v>0.11871006337627368</c:v>
                </c:pt>
                <c:pt idx="11">
                  <c:v>0.12281503248749547</c:v>
                </c:pt>
              </c:numCache>
            </c:numRef>
          </c:val>
        </c:ser>
        <c:dLbls>
          <c:showLegendKey val="0"/>
          <c:showVal val="0"/>
          <c:showCatName val="0"/>
          <c:showSerName val="0"/>
          <c:showPercent val="0"/>
          <c:showBubbleSize val="0"/>
        </c:dLbls>
        <c:gapWidth val="75"/>
        <c:overlap val="-25"/>
        <c:axId val="151110016"/>
        <c:axId val="151111552"/>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consolidated'!$B$60:$M$60</c:f>
              <c:numCache>
                <c:formatCode>0.00%</c:formatCode>
                <c:ptCount val="12"/>
                <c:pt idx="0">
                  <c:v>0.02</c:v>
                </c:pt>
                <c:pt idx="1">
                  <c:v>0.02</c:v>
                </c:pt>
                <c:pt idx="2">
                  <c:v>0.02</c:v>
                </c:pt>
                <c:pt idx="3">
                  <c:v>0.02</c:v>
                </c:pt>
                <c:pt idx="4">
                  <c:v>0.02</c:v>
                </c:pt>
                <c:pt idx="5">
                  <c:v>0.02</c:v>
                </c:pt>
                <c:pt idx="6">
                  <c:v>0.02</c:v>
                </c:pt>
                <c:pt idx="7">
                  <c:v>0.02</c:v>
                </c:pt>
                <c:pt idx="8">
                  <c:v>0.02</c:v>
                </c:pt>
                <c:pt idx="9">
                  <c:v>0.02</c:v>
                </c:pt>
                <c:pt idx="10">
                  <c:v>0.02</c:v>
                </c:pt>
                <c:pt idx="11">
                  <c:v>0.02</c:v>
                </c:pt>
              </c:numCache>
            </c:numRef>
          </c:val>
          <c:smooth val="0"/>
        </c:ser>
        <c:dLbls>
          <c:showLegendKey val="0"/>
          <c:showVal val="0"/>
          <c:showCatName val="0"/>
          <c:showSerName val="0"/>
          <c:showPercent val="0"/>
          <c:showBubbleSize val="0"/>
        </c:dLbls>
        <c:marker val="1"/>
        <c:smooth val="0"/>
        <c:axId val="151110016"/>
        <c:axId val="151111552"/>
      </c:lineChart>
      <c:catAx>
        <c:axId val="151110016"/>
        <c:scaling>
          <c:orientation val="minMax"/>
        </c:scaling>
        <c:delete val="0"/>
        <c:axPos val="b"/>
        <c:majorTickMark val="none"/>
        <c:minorTickMark val="none"/>
        <c:tickLblPos val="nextTo"/>
        <c:crossAx val="151111552"/>
        <c:crosses val="autoZero"/>
        <c:auto val="1"/>
        <c:lblAlgn val="ctr"/>
        <c:lblOffset val="100"/>
        <c:noMultiLvlLbl val="0"/>
      </c:catAx>
      <c:valAx>
        <c:axId val="151111552"/>
        <c:scaling>
          <c:orientation val="minMax"/>
        </c:scaling>
        <c:delete val="0"/>
        <c:axPos val="l"/>
        <c:majorGridlines/>
        <c:numFmt formatCode="0.00%" sourceLinked="1"/>
        <c:majorTickMark val="none"/>
        <c:minorTickMark val="none"/>
        <c:tickLblPos val="nextTo"/>
        <c:crossAx val="1511100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123824</xdr:colOff>
      <xdr:row>93</xdr:row>
      <xdr:rowOff>4762</xdr:rowOff>
    </xdr:from>
    <xdr:to>
      <xdr:col>0</xdr:col>
      <xdr:colOff>5372099</xdr:colOff>
      <xdr:row>116</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123824</xdr:colOff>
      <xdr:row>92</xdr:row>
      <xdr:rowOff>157162</xdr:rowOff>
    </xdr:from>
    <xdr:to>
      <xdr:col>7</xdr:col>
      <xdr:colOff>285749</xdr:colOff>
      <xdr:row>116</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118</xdr:row>
      <xdr:rowOff>9525</xdr:rowOff>
    </xdr:from>
    <xdr:to>
      <xdr:col>0</xdr:col>
      <xdr:colOff>5353050</xdr:colOff>
      <xdr:row>141</xdr:row>
      <xdr:rowOff>119063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118</xdr:row>
      <xdr:rowOff>9525</xdr:rowOff>
    </xdr:from>
    <xdr:to>
      <xdr:col>7</xdr:col>
      <xdr:colOff>247650</xdr:colOff>
      <xdr:row>141</xdr:row>
      <xdr:rowOff>119063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0</xdr:col>
      <xdr:colOff>5248275</xdr:colOff>
      <xdr:row>166</xdr:row>
      <xdr:rowOff>109538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143</xdr:row>
      <xdr:rowOff>0</xdr:rowOff>
    </xdr:from>
    <xdr:to>
      <xdr:col>7</xdr:col>
      <xdr:colOff>161925</xdr:colOff>
      <xdr:row>166</xdr:row>
      <xdr:rowOff>109538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168</xdr:row>
      <xdr:rowOff>0</xdr:rowOff>
    </xdr:from>
    <xdr:to>
      <xdr:col>0</xdr:col>
      <xdr:colOff>5248275</xdr:colOff>
      <xdr:row>191</xdr:row>
      <xdr:rowOff>109538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63</xdr:row>
      <xdr:rowOff>4762</xdr:rowOff>
    </xdr:from>
    <xdr:to>
      <xdr:col>0</xdr:col>
      <xdr:colOff>5372099</xdr:colOff>
      <xdr:row>86</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123824</xdr:colOff>
      <xdr:row>62</xdr:row>
      <xdr:rowOff>157162</xdr:rowOff>
    </xdr:from>
    <xdr:to>
      <xdr:col>7</xdr:col>
      <xdr:colOff>285749</xdr:colOff>
      <xdr:row>86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88</xdr:row>
      <xdr:rowOff>9525</xdr:rowOff>
    </xdr:from>
    <xdr:to>
      <xdr:col>0</xdr:col>
      <xdr:colOff>5353050</xdr:colOff>
      <xdr:row>111</xdr:row>
      <xdr:rowOff>119063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88</xdr:row>
      <xdr:rowOff>9525</xdr:rowOff>
    </xdr:from>
    <xdr:to>
      <xdr:col>7</xdr:col>
      <xdr:colOff>247650</xdr:colOff>
      <xdr:row>111</xdr:row>
      <xdr:rowOff>119063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113</xdr:row>
      <xdr:rowOff>0</xdr:rowOff>
    </xdr:from>
    <xdr:to>
      <xdr:col>0</xdr:col>
      <xdr:colOff>5248275</xdr:colOff>
      <xdr:row>136</xdr:row>
      <xdr:rowOff>109538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113</xdr:row>
      <xdr:rowOff>0</xdr:rowOff>
    </xdr:from>
    <xdr:to>
      <xdr:col>7</xdr:col>
      <xdr:colOff>161925</xdr:colOff>
      <xdr:row>136</xdr:row>
      <xdr:rowOff>109538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138</xdr:row>
      <xdr:rowOff>0</xdr:rowOff>
    </xdr:from>
    <xdr:to>
      <xdr:col>0</xdr:col>
      <xdr:colOff>5248275</xdr:colOff>
      <xdr:row>161</xdr:row>
      <xdr:rowOff>109538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M73-User-Preferences/TRIM/TEMP/HPTRIM.5836/E2015%2078102%20%202016-2017%20Integrated%20Corporate%20Planning%20Template-Local%20Roads%20and%20Drainage-Manager%20Works%20(IPR_2016%202017%20Toolk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IM73-User-Preferences/TRIM/TEMP/HPTRIM.14824/E2016%208562%20%202016-2017%20Integrated%20Corporate%20Planning%20Template-Open%20~%20Manager%20Open%20Space%20and%20Resource%20Recovery%20(IPR_2016%202017%20Toolkit)%20(Second%20New%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3"/>
      <sheetName val="Operating Budget"/>
      <sheetName val="Capital Budget"/>
      <sheetName val="Operational Plan"/>
      <sheetName val="Procurement Plan"/>
      <sheetName val="IT Proposal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3"/>
      <sheetName val="Operating Budget 3301.1"/>
      <sheetName val="Operating Budget 3305.2"/>
      <sheetName val="Operating Budget 3311.2"/>
      <sheetName val="Operating Budget 3321.1"/>
      <sheetName val="Operating Budget 3321.8"/>
      <sheetName val="Operating Budget 3321.9"/>
      <sheetName val="Operating Budget 3321.11"/>
      <sheetName val="Operating Budget 3321.95"/>
      <sheetName val="Operating Budget 1204.2"/>
      <sheetName val="Operating Budget 1204.4"/>
      <sheetName val="Operating Budget 1204.5"/>
      <sheetName val="Operating Street Sweeper"/>
      <sheetName val="Operating Byron Crew"/>
      <sheetName val="Capital Budget"/>
      <sheetName val="Operational Plan"/>
      <sheetName val="Procurement Plan"/>
      <sheetName val="IT Proposa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topLeftCell="B1" workbookViewId="0">
      <selection activeCell="C14" sqref="C14:K14"/>
    </sheetView>
  </sheetViews>
  <sheetFormatPr defaultRowHeight="15" x14ac:dyDescent="0.25"/>
  <cols>
    <col min="1" max="1" width="43.5703125" customWidth="1"/>
    <col min="2" max="11" width="10.7109375" customWidth="1"/>
  </cols>
  <sheetData>
    <row r="1" spans="1:11" ht="21" x14ac:dyDescent="0.35">
      <c r="A1" s="473" t="s">
        <v>0</v>
      </c>
      <c r="B1" s="474"/>
      <c r="C1" s="474"/>
      <c r="D1" s="474"/>
      <c r="E1" s="474"/>
      <c r="F1" s="474"/>
      <c r="G1" s="474"/>
      <c r="H1" s="474"/>
      <c r="I1" s="474"/>
      <c r="J1" s="474"/>
      <c r="K1" s="475"/>
    </row>
    <row r="2" spans="1:11" ht="21" x14ac:dyDescent="0.35">
      <c r="A2" s="476" t="s">
        <v>4565</v>
      </c>
      <c r="B2" s="477"/>
      <c r="C2" s="477"/>
      <c r="D2" s="477"/>
      <c r="E2" s="477"/>
      <c r="F2" s="477"/>
      <c r="G2" s="477"/>
      <c r="H2" s="477"/>
      <c r="I2" s="477"/>
      <c r="J2" s="477"/>
      <c r="K2" s="478"/>
    </row>
    <row r="3" spans="1:11" x14ac:dyDescent="0.25">
      <c r="A3" s="3"/>
      <c r="B3" s="1" t="s">
        <v>14</v>
      </c>
      <c r="C3" s="1" t="s">
        <v>1</v>
      </c>
      <c r="D3" s="1" t="s">
        <v>2</v>
      </c>
      <c r="E3" s="1" t="s">
        <v>3</v>
      </c>
      <c r="F3" s="1" t="s">
        <v>4</v>
      </c>
      <c r="G3" s="1" t="s">
        <v>5</v>
      </c>
      <c r="H3" s="1" t="s">
        <v>6</v>
      </c>
      <c r="I3" s="1" t="s">
        <v>7</v>
      </c>
      <c r="J3" s="1" t="s">
        <v>8</v>
      </c>
      <c r="K3" s="4" t="s">
        <v>9</v>
      </c>
    </row>
    <row r="4" spans="1:11" x14ac:dyDescent="0.25">
      <c r="A4" s="5" t="s">
        <v>10</v>
      </c>
      <c r="B4" s="2" t="s">
        <v>11</v>
      </c>
      <c r="C4" s="2" t="s">
        <v>12</v>
      </c>
      <c r="D4" s="2" t="s">
        <v>13</v>
      </c>
      <c r="E4" s="2" t="s">
        <v>15</v>
      </c>
      <c r="F4" s="2" t="s">
        <v>16</v>
      </c>
      <c r="G4" s="2" t="s">
        <v>17</v>
      </c>
      <c r="H4" s="2" t="s">
        <v>18</v>
      </c>
      <c r="I4" s="2" t="s">
        <v>19</v>
      </c>
      <c r="J4" s="2" t="s">
        <v>20</v>
      </c>
      <c r="K4" s="6" t="s">
        <v>21</v>
      </c>
    </row>
    <row r="5" spans="1:11" x14ac:dyDescent="0.25">
      <c r="A5" s="7" t="s">
        <v>4584</v>
      </c>
      <c r="B5" s="265">
        <v>1.7999999999999999E-2</v>
      </c>
      <c r="C5" s="265">
        <v>7.4999999999999997E-2</v>
      </c>
      <c r="D5" s="265">
        <v>7.4999999999999997E-2</v>
      </c>
      <c r="E5" s="265">
        <v>7.4999999999999997E-2</v>
      </c>
      <c r="F5" s="265">
        <v>7.4999999999999997E-2</v>
      </c>
      <c r="G5" s="265">
        <v>2.5000000000000001E-2</v>
      </c>
      <c r="H5" s="265">
        <v>2.5000000000000001E-2</v>
      </c>
      <c r="I5" s="265">
        <v>2.5000000000000001E-2</v>
      </c>
      <c r="J5" s="265">
        <v>2.5000000000000001E-2</v>
      </c>
      <c r="K5" s="266">
        <v>2.5000000000000001E-2</v>
      </c>
    </row>
    <row r="6" spans="1:11" x14ac:dyDescent="0.25">
      <c r="A6" s="7" t="s">
        <v>4401</v>
      </c>
      <c r="B6" s="265">
        <v>0.02</v>
      </c>
      <c r="C6" s="265">
        <v>-0.09</v>
      </c>
      <c r="D6" s="265">
        <v>0</v>
      </c>
      <c r="E6" s="265">
        <v>0</v>
      </c>
      <c r="F6" s="265">
        <v>0</v>
      </c>
      <c r="G6" s="265">
        <v>0</v>
      </c>
      <c r="H6" s="265">
        <v>0</v>
      </c>
      <c r="I6" s="265">
        <v>0</v>
      </c>
      <c r="J6" s="265">
        <v>0</v>
      </c>
      <c r="K6" s="265">
        <v>0</v>
      </c>
    </row>
    <row r="7" spans="1:11" x14ac:dyDescent="0.25">
      <c r="A7" s="7" t="s">
        <v>4402</v>
      </c>
      <c r="B7" s="265">
        <v>0.02</v>
      </c>
      <c r="C7" s="265">
        <v>-1.6E-2</v>
      </c>
      <c r="D7" s="265">
        <v>0</v>
      </c>
      <c r="E7" s="265">
        <v>0</v>
      </c>
      <c r="F7" s="265">
        <v>0</v>
      </c>
      <c r="G7" s="265">
        <v>0</v>
      </c>
      <c r="H7" s="265">
        <v>0</v>
      </c>
      <c r="I7" s="265">
        <v>0</v>
      </c>
      <c r="J7" s="265">
        <v>0</v>
      </c>
      <c r="K7" s="265">
        <v>0</v>
      </c>
    </row>
    <row r="8" spans="1:11" x14ac:dyDescent="0.25">
      <c r="A8" s="7" t="s">
        <v>23</v>
      </c>
      <c r="B8" s="265">
        <v>0</v>
      </c>
      <c r="C8" s="265"/>
      <c r="D8" s="265"/>
      <c r="E8" s="265"/>
      <c r="F8" s="265"/>
      <c r="G8" s="265"/>
      <c r="H8" s="265"/>
      <c r="I8" s="265"/>
      <c r="J8" s="265"/>
      <c r="K8" s="266"/>
    </row>
    <row r="9" spans="1:11" x14ac:dyDescent="0.25">
      <c r="A9" s="7" t="s">
        <v>22</v>
      </c>
      <c r="B9" s="265">
        <v>0.02</v>
      </c>
      <c r="C9" s="265">
        <v>0</v>
      </c>
      <c r="D9" s="265">
        <v>0</v>
      </c>
      <c r="E9" s="265">
        <v>0</v>
      </c>
      <c r="F9" s="265">
        <v>0</v>
      </c>
      <c r="G9" s="265">
        <v>0</v>
      </c>
      <c r="H9" s="265">
        <v>0</v>
      </c>
      <c r="I9" s="265">
        <v>0</v>
      </c>
      <c r="J9" s="265">
        <v>0</v>
      </c>
      <c r="K9" s="266">
        <v>0</v>
      </c>
    </row>
    <row r="10" spans="1:11" x14ac:dyDescent="0.25">
      <c r="A10" s="7" t="s">
        <v>26</v>
      </c>
      <c r="B10" s="265">
        <v>2.5999999999999999E-2</v>
      </c>
      <c r="C10" s="265">
        <v>2.8000000000000001E-2</v>
      </c>
      <c r="D10" s="265">
        <v>2.8000000000000001E-2</v>
      </c>
      <c r="E10" s="265">
        <v>2.9000000000000001E-2</v>
      </c>
      <c r="F10" s="265">
        <v>0.03</v>
      </c>
      <c r="G10" s="265">
        <v>3.1E-2</v>
      </c>
      <c r="H10" s="265">
        <v>3.3000000000000002E-2</v>
      </c>
      <c r="I10" s="265">
        <v>3.5000000000000003E-2</v>
      </c>
      <c r="J10" s="265">
        <v>3.6999999999999998E-2</v>
      </c>
      <c r="K10" s="266">
        <v>3.9E-2</v>
      </c>
    </row>
    <row r="11" spans="1:11" x14ac:dyDescent="0.25">
      <c r="A11" s="7" t="s">
        <v>4121</v>
      </c>
      <c r="B11" s="265">
        <v>0</v>
      </c>
      <c r="C11" s="265">
        <v>0</v>
      </c>
      <c r="D11" s="265">
        <v>0.01</v>
      </c>
      <c r="E11" s="265">
        <v>0.01</v>
      </c>
      <c r="F11" s="265">
        <v>0.01</v>
      </c>
      <c r="G11" s="265">
        <v>0.01</v>
      </c>
      <c r="H11" s="265">
        <v>0.01</v>
      </c>
      <c r="I11" s="265">
        <v>0.01</v>
      </c>
      <c r="J11" s="265">
        <v>0.01</v>
      </c>
      <c r="K11" s="266">
        <v>0.01</v>
      </c>
    </row>
    <row r="12" spans="1:11" x14ac:dyDescent="0.25">
      <c r="A12" s="7"/>
      <c r="B12" s="265"/>
      <c r="C12" s="265"/>
      <c r="D12" s="265"/>
      <c r="E12" s="265"/>
      <c r="F12" s="265"/>
      <c r="G12" s="265"/>
      <c r="H12" s="265"/>
      <c r="I12" s="265"/>
      <c r="J12" s="265"/>
      <c r="K12" s="266"/>
    </row>
    <row r="13" spans="1:11" x14ac:dyDescent="0.25">
      <c r="A13" s="7" t="s">
        <v>24</v>
      </c>
      <c r="B13" s="265">
        <v>1.7999999999999999E-2</v>
      </c>
      <c r="C13" s="265">
        <v>0.02</v>
      </c>
      <c r="D13" s="265">
        <v>2.5000000000000001E-2</v>
      </c>
      <c r="E13" s="265">
        <v>2.5000000000000001E-2</v>
      </c>
      <c r="F13" s="265">
        <v>2.5000000000000001E-2</v>
      </c>
      <c r="G13" s="265">
        <v>2.5000000000000001E-2</v>
      </c>
      <c r="H13" s="265">
        <v>2.5000000000000001E-2</v>
      </c>
      <c r="I13" s="265">
        <v>2.5000000000000001E-2</v>
      </c>
      <c r="J13" s="265">
        <v>2.5000000000000001E-2</v>
      </c>
      <c r="K13" s="266">
        <v>2.5000000000000001E-2</v>
      </c>
    </row>
    <row r="14" spans="1:11" x14ac:dyDescent="0.25">
      <c r="A14" s="7" t="s">
        <v>4120</v>
      </c>
      <c r="B14" s="265">
        <f>B13-1%</f>
        <v>7.9999999999999984E-3</v>
      </c>
      <c r="C14" s="265">
        <v>1.4999999999999999E-2</v>
      </c>
      <c r="D14" s="265">
        <v>0.02</v>
      </c>
      <c r="E14" s="265">
        <v>0.02</v>
      </c>
      <c r="F14" s="265">
        <v>0.02</v>
      </c>
      <c r="G14" s="265">
        <v>0.02</v>
      </c>
      <c r="H14" s="265">
        <v>0.02</v>
      </c>
      <c r="I14" s="265">
        <v>2.5000000000000001E-2</v>
      </c>
      <c r="J14" s="265">
        <v>2.5000000000000001E-2</v>
      </c>
      <c r="K14" s="266">
        <v>2.5000000000000001E-2</v>
      </c>
    </row>
    <row r="15" spans="1:11" x14ac:dyDescent="0.25">
      <c r="A15" s="7" t="s">
        <v>25</v>
      </c>
      <c r="B15" s="265">
        <v>2.8000000000000001E-2</v>
      </c>
      <c r="C15" s="265">
        <v>0.02</v>
      </c>
      <c r="D15" s="265">
        <v>0.02</v>
      </c>
      <c r="E15" s="265">
        <v>0.02</v>
      </c>
      <c r="F15" s="265">
        <v>0.02</v>
      </c>
      <c r="G15" s="265">
        <v>0.02</v>
      </c>
      <c r="H15" s="265">
        <v>0.02</v>
      </c>
      <c r="I15" s="265">
        <v>0.02</v>
      </c>
      <c r="J15" s="265">
        <v>0.02</v>
      </c>
      <c r="K15" s="266">
        <v>0.02</v>
      </c>
    </row>
    <row r="16" spans="1:11" x14ac:dyDescent="0.25">
      <c r="A16" s="7" t="s">
        <v>27</v>
      </c>
      <c r="B16" s="265"/>
      <c r="C16" s="265">
        <v>4.9000000000000002E-2</v>
      </c>
      <c r="D16" s="265">
        <v>4.9000000000000002E-2</v>
      </c>
      <c r="E16" s="265">
        <v>4.9000000000000002E-2</v>
      </c>
      <c r="F16" s="265"/>
      <c r="G16" s="265"/>
      <c r="H16" s="265"/>
      <c r="I16" s="265"/>
      <c r="J16" s="265"/>
      <c r="K16" s="266"/>
    </row>
    <row r="17" spans="1:11" x14ac:dyDescent="0.25">
      <c r="A17" s="7" t="s">
        <v>4592</v>
      </c>
      <c r="B17" s="265"/>
      <c r="C17" s="265">
        <v>0.01</v>
      </c>
      <c r="D17" s="265">
        <v>0.01</v>
      </c>
      <c r="E17" s="265">
        <v>0.01</v>
      </c>
      <c r="F17" s="265">
        <v>0.01</v>
      </c>
      <c r="G17" s="265">
        <v>0.01</v>
      </c>
      <c r="H17" s="265">
        <v>0.01</v>
      </c>
      <c r="I17" s="265">
        <v>0.01</v>
      </c>
      <c r="J17" s="265">
        <v>0.01</v>
      </c>
      <c r="K17" s="266">
        <v>0.01</v>
      </c>
    </row>
    <row r="18" spans="1:11" x14ac:dyDescent="0.25">
      <c r="A18" s="7"/>
      <c r="B18" s="265"/>
      <c r="C18" s="265"/>
      <c r="D18" s="265"/>
      <c r="E18" s="265"/>
      <c r="F18" s="265"/>
      <c r="G18" s="265"/>
      <c r="H18" s="265"/>
      <c r="I18" s="265"/>
      <c r="J18" s="265"/>
      <c r="K18" s="266"/>
    </row>
    <row r="19" spans="1:11" x14ac:dyDescent="0.25">
      <c r="A19" s="7"/>
      <c r="B19" s="265"/>
      <c r="C19" s="265"/>
      <c r="D19" s="265"/>
      <c r="E19" s="265"/>
      <c r="F19" s="265"/>
      <c r="G19" s="265"/>
      <c r="H19" s="265"/>
      <c r="I19" s="265"/>
      <c r="J19" s="265"/>
      <c r="K19" s="266"/>
    </row>
    <row r="20" spans="1:11" x14ac:dyDescent="0.25">
      <c r="A20" s="7"/>
      <c r="B20" s="265"/>
      <c r="C20" s="265"/>
      <c r="D20" s="265"/>
      <c r="E20" s="265"/>
      <c r="F20" s="265"/>
      <c r="G20" s="265"/>
      <c r="H20" s="265"/>
      <c r="I20" s="265"/>
      <c r="J20" s="265"/>
      <c r="K20" s="266"/>
    </row>
    <row r="21" spans="1:11" x14ac:dyDescent="0.25">
      <c r="A21" s="7"/>
      <c r="B21" s="265"/>
      <c r="C21" s="265"/>
      <c r="D21" s="265"/>
      <c r="E21" s="265"/>
      <c r="F21" s="265"/>
      <c r="G21" s="265"/>
      <c r="H21" s="265"/>
      <c r="I21" s="265"/>
      <c r="J21" s="265"/>
      <c r="K21" s="266"/>
    </row>
    <row r="22" spans="1:11" x14ac:dyDescent="0.25">
      <c r="A22" s="8"/>
      <c r="B22" s="267"/>
      <c r="C22" s="267"/>
      <c r="D22" s="267"/>
      <c r="E22" s="267"/>
      <c r="F22" s="267"/>
      <c r="G22" s="267"/>
      <c r="H22" s="267"/>
      <c r="I22" s="267"/>
      <c r="J22" s="267"/>
      <c r="K22" s="268"/>
    </row>
    <row r="24" spans="1:11" x14ac:dyDescent="0.25">
      <c r="A24" s="47" t="s">
        <v>4566</v>
      </c>
    </row>
    <row r="26" spans="1:11" x14ac:dyDescent="0.25">
      <c r="A26" t="s">
        <v>4568</v>
      </c>
    </row>
    <row r="27" spans="1:11" x14ac:dyDescent="0.25">
      <c r="A27" t="s">
        <v>4567</v>
      </c>
    </row>
    <row r="28" spans="1:11" x14ac:dyDescent="0.25">
      <c r="A28" t="s">
        <v>4596</v>
      </c>
    </row>
    <row r="29" spans="1:11" x14ac:dyDescent="0.25">
      <c r="A29" t="s">
        <v>4640</v>
      </c>
    </row>
  </sheetData>
  <mergeCells count="2">
    <mergeCell ref="A1:K1"/>
    <mergeCell ref="A2:K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44"/>
  <sheetViews>
    <sheetView topLeftCell="A10" workbookViewId="0">
      <selection activeCell="A3" sqref="A3"/>
    </sheetView>
  </sheetViews>
  <sheetFormatPr defaultRowHeight="15" x14ac:dyDescent="0.25"/>
  <cols>
    <col min="2" max="2" width="24" customWidth="1"/>
    <col min="3" max="3" width="26.140625" customWidth="1"/>
    <col min="4" max="4" width="30" customWidth="1"/>
    <col min="5" max="14" width="12.7109375" style="285" customWidth="1"/>
  </cols>
  <sheetData>
    <row r="1" spans="1:14" ht="15.75" x14ac:dyDescent="0.25">
      <c r="A1" s="283" t="s">
        <v>4318</v>
      </c>
      <c r="B1" s="16"/>
      <c r="C1" s="16"/>
      <c r="D1" s="16"/>
      <c r="E1" s="394"/>
      <c r="F1" s="394"/>
      <c r="G1" s="394"/>
      <c r="H1" s="394"/>
      <c r="I1" s="394"/>
      <c r="J1" s="394"/>
      <c r="K1" s="394"/>
      <c r="L1" s="394"/>
      <c r="M1" s="394"/>
      <c r="N1" s="394"/>
    </row>
    <row r="2" spans="1:14" ht="15.75" x14ac:dyDescent="0.25">
      <c r="A2" s="269" t="s">
        <v>4625</v>
      </c>
      <c r="B2" s="269"/>
      <c r="C2" s="16"/>
      <c r="D2" s="16"/>
      <c r="E2" s="394"/>
      <c r="F2" s="394"/>
      <c r="G2" s="394"/>
      <c r="H2" s="394"/>
      <c r="I2" s="394"/>
      <c r="J2" s="394"/>
      <c r="K2" s="394"/>
      <c r="L2" s="394"/>
      <c r="M2" s="394"/>
      <c r="N2" s="394"/>
    </row>
    <row r="3" spans="1:14" x14ac:dyDescent="0.25">
      <c r="A3" s="17"/>
      <c r="B3" s="17"/>
      <c r="C3" s="17"/>
      <c r="D3" s="17"/>
      <c r="E3" s="286" t="s">
        <v>29</v>
      </c>
      <c r="F3" s="479" t="s">
        <v>30</v>
      </c>
      <c r="G3" s="479"/>
      <c r="H3" s="479"/>
      <c r="I3" s="479"/>
      <c r="J3" s="479"/>
      <c r="K3" s="479"/>
      <c r="L3" s="479"/>
      <c r="M3" s="479"/>
      <c r="N3" s="479"/>
    </row>
    <row r="4" spans="1:14" x14ac:dyDescent="0.25">
      <c r="A4" s="18"/>
      <c r="B4" s="18"/>
      <c r="C4" s="18"/>
      <c r="D4" s="18"/>
      <c r="E4" s="287" t="s">
        <v>4411</v>
      </c>
      <c r="F4" s="287" t="s">
        <v>4523</v>
      </c>
      <c r="G4" s="287" t="s">
        <v>4524</v>
      </c>
      <c r="H4" s="287" t="s">
        <v>4525</v>
      </c>
      <c r="I4" s="287" t="s">
        <v>4526</v>
      </c>
      <c r="J4" s="287" t="s">
        <v>4527</v>
      </c>
      <c r="K4" s="287" t="s">
        <v>4528</v>
      </c>
      <c r="L4" s="287" t="s">
        <v>4529</v>
      </c>
      <c r="M4" s="287" t="s">
        <v>4530</v>
      </c>
      <c r="N4" s="287" t="s">
        <v>4531</v>
      </c>
    </row>
    <row r="5" spans="1:14" x14ac:dyDescent="0.25">
      <c r="E5" s="395"/>
    </row>
    <row r="6" spans="1:14" x14ac:dyDescent="0.25">
      <c r="B6" t="s">
        <v>4532</v>
      </c>
      <c r="E6" s="395"/>
    </row>
    <row r="7" spans="1:14" x14ac:dyDescent="0.25">
      <c r="C7" t="s">
        <v>4533</v>
      </c>
      <c r="E7" s="395"/>
      <c r="F7" s="285">
        <f>reservessummary!C146</f>
        <v>-1439911</v>
      </c>
      <c r="G7" s="285">
        <f>reservessummary!F146</f>
        <v>6134369</v>
      </c>
      <c r="H7" s="285">
        <f>reservessummary!I146</f>
        <v>-5584605</v>
      </c>
      <c r="I7" s="285">
        <f>reservessummary!L146</f>
        <v>6898766</v>
      </c>
      <c r="J7" s="285">
        <f>reservessummary!O146</f>
        <v>7149447</v>
      </c>
      <c r="K7" s="285">
        <f>reservessummary!R146</f>
        <v>6704986</v>
      </c>
      <c r="L7" s="285">
        <f>reservessummary!U146</f>
        <v>6166819</v>
      </c>
      <c r="M7" s="285">
        <f>reservessummary!X146</f>
        <v>5041060</v>
      </c>
      <c r="N7" s="285">
        <f>reservessummary!AA146</f>
        <v>-5610502</v>
      </c>
    </row>
    <row r="8" spans="1:14" x14ac:dyDescent="0.25">
      <c r="E8" s="395"/>
    </row>
    <row r="9" spans="1:14" x14ac:dyDescent="0.25">
      <c r="C9" t="s">
        <v>4544</v>
      </c>
      <c r="E9" s="395"/>
    </row>
    <row r="10" spans="1:14" x14ac:dyDescent="0.25">
      <c r="C10" t="s">
        <v>4534</v>
      </c>
      <c r="D10" t="s">
        <v>4546</v>
      </c>
      <c r="E10" s="395"/>
      <c r="F10" s="285">
        <f>'reservecalc-internal'!B1546</f>
        <v>20757900</v>
      </c>
      <c r="G10" s="285">
        <f>'reservecalc-internal'!C1546</f>
        <v>21196100</v>
      </c>
      <c r="H10" s="285">
        <f>'reservecalc-internal'!D1546</f>
        <v>22756300</v>
      </c>
      <c r="I10" s="285">
        <f>'reservecalc-internal'!E1546</f>
        <v>24585200</v>
      </c>
      <c r="J10" s="285">
        <f>'reservecalc-internal'!F1546</f>
        <v>25084900</v>
      </c>
      <c r="K10" s="285">
        <f>'reservecalc-internal'!G1546</f>
        <v>25597500</v>
      </c>
      <c r="L10" s="285">
        <f>'reservecalc-internal'!H1546</f>
        <v>26120700</v>
      </c>
      <c r="M10" s="285">
        <f>'reservecalc-internal'!I1546</f>
        <v>26657000</v>
      </c>
      <c r="N10" s="285">
        <f>'reservecalc-internal'!J1546</f>
        <v>27206400</v>
      </c>
    </row>
    <row r="11" spans="1:14" x14ac:dyDescent="0.25">
      <c r="D11" t="s">
        <v>4545</v>
      </c>
      <c r="E11" s="395"/>
      <c r="F11" s="285">
        <f>-'reservecalc-internal'!B1547</f>
        <v>-24199500</v>
      </c>
      <c r="G11" s="285">
        <f>-'reservecalc-internal'!C1547</f>
        <v>-20579300</v>
      </c>
      <c r="H11" s="285">
        <f>-'reservecalc-internal'!D1547</f>
        <v>-23296801</v>
      </c>
      <c r="I11" s="285">
        <f>-'reservecalc-internal'!E1547</f>
        <v>-22762500</v>
      </c>
      <c r="J11" s="285">
        <f>-'reservecalc-internal'!F1547</f>
        <v>-23145500</v>
      </c>
      <c r="K11" s="285">
        <f>-'reservecalc-internal'!G1547</f>
        <v>-23540700</v>
      </c>
      <c r="L11" s="285">
        <f>-'reservecalc-internal'!H1547</f>
        <v>-24109300</v>
      </c>
      <c r="M11" s="285">
        <f>-'reservecalc-internal'!I1547</f>
        <v>-24536700</v>
      </c>
      <c r="N11" s="285">
        <f>-'reservecalc-internal'!J1547</f>
        <v>-25081900</v>
      </c>
    </row>
    <row r="12" spans="1:14" x14ac:dyDescent="0.25">
      <c r="D12" t="s">
        <v>4547</v>
      </c>
      <c r="E12" s="395"/>
      <c r="F12" s="285">
        <f>'reservecalc-external'!B1966</f>
        <v>3337800</v>
      </c>
      <c r="G12" s="285">
        <f>'reservecalc-external'!C1966</f>
        <v>3045500</v>
      </c>
      <c r="H12" s="285">
        <f>'reservecalc-external'!D1966</f>
        <v>2955600</v>
      </c>
      <c r="I12" s="285">
        <f>'reservecalc-external'!E1966</f>
        <v>3015400</v>
      </c>
      <c r="J12" s="285">
        <f>'reservecalc-external'!F1966</f>
        <v>3053100</v>
      </c>
      <c r="K12" s="285">
        <f>'reservecalc-external'!G1966</f>
        <v>2922100</v>
      </c>
      <c r="L12" s="285">
        <f>'reservecalc-external'!H1966</f>
        <v>2997300</v>
      </c>
      <c r="M12" s="285">
        <f>'reservecalc-external'!I1966</f>
        <v>3087700</v>
      </c>
      <c r="N12" s="285">
        <f>'reservecalc-external'!J1966</f>
        <v>3266900</v>
      </c>
    </row>
    <row r="13" spans="1:14" x14ac:dyDescent="0.25">
      <c r="D13" t="s">
        <v>4548</v>
      </c>
      <c r="E13" s="395"/>
      <c r="F13" s="285">
        <f>-'reservecalc-external'!B1967</f>
        <v>-1392100</v>
      </c>
      <c r="G13" s="285">
        <f>-'reservecalc-external'!C1967</f>
        <v>-729500</v>
      </c>
      <c r="H13" s="285">
        <f>-'reservecalc-external'!D1967</f>
        <v>-1101200</v>
      </c>
      <c r="I13" s="285">
        <f>-'reservecalc-external'!E1967</f>
        <v>-751000</v>
      </c>
      <c r="J13" s="285">
        <f>-'reservecalc-external'!F1967</f>
        <v>-702200</v>
      </c>
      <c r="K13" s="285">
        <f>-'reservecalc-external'!G1967</f>
        <v>-713600</v>
      </c>
      <c r="L13" s="285">
        <f>-'reservecalc-external'!H1967</f>
        <v>-728100</v>
      </c>
      <c r="M13" s="285">
        <f>-'reservecalc-external'!I1967</f>
        <v>-743000</v>
      </c>
      <c r="N13" s="285">
        <f>-'reservecalc-external'!J1967</f>
        <v>-758200</v>
      </c>
    </row>
    <row r="14" spans="1:14" x14ac:dyDescent="0.25">
      <c r="D14" t="s">
        <v>4549</v>
      </c>
      <c r="E14" s="395"/>
      <c r="F14" s="285">
        <f>'reservecalc-external'!B2035</f>
        <v>9601800</v>
      </c>
      <c r="G14" s="285">
        <f>'reservecalc-external'!C2035</f>
        <v>9588100</v>
      </c>
      <c r="H14" s="285">
        <f>'reservecalc-external'!D2035</f>
        <v>9636600</v>
      </c>
      <c r="I14" s="285">
        <f>'reservecalc-external'!E2035</f>
        <v>9646700</v>
      </c>
      <c r="J14" s="285">
        <f>'reservecalc-external'!F2035</f>
        <v>9664200</v>
      </c>
      <c r="K14" s="285">
        <f>'reservecalc-external'!G2035</f>
        <v>9669500</v>
      </c>
      <c r="L14" s="285">
        <f>'reservecalc-external'!H2035</f>
        <v>9705600</v>
      </c>
      <c r="M14" s="285">
        <f>'reservecalc-external'!I2035</f>
        <v>9742800</v>
      </c>
      <c r="N14" s="285">
        <f>'reservecalc-external'!J2035</f>
        <v>9801700</v>
      </c>
    </row>
    <row r="15" spans="1:14" x14ac:dyDescent="0.25">
      <c r="D15" t="s">
        <v>4550</v>
      </c>
      <c r="E15" s="395"/>
      <c r="F15" s="285">
        <f>-'reservecalc-external'!B2036</f>
        <v>-11571772</v>
      </c>
      <c r="G15" s="285">
        <f>-'reservecalc-external'!C2036</f>
        <v>-9615300</v>
      </c>
      <c r="H15" s="285">
        <f>-'reservecalc-external'!D2036</f>
        <v>-8100284</v>
      </c>
      <c r="I15" s="285">
        <f>-'reservecalc-external'!E2036</f>
        <v>-8924359</v>
      </c>
      <c r="J15" s="285">
        <f>-'reservecalc-external'!F2036</f>
        <v>-8642083</v>
      </c>
      <c r="K15" s="285">
        <f>-'reservecalc-external'!G2036</f>
        <v>-9633073</v>
      </c>
      <c r="L15" s="285">
        <f>-'reservecalc-external'!H2036</f>
        <v>-8390000</v>
      </c>
      <c r="M15" s="285">
        <f>-'reservecalc-external'!I2036</f>
        <v>-8596700</v>
      </c>
      <c r="N15" s="285">
        <f>-'reservecalc-external'!J2036</f>
        <v>-8926100</v>
      </c>
    </row>
    <row r="16" spans="1:14" x14ac:dyDescent="0.25">
      <c r="D16" t="s">
        <v>4551</v>
      </c>
      <c r="E16" s="395"/>
      <c r="F16" s="285">
        <f>'reservecalc-external'!B2133</f>
        <v>16693300</v>
      </c>
      <c r="G16" s="285">
        <f>'reservecalc-external'!C2133</f>
        <v>16719200</v>
      </c>
      <c r="H16" s="285">
        <f>'reservecalc-external'!D2133</f>
        <v>16553500</v>
      </c>
      <c r="I16" s="285">
        <f>'reservecalc-external'!E2133</f>
        <v>16592700</v>
      </c>
      <c r="J16" s="285">
        <f>'reservecalc-external'!F2133</f>
        <v>16625900</v>
      </c>
      <c r="K16" s="285">
        <f>'reservecalc-external'!G2133</f>
        <v>16682800</v>
      </c>
      <c r="L16" s="285">
        <f>'reservecalc-external'!H2133</f>
        <v>16708100</v>
      </c>
      <c r="M16" s="285">
        <f>'reservecalc-external'!I2133</f>
        <v>16716500</v>
      </c>
      <c r="N16" s="285">
        <f>'reservecalc-external'!J2133</f>
        <v>16516400</v>
      </c>
    </row>
    <row r="17" spans="2:16" x14ac:dyDescent="0.25">
      <c r="D17" t="s">
        <v>4552</v>
      </c>
      <c r="E17" s="395"/>
      <c r="F17" s="285">
        <f>-'reservecalc-external'!B2134</f>
        <v>-14679939</v>
      </c>
      <c r="G17" s="285">
        <f>-'reservecalc-external'!C2134</f>
        <v>-13500431</v>
      </c>
      <c r="H17" s="285">
        <f>-'reservecalc-external'!D2134</f>
        <v>-24996720</v>
      </c>
      <c r="I17" s="285">
        <f>-'reservecalc-external'!E2134</f>
        <v>-14511775</v>
      </c>
      <c r="J17" s="285">
        <f>-'reservecalc-external'!F2134</f>
        <v>-14797270</v>
      </c>
      <c r="K17" s="285">
        <f>-'reservecalc-external'!G2134</f>
        <v>-14286241</v>
      </c>
      <c r="L17" s="285">
        <f>-'reservecalc-external'!H2134</f>
        <v>-16144181</v>
      </c>
      <c r="M17" s="285">
        <f>-'reservecalc-external'!I2134</f>
        <v>-17293240</v>
      </c>
      <c r="N17" s="285">
        <f>-'reservecalc-external'!J2134</f>
        <v>-27642402</v>
      </c>
    </row>
    <row r="18" spans="2:16" x14ac:dyDescent="0.25">
      <c r="E18" s="395"/>
    </row>
    <row r="19" spans="2:16" x14ac:dyDescent="0.25">
      <c r="E19" s="395"/>
    </row>
    <row r="20" spans="2:16" x14ac:dyDescent="0.25">
      <c r="D20" s="47" t="s">
        <v>4535</v>
      </c>
      <c r="E20" s="395"/>
      <c r="F20" s="354">
        <f>SUM(F10:F19)</f>
        <v>-1452511</v>
      </c>
      <c r="G20" s="354">
        <f t="shared" ref="G20:N20" si="0">SUM(G10:G19)</f>
        <v>6124369</v>
      </c>
      <c r="H20" s="354">
        <f t="shared" si="0"/>
        <v>-5593005</v>
      </c>
      <c r="I20" s="354">
        <f t="shared" si="0"/>
        <v>6890366</v>
      </c>
      <c r="J20" s="354">
        <f t="shared" si="0"/>
        <v>7141047</v>
      </c>
      <c r="K20" s="354">
        <f t="shared" si="0"/>
        <v>6698286</v>
      </c>
      <c r="L20" s="354">
        <f t="shared" si="0"/>
        <v>6160119</v>
      </c>
      <c r="M20" s="354">
        <f t="shared" si="0"/>
        <v>5034360</v>
      </c>
      <c r="N20" s="354">
        <f t="shared" si="0"/>
        <v>-5617202</v>
      </c>
    </row>
    <row r="21" spans="2:16" x14ac:dyDescent="0.25">
      <c r="E21" s="395"/>
    </row>
    <row r="22" spans="2:16" x14ac:dyDescent="0.25">
      <c r="D22" s="47" t="s">
        <v>4536</v>
      </c>
      <c r="E22" s="396"/>
      <c r="F22" s="334">
        <f>F7-F20</f>
        <v>12600</v>
      </c>
      <c r="G22" s="334">
        <f t="shared" ref="G22:N22" si="1">G7-G20</f>
        <v>10000</v>
      </c>
      <c r="H22" s="334">
        <f t="shared" si="1"/>
        <v>8400</v>
      </c>
      <c r="I22" s="334">
        <f t="shared" si="1"/>
        <v>8400</v>
      </c>
      <c r="J22" s="334">
        <f t="shared" si="1"/>
        <v>8400</v>
      </c>
      <c r="K22" s="334">
        <f t="shared" si="1"/>
        <v>6700</v>
      </c>
      <c r="L22" s="334">
        <f t="shared" si="1"/>
        <v>6700</v>
      </c>
      <c r="M22" s="334">
        <f t="shared" si="1"/>
        <v>6700</v>
      </c>
      <c r="N22" s="334">
        <f t="shared" si="1"/>
        <v>6700</v>
      </c>
      <c r="P22" t="s">
        <v>4553</v>
      </c>
    </row>
    <row r="23" spans="2:16" x14ac:dyDescent="0.25">
      <c r="E23" s="395"/>
    </row>
    <row r="24" spans="2:16" x14ac:dyDescent="0.25">
      <c r="E24" s="395"/>
    </row>
    <row r="25" spans="2:16" x14ac:dyDescent="0.25">
      <c r="E25" s="395"/>
    </row>
    <row r="26" spans="2:16" x14ac:dyDescent="0.25">
      <c r="B26" t="s">
        <v>4537</v>
      </c>
      <c r="C26" t="s">
        <v>4262</v>
      </c>
      <c r="E26" s="395"/>
    </row>
    <row r="27" spans="2:16" x14ac:dyDescent="0.25">
      <c r="C27" s="19"/>
      <c r="D27" t="s">
        <v>4538</v>
      </c>
      <c r="E27" s="395"/>
      <c r="F27" s="285">
        <f>income!C8+income!C9+income!C10+income!C11+income!C12</f>
        <v>75503800</v>
      </c>
      <c r="G27" s="285">
        <f>income!D8+income!D9+income!D10+income!D11+income!D12</f>
        <v>76295800</v>
      </c>
      <c r="H27" s="285">
        <f>income!E8+income!E9+income!E10+income!E11+income!E12</f>
        <v>79011100</v>
      </c>
      <c r="I27" s="285">
        <f>income!F8+income!F9+income!F10+income!F11+income!F12</f>
        <v>81271000</v>
      </c>
      <c r="J27" s="285">
        <f>income!G8+income!G9+income!G10+income!G11+income!G12</f>
        <v>82731700</v>
      </c>
      <c r="K27" s="285">
        <f>income!H8+income!H9+income!H10+income!H11+income!H12</f>
        <v>83807400</v>
      </c>
      <c r="L27" s="285">
        <f>income!I8+income!I9+income!I10+income!I11+income!I12</f>
        <v>85279700</v>
      </c>
      <c r="M27" s="285">
        <f>income!J8+income!J9+income!J10+income!J11+income!J12</f>
        <v>86795700</v>
      </c>
      <c r="N27" s="285">
        <f>income!K8+income!K9+income!K10+income!K11+income!K12</f>
        <v>88309900</v>
      </c>
    </row>
    <row r="28" spans="2:16" x14ac:dyDescent="0.25">
      <c r="E28" s="395"/>
    </row>
    <row r="29" spans="2:16" x14ac:dyDescent="0.25">
      <c r="D29" t="s">
        <v>4539</v>
      </c>
      <c r="E29" s="395"/>
      <c r="F29" s="285">
        <f>-operatingdata!F169-operatingdata!F213-operatingdata!F288-operatingdata!F435-operatingdata!F487-operatingdata!F565-operatingdata!F592-operatingdata!F666-operatingdata!F754-operatingdata!F807-operatingdata!F947-operatingdata!F1008-operatingdata!F1158-operatingdata!F1177-operatingdata!F1270-operatingdata!F1336-operatingdata!F1520-operatingdata!F1564-operatingdata!F1613-operatingdata!F1682-operatingdata!F1780-operatingdata!F1868-operatingdata!F1962-operatingdata!F2071</f>
        <v>75503800</v>
      </c>
      <c r="G29" s="285">
        <f>-operatingdata!G169-operatingdata!G213-operatingdata!G288-operatingdata!G435-operatingdata!G487-operatingdata!G565-operatingdata!G592-operatingdata!G666-operatingdata!G754-operatingdata!G807-operatingdata!G947-operatingdata!G1008-operatingdata!G1158-operatingdata!G1177-operatingdata!G1270-operatingdata!G1336-operatingdata!G1520-operatingdata!G1564-operatingdata!G1613-operatingdata!G1682-operatingdata!G1780-operatingdata!G1868-operatingdata!G1962-operatingdata!G2071</f>
        <v>76295800</v>
      </c>
      <c r="H29" s="285">
        <f>-operatingdata!H169-operatingdata!H213-operatingdata!H288-operatingdata!H435-operatingdata!H487-operatingdata!H565-operatingdata!H592-operatingdata!H666-operatingdata!H754-operatingdata!H807-operatingdata!H947-operatingdata!H1008-operatingdata!H1158-operatingdata!H1177-operatingdata!H1270-operatingdata!H1336-operatingdata!H1520-operatingdata!H1564-operatingdata!H1613-operatingdata!H1682-operatingdata!H1780-operatingdata!H1868-operatingdata!H1962-operatingdata!H2071</f>
        <v>79011100</v>
      </c>
      <c r="I29" s="285">
        <f>-operatingdata!I169-operatingdata!I213-operatingdata!I288-operatingdata!I435-operatingdata!I487-operatingdata!I565-operatingdata!I592-operatingdata!I666-operatingdata!I754-operatingdata!I807-operatingdata!I947-operatingdata!I1008-operatingdata!I1158-operatingdata!I1177-operatingdata!I1270-operatingdata!I1336-operatingdata!I1520-operatingdata!I1564-operatingdata!I1613-operatingdata!I1682-operatingdata!I1780-operatingdata!I1868-operatingdata!I1962-operatingdata!I2071</f>
        <v>81271000</v>
      </c>
      <c r="J29" s="285">
        <f>-operatingdata!J169-operatingdata!J213-operatingdata!J288-operatingdata!J435-operatingdata!J487-operatingdata!J565-operatingdata!J592-operatingdata!J666-operatingdata!J754-operatingdata!J807-operatingdata!J947-operatingdata!J1008-operatingdata!J1158-operatingdata!J1177-operatingdata!J1270-operatingdata!J1336-operatingdata!J1520-operatingdata!J1564-operatingdata!J1613-operatingdata!J1682-operatingdata!J1780-operatingdata!J1868-operatingdata!J1962-operatingdata!J2071</f>
        <v>82731700</v>
      </c>
      <c r="K29" s="285">
        <f>-operatingdata!K169-operatingdata!K213-operatingdata!K288-operatingdata!K435-operatingdata!K487-operatingdata!K565-operatingdata!K592-operatingdata!K666-operatingdata!K754-operatingdata!K807-operatingdata!K947-operatingdata!K1008-operatingdata!K1158-operatingdata!K1177-operatingdata!K1270-operatingdata!K1336-operatingdata!K1520-operatingdata!K1564-operatingdata!K1613-operatingdata!K1682-operatingdata!K1780-operatingdata!K1868-operatingdata!K1962-operatingdata!K2071</f>
        <v>83807400</v>
      </c>
      <c r="L29" s="285">
        <f>-operatingdata!L169-operatingdata!L213-operatingdata!L288-operatingdata!L435-operatingdata!L487-operatingdata!L565-operatingdata!L592-operatingdata!L666-operatingdata!L754-operatingdata!L807-operatingdata!L947-operatingdata!L1008-operatingdata!L1158-operatingdata!L1177-operatingdata!L1270-operatingdata!L1336-operatingdata!L1520-operatingdata!L1564-operatingdata!L1613-operatingdata!L1682-operatingdata!L1780-operatingdata!L1868-operatingdata!L1962-operatingdata!L2071</f>
        <v>85279700</v>
      </c>
      <c r="M29" s="285">
        <f>-operatingdata!M169-operatingdata!M213-operatingdata!M288-operatingdata!M435-operatingdata!M487-operatingdata!M565-operatingdata!M592-operatingdata!M666-operatingdata!M754-operatingdata!M807-operatingdata!M947-operatingdata!M1008-operatingdata!M1158-operatingdata!M1177-operatingdata!M1270-operatingdata!M1336-operatingdata!M1520-operatingdata!M1564-operatingdata!M1613-operatingdata!M1682-operatingdata!M1780-operatingdata!M1868-operatingdata!M1962-operatingdata!M2071</f>
        <v>86795700</v>
      </c>
      <c r="N29" s="285">
        <f>-operatingdata!N169-operatingdata!N213-operatingdata!N288-operatingdata!N435-operatingdata!N487-operatingdata!N565-operatingdata!N592-operatingdata!N666-operatingdata!N754-operatingdata!N807-operatingdata!N947-operatingdata!N1008-operatingdata!N1158-operatingdata!N1177-operatingdata!N1270-operatingdata!N1336-operatingdata!N1520-operatingdata!N1564-operatingdata!N1613-operatingdata!N1682-operatingdata!N1780-operatingdata!N1868-operatingdata!N1962-operatingdata!N2071</f>
        <v>88309900</v>
      </c>
    </row>
    <row r="30" spans="2:16" x14ac:dyDescent="0.25">
      <c r="E30" s="395"/>
    </row>
    <row r="31" spans="2:16" x14ac:dyDescent="0.25">
      <c r="D31" s="47" t="s">
        <v>4536</v>
      </c>
      <c r="E31" s="396"/>
      <c r="F31" s="354">
        <f>F27-F29</f>
        <v>0</v>
      </c>
      <c r="G31" s="354">
        <f t="shared" ref="G31:N31" si="2">G27-G29</f>
        <v>0</v>
      </c>
      <c r="H31" s="354">
        <f t="shared" si="2"/>
        <v>0</v>
      </c>
      <c r="I31" s="354">
        <f t="shared" si="2"/>
        <v>0</v>
      </c>
      <c r="J31" s="354">
        <f t="shared" si="2"/>
        <v>0</v>
      </c>
      <c r="K31" s="354">
        <f t="shared" si="2"/>
        <v>0</v>
      </c>
      <c r="L31" s="354">
        <f t="shared" si="2"/>
        <v>0</v>
      </c>
      <c r="M31" s="354">
        <f t="shared" si="2"/>
        <v>0</v>
      </c>
      <c r="N31" s="354">
        <f t="shared" si="2"/>
        <v>0</v>
      </c>
    </row>
    <row r="32" spans="2:16" x14ac:dyDescent="0.25">
      <c r="E32" s="395"/>
    </row>
    <row r="33" spans="2:14" x14ac:dyDescent="0.25">
      <c r="C33" t="s">
        <v>87</v>
      </c>
      <c r="E33" s="395"/>
    </row>
    <row r="34" spans="2:14" x14ac:dyDescent="0.25">
      <c r="D34" t="s">
        <v>4538</v>
      </c>
      <c r="E34" s="395"/>
      <c r="F34" s="285">
        <f ca="1">income!C22</f>
        <v>72687300</v>
      </c>
      <c r="G34" s="285">
        <f ca="1">income!D22</f>
        <v>74028800</v>
      </c>
      <c r="H34" s="285">
        <f ca="1">income!E22</f>
        <v>75697600</v>
      </c>
      <c r="I34" s="285">
        <f ca="1">income!F22</f>
        <v>76914500</v>
      </c>
      <c r="J34" s="285">
        <f ca="1">income!G22</f>
        <v>78067900</v>
      </c>
      <c r="K34" s="285">
        <f ca="1">income!H22</f>
        <v>79109500</v>
      </c>
      <c r="L34" s="285">
        <f ca="1">income!I22</f>
        <v>80877100</v>
      </c>
      <c r="M34" s="285">
        <f ca="1">income!J22</f>
        <v>82056600</v>
      </c>
      <c r="N34" s="285">
        <f ca="1">income!K22</f>
        <v>83611700</v>
      </c>
    </row>
    <row r="35" spans="2:14" x14ac:dyDescent="0.25">
      <c r="E35" s="395"/>
    </row>
    <row r="36" spans="2:14" x14ac:dyDescent="0.25">
      <c r="D36" t="s">
        <v>4539</v>
      </c>
      <c r="E36" s="395"/>
      <c r="F36" s="285">
        <f>operatingdata!F65+operatingdata!F92+operatingdata!F139+operatingdata!F203+operatingdata!F279+operatingdata!F403+operatingdata!F471+operatingdata!F531+operatingdata!F586+operatingdata!F658+operatingdata!F699+operatingdata!F744+operatingdata!F794+operatingdata!F927+operatingdata!F1002+operatingdata!F1123+operatingdata!F1171+operatingdata!F1242+operatingdata!F1309+operatingdata!F1357+operatingdata!F1372+operatingdata!F1493+operatingdata!F1552+operatingdata!F1595+operatingdata!F1652+operatingdata!F1706+operatingdata!F1766+operatingdata!F1829+operatingdata!F1928+operatingdata!F2037</f>
        <v>72711700</v>
      </c>
      <c r="G36" s="285">
        <f>operatingdata!G65+operatingdata!G92+operatingdata!G139+operatingdata!G203+operatingdata!G279+operatingdata!G403+operatingdata!G471+operatingdata!G531+operatingdata!G586+operatingdata!G658+operatingdata!G699+operatingdata!G744+operatingdata!G794+operatingdata!G927+operatingdata!G1002+operatingdata!G1123+operatingdata!G1171+operatingdata!G1242+operatingdata!G1309+operatingdata!G1357+operatingdata!G1372+operatingdata!G1493+operatingdata!G1552+operatingdata!G1595+operatingdata!G1652+operatingdata!G1706+operatingdata!G1766+operatingdata!G1829+operatingdata!G1928+operatingdata!G2037</f>
        <v>74075600</v>
      </c>
      <c r="H36" s="285">
        <f>operatingdata!H65+operatingdata!H92+operatingdata!H139+operatingdata!H203+operatingdata!H279+operatingdata!H403+operatingdata!H471+operatingdata!H531+operatingdata!H586+operatingdata!H658+operatingdata!H699+operatingdata!H744+operatingdata!H794+operatingdata!H927+operatingdata!H1002+operatingdata!H1123+operatingdata!H1171+operatingdata!H1242+operatingdata!H1309+operatingdata!H1357+operatingdata!H1372+operatingdata!H1493+operatingdata!H1552+operatingdata!H1595+operatingdata!H1652+operatingdata!H1706+operatingdata!H1766+operatingdata!H1829+operatingdata!H1928+operatingdata!H2037</f>
        <v>75769000</v>
      </c>
      <c r="I36" s="285">
        <f>operatingdata!I65+operatingdata!I92+operatingdata!I139+operatingdata!I203+operatingdata!I279+operatingdata!I403+operatingdata!I471+operatingdata!I531+operatingdata!I586+operatingdata!I658+operatingdata!I699+operatingdata!I744+operatingdata!I794+operatingdata!I927+operatingdata!I1002+operatingdata!I1123+operatingdata!I1171+operatingdata!I1242+operatingdata!I1309+operatingdata!I1357+operatingdata!I1372+operatingdata!I1493+operatingdata!I1552+operatingdata!I1595+operatingdata!I1652+operatingdata!I1706+operatingdata!I1766+operatingdata!I1829+operatingdata!I1928+operatingdata!I2037</f>
        <v>77012900</v>
      </c>
      <c r="J36" s="285">
        <f>operatingdata!J65+operatingdata!J92+operatingdata!J139+operatingdata!J203+operatingdata!J279+operatingdata!J403+operatingdata!J471+operatingdata!J531+operatingdata!J586+operatingdata!J658+operatingdata!J699+operatingdata!J744+operatingdata!J794+operatingdata!J927+operatingdata!J1002+operatingdata!J1123+operatingdata!J1171+operatingdata!J1242+operatingdata!J1309+operatingdata!J1357+operatingdata!J1372+operatingdata!J1493+operatingdata!J1552+operatingdata!J1595+operatingdata!J1652+operatingdata!J1706+operatingdata!J1766+operatingdata!J1829+operatingdata!J1928+operatingdata!J2037</f>
        <v>78168800</v>
      </c>
      <c r="K36" s="285">
        <f>operatingdata!K65+operatingdata!K92+operatingdata!K139+operatingdata!K203+operatingdata!K279+operatingdata!K403+operatingdata!K471+operatingdata!K531+operatingdata!K586+operatingdata!K658+operatingdata!K699+operatingdata!K744+operatingdata!K794+operatingdata!K927+operatingdata!K1002+operatingdata!K1123+operatingdata!K1171+operatingdata!K1242+operatingdata!K1309+operatingdata!K1357+operatingdata!K1372+operatingdata!K1493+operatingdata!K1552+operatingdata!K1595+operatingdata!K1652+operatingdata!K1706+operatingdata!K1766+operatingdata!K1829+operatingdata!K1928+operatingdata!K2037</f>
        <v>79212900</v>
      </c>
      <c r="L36" s="285">
        <f>operatingdata!L65+operatingdata!L92+operatingdata!L139+operatingdata!L203+operatingdata!L279+operatingdata!L403+operatingdata!L471+operatingdata!L531+operatingdata!L586+operatingdata!L658+operatingdata!L699+operatingdata!L744+operatingdata!L794+operatingdata!L927+operatingdata!L1002+operatingdata!L1123+operatingdata!L1171+operatingdata!L1242+operatingdata!L1309+operatingdata!L1357+operatingdata!L1372+operatingdata!L1493+operatingdata!L1552+operatingdata!L1595+operatingdata!L1652+operatingdata!L1706+operatingdata!L1766+operatingdata!L1829+operatingdata!L1928+operatingdata!L2037</f>
        <v>80983100</v>
      </c>
      <c r="M36" s="285">
        <f>operatingdata!M65+operatingdata!M92+operatingdata!M139+operatingdata!M203+operatingdata!M279+operatingdata!M403+operatingdata!M471+operatingdata!M531+operatingdata!M586+operatingdata!M658+operatingdata!M699+operatingdata!M744+operatingdata!M794+operatingdata!M927+operatingdata!M1002+operatingdata!M1123+operatingdata!M1171+operatingdata!M1242+operatingdata!M1309+operatingdata!M1357+operatingdata!M1372+operatingdata!M1493+operatingdata!M1552+operatingdata!M1595+operatingdata!M1652+operatingdata!M1706+operatingdata!M1766+operatingdata!M1829+operatingdata!M1928+operatingdata!M2037</f>
        <v>82165200</v>
      </c>
      <c r="N36" s="285">
        <f>operatingdata!N65+operatingdata!N92+operatingdata!N139+operatingdata!N203+operatingdata!N279+operatingdata!N403+operatingdata!N471+operatingdata!N531+operatingdata!N586+operatingdata!N658+operatingdata!N699+operatingdata!N744+operatingdata!N794+operatingdata!N927+operatingdata!N1002+operatingdata!N1123+operatingdata!N1171+operatingdata!N1242+operatingdata!N1309+operatingdata!N1357+operatingdata!N1372+operatingdata!N1493+operatingdata!N1552+operatingdata!N1595+operatingdata!N1652+operatingdata!N1706+operatingdata!N1766+operatingdata!N1829+operatingdata!N1928+operatingdata!N2037</f>
        <v>83723000</v>
      </c>
    </row>
    <row r="37" spans="2:14" x14ac:dyDescent="0.25">
      <c r="E37" s="395"/>
    </row>
    <row r="38" spans="2:14" x14ac:dyDescent="0.25">
      <c r="D38" s="47" t="s">
        <v>4536</v>
      </c>
      <c r="E38" s="396"/>
      <c r="F38" s="354">
        <f ca="1">F34-F36</f>
        <v>-24400</v>
      </c>
      <c r="G38" s="354">
        <f t="shared" ref="G38:N38" ca="1" si="3">G34-G36</f>
        <v>-46800</v>
      </c>
      <c r="H38" s="354">
        <f t="shared" ca="1" si="3"/>
        <v>-71400</v>
      </c>
      <c r="I38" s="354">
        <f t="shared" ca="1" si="3"/>
        <v>-98400</v>
      </c>
      <c r="J38" s="354">
        <f t="shared" ca="1" si="3"/>
        <v>-100900</v>
      </c>
      <c r="K38" s="354">
        <f t="shared" ca="1" si="3"/>
        <v>-103400</v>
      </c>
      <c r="L38" s="354">
        <f t="shared" ca="1" si="3"/>
        <v>-106000</v>
      </c>
      <c r="M38" s="354">
        <f t="shared" ca="1" si="3"/>
        <v>-108600</v>
      </c>
      <c r="N38" s="354">
        <f t="shared" ca="1" si="3"/>
        <v>-111300</v>
      </c>
    </row>
    <row r="39" spans="2:14" x14ac:dyDescent="0.25">
      <c r="E39" s="395"/>
    </row>
    <row r="40" spans="2:14" x14ac:dyDescent="0.25">
      <c r="B40" t="s">
        <v>4540</v>
      </c>
      <c r="C40" t="s">
        <v>4261</v>
      </c>
      <c r="E40" s="395"/>
    </row>
    <row r="41" spans="2:14" x14ac:dyDescent="0.25">
      <c r="D41" t="s">
        <v>4538</v>
      </c>
      <c r="E41" s="395"/>
      <c r="F41" s="285">
        <f>income!C13+fundingstat!C15</f>
        <v>5909100</v>
      </c>
      <c r="G41" s="285">
        <f>income!D13+fundingstat!D15</f>
        <v>5961600</v>
      </c>
      <c r="H41" s="285">
        <f>income!E13+fundingstat!E15</f>
        <v>5564600</v>
      </c>
      <c r="I41" s="285">
        <f>income!F13+fundingstat!F15</f>
        <v>3609300</v>
      </c>
      <c r="J41" s="285">
        <f>income!G13+fundingstat!G15</f>
        <v>3372600</v>
      </c>
      <c r="K41" s="285">
        <f>income!H13+fundingstat!H15</f>
        <v>3186200</v>
      </c>
      <c r="L41" s="285">
        <f>income!I13+fundingstat!I15</f>
        <v>3200400</v>
      </c>
      <c r="M41" s="285">
        <f>income!J13+fundingstat!J15</f>
        <v>3215200</v>
      </c>
      <c r="N41" s="285">
        <f>income!K13+fundingstat!K15</f>
        <v>2830000</v>
      </c>
    </row>
    <row r="42" spans="2:14" x14ac:dyDescent="0.25">
      <c r="E42" s="395"/>
    </row>
    <row r="43" spans="2:14" x14ac:dyDescent="0.25">
      <c r="D43" t="s">
        <v>4539</v>
      </c>
      <c r="E43" s="395"/>
      <c r="F43" s="285">
        <f>capitalrevdata!F375</f>
        <v>5909100</v>
      </c>
      <c r="G43" s="285">
        <f>capitalrevdata!G375</f>
        <v>5961600</v>
      </c>
      <c r="H43" s="285">
        <f>capitalrevdata!H375</f>
        <v>5564600</v>
      </c>
      <c r="I43" s="285">
        <f>capitalrevdata!I375</f>
        <v>3609300</v>
      </c>
      <c r="J43" s="285">
        <f>capitalrevdata!J375</f>
        <v>3372600</v>
      </c>
      <c r="K43" s="285">
        <f>capitalrevdata!K375</f>
        <v>3186200</v>
      </c>
      <c r="L43" s="285">
        <f>capitalrevdata!L375</f>
        <v>3200400</v>
      </c>
      <c r="M43" s="285">
        <f>capitalrevdata!M375</f>
        <v>3215200</v>
      </c>
      <c r="N43" s="285">
        <f>capitalrevdata!N375</f>
        <v>2830000</v>
      </c>
    </row>
    <row r="44" spans="2:14" x14ac:dyDescent="0.25">
      <c r="E44" s="395"/>
    </row>
    <row r="45" spans="2:14" x14ac:dyDescent="0.25">
      <c r="D45" s="47" t="s">
        <v>4536</v>
      </c>
      <c r="E45" s="395"/>
      <c r="F45" s="354">
        <f>F41-F43</f>
        <v>0</v>
      </c>
      <c r="G45" s="354">
        <f t="shared" ref="G45:N45" si="4">G41-G43</f>
        <v>0</v>
      </c>
      <c r="H45" s="354">
        <f t="shared" si="4"/>
        <v>0</v>
      </c>
      <c r="I45" s="354">
        <f t="shared" si="4"/>
        <v>0</v>
      </c>
      <c r="J45" s="354">
        <f t="shared" si="4"/>
        <v>0</v>
      </c>
      <c r="K45" s="354">
        <f t="shared" si="4"/>
        <v>0</v>
      </c>
      <c r="L45" s="354">
        <f t="shared" si="4"/>
        <v>0</v>
      </c>
      <c r="M45" s="354">
        <f t="shared" si="4"/>
        <v>0</v>
      </c>
      <c r="N45" s="354">
        <f t="shared" si="4"/>
        <v>0</v>
      </c>
    </row>
    <row r="46" spans="2:14" x14ac:dyDescent="0.25">
      <c r="E46" s="395"/>
    </row>
    <row r="47" spans="2:14" x14ac:dyDescent="0.25">
      <c r="C47" t="s">
        <v>4265</v>
      </c>
      <c r="E47" s="395"/>
    </row>
    <row r="48" spans="2:14" x14ac:dyDescent="0.25">
      <c r="D48" t="s">
        <v>4541</v>
      </c>
      <c r="E48" s="395"/>
      <c r="F48" s="285">
        <f>fundingstat!C20</f>
        <v>20213511</v>
      </c>
      <c r="G48" s="285">
        <f>fundingstat!D20</f>
        <v>12061031</v>
      </c>
      <c r="H48" s="285">
        <f>fundingstat!E20</f>
        <v>24453405</v>
      </c>
      <c r="I48" s="285">
        <f>fundingstat!F20</f>
        <v>11022934</v>
      </c>
      <c r="J48" s="285">
        <f>fundingstat!G20</f>
        <v>10790953</v>
      </c>
      <c r="K48" s="285">
        <f>fundingstat!H20</f>
        <v>11146814</v>
      </c>
      <c r="L48" s="285">
        <f>fundingstat!I20</f>
        <v>11349481</v>
      </c>
      <c r="M48" s="285">
        <f>fundingstat!J20</f>
        <v>13479240</v>
      </c>
      <c r="N48" s="285">
        <f>fundingstat!K20</f>
        <v>23621402</v>
      </c>
    </row>
    <row r="49" spans="2:14" x14ac:dyDescent="0.25">
      <c r="E49" s="395"/>
    </row>
    <row r="50" spans="2:14" x14ac:dyDescent="0.25">
      <c r="D50" t="s">
        <v>4539</v>
      </c>
      <c r="E50" s="395"/>
      <c r="F50" s="285">
        <f>capitalexpdata!G775</f>
        <v>20213511</v>
      </c>
      <c r="G50" s="285">
        <f>capitalexpdata!H775</f>
        <v>12061031</v>
      </c>
      <c r="H50" s="285">
        <f>capitalexpdata!I775</f>
        <v>24453405</v>
      </c>
      <c r="I50" s="285">
        <f>capitalexpdata!J775</f>
        <v>11022934</v>
      </c>
      <c r="J50" s="285">
        <f>capitalexpdata!K775</f>
        <v>10790953</v>
      </c>
      <c r="K50" s="285">
        <f>capitalexpdata!L775</f>
        <v>11146814</v>
      </c>
      <c r="L50" s="285">
        <f>capitalexpdata!M775</f>
        <v>11349481</v>
      </c>
      <c r="M50" s="285">
        <f>capitalexpdata!N775</f>
        <v>13479240</v>
      </c>
      <c r="N50" s="285">
        <f>capitalexpdata!O775</f>
        <v>23621402</v>
      </c>
    </row>
    <row r="51" spans="2:14" x14ac:dyDescent="0.25">
      <c r="E51" s="395"/>
    </row>
    <row r="52" spans="2:14" x14ac:dyDescent="0.25">
      <c r="D52" s="47" t="s">
        <v>4536</v>
      </c>
      <c r="E52" s="395"/>
      <c r="F52" s="354">
        <f>F48-F50</f>
        <v>0</v>
      </c>
      <c r="G52" s="354">
        <f t="shared" ref="G52:N52" si="5">G48-G50</f>
        <v>0</v>
      </c>
      <c r="H52" s="354">
        <f t="shared" si="5"/>
        <v>0</v>
      </c>
      <c r="I52" s="354">
        <f t="shared" si="5"/>
        <v>0</v>
      </c>
      <c r="J52" s="354">
        <f t="shared" si="5"/>
        <v>0</v>
      </c>
      <c r="K52" s="354">
        <f t="shared" si="5"/>
        <v>0</v>
      </c>
      <c r="L52" s="354">
        <f t="shared" si="5"/>
        <v>0</v>
      </c>
      <c r="M52" s="354">
        <f t="shared" si="5"/>
        <v>0</v>
      </c>
      <c r="N52" s="354">
        <f t="shared" si="5"/>
        <v>0</v>
      </c>
    </row>
    <row r="53" spans="2:14" x14ac:dyDescent="0.25">
      <c r="E53" s="395"/>
    </row>
    <row r="54" spans="2:14" x14ac:dyDescent="0.25">
      <c r="B54" t="s">
        <v>4543</v>
      </c>
      <c r="D54" t="s">
        <v>4541</v>
      </c>
      <c r="E54" s="395"/>
      <c r="F54" s="285">
        <f>income!C20</f>
        <v>12640200</v>
      </c>
      <c r="G54" s="285">
        <f>income!D20</f>
        <v>12766800</v>
      </c>
      <c r="H54" s="285">
        <f>income!E20</f>
        <v>12894600</v>
      </c>
      <c r="I54" s="285">
        <f>income!F20</f>
        <v>13023500</v>
      </c>
      <c r="J54" s="285">
        <f>income!G20</f>
        <v>13153500</v>
      </c>
      <c r="K54" s="285">
        <f>income!H20</f>
        <v>13284900</v>
      </c>
      <c r="L54" s="285">
        <f>income!I20</f>
        <v>13417600</v>
      </c>
      <c r="M54" s="285">
        <f>income!J20</f>
        <v>13551200</v>
      </c>
      <c r="N54" s="285">
        <f>income!K20</f>
        <v>13686700</v>
      </c>
    </row>
    <row r="55" spans="2:14" x14ac:dyDescent="0.25">
      <c r="E55" s="395"/>
    </row>
    <row r="56" spans="2:14" x14ac:dyDescent="0.25">
      <c r="D56" t="s">
        <v>4539</v>
      </c>
      <c r="E56" s="395"/>
      <c r="F56" s="285">
        <f>operatingdata!F469+operatingdata!F584+operatingdata!F741+operatingdata!F742+operatingdata!F791+operatingdata!F792+operatingdata!F912+operatingdata!F913+operatingdata!F914+operatingdata!F915+operatingdata!F916+operatingdata!F917+operatingdata!F918+operatingdata!F919+operatingdata!F920+operatingdata!F921+operatingdata!F1116+operatingdata!F1117+operatingdata!F1118+operatingdata!F1119+operatingdata!F1240+operatingdata!F1307+operatingdata!F1399+operatingdata!F1486+operatingdata!F1487+operatingdata!F1488+operatingdata!F1489+operatingdata!F1550+operatingdata!F1593+operatingdata!F1650+operatingdata!F1825+operatingdata!F1826+operatingdata!F1926+operatingdata!F2035</f>
        <v>12640200</v>
      </c>
      <c r="G56" s="285">
        <f>operatingdata!G469+operatingdata!G584+operatingdata!G741+operatingdata!G742+operatingdata!G791+operatingdata!G792+operatingdata!G912+operatingdata!G913+operatingdata!G914+operatingdata!G915+operatingdata!G916+operatingdata!G917+operatingdata!G918+operatingdata!G919+operatingdata!G920+operatingdata!G921+operatingdata!G1116+operatingdata!G1117+operatingdata!G1118+operatingdata!G1119+operatingdata!G1240+operatingdata!G1307+operatingdata!G1399+operatingdata!G1486+operatingdata!G1487+operatingdata!G1488+operatingdata!G1489+operatingdata!G1550+operatingdata!G1593+operatingdata!G1650+operatingdata!G1825+operatingdata!G1826+operatingdata!G1926+operatingdata!G2035</f>
        <v>12766800</v>
      </c>
      <c r="H56" s="285">
        <f>operatingdata!H469+operatingdata!H584+operatingdata!H741+operatingdata!H742+operatingdata!H791+operatingdata!H792+operatingdata!H912+operatingdata!H913+operatingdata!H914+operatingdata!H915+operatingdata!H916+operatingdata!H917+operatingdata!H918+operatingdata!H919+operatingdata!H920+operatingdata!H921+operatingdata!H1116+operatingdata!H1117+operatingdata!H1118+operatingdata!H1119+operatingdata!H1240+operatingdata!H1307+operatingdata!H1399+operatingdata!H1486+operatingdata!H1487+operatingdata!H1488+operatingdata!H1489+operatingdata!H1550+operatingdata!H1593+operatingdata!H1650+operatingdata!H1825+operatingdata!H1826+operatingdata!H1926+operatingdata!H2035</f>
        <v>12894600</v>
      </c>
      <c r="I56" s="285">
        <f>operatingdata!I469+operatingdata!I584+operatingdata!I741+operatingdata!I742+operatingdata!I791+operatingdata!I792+operatingdata!I912+operatingdata!I913+operatingdata!I914+operatingdata!I915+operatingdata!I916+operatingdata!I917+operatingdata!I918+operatingdata!I919+operatingdata!I920+operatingdata!I921+operatingdata!I1116+operatingdata!I1117+operatingdata!I1118+operatingdata!I1119+operatingdata!I1240+operatingdata!I1307+operatingdata!I1399+operatingdata!I1486+operatingdata!I1487+operatingdata!I1488+operatingdata!I1489+operatingdata!I1550+operatingdata!I1593+operatingdata!I1650+operatingdata!I1825+operatingdata!I1826+operatingdata!I1926+operatingdata!I2035</f>
        <v>13023500</v>
      </c>
      <c r="J56" s="285">
        <f>operatingdata!J469+operatingdata!J584+operatingdata!J741+operatingdata!J742+operatingdata!J791+operatingdata!J792+operatingdata!J912+operatingdata!J913+operatingdata!J914+operatingdata!J915+operatingdata!J916+operatingdata!J917+operatingdata!J918+operatingdata!J919+operatingdata!J920+operatingdata!J921+operatingdata!J1116+operatingdata!J1117+operatingdata!J1118+operatingdata!J1119+operatingdata!J1240+operatingdata!J1307+operatingdata!J1399+operatingdata!J1486+operatingdata!J1487+operatingdata!J1488+operatingdata!J1489+operatingdata!J1550+operatingdata!J1593+operatingdata!J1650+operatingdata!J1825+operatingdata!J1826+operatingdata!J1926+operatingdata!J2035</f>
        <v>13153500</v>
      </c>
      <c r="K56" s="285">
        <f>operatingdata!K469+operatingdata!K584+operatingdata!K741+operatingdata!K742+operatingdata!K791+operatingdata!K792+operatingdata!K912+operatingdata!K913+operatingdata!K914+operatingdata!K915+operatingdata!K916+operatingdata!K917+operatingdata!K918+operatingdata!K919+operatingdata!K920+operatingdata!K921+operatingdata!K1116+operatingdata!K1117+operatingdata!K1118+operatingdata!K1119+operatingdata!K1240+operatingdata!K1307+operatingdata!K1399+operatingdata!K1486+operatingdata!K1487+operatingdata!K1488+operatingdata!K1489+operatingdata!K1550+operatingdata!K1593+operatingdata!K1650+operatingdata!K1825+operatingdata!K1826+operatingdata!K1926+operatingdata!K2035</f>
        <v>13284900</v>
      </c>
      <c r="L56" s="285">
        <f>operatingdata!L469+operatingdata!L584+operatingdata!L741+operatingdata!L742+operatingdata!L791+operatingdata!L792+operatingdata!L912+operatingdata!L913+operatingdata!L914+operatingdata!L915+operatingdata!L916+operatingdata!L917+operatingdata!L918+operatingdata!L919+operatingdata!L920+operatingdata!L921+operatingdata!L1116+operatingdata!L1117+operatingdata!L1118+operatingdata!L1119+operatingdata!L1240+operatingdata!L1307+operatingdata!L1399+operatingdata!L1486+operatingdata!L1487+operatingdata!L1488+operatingdata!L1489+operatingdata!L1550+operatingdata!L1593+operatingdata!L1650+operatingdata!L1825+operatingdata!L1826+operatingdata!L1926+operatingdata!L2035</f>
        <v>13417600</v>
      </c>
      <c r="M56" s="285">
        <f>operatingdata!M469+operatingdata!M584+operatingdata!M741+operatingdata!M742+operatingdata!M791+operatingdata!M792+operatingdata!M912+operatingdata!M913+operatingdata!M914+operatingdata!M915+operatingdata!M916+operatingdata!M917+operatingdata!M918+operatingdata!M919+operatingdata!M920+operatingdata!M921+operatingdata!M1116+operatingdata!M1117+operatingdata!M1118+operatingdata!M1119+operatingdata!M1240+operatingdata!M1307+operatingdata!M1399+operatingdata!M1486+operatingdata!M1487+operatingdata!M1488+operatingdata!M1489+operatingdata!M1550+operatingdata!M1593+operatingdata!M1650+operatingdata!M1825+operatingdata!M1826+operatingdata!M1926+operatingdata!M2035</f>
        <v>13551200</v>
      </c>
      <c r="N56" s="285">
        <f>operatingdata!N469+operatingdata!N584+operatingdata!N741+operatingdata!N742+operatingdata!N791+operatingdata!N792+operatingdata!N912+operatingdata!N913+operatingdata!N914+operatingdata!N915+operatingdata!N916+operatingdata!N917+operatingdata!N918+operatingdata!N919+operatingdata!N920+operatingdata!N921+operatingdata!N1116+operatingdata!N1117+operatingdata!N1118+operatingdata!N1119+operatingdata!N1240+operatingdata!N1307+operatingdata!N1399+operatingdata!N1486+operatingdata!N1487+operatingdata!N1488+operatingdata!N1489+operatingdata!N1550+operatingdata!N1593+operatingdata!N1650+operatingdata!N1825+operatingdata!N1826+operatingdata!N1926+operatingdata!N2035</f>
        <v>13686700</v>
      </c>
    </row>
    <row r="57" spans="2:14" x14ac:dyDescent="0.25">
      <c r="E57" s="395"/>
    </row>
    <row r="58" spans="2:14" x14ac:dyDescent="0.25">
      <c r="D58" s="47" t="s">
        <v>4536</v>
      </c>
      <c r="E58" s="395"/>
      <c r="F58" s="354">
        <f>F54-F56</f>
        <v>0</v>
      </c>
      <c r="G58" s="354">
        <f t="shared" ref="G58:N58" si="6">G54-G56</f>
        <v>0</v>
      </c>
      <c r="H58" s="354">
        <f t="shared" si="6"/>
        <v>0</v>
      </c>
      <c r="I58" s="354">
        <f t="shared" si="6"/>
        <v>0</v>
      </c>
      <c r="J58" s="354">
        <f t="shared" si="6"/>
        <v>0</v>
      </c>
      <c r="K58" s="354">
        <f t="shared" si="6"/>
        <v>0</v>
      </c>
      <c r="L58" s="354">
        <f t="shared" si="6"/>
        <v>0</v>
      </c>
      <c r="M58" s="354">
        <f t="shared" si="6"/>
        <v>0</v>
      </c>
      <c r="N58" s="354">
        <f t="shared" si="6"/>
        <v>0</v>
      </c>
    </row>
    <row r="59" spans="2:14" x14ac:dyDescent="0.25">
      <c r="E59" s="395"/>
    </row>
    <row r="60" spans="2:14" x14ac:dyDescent="0.25">
      <c r="E60" s="395"/>
    </row>
    <row r="61" spans="2:14" x14ac:dyDescent="0.25">
      <c r="C61" t="s">
        <v>4593</v>
      </c>
      <c r="D61" t="s">
        <v>4541</v>
      </c>
      <c r="E61" s="395"/>
    </row>
    <row r="62" spans="2:14" x14ac:dyDescent="0.25">
      <c r="D62" t="s">
        <v>4594</v>
      </c>
      <c r="E62" s="395"/>
      <c r="F62" s="285">
        <f>income!C18+fundingstat!C21</f>
        <v>7031500</v>
      </c>
      <c r="G62" s="285">
        <f>income!D18+fundingstat!D21</f>
        <v>7164200</v>
      </c>
      <c r="H62" s="285">
        <f>income!E18+fundingstat!E21</f>
        <v>7193600</v>
      </c>
      <c r="I62" s="285">
        <f>income!F18+fundingstat!F21</f>
        <v>7132100</v>
      </c>
      <c r="J62" s="285">
        <f>income!G18+fundingstat!G21</f>
        <v>7129100</v>
      </c>
      <c r="K62" s="285">
        <f>income!H18+fundingstat!H21</f>
        <v>6874100</v>
      </c>
      <c r="L62" s="285">
        <f>income!I18+fundingstat!I21</f>
        <v>6833900</v>
      </c>
      <c r="M62" s="285">
        <f>income!J18+fundingstat!J21</f>
        <v>6057800</v>
      </c>
      <c r="N62" s="285">
        <f>income!K18+fundingstat!K21</f>
        <v>6057800</v>
      </c>
    </row>
    <row r="63" spans="2:14" x14ac:dyDescent="0.25">
      <c r="E63" s="395"/>
    </row>
    <row r="64" spans="2:14" x14ac:dyDescent="0.25">
      <c r="E64" s="395"/>
    </row>
    <row r="65" spans="4:14" x14ac:dyDescent="0.25">
      <c r="D65" t="s">
        <v>4595</v>
      </c>
      <c r="E65" s="395"/>
      <c r="F65" s="285">
        <f>loans!V118</f>
        <v>7031525.6783632934</v>
      </c>
      <c r="G65" s="285">
        <f>loans!Z118</f>
        <v>7164304.0035646567</v>
      </c>
      <c r="H65" s="285">
        <f>loans!AD118</f>
        <v>7193678.4887660192</v>
      </c>
      <c r="I65" s="285">
        <f>loans!AH118</f>
        <v>7128885.2387660192</v>
      </c>
      <c r="J65" s="285">
        <f>loans!AL118</f>
        <v>7128885.2187660187</v>
      </c>
      <c r="K65" s="285">
        <f>loans!AP118</f>
        <v>6874271.1087660193</v>
      </c>
      <c r="L65" s="285">
        <f>loans!AT118</f>
        <v>6833934.0587660186</v>
      </c>
      <c r="M65" s="285">
        <f>loans!AX118</f>
        <v>6057805.0287660193</v>
      </c>
      <c r="N65" s="285">
        <f>loans!BB118</f>
        <v>6057805.0187660195</v>
      </c>
    </row>
    <row r="66" spans="4:14" x14ac:dyDescent="0.25">
      <c r="E66" s="395"/>
    </row>
    <row r="67" spans="4:14" x14ac:dyDescent="0.25">
      <c r="D67" s="47" t="s">
        <v>4536</v>
      </c>
      <c r="E67" s="395"/>
      <c r="F67" s="354">
        <f>F62-F65</f>
        <v>-25.678363293409348</v>
      </c>
      <c r="G67" s="354">
        <f t="shared" ref="G67:N67" si="7">G62-G65</f>
        <v>-104.00356465671211</v>
      </c>
      <c r="H67" s="354">
        <f t="shared" si="7"/>
        <v>-78.488766019232571</v>
      </c>
      <c r="I67" s="354">
        <f t="shared" si="7"/>
        <v>3214.7612339807674</v>
      </c>
      <c r="J67" s="354">
        <f t="shared" si="7"/>
        <v>214.78123398125172</v>
      </c>
      <c r="K67" s="354">
        <f t="shared" si="7"/>
        <v>-171.10876601934433</v>
      </c>
      <c r="L67" s="354">
        <f t="shared" si="7"/>
        <v>-34.058766018599272</v>
      </c>
      <c r="M67" s="354">
        <f t="shared" si="7"/>
        <v>-5.028766019269824</v>
      </c>
      <c r="N67" s="354">
        <f t="shared" si="7"/>
        <v>-5.0187660194933414</v>
      </c>
    </row>
    <row r="68" spans="4:14" x14ac:dyDescent="0.25">
      <c r="E68" s="395"/>
    </row>
    <row r="69" spans="4:14" x14ac:dyDescent="0.25">
      <c r="E69" s="395"/>
    </row>
    <row r="70" spans="4:14" x14ac:dyDescent="0.25">
      <c r="E70" s="395"/>
    </row>
    <row r="71" spans="4:14" x14ac:dyDescent="0.25">
      <c r="E71" s="395"/>
    </row>
    <row r="72" spans="4:14" x14ac:dyDescent="0.25">
      <c r="E72" s="395"/>
    </row>
    <row r="73" spans="4:14" x14ac:dyDescent="0.25">
      <c r="E73" s="395"/>
    </row>
    <row r="74" spans="4:14" x14ac:dyDescent="0.25">
      <c r="E74" s="395"/>
    </row>
    <row r="75" spans="4:14" x14ac:dyDescent="0.25">
      <c r="E75" s="395"/>
    </row>
    <row r="76" spans="4:14" x14ac:dyDescent="0.25">
      <c r="E76" s="395"/>
    </row>
    <row r="77" spans="4:14" x14ac:dyDescent="0.25">
      <c r="E77" s="395"/>
    </row>
    <row r="78" spans="4:14" x14ac:dyDescent="0.25">
      <c r="E78" s="395"/>
    </row>
    <row r="79" spans="4:14" x14ac:dyDescent="0.25">
      <c r="E79" s="395"/>
    </row>
    <row r="80" spans="4:14" x14ac:dyDescent="0.25">
      <c r="E80" s="395"/>
    </row>
    <row r="81" spans="5:5" x14ac:dyDescent="0.25">
      <c r="E81" s="395"/>
    </row>
    <row r="82" spans="5:5" x14ac:dyDescent="0.25">
      <c r="E82" s="395"/>
    </row>
    <row r="83" spans="5:5" x14ac:dyDescent="0.25">
      <c r="E83" s="395"/>
    </row>
    <row r="84" spans="5:5" x14ac:dyDescent="0.25">
      <c r="E84" s="395"/>
    </row>
    <row r="85" spans="5:5" x14ac:dyDescent="0.25">
      <c r="E85" s="395"/>
    </row>
    <row r="86" spans="5:5" x14ac:dyDescent="0.25">
      <c r="E86" s="395"/>
    </row>
    <row r="87" spans="5:5" x14ac:dyDescent="0.25">
      <c r="E87" s="395"/>
    </row>
    <row r="88" spans="5:5" x14ac:dyDescent="0.25">
      <c r="E88" s="395"/>
    </row>
    <row r="89" spans="5:5" x14ac:dyDescent="0.25">
      <c r="E89" s="395"/>
    </row>
    <row r="90" spans="5:5" x14ac:dyDescent="0.25">
      <c r="E90" s="395"/>
    </row>
    <row r="91" spans="5:5" x14ac:dyDescent="0.25">
      <c r="E91" s="395"/>
    </row>
    <row r="92" spans="5:5" x14ac:dyDescent="0.25">
      <c r="E92" s="395"/>
    </row>
    <row r="93" spans="5:5" x14ac:dyDescent="0.25">
      <c r="E93" s="395"/>
    </row>
    <row r="94" spans="5:5" x14ac:dyDescent="0.25">
      <c r="E94" s="395"/>
    </row>
    <row r="95" spans="5:5" x14ac:dyDescent="0.25">
      <c r="E95" s="395"/>
    </row>
    <row r="96" spans="5:5" x14ac:dyDescent="0.25">
      <c r="E96" s="395"/>
    </row>
    <row r="97" spans="5:5" x14ac:dyDescent="0.25">
      <c r="E97" s="395"/>
    </row>
    <row r="98" spans="5:5" x14ac:dyDescent="0.25">
      <c r="E98" s="395"/>
    </row>
    <row r="99" spans="5:5" x14ac:dyDescent="0.25">
      <c r="E99" s="395"/>
    </row>
    <row r="100" spans="5:5" x14ac:dyDescent="0.25">
      <c r="E100" s="395"/>
    </row>
    <row r="101" spans="5:5" x14ac:dyDescent="0.25">
      <c r="E101" s="395"/>
    </row>
    <row r="102" spans="5:5" x14ac:dyDescent="0.25">
      <c r="E102" s="395"/>
    </row>
    <row r="103" spans="5:5" x14ac:dyDescent="0.25">
      <c r="E103" s="395"/>
    </row>
    <row r="104" spans="5:5" x14ac:dyDescent="0.25">
      <c r="E104" s="395"/>
    </row>
    <row r="105" spans="5:5" x14ac:dyDescent="0.25">
      <c r="E105" s="395"/>
    </row>
    <row r="106" spans="5:5" x14ac:dyDescent="0.25">
      <c r="E106" s="395"/>
    </row>
    <row r="107" spans="5:5" x14ac:dyDescent="0.25">
      <c r="E107" s="395"/>
    </row>
    <row r="108" spans="5:5" x14ac:dyDescent="0.25">
      <c r="E108" s="395"/>
    </row>
    <row r="109" spans="5:5" x14ac:dyDescent="0.25">
      <c r="E109" s="395"/>
    </row>
    <row r="110" spans="5:5" x14ac:dyDescent="0.25">
      <c r="E110" s="395"/>
    </row>
    <row r="111" spans="5:5" x14ac:dyDescent="0.25">
      <c r="E111" s="395"/>
    </row>
    <row r="112" spans="5:5" x14ac:dyDescent="0.25">
      <c r="E112" s="395"/>
    </row>
    <row r="113" spans="5:5" x14ac:dyDescent="0.25">
      <c r="E113" s="395"/>
    </row>
    <row r="114" spans="5:5" x14ac:dyDescent="0.25">
      <c r="E114" s="395"/>
    </row>
    <row r="115" spans="5:5" x14ac:dyDescent="0.25">
      <c r="E115" s="395"/>
    </row>
    <row r="116" spans="5:5" x14ac:dyDescent="0.25">
      <c r="E116" s="395"/>
    </row>
    <row r="117" spans="5:5" x14ac:dyDescent="0.25">
      <c r="E117" s="395"/>
    </row>
    <row r="118" spans="5:5" x14ac:dyDescent="0.25">
      <c r="E118" s="395"/>
    </row>
    <row r="119" spans="5:5" x14ac:dyDescent="0.25">
      <c r="E119" s="395"/>
    </row>
    <row r="120" spans="5:5" x14ac:dyDescent="0.25">
      <c r="E120" s="395"/>
    </row>
    <row r="121" spans="5:5" x14ac:dyDescent="0.25">
      <c r="E121" s="395"/>
    </row>
    <row r="122" spans="5:5" x14ac:dyDescent="0.25">
      <c r="E122" s="395"/>
    </row>
    <row r="123" spans="5:5" x14ac:dyDescent="0.25">
      <c r="E123" s="395"/>
    </row>
    <row r="124" spans="5:5" x14ac:dyDescent="0.25">
      <c r="E124" s="395"/>
    </row>
    <row r="125" spans="5:5" x14ac:dyDescent="0.25">
      <c r="E125" s="395"/>
    </row>
    <row r="126" spans="5:5" x14ac:dyDescent="0.25">
      <c r="E126" s="395"/>
    </row>
    <row r="127" spans="5:5" x14ac:dyDescent="0.25">
      <c r="E127" s="395"/>
    </row>
    <row r="128" spans="5:5" x14ac:dyDescent="0.25">
      <c r="E128" s="395"/>
    </row>
    <row r="129" spans="5:5" x14ac:dyDescent="0.25">
      <c r="E129" s="395"/>
    </row>
    <row r="130" spans="5:5" x14ac:dyDescent="0.25">
      <c r="E130" s="395"/>
    </row>
    <row r="131" spans="5:5" x14ac:dyDescent="0.25">
      <c r="E131" s="395"/>
    </row>
    <row r="132" spans="5:5" x14ac:dyDescent="0.25">
      <c r="E132" s="395"/>
    </row>
    <row r="133" spans="5:5" x14ac:dyDescent="0.25">
      <c r="E133" s="395"/>
    </row>
    <row r="134" spans="5:5" x14ac:dyDescent="0.25">
      <c r="E134" s="395"/>
    </row>
    <row r="135" spans="5:5" x14ac:dyDescent="0.25">
      <c r="E135" s="395"/>
    </row>
    <row r="136" spans="5:5" x14ac:dyDescent="0.25">
      <c r="E136" s="395"/>
    </row>
    <row r="137" spans="5:5" x14ac:dyDescent="0.25">
      <c r="E137" s="395"/>
    </row>
    <row r="138" spans="5:5" x14ac:dyDescent="0.25">
      <c r="E138" s="395"/>
    </row>
    <row r="139" spans="5:5" x14ac:dyDescent="0.25">
      <c r="E139" s="395"/>
    </row>
    <row r="140" spans="5:5" x14ac:dyDescent="0.25">
      <c r="E140" s="395"/>
    </row>
    <row r="141" spans="5:5" x14ac:dyDescent="0.25">
      <c r="E141" s="395"/>
    </row>
    <row r="142" spans="5:5" x14ac:dyDescent="0.25">
      <c r="E142" s="395"/>
    </row>
    <row r="143" spans="5:5" x14ac:dyDescent="0.25">
      <c r="E143" s="395"/>
    </row>
    <row r="144" spans="5:5" x14ac:dyDescent="0.25">
      <c r="E144" s="395"/>
    </row>
    <row r="145" spans="5:5" x14ac:dyDescent="0.25">
      <c r="E145" s="395"/>
    </row>
    <row r="146" spans="5:5" x14ac:dyDescent="0.25">
      <c r="E146" s="395"/>
    </row>
    <row r="147" spans="5:5" x14ac:dyDescent="0.25">
      <c r="E147" s="395"/>
    </row>
    <row r="148" spans="5:5" x14ac:dyDescent="0.25">
      <c r="E148" s="395"/>
    </row>
    <row r="149" spans="5:5" x14ac:dyDescent="0.25">
      <c r="E149" s="395"/>
    </row>
    <row r="150" spans="5:5" x14ac:dyDescent="0.25">
      <c r="E150" s="395"/>
    </row>
    <row r="151" spans="5:5" x14ac:dyDescent="0.25">
      <c r="E151" s="395"/>
    </row>
    <row r="152" spans="5:5" x14ac:dyDescent="0.25">
      <c r="E152" s="395"/>
    </row>
    <row r="153" spans="5:5" x14ac:dyDescent="0.25">
      <c r="E153" s="395"/>
    </row>
    <row r="154" spans="5:5" x14ac:dyDescent="0.25">
      <c r="E154" s="395"/>
    </row>
    <row r="155" spans="5:5" x14ac:dyDescent="0.25">
      <c r="E155" s="395"/>
    </row>
    <row r="156" spans="5:5" x14ac:dyDescent="0.25">
      <c r="E156" s="395"/>
    </row>
    <row r="157" spans="5:5" x14ac:dyDescent="0.25">
      <c r="E157" s="395"/>
    </row>
    <row r="158" spans="5:5" x14ac:dyDescent="0.25">
      <c r="E158" s="395"/>
    </row>
    <row r="159" spans="5:5" x14ac:dyDescent="0.25">
      <c r="E159" s="395"/>
    </row>
    <row r="160" spans="5:5" x14ac:dyDescent="0.25">
      <c r="E160" s="395"/>
    </row>
    <row r="161" spans="5:5" x14ac:dyDescent="0.25">
      <c r="E161" s="395"/>
    </row>
    <row r="162" spans="5:5" x14ac:dyDescent="0.25">
      <c r="E162" s="395"/>
    </row>
    <row r="163" spans="5:5" x14ac:dyDescent="0.25">
      <c r="E163" s="395"/>
    </row>
    <row r="164" spans="5:5" x14ac:dyDescent="0.25">
      <c r="E164" s="395"/>
    </row>
    <row r="165" spans="5:5" x14ac:dyDescent="0.25">
      <c r="E165" s="395"/>
    </row>
    <row r="166" spans="5:5" x14ac:dyDescent="0.25">
      <c r="E166" s="395"/>
    </row>
    <row r="167" spans="5:5" x14ac:dyDescent="0.25">
      <c r="E167" s="395"/>
    </row>
    <row r="168" spans="5:5" x14ac:dyDescent="0.25">
      <c r="E168" s="395"/>
    </row>
    <row r="169" spans="5:5" x14ac:dyDescent="0.25">
      <c r="E169" s="395"/>
    </row>
    <row r="170" spans="5:5" x14ac:dyDescent="0.25">
      <c r="E170" s="395"/>
    </row>
    <row r="171" spans="5:5" x14ac:dyDescent="0.25">
      <c r="E171" s="395"/>
    </row>
    <row r="172" spans="5:5" x14ac:dyDescent="0.25">
      <c r="E172" s="395"/>
    </row>
    <row r="173" spans="5:5" x14ac:dyDescent="0.25">
      <c r="E173" s="395"/>
    </row>
    <row r="174" spans="5:5" x14ac:dyDescent="0.25">
      <c r="E174" s="395"/>
    </row>
    <row r="175" spans="5:5" x14ac:dyDescent="0.25">
      <c r="E175" s="395"/>
    </row>
    <row r="176" spans="5:5" x14ac:dyDescent="0.25">
      <c r="E176" s="395"/>
    </row>
    <row r="177" spans="5:5" x14ac:dyDescent="0.25">
      <c r="E177" s="395"/>
    </row>
    <row r="178" spans="5:5" x14ac:dyDescent="0.25">
      <c r="E178" s="395"/>
    </row>
    <row r="179" spans="5:5" x14ac:dyDescent="0.25">
      <c r="E179" s="395"/>
    </row>
    <row r="180" spans="5:5" x14ac:dyDescent="0.25">
      <c r="E180" s="395"/>
    </row>
    <row r="181" spans="5:5" x14ac:dyDescent="0.25">
      <c r="E181" s="395"/>
    </row>
    <row r="182" spans="5:5" x14ac:dyDescent="0.25">
      <c r="E182" s="395"/>
    </row>
    <row r="183" spans="5:5" x14ac:dyDescent="0.25">
      <c r="E183" s="395"/>
    </row>
    <row r="184" spans="5:5" x14ac:dyDescent="0.25">
      <c r="E184" s="395"/>
    </row>
    <row r="185" spans="5:5" x14ac:dyDescent="0.25">
      <c r="E185" s="395"/>
    </row>
    <row r="186" spans="5:5" x14ac:dyDescent="0.25">
      <c r="E186" s="395"/>
    </row>
    <row r="187" spans="5:5" x14ac:dyDescent="0.25">
      <c r="E187" s="395"/>
    </row>
    <row r="188" spans="5:5" x14ac:dyDescent="0.25">
      <c r="E188" s="395"/>
    </row>
    <row r="189" spans="5:5" x14ac:dyDescent="0.25">
      <c r="E189" s="395"/>
    </row>
    <row r="190" spans="5:5" x14ac:dyDescent="0.25">
      <c r="E190" s="395"/>
    </row>
    <row r="191" spans="5:5" x14ac:dyDescent="0.25">
      <c r="E191" s="395"/>
    </row>
    <row r="192" spans="5:5" x14ac:dyDescent="0.25">
      <c r="E192" s="395"/>
    </row>
    <row r="193" spans="5:5" x14ac:dyDescent="0.25">
      <c r="E193" s="395"/>
    </row>
    <row r="194" spans="5:5" x14ac:dyDescent="0.25">
      <c r="E194" s="395"/>
    </row>
    <row r="195" spans="5:5" x14ac:dyDescent="0.25">
      <c r="E195" s="395"/>
    </row>
    <row r="196" spans="5:5" x14ac:dyDescent="0.25">
      <c r="E196" s="395"/>
    </row>
    <row r="197" spans="5:5" x14ac:dyDescent="0.25">
      <c r="E197" s="395"/>
    </row>
    <row r="198" spans="5:5" x14ac:dyDescent="0.25">
      <c r="E198" s="395"/>
    </row>
    <row r="199" spans="5:5" x14ac:dyDescent="0.25">
      <c r="E199" s="395"/>
    </row>
    <row r="200" spans="5:5" x14ac:dyDescent="0.25">
      <c r="E200" s="395"/>
    </row>
    <row r="201" spans="5:5" x14ac:dyDescent="0.25">
      <c r="E201" s="395"/>
    </row>
    <row r="202" spans="5:5" x14ac:dyDescent="0.25">
      <c r="E202" s="395"/>
    </row>
    <row r="203" spans="5:5" x14ac:dyDescent="0.25">
      <c r="E203" s="395"/>
    </row>
    <row r="204" spans="5:5" x14ac:dyDescent="0.25">
      <c r="E204" s="395"/>
    </row>
    <row r="205" spans="5:5" x14ac:dyDescent="0.25">
      <c r="E205" s="395"/>
    </row>
    <row r="206" spans="5:5" x14ac:dyDescent="0.25">
      <c r="E206" s="395"/>
    </row>
    <row r="207" spans="5:5" x14ac:dyDescent="0.25">
      <c r="E207" s="395"/>
    </row>
    <row r="208" spans="5:5" x14ac:dyDescent="0.25">
      <c r="E208" s="395"/>
    </row>
    <row r="209" spans="5:5" x14ac:dyDescent="0.25">
      <c r="E209" s="395"/>
    </row>
    <row r="210" spans="5:5" x14ac:dyDescent="0.25">
      <c r="E210" s="395"/>
    </row>
    <row r="211" spans="5:5" x14ac:dyDescent="0.25">
      <c r="E211" s="395"/>
    </row>
    <row r="212" spans="5:5" x14ac:dyDescent="0.25">
      <c r="E212" s="395"/>
    </row>
    <row r="213" spans="5:5" x14ac:dyDescent="0.25">
      <c r="E213" s="395"/>
    </row>
    <row r="214" spans="5:5" x14ac:dyDescent="0.25">
      <c r="E214" s="395"/>
    </row>
    <row r="215" spans="5:5" x14ac:dyDescent="0.25">
      <c r="E215" s="395"/>
    </row>
    <row r="216" spans="5:5" x14ac:dyDescent="0.25">
      <c r="E216" s="395"/>
    </row>
    <row r="217" spans="5:5" x14ac:dyDescent="0.25">
      <c r="E217" s="395"/>
    </row>
    <row r="218" spans="5:5" x14ac:dyDescent="0.25">
      <c r="E218" s="395"/>
    </row>
    <row r="219" spans="5:5" x14ac:dyDescent="0.25">
      <c r="E219" s="395"/>
    </row>
    <row r="220" spans="5:5" x14ac:dyDescent="0.25">
      <c r="E220" s="395"/>
    </row>
    <row r="221" spans="5:5" x14ac:dyDescent="0.25">
      <c r="E221" s="395"/>
    </row>
    <row r="222" spans="5:5" x14ac:dyDescent="0.25">
      <c r="E222" s="395"/>
    </row>
    <row r="223" spans="5:5" x14ac:dyDescent="0.25">
      <c r="E223" s="395"/>
    </row>
    <row r="224" spans="5:5" x14ac:dyDescent="0.25">
      <c r="E224" s="395"/>
    </row>
    <row r="225" spans="5:5" x14ac:dyDescent="0.25">
      <c r="E225" s="395"/>
    </row>
    <row r="226" spans="5:5" x14ac:dyDescent="0.25">
      <c r="E226" s="395"/>
    </row>
    <row r="227" spans="5:5" x14ac:dyDescent="0.25">
      <c r="E227" s="395"/>
    </row>
    <row r="228" spans="5:5" x14ac:dyDescent="0.25">
      <c r="E228" s="395"/>
    </row>
    <row r="229" spans="5:5" x14ac:dyDescent="0.25">
      <c r="E229" s="395"/>
    </row>
    <row r="230" spans="5:5" x14ac:dyDescent="0.25">
      <c r="E230" s="395"/>
    </row>
    <row r="231" spans="5:5" x14ac:dyDescent="0.25">
      <c r="E231" s="395"/>
    </row>
    <row r="232" spans="5:5" x14ac:dyDescent="0.25">
      <c r="E232" s="395"/>
    </row>
    <row r="233" spans="5:5" x14ac:dyDescent="0.25">
      <c r="E233" s="395"/>
    </row>
    <row r="234" spans="5:5" x14ac:dyDescent="0.25">
      <c r="E234" s="395"/>
    </row>
    <row r="235" spans="5:5" x14ac:dyDescent="0.25">
      <c r="E235" s="395"/>
    </row>
    <row r="236" spans="5:5" x14ac:dyDescent="0.25">
      <c r="E236" s="395"/>
    </row>
    <row r="237" spans="5:5" x14ac:dyDescent="0.25">
      <c r="E237" s="395"/>
    </row>
    <row r="238" spans="5:5" x14ac:dyDescent="0.25">
      <c r="E238" s="395"/>
    </row>
    <row r="239" spans="5:5" x14ac:dyDescent="0.25">
      <c r="E239" s="395"/>
    </row>
    <row r="240" spans="5:5" x14ac:dyDescent="0.25">
      <c r="E240" s="395"/>
    </row>
    <row r="241" spans="5:5" x14ac:dyDescent="0.25">
      <c r="E241" s="395"/>
    </row>
    <row r="242" spans="5:5" x14ac:dyDescent="0.25">
      <c r="E242" s="395"/>
    </row>
    <row r="243" spans="5:5" x14ac:dyDescent="0.25">
      <c r="E243" s="395"/>
    </row>
    <row r="244" spans="5:5" x14ac:dyDescent="0.25">
      <c r="E244" s="395"/>
    </row>
  </sheetData>
  <mergeCells count="1">
    <mergeCell ref="F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6"/>
  <sheetViews>
    <sheetView workbookViewId="0">
      <selection activeCell="A3" sqref="A3"/>
    </sheetView>
  </sheetViews>
  <sheetFormatPr defaultRowHeight="15" x14ac:dyDescent="0.25"/>
  <cols>
    <col min="1" max="1" width="17.140625" style="39" customWidth="1"/>
    <col min="2" max="6" width="12.7109375" style="39" customWidth="1"/>
    <col min="7" max="10" width="12.7109375" customWidth="1"/>
    <col min="11" max="11" width="11.42578125" customWidth="1"/>
  </cols>
  <sheetData>
    <row r="1" spans="1:7" ht="15.75" x14ac:dyDescent="0.25">
      <c r="A1" s="49" t="s">
        <v>0</v>
      </c>
    </row>
    <row r="2" spans="1:7" ht="15.75" x14ac:dyDescent="0.25">
      <c r="A2" s="49" t="s">
        <v>4626</v>
      </c>
    </row>
    <row r="3" spans="1:7" x14ac:dyDescent="0.25">
      <c r="A3" s="52" t="s">
        <v>3317</v>
      </c>
      <c r="B3" s="30"/>
      <c r="C3" s="30"/>
      <c r="D3" s="30"/>
      <c r="E3" s="30" t="s">
        <v>3311</v>
      </c>
      <c r="F3" s="30" t="s">
        <v>3306</v>
      </c>
      <c r="G3" s="1"/>
    </row>
    <row r="4" spans="1:7" x14ac:dyDescent="0.25">
      <c r="A4" s="50" t="s">
        <v>3310</v>
      </c>
      <c r="B4" s="50" t="s">
        <v>3299</v>
      </c>
      <c r="C4" s="50" t="s">
        <v>3300</v>
      </c>
      <c r="D4" s="50" t="s">
        <v>3234</v>
      </c>
      <c r="E4" s="50" t="s">
        <v>3312</v>
      </c>
      <c r="F4" s="50" t="s">
        <v>3305</v>
      </c>
      <c r="G4" s="2" t="s">
        <v>3301</v>
      </c>
    </row>
    <row r="5" spans="1:7" x14ac:dyDescent="0.25">
      <c r="A5" s="39" t="s">
        <v>3302</v>
      </c>
      <c r="B5" s="39">
        <f>10893500+3512000</f>
        <v>14405500</v>
      </c>
      <c r="C5" s="39">
        <v>5026000</v>
      </c>
      <c r="D5" s="39">
        <f>B5+C5</f>
        <v>19431500</v>
      </c>
      <c r="E5" s="39">
        <f>D5*0.1</f>
        <v>1943150</v>
      </c>
      <c r="F5" s="39">
        <f>D5-E5</f>
        <v>17488350</v>
      </c>
      <c r="G5" t="s">
        <v>3307</v>
      </c>
    </row>
    <row r="6" spans="1:7" x14ac:dyDescent="0.25">
      <c r="A6" s="39" t="s">
        <v>3303</v>
      </c>
      <c r="B6" s="39">
        <v>1064100</v>
      </c>
      <c r="C6" s="39">
        <v>539000</v>
      </c>
      <c r="D6" s="39">
        <f t="shared" ref="D6:D7" si="0">B6+C6</f>
        <v>1603100</v>
      </c>
      <c r="E6" s="39">
        <f t="shared" ref="E6:E7" si="1">D6*0.1</f>
        <v>160310</v>
      </c>
      <c r="F6" s="39">
        <f t="shared" ref="F6:F7" si="2">D6-E6</f>
        <v>1442790</v>
      </c>
      <c r="G6" t="s">
        <v>3307</v>
      </c>
    </row>
    <row r="7" spans="1:7" x14ac:dyDescent="0.25">
      <c r="A7" s="39" t="s">
        <v>3304</v>
      </c>
      <c r="B7" s="39">
        <v>1064100</v>
      </c>
      <c r="C7" s="39">
        <v>539000</v>
      </c>
      <c r="D7" s="39">
        <f t="shared" si="0"/>
        <v>1603100</v>
      </c>
      <c r="E7" s="39">
        <f t="shared" si="1"/>
        <v>160310</v>
      </c>
      <c r="F7" s="39">
        <f t="shared" si="2"/>
        <v>1442790</v>
      </c>
      <c r="G7" t="s">
        <v>3307</v>
      </c>
    </row>
    <row r="9" spans="1:7" x14ac:dyDescent="0.25">
      <c r="A9" s="51" t="s">
        <v>3234</v>
      </c>
      <c r="B9" s="35">
        <f t="shared" ref="B9:D9" si="3">SUM(B5:B8)</f>
        <v>16533700</v>
      </c>
      <c r="C9" s="35">
        <f t="shared" si="3"/>
        <v>6104000</v>
      </c>
      <c r="D9" s="35">
        <f t="shared" si="3"/>
        <v>22637700</v>
      </c>
      <c r="E9" s="35">
        <f t="shared" ref="E9" si="4">SUM(E5:E8)</f>
        <v>2263770</v>
      </c>
      <c r="F9" s="35">
        <f t="shared" ref="F9" si="5">SUM(F5:F8)</f>
        <v>20373930</v>
      </c>
    </row>
    <row r="11" spans="1:7" x14ac:dyDescent="0.25">
      <c r="A11" s="39" t="s">
        <v>3313</v>
      </c>
    </row>
    <row r="12" spans="1:7" x14ac:dyDescent="0.25">
      <c r="A12" s="39" t="s">
        <v>3302</v>
      </c>
      <c r="B12" s="39">
        <f>SUMIF(operatingdata!B5:B1866,operatingdata!D2082,operatingdata!E5:E1866)</f>
        <v>15314900</v>
      </c>
    </row>
    <row r="13" spans="1:7" x14ac:dyDescent="0.25">
      <c r="A13" s="39" t="s">
        <v>3308</v>
      </c>
      <c r="B13" s="39">
        <f>SUMIF(operatingdata!B1874:B1926,operatingdata!D2082,operatingdata!E1874:E1926)</f>
        <v>380600</v>
      </c>
    </row>
    <row r="14" spans="1:7" x14ac:dyDescent="0.25">
      <c r="A14" s="39" t="s">
        <v>3304</v>
      </c>
      <c r="B14" s="39">
        <f>SUMIF(operatingdata!B1968:B2038,operatingdata!D2082,operatingdata!E1968:E2038)</f>
        <v>397700</v>
      </c>
    </row>
    <row r="16" spans="1:7" x14ac:dyDescent="0.25">
      <c r="A16" s="39" t="s">
        <v>3314</v>
      </c>
    </row>
    <row r="17" spans="1:11" x14ac:dyDescent="0.25">
      <c r="A17" s="39" t="s">
        <v>3302</v>
      </c>
      <c r="B17" s="39">
        <f>F5-B12</f>
        <v>2173450</v>
      </c>
      <c r="C17" s="270">
        <f>B17/B12</f>
        <v>0.14191734846456719</v>
      </c>
    </row>
    <row r="18" spans="1:11" x14ac:dyDescent="0.25">
      <c r="A18" s="39" t="s">
        <v>3303</v>
      </c>
      <c r="B18" s="39">
        <f>F6-B13</f>
        <v>1062190</v>
      </c>
      <c r="C18" s="270">
        <f t="shared" ref="C18:C19" si="6">B18/B13</f>
        <v>2.7908302679978982</v>
      </c>
    </row>
    <row r="19" spans="1:11" x14ac:dyDescent="0.25">
      <c r="A19" s="39" t="s">
        <v>3304</v>
      </c>
      <c r="B19" s="39">
        <f>F7-B14</f>
        <v>1045090</v>
      </c>
      <c r="C19" s="270">
        <f t="shared" si="6"/>
        <v>2.6278350515463917</v>
      </c>
    </row>
    <row r="21" spans="1:11" x14ac:dyDescent="0.25">
      <c r="A21" s="39" t="s">
        <v>3309</v>
      </c>
    </row>
    <row r="22" spans="1:11" x14ac:dyDescent="0.25">
      <c r="A22" s="39" t="s">
        <v>3302</v>
      </c>
      <c r="B22" s="39">
        <f>ROUND(B17,-2)</f>
        <v>2173500</v>
      </c>
    </row>
    <row r="23" spans="1:11" x14ac:dyDescent="0.25">
      <c r="A23" s="39" t="s">
        <v>3303</v>
      </c>
      <c r="B23" s="39">
        <f t="shared" ref="B23:B24" si="7">ROUND(B18,-2)</f>
        <v>1062200</v>
      </c>
    </row>
    <row r="24" spans="1:11" x14ac:dyDescent="0.25">
      <c r="A24" s="39" t="s">
        <v>3304</v>
      </c>
      <c r="B24" s="39">
        <f t="shared" si="7"/>
        <v>1045100</v>
      </c>
    </row>
    <row r="26" spans="1:11" x14ac:dyDescent="0.25">
      <c r="A26" s="39" t="s">
        <v>3315</v>
      </c>
    </row>
    <row r="27" spans="1:11" x14ac:dyDescent="0.25">
      <c r="A27" s="39" t="s">
        <v>3316</v>
      </c>
    </row>
    <row r="29" spans="1:11" x14ac:dyDescent="0.25">
      <c r="A29" s="51" t="s">
        <v>4124</v>
      </c>
    </row>
    <row r="31" spans="1:11" x14ac:dyDescent="0.25">
      <c r="A31" s="39" t="s">
        <v>4125</v>
      </c>
      <c r="C31" s="271" t="s">
        <v>12</v>
      </c>
      <c r="D31" s="271" t="s">
        <v>13</v>
      </c>
      <c r="E31" s="271" t="s">
        <v>15</v>
      </c>
      <c r="F31" s="271" t="s">
        <v>16</v>
      </c>
      <c r="G31" s="272" t="s">
        <v>17</v>
      </c>
      <c r="H31" s="272" t="s">
        <v>18</v>
      </c>
      <c r="I31" s="272" t="s">
        <v>19</v>
      </c>
      <c r="J31" s="272" t="s">
        <v>20</v>
      </c>
      <c r="K31" s="272" t="s">
        <v>21</v>
      </c>
    </row>
    <row r="32" spans="1:11" x14ac:dyDescent="0.25">
      <c r="A32" s="39" t="s">
        <v>3302</v>
      </c>
      <c r="C32" s="39">
        <f>operatingdata!F2130</f>
        <v>15548100</v>
      </c>
      <c r="D32" s="39">
        <f>operatingdata!G2130</f>
        <v>15858600</v>
      </c>
      <c r="E32" s="39">
        <f>operatingdata!H2130</f>
        <v>16175600</v>
      </c>
      <c r="F32" s="39">
        <f>operatingdata!I2130</f>
        <v>16498800</v>
      </c>
      <c r="G32" s="39">
        <f>operatingdata!J2130</f>
        <v>16828500</v>
      </c>
      <c r="H32" s="39">
        <f>operatingdata!K2130</f>
        <v>17164600</v>
      </c>
      <c r="I32" s="39">
        <f>operatingdata!L2130</f>
        <v>17590000</v>
      </c>
      <c r="J32" s="39">
        <f>operatingdata!M2130</f>
        <v>18026200</v>
      </c>
      <c r="K32" s="39">
        <f>operatingdata!N2130</f>
        <v>18472900</v>
      </c>
    </row>
    <row r="33" spans="1:11" x14ac:dyDescent="0.25">
      <c r="A33" s="39" t="s">
        <v>3303</v>
      </c>
      <c r="C33" s="39">
        <f>operatingdata!F2098</f>
        <v>386300</v>
      </c>
      <c r="D33" s="39">
        <f>operatingdata!G2098</f>
        <v>394100</v>
      </c>
      <c r="E33" s="39">
        <f>operatingdata!H2098</f>
        <v>401900</v>
      </c>
      <c r="F33" s="39">
        <f>operatingdata!I2098</f>
        <v>409900</v>
      </c>
      <c r="G33" s="39">
        <f>operatingdata!J2098</f>
        <v>418100</v>
      </c>
      <c r="H33" s="39">
        <f>operatingdata!K2098</f>
        <v>426500</v>
      </c>
      <c r="I33" s="39">
        <f>operatingdata!L2098</f>
        <v>437200</v>
      </c>
      <c r="J33" s="39">
        <f>operatingdata!M2098</f>
        <v>448100</v>
      </c>
      <c r="K33" s="39">
        <f>operatingdata!N2098</f>
        <v>459400</v>
      </c>
    </row>
    <row r="34" spans="1:11" x14ac:dyDescent="0.25">
      <c r="A34" s="39" t="s">
        <v>3304</v>
      </c>
      <c r="C34" s="39">
        <f>operatingdata!F2114</f>
        <v>403600</v>
      </c>
      <c r="D34" s="39">
        <f>operatingdata!G2114</f>
        <v>411800</v>
      </c>
      <c r="E34" s="39">
        <f>operatingdata!H2114</f>
        <v>420000</v>
      </c>
      <c r="F34" s="39">
        <f>operatingdata!I2114</f>
        <v>428400</v>
      </c>
      <c r="G34" s="39">
        <f>operatingdata!J2114</f>
        <v>437000</v>
      </c>
      <c r="H34" s="39">
        <f>operatingdata!K2114</f>
        <v>445800</v>
      </c>
      <c r="I34" s="39">
        <f>operatingdata!L2114</f>
        <v>457000</v>
      </c>
      <c r="J34" s="39">
        <f>operatingdata!M2114</f>
        <v>468400</v>
      </c>
      <c r="K34" s="39">
        <f>operatingdata!N2114</f>
        <v>480200</v>
      </c>
    </row>
    <row r="36" spans="1:11" x14ac:dyDescent="0.25">
      <c r="A36" s="39" t="s">
        <v>4151</v>
      </c>
    </row>
    <row r="37" spans="1:11" x14ac:dyDescent="0.25">
      <c r="A37" s="39" t="s">
        <v>3302</v>
      </c>
      <c r="C37" s="39">
        <f>ROUND(C32*$C$17,-2)</f>
        <v>2206500</v>
      </c>
      <c r="D37" s="39">
        <f t="shared" ref="D37:I37" si="8">ROUND(D32*$C$17,-2)</f>
        <v>2250600</v>
      </c>
      <c r="E37" s="39">
        <f t="shared" si="8"/>
        <v>2295600</v>
      </c>
      <c r="F37" s="39">
        <f t="shared" si="8"/>
        <v>2341500</v>
      </c>
      <c r="G37" s="39">
        <f t="shared" si="8"/>
        <v>2388300</v>
      </c>
      <c r="H37" s="39">
        <f t="shared" si="8"/>
        <v>2436000</v>
      </c>
      <c r="I37" s="39">
        <f t="shared" si="8"/>
        <v>2496300</v>
      </c>
      <c r="J37" s="39">
        <f t="shared" ref="J37:K37" si="9">ROUND(J32*$C$17,-2)</f>
        <v>2558200</v>
      </c>
      <c r="K37" s="39">
        <f t="shared" si="9"/>
        <v>2621600</v>
      </c>
    </row>
    <row r="38" spans="1:11" x14ac:dyDescent="0.25">
      <c r="A38" s="39" t="s">
        <v>3303</v>
      </c>
      <c r="C38" s="39">
        <f>ROUND(C33*$C$18,-2)</f>
        <v>1078100</v>
      </c>
      <c r="D38" s="39">
        <f t="shared" ref="D38:I38" si="10">ROUND(D33*$C$18,-2)</f>
        <v>1099900</v>
      </c>
      <c r="E38" s="39">
        <f t="shared" si="10"/>
        <v>1121600</v>
      </c>
      <c r="F38" s="39">
        <f t="shared" si="10"/>
        <v>1144000</v>
      </c>
      <c r="G38" s="39">
        <f t="shared" si="10"/>
        <v>1166800</v>
      </c>
      <c r="H38" s="39">
        <f t="shared" si="10"/>
        <v>1190300</v>
      </c>
      <c r="I38" s="39">
        <f t="shared" si="10"/>
        <v>1220200</v>
      </c>
      <c r="J38" s="39">
        <f t="shared" ref="J38:K38" si="11">ROUND(J33*$C$18,-2)</f>
        <v>1250600</v>
      </c>
      <c r="K38" s="39">
        <f t="shared" si="11"/>
        <v>1282100</v>
      </c>
    </row>
    <row r="39" spans="1:11" x14ac:dyDescent="0.25">
      <c r="A39" s="39" t="s">
        <v>3304</v>
      </c>
      <c r="C39" s="39">
        <f>ROUND(C34*$C$19,-2)</f>
        <v>1060600</v>
      </c>
      <c r="D39" s="39">
        <f t="shared" ref="D39:I39" si="12">ROUND(D34*$C$19,-2)</f>
        <v>1082100</v>
      </c>
      <c r="E39" s="39">
        <f t="shared" si="12"/>
        <v>1103700</v>
      </c>
      <c r="F39" s="39">
        <f t="shared" si="12"/>
        <v>1125800</v>
      </c>
      <c r="G39" s="39">
        <f t="shared" si="12"/>
        <v>1148400</v>
      </c>
      <c r="H39" s="39">
        <f t="shared" si="12"/>
        <v>1171500</v>
      </c>
      <c r="I39" s="39">
        <f t="shared" si="12"/>
        <v>1200900</v>
      </c>
      <c r="J39" s="39">
        <f t="shared" ref="J39:K39" si="13">ROUND(J34*$C$19,-2)</f>
        <v>1230900</v>
      </c>
      <c r="K39" s="39">
        <f t="shared" si="13"/>
        <v>1261900</v>
      </c>
    </row>
    <row r="41" spans="1:11" x14ac:dyDescent="0.25">
      <c r="A41" s="39" t="s">
        <v>4149</v>
      </c>
    </row>
    <row r="42" spans="1:11" x14ac:dyDescent="0.25">
      <c r="A42" s="39" t="s">
        <v>3302</v>
      </c>
      <c r="C42" s="39">
        <f>C32+C37</f>
        <v>17754600</v>
      </c>
      <c r="D42" s="39">
        <f t="shared" ref="D42:I42" si="14">D32+D37</f>
        <v>18109200</v>
      </c>
      <c r="E42" s="39">
        <f t="shared" si="14"/>
        <v>18471200</v>
      </c>
      <c r="F42" s="39">
        <f t="shared" si="14"/>
        <v>18840300</v>
      </c>
      <c r="G42" s="39">
        <f t="shared" si="14"/>
        <v>19216800</v>
      </c>
      <c r="H42" s="39">
        <f t="shared" si="14"/>
        <v>19600600</v>
      </c>
      <c r="I42" s="39">
        <f t="shared" si="14"/>
        <v>20086300</v>
      </c>
      <c r="J42" s="39">
        <f t="shared" ref="J42:K42" si="15">J32+J37</f>
        <v>20584400</v>
      </c>
      <c r="K42" s="39">
        <f t="shared" si="15"/>
        <v>21094500</v>
      </c>
    </row>
    <row r="43" spans="1:11" x14ac:dyDescent="0.25">
      <c r="A43" s="39" t="s">
        <v>3303</v>
      </c>
      <c r="C43" s="39">
        <f t="shared" ref="C43:I44" si="16">C33+C38</f>
        <v>1464400</v>
      </c>
      <c r="D43" s="39">
        <f t="shared" si="16"/>
        <v>1494000</v>
      </c>
      <c r="E43" s="39">
        <f t="shared" si="16"/>
        <v>1523500</v>
      </c>
      <c r="F43" s="39">
        <f t="shared" si="16"/>
        <v>1553900</v>
      </c>
      <c r="G43" s="39">
        <f t="shared" si="16"/>
        <v>1584900</v>
      </c>
      <c r="H43" s="39">
        <f t="shared" si="16"/>
        <v>1616800</v>
      </c>
      <c r="I43" s="39">
        <f t="shared" si="16"/>
        <v>1657400</v>
      </c>
      <c r="J43" s="39">
        <f t="shared" ref="J43:K43" si="17">J33+J38</f>
        <v>1698700</v>
      </c>
      <c r="K43" s="39">
        <f t="shared" si="17"/>
        <v>1741500</v>
      </c>
    </row>
    <row r="44" spans="1:11" x14ac:dyDescent="0.25">
      <c r="A44" s="39" t="s">
        <v>3304</v>
      </c>
      <c r="C44" s="39">
        <f t="shared" si="16"/>
        <v>1464200</v>
      </c>
      <c r="D44" s="39">
        <f t="shared" si="16"/>
        <v>1493900</v>
      </c>
      <c r="E44" s="39">
        <f t="shared" si="16"/>
        <v>1523700</v>
      </c>
      <c r="F44" s="39">
        <f t="shared" si="16"/>
        <v>1554200</v>
      </c>
      <c r="G44" s="39">
        <f t="shared" si="16"/>
        <v>1585400</v>
      </c>
      <c r="H44" s="39">
        <f t="shared" si="16"/>
        <v>1617300</v>
      </c>
      <c r="I44" s="39">
        <f t="shared" si="16"/>
        <v>1657900</v>
      </c>
      <c r="J44" s="39">
        <f t="shared" ref="J44:K44" si="18">J34+J39</f>
        <v>1699300</v>
      </c>
      <c r="K44" s="39">
        <f t="shared" si="18"/>
        <v>1742100</v>
      </c>
    </row>
    <row r="46" spans="1:11" x14ac:dyDescent="0.25">
      <c r="A46" s="51" t="s">
        <v>4150</v>
      </c>
      <c r="C46" s="35">
        <f t="shared" ref="C46:K46" si="19">SUM(C42:C45)</f>
        <v>20683200</v>
      </c>
      <c r="D46" s="35">
        <f t="shared" si="19"/>
        <v>21097100</v>
      </c>
      <c r="E46" s="35">
        <f t="shared" si="19"/>
        <v>21518400</v>
      </c>
      <c r="F46" s="35">
        <f t="shared" si="19"/>
        <v>21948400</v>
      </c>
      <c r="G46" s="35">
        <f t="shared" si="19"/>
        <v>22387100</v>
      </c>
      <c r="H46" s="35">
        <f t="shared" si="19"/>
        <v>22834700</v>
      </c>
      <c r="I46" s="35">
        <f t="shared" si="19"/>
        <v>23401600</v>
      </c>
      <c r="J46" s="35">
        <f t="shared" si="19"/>
        <v>23982400</v>
      </c>
      <c r="K46" s="35">
        <f t="shared" si="19"/>
        <v>24578100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353"/>
  <sheetViews>
    <sheetView workbookViewId="0">
      <pane ySplit="4" topLeftCell="A919" activePane="bottomLeft" state="frozen"/>
      <selection pane="bottomLeft" activeCell="C954" sqref="C954"/>
    </sheetView>
  </sheetViews>
  <sheetFormatPr defaultRowHeight="15" x14ac:dyDescent="0.25"/>
  <cols>
    <col min="1" max="1" width="20.28515625" style="16" customWidth="1"/>
    <col min="2" max="2" width="40.140625" style="16" customWidth="1"/>
    <col min="3" max="3" width="31.85546875" style="16" customWidth="1"/>
    <col min="4" max="4" width="43" style="16" customWidth="1"/>
    <col min="5" max="5" width="13.42578125" style="24" bestFit="1" customWidth="1"/>
    <col min="6" max="14" width="12.7109375" style="24" customWidth="1"/>
    <col min="15" max="258" width="6.85546875" style="16" customWidth="1"/>
    <col min="259" max="259" width="31.85546875" style="16" customWidth="1"/>
    <col min="260" max="260" width="43" style="16" customWidth="1"/>
    <col min="261" max="261" width="13.42578125" style="16" bestFit="1" customWidth="1"/>
    <col min="262" max="514" width="6.85546875" style="16" customWidth="1"/>
    <col min="515" max="515" width="31.85546875" style="16" customWidth="1"/>
    <col min="516" max="516" width="43" style="16" customWidth="1"/>
    <col min="517" max="517" width="13.42578125" style="16" bestFit="1" customWidth="1"/>
    <col min="518" max="770" width="6.85546875" style="16" customWidth="1"/>
    <col min="771" max="771" width="31.85546875" style="16" customWidth="1"/>
    <col min="772" max="772" width="43" style="16" customWidth="1"/>
    <col min="773" max="773" width="13.42578125" style="16" bestFit="1" customWidth="1"/>
    <col min="774" max="1026" width="6.85546875" style="16" customWidth="1"/>
    <col min="1027" max="1027" width="31.85546875" style="16" customWidth="1"/>
    <col min="1028" max="1028" width="43" style="16" customWidth="1"/>
    <col min="1029" max="1029" width="13.42578125" style="16" bestFit="1" customWidth="1"/>
    <col min="1030" max="1282" width="6.85546875" style="16" customWidth="1"/>
    <col min="1283" max="1283" width="31.85546875" style="16" customWidth="1"/>
    <col min="1284" max="1284" width="43" style="16" customWidth="1"/>
    <col min="1285" max="1285" width="13.42578125" style="16" bestFit="1" customWidth="1"/>
    <col min="1286" max="1538" width="6.85546875" style="16" customWidth="1"/>
    <col min="1539" max="1539" width="31.85546875" style="16" customWidth="1"/>
    <col min="1540" max="1540" width="43" style="16" customWidth="1"/>
    <col min="1541" max="1541" width="13.42578125" style="16" bestFit="1" customWidth="1"/>
    <col min="1542" max="1794" width="6.85546875" style="16" customWidth="1"/>
    <col min="1795" max="1795" width="31.85546875" style="16" customWidth="1"/>
    <col min="1796" max="1796" width="43" style="16" customWidth="1"/>
    <col min="1797" max="1797" width="13.42578125" style="16" bestFit="1" customWidth="1"/>
    <col min="1798" max="2050" width="6.85546875" style="16" customWidth="1"/>
    <col min="2051" max="2051" width="31.85546875" style="16" customWidth="1"/>
    <col min="2052" max="2052" width="43" style="16" customWidth="1"/>
    <col min="2053" max="2053" width="13.42578125" style="16" bestFit="1" customWidth="1"/>
    <col min="2054" max="2306" width="6.85546875" style="16" customWidth="1"/>
    <col min="2307" max="2307" width="31.85546875" style="16" customWidth="1"/>
    <col min="2308" max="2308" width="43" style="16" customWidth="1"/>
    <col min="2309" max="2309" width="13.42578125" style="16" bestFit="1" customWidth="1"/>
    <col min="2310" max="2562" width="6.85546875" style="16" customWidth="1"/>
    <col min="2563" max="2563" width="31.85546875" style="16" customWidth="1"/>
    <col min="2564" max="2564" width="43" style="16" customWidth="1"/>
    <col min="2565" max="2565" width="13.42578125" style="16" bestFit="1" customWidth="1"/>
    <col min="2566" max="2818" width="6.85546875" style="16" customWidth="1"/>
    <col min="2819" max="2819" width="31.85546875" style="16" customWidth="1"/>
    <col min="2820" max="2820" width="43" style="16" customWidth="1"/>
    <col min="2821" max="2821" width="13.42578125" style="16" bestFit="1" customWidth="1"/>
    <col min="2822" max="3074" width="6.85546875" style="16" customWidth="1"/>
    <col min="3075" max="3075" width="31.85546875" style="16" customWidth="1"/>
    <col min="3076" max="3076" width="43" style="16" customWidth="1"/>
    <col min="3077" max="3077" width="13.42578125" style="16" bestFit="1" customWidth="1"/>
    <col min="3078" max="3330" width="6.85546875" style="16" customWidth="1"/>
    <col min="3331" max="3331" width="31.85546875" style="16" customWidth="1"/>
    <col min="3332" max="3332" width="43" style="16" customWidth="1"/>
    <col min="3333" max="3333" width="13.42578125" style="16" bestFit="1" customWidth="1"/>
    <col min="3334" max="3586" width="6.85546875" style="16" customWidth="1"/>
    <col min="3587" max="3587" width="31.85546875" style="16" customWidth="1"/>
    <col min="3588" max="3588" width="43" style="16" customWidth="1"/>
    <col min="3589" max="3589" width="13.42578125" style="16" bestFit="1" customWidth="1"/>
    <col min="3590" max="3842" width="6.85546875" style="16" customWidth="1"/>
    <col min="3843" max="3843" width="31.85546875" style="16" customWidth="1"/>
    <col min="3844" max="3844" width="43" style="16" customWidth="1"/>
    <col min="3845" max="3845" width="13.42578125" style="16" bestFit="1" customWidth="1"/>
    <col min="3846" max="4098" width="6.85546875" style="16" customWidth="1"/>
    <col min="4099" max="4099" width="31.85546875" style="16" customWidth="1"/>
    <col min="4100" max="4100" width="43" style="16" customWidth="1"/>
    <col min="4101" max="4101" width="13.42578125" style="16" bestFit="1" customWidth="1"/>
    <col min="4102" max="4354" width="6.85546875" style="16" customWidth="1"/>
    <col min="4355" max="4355" width="31.85546875" style="16" customWidth="1"/>
    <col min="4356" max="4356" width="43" style="16" customWidth="1"/>
    <col min="4357" max="4357" width="13.42578125" style="16" bestFit="1" customWidth="1"/>
    <col min="4358" max="4610" width="6.85546875" style="16" customWidth="1"/>
    <col min="4611" max="4611" width="31.85546875" style="16" customWidth="1"/>
    <col min="4612" max="4612" width="43" style="16" customWidth="1"/>
    <col min="4613" max="4613" width="13.42578125" style="16" bestFit="1" customWidth="1"/>
    <col min="4614" max="4866" width="6.85546875" style="16" customWidth="1"/>
    <col min="4867" max="4867" width="31.85546875" style="16" customWidth="1"/>
    <col min="4868" max="4868" width="43" style="16" customWidth="1"/>
    <col min="4869" max="4869" width="13.42578125" style="16" bestFit="1" customWidth="1"/>
    <col min="4870" max="5122" width="6.85546875" style="16" customWidth="1"/>
    <col min="5123" max="5123" width="31.85546875" style="16" customWidth="1"/>
    <col min="5124" max="5124" width="43" style="16" customWidth="1"/>
    <col min="5125" max="5125" width="13.42578125" style="16" bestFit="1" customWidth="1"/>
    <col min="5126" max="5378" width="6.85546875" style="16" customWidth="1"/>
    <col min="5379" max="5379" width="31.85546875" style="16" customWidth="1"/>
    <col min="5380" max="5380" width="43" style="16" customWidth="1"/>
    <col min="5381" max="5381" width="13.42578125" style="16" bestFit="1" customWidth="1"/>
    <col min="5382" max="5634" width="6.85546875" style="16" customWidth="1"/>
    <col min="5635" max="5635" width="31.85546875" style="16" customWidth="1"/>
    <col min="5636" max="5636" width="43" style="16" customWidth="1"/>
    <col min="5637" max="5637" width="13.42578125" style="16" bestFit="1" customWidth="1"/>
    <col min="5638" max="5890" width="6.85546875" style="16" customWidth="1"/>
    <col min="5891" max="5891" width="31.85546875" style="16" customWidth="1"/>
    <col min="5892" max="5892" width="43" style="16" customWidth="1"/>
    <col min="5893" max="5893" width="13.42578125" style="16" bestFit="1" customWidth="1"/>
    <col min="5894" max="6146" width="6.85546875" style="16" customWidth="1"/>
    <col min="6147" max="6147" width="31.85546875" style="16" customWidth="1"/>
    <col min="6148" max="6148" width="43" style="16" customWidth="1"/>
    <col min="6149" max="6149" width="13.42578125" style="16" bestFit="1" customWidth="1"/>
    <col min="6150" max="6402" width="6.85546875" style="16" customWidth="1"/>
    <col min="6403" max="6403" width="31.85546875" style="16" customWidth="1"/>
    <col min="6404" max="6404" width="43" style="16" customWidth="1"/>
    <col min="6405" max="6405" width="13.42578125" style="16" bestFit="1" customWidth="1"/>
    <col min="6406" max="6658" width="6.85546875" style="16" customWidth="1"/>
    <col min="6659" max="6659" width="31.85546875" style="16" customWidth="1"/>
    <col min="6660" max="6660" width="43" style="16" customWidth="1"/>
    <col min="6661" max="6661" width="13.42578125" style="16" bestFit="1" customWidth="1"/>
    <col min="6662" max="6914" width="6.85546875" style="16" customWidth="1"/>
    <col min="6915" max="6915" width="31.85546875" style="16" customWidth="1"/>
    <col min="6916" max="6916" width="43" style="16" customWidth="1"/>
    <col min="6917" max="6917" width="13.42578125" style="16" bestFit="1" customWidth="1"/>
    <col min="6918" max="7170" width="6.85546875" style="16" customWidth="1"/>
    <col min="7171" max="7171" width="31.85546875" style="16" customWidth="1"/>
    <col min="7172" max="7172" width="43" style="16" customWidth="1"/>
    <col min="7173" max="7173" width="13.42578125" style="16" bestFit="1" customWidth="1"/>
    <col min="7174" max="7426" width="6.85546875" style="16" customWidth="1"/>
    <col min="7427" max="7427" width="31.85546875" style="16" customWidth="1"/>
    <col min="7428" max="7428" width="43" style="16" customWidth="1"/>
    <col min="7429" max="7429" width="13.42578125" style="16" bestFit="1" customWidth="1"/>
    <col min="7430" max="7682" width="6.85546875" style="16" customWidth="1"/>
    <col min="7683" max="7683" width="31.85546875" style="16" customWidth="1"/>
    <col min="7684" max="7684" width="43" style="16" customWidth="1"/>
    <col min="7685" max="7685" width="13.42578125" style="16" bestFit="1" customWidth="1"/>
    <col min="7686" max="7938" width="6.85546875" style="16" customWidth="1"/>
    <col min="7939" max="7939" width="31.85546875" style="16" customWidth="1"/>
    <col min="7940" max="7940" width="43" style="16" customWidth="1"/>
    <col min="7941" max="7941" width="13.42578125" style="16" bestFit="1" customWidth="1"/>
    <col min="7942" max="8194" width="6.85546875" style="16" customWidth="1"/>
    <col min="8195" max="8195" width="31.85546875" style="16" customWidth="1"/>
    <col min="8196" max="8196" width="43" style="16" customWidth="1"/>
    <col min="8197" max="8197" width="13.42578125" style="16" bestFit="1" customWidth="1"/>
    <col min="8198" max="8450" width="6.85546875" style="16" customWidth="1"/>
    <col min="8451" max="8451" width="31.85546875" style="16" customWidth="1"/>
    <col min="8452" max="8452" width="43" style="16" customWidth="1"/>
    <col min="8453" max="8453" width="13.42578125" style="16" bestFit="1" customWidth="1"/>
    <col min="8454" max="8706" width="6.85546875" style="16" customWidth="1"/>
    <col min="8707" max="8707" width="31.85546875" style="16" customWidth="1"/>
    <col min="8708" max="8708" width="43" style="16" customWidth="1"/>
    <col min="8709" max="8709" width="13.42578125" style="16" bestFit="1" customWidth="1"/>
    <col min="8710" max="8962" width="6.85546875" style="16" customWidth="1"/>
    <col min="8963" max="8963" width="31.85546875" style="16" customWidth="1"/>
    <col min="8964" max="8964" width="43" style="16" customWidth="1"/>
    <col min="8965" max="8965" width="13.42578125" style="16" bestFit="1" customWidth="1"/>
    <col min="8966" max="9218" width="6.85546875" style="16" customWidth="1"/>
    <col min="9219" max="9219" width="31.85546875" style="16" customWidth="1"/>
    <col min="9220" max="9220" width="43" style="16" customWidth="1"/>
    <col min="9221" max="9221" width="13.42578125" style="16" bestFit="1" customWidth="1"/>
    <col min="9222" max="9474" width="6.85546875" style="16" customWidth="1"/>
    <col min="9475" max="9475" width="31.85546875" style="16" customWidth="1"/>
    <col min="9476" max="9476" width="43" style="16" customWidth="1"/>
    <col min="9477" max="9477" width="13.42578125" style="16" bestFit="1" customWidth="1"/>
    <col min="9478" max="9730" width="6.85546875" style="16" customWidth="1"/>
    <col min="9731" max="9731" width="31.85546875" style="16" customWidth="1"/>
    <col min="9732" max="9732" width="43" style="16" customWidth="1"/>
    <col min="9733" max="9733" width="13.42578125" style="16" bestFit="1" customWidth="1"/>
    <col min="9734" max="9986" width="6.85546875" style="16" customWidth="1"/>
    <col min="9987" max="9987" width="31.85546875" style="16" customWidth="1"/>
    <col min="9988" max="9988" width="43" style="16" customWidth="1"/>
    <col min="9989" max="9989" width="13.42578125" style="16" bestFit="1" customWidth="1"/>
    <col min="9990" max="10242" width="6.85546875" style="16" customWidth="1"/>
    <col min="10243" max="10243" width="31.85546875" style="16" customWidth="1"/>
    <col min="10244" max="10244" width="43" style="16" customWidth="1"/>
    <col min="10245" max="10245" width="13.42578125" style="16" bestFit="1" customWidth="1"/>
    <col min="10246" max="10498" width="6.85546875" style="16" customWidth="1"/>
    <col min="10499" max="10499" width="31.85546875" style="16" customWidth="1"/>
    <col min="10500" max="10500" width="43" style="16" customWidth="1"/>
    <col min="10501" max="10501" width="13.42578125" style="16" bestFit="1" customWidth="1"/>
    <col min="10502" max="10754" width="6.85546875" style="16" customWidth="1"/>
    <col min="10755" max="10755" width="31.85546875" style="16" customWidth="1"/>
    <col min="10756" max="10756" width="43" style="16" customWidth="1"/>
    <col min="10757" max="10757" width="13.42578125" style="16" bestFit="1" customWidth="1"/>
    <col min="10758" max="11010" width="6.85546875" style="16" customWidth="1"/>
    <col min="11011" max="11011" width="31.85546875" style="16" customWidth="1"/>
    <col min="11012" max="11012" width="43" style="16" customWidth="1"/>
    <col min="11013" max="11013" width="13.42578125" style="16" bestFit="1" customWidth="1"/>
    <col min="11014" max="11266" width="6.85546875" style="16" customWidth="1"/>
    <col min="11267" max="11267" width="31.85546875" style="16" customWidth="1"/>
    <col min="11268" max="11268" width="43" style="16" customWidth="1"/>
    <col min="11269" max="11269" width="13.42578125" style="16" bestFit="1" customWidth="1"/>
    <col min="11270" max="11522" width="6.85546875" style="16" customWidth="1"/>
    <col min="11523" max="11523" width="31.85546875" style="16" customWidth="1"/>
    <col min="11524" max="11524" width="43" style="16" customWidth="1"/>
    <col min="11525" max="11525" width="13.42578125" style="16" bestFit="1" customWidth="1"/>
    <col min="11526" max="11778" width="6.85546875" style="16" customWidth="1"/>
    <col min="11779" max="11779" width="31.85546875" style="16" customWidth="1"/>
    <col min="11780" max="11780" width="43" style="16" customWidth="1"/>
    <col min="11781" max="11781" width="13.42578125" style="16" bestFit="1" customWidth="1"/>
    <col min="11782" max="12034" width="6.85546875" style="16" customWidth="1"/>
    <col min="12035" max="12035" width="31.85546875" style="16" customWidth="1"/>
    <col min="12036" max="12036" width="43" style="16" customWidth="1"/>
    <col min="12037" max="12037" width="13.42578125" style="16" bestFit="1" customWidth="1"/>
    <col min="12038" max="12290" width="6.85546875" style="16" customWidth="1"/>
    <col min="12291" max="12291" width="31.85546875" style="16" customWidth="1"/>
    <col min="12292" max="12292" width="43" style="16" customWidth="1"/>
    <col min="12293" max="12293" width="13.42578125" style="16" bestFit="1" customWidth="1"/>
    <col min="12294" max="12546" width="6.85546875" style="16" customWidth="1"/>
    <col min="12547" max="12547" width="31.85546875" style="16" customWidth="1"/>
    <col min="12548" max="12548" width="43" style="16" customWidth="1"/>
    <col min="12549" max="12549" width="13.42578125" style="16" bestFit="1" customWidth="1"/>
    <col min="12550" max="12802" width="6.85546875" style="16" customWidth="1"/>
    <col min="12803" max="12803" width="31.85546875" style="16" customWidth="1"/>
    <col min="12804" max="12804" width="43" style="16" customWidth="1"/>
    <col min="12805" max="12805" width="13.42578125" style="16" bestFit="1" customWidth="1"/>
    <col min="12806" max="13058" width="6.85546875" style="16" customWidth="1"/>
    <col min="13059" max="13059" width="31.85546875" style="16" customWidth="1"/>
    <col min="13060" max="13060" width="43" style="16" customWidth="1"/>
    <col min="13061" max="13061" width="13.42578125" style="16" bestFit="1" customWidth="1"/>
    <col min="13062" max="13314" width="6.85546875" style="16" customWidth="1"/>
    <col min="13315" max="13315" width="31.85546875" style="16" customWidth="1"/>
    <col min="13316" max="13316" width="43" style="16" customWidth="1"/>
    <col min="13317" max="13317" width="13.42578125" style="16" bestFit="1" customWidth="1"/>
    <col min="13318" max="13570" width="6.85546875" style="16" customWidth="1"/>
    <col min="13571" max="13571" width="31.85546875" style="16" customWidth="1"/>
    <col min="13572" max="13572" width="43" style="16" customWidth="1"/>
    <col min="13573" max="13573" width="13.42578125" style="16" bestFit="1" customWidth="1"/>
    <col min="13574" max="13826" width="6.85546875" style="16" customWidth="1"/>
    <col min="13827" max="13827" width="31.85546875" style="16" customWidth="1"/>
    <col min="13828" max="13828" width="43" style="16" customWidth="1"/>
    <col min="13829" max="13829" width="13.42578125" style="16" bestFit="1" customWidth="1"/>
    <col min="13830" max="14082" width="6.85546875" style="16" customWidth="1"/>
    <col min="14083" max="14083" width="31.85546875" style="16" customWidth="1"/>
    <col min="14084" max="14084" width="43" style="16" customWidth="1"/>
    <col min="14085" max="14085" width="13.42578125" style="16" bestFit="1" customWidth="1"/>
    <col min="14086" max="14338" width="6.85546875" style="16" customWidth="1"/>
    <col min="14339" max="14339" width="31.85546875" style="16" customWidth="1"/>
    <col min="14340" max="14340" width="43" style="16" customWidth="1"/>
    <col min="14341" max="14341" width="13.42578125" style="16" bestFit="1" customWidth="1"/>
    <col min="14342" max="14594" width="6.85546875" style="16" customWidth="1"/>
    <col min="14595" max="14595" width="31.85546875" style="16" customWidth="1"/>
    <col min="14596" max="14596" width="43" style="16" customWidth="1"/>
    <col min="14597" max="14597" width="13.42578125" style="16" bestFit="1" customWidth="1"/>
    <col min="14598" max="14850" width="6.85546875" style="16" customWidth="1"/>
    <col min="14851" max="14851" width="31.85546875" style="16" customWidth="1"/>
    <col min="14852" max="14852" width="43" style="16" customWidth="1"/>
    <col min="14853" max="14853" width="13.42578125" style="16" bestFit="1" customWidth="1"/>
    <col min="14854" max="15106" width="6.85546875" style="16" customWidth="1"/>
    <col min="15107" max="15107" width="31.85546875" style="16" customWidth="1"/>
    <col min="15108" max="15108" width="43" style="16" customWidth="1"/>
    <col min="15109" max="15109" width="13.42578125" style="16" bestFit="1" customWidth="1"/>
    <col min="15110" max="15362" width="6.85546875" style="16" customWidth="1"/>
    <col min="15363" max="15363" width="31.85546875" style="16" customWidth="1"/>
    <col min="15364" max="15364" width="43" style="16" customWidth="1"/>
    <col min="15365" max="15365" width="13.42578125" style="16" bestFit="1" customWidth="1"/>
    <col min="15366" max="15618" width="6.85546875" style="16" customWidth="1"/>
    <col min="15619" max="15619" width="31.85546875" style="16" customWidth="1"/>
    <col min="15620" max="15620" width="43" style="16" customWidth="1"/>
    <col min="15621" max="15621" width="13.42578125" style="16" bestFit="1" customWidth="1"/>
    <col min="15622" max="15874" width="6.85546875" style="16" customWidth="1"/>
    <col min="15875" max="15875" width="31.85546875" style="16" customWidth="1"/>
    <col min="15876" max="15876" width="43" style="16" customWidth="1"/>
    <col min="15877" max="15877" width="13.42578125" style="16" bestFit="1" customWidth="1"/>
    <col min="15878" max="16130" width="6.85546875" style="16" customWidth="1"/>
    <col min="16131" max="16131" width="31.85546875" style="16" customWidth="1"/>
    <col min="16132" max="16132" width="43" style="16" customWidth="1"/>
    <col min="16133" max="16133" width="13.42578125" style="16" bestFit="1" customWidth="1"/>
    <col min="16134" max="16384" width="6.85546875" style="16" customWidth="1"/>
  </cols>
  <sheetData>
    <row r="1" spans="1:14" ht="15.75" x14ac:dyDescent="0.25">
      <c r="A1" s="283" t="s">
        <v>4318</v>
      </c>
    </row>
    <row r="2" spans="1:14" ht="15.75" x14ac:dyDescent="0.25">
      <c r="A2" s="269" t="s">
        <v>4624</v>
      </c>
      <c r="B2" s="269"/>
    </row>
    <row r="3" spans="1:14" ht="12.75" customHeight="1" x14ac:dyDescent="0.25">
      <c r="A3" s="17" t="s">
        <v>10</v>
      </c>
      <c r="B3" s="17"/>
      <c r="C3" s="17"/>
      <c r="D3" s="17"/>
      <c r="E3" s="25" t="s">
        <v>29</v>
      </c>
      <c r="F3" s="480" t="s">
        <v>30</v>
      </c>
      <c r="G3" s="480"/>
      <c r="H3" s="480"/>
      <c r="I3" s="480"/>
      <c r="J3" s="480"/>
      <c r="K3" s="480"/>
      <c r="L3" s="480"/>
      <c r="M3" s="480"/>
      <c r="N3" s="480"/>
    </row>
    <row r="4" spans="1:14" ht="12.75" customHeight="1" x14ac:dyDescent="0.25">
      <c r="A4" s="18" t="s">
        <v>4122</v>
      </c>
      <c r="B4" s="18" t="s">
        <v>3223</v>
      </c>
      <c r="C4" s="18" t="s">
        <v>3222</v>
      </c>
      <c r="D4" s="18" t="s">
        <v>85</v>
      </c>
      <c r="E4" s="26">
        <v>2017</v>
      </c>
      <c r="F4" s="26">
        <v>2018</v>
      </c>
      <c r="G4" s="26">
        <v>2019</v>
      </c>
      <c r="H4" s="26">
        <v>2020</v>
      </c>
      <c r="I4" s="26">
        <v>2021</v>
      </c>
      <c r="J4" s="26">
        <v>2022</v>
      </c>
      <c r="K4" s="26">
        <v>2023</v>
      </c>
      <c r="L4" s="26">
        <v>2024</v>
      </c>
      <c r="M4" s="26">
        <v>2025</v>
      </c>
      <c r="N4" s="26">
        <v>2026</v>
      </c>
    </row>
    <row r="5" spans="1:14" ht="12.75" customHeight="1" x14ac:dyDescent="0.25">
      <c r="E5" s="288"/>
      <c r="F5" s="288"/>
      <c r="G5" s="288"/>
      <c r="H5" s="288"/>
      <c r="I5" s="288"/>
      <c r="J5" s="288"/>
      <c r="K5" s="288"/>
      <c r="L5" s="288"/>
      <c r="M5" s="288"/>
      <c r="N5" s="288"/>
    </row>
    <row r="6" spans="1:14" x14ac:dyDescent="0.25">
      <c r="C6" s="19" t="s">
        <v>86</v>
      </c>
      <c r="E6" s="288"/>
      <c r="F6" s="288"/>
      <c r="G6" s="288"/>
      <c r="H6" s="288"/>
      <c r="I6" s="288"/>
      <c r="J6" s="288"/>
      <c r="K6" s="288"/>
      <c r="L6" s="288"/>
      <c r="M6" s="288"/>
      <c r="N6" s="288"/>
    </row>
    <row r="7" spans="1:14" ht="12.75" customHeight="1" x14ac:dyDescent="0.25">
      <c r="E7" s="288"/>
      <c r="F7" s="288"/>
      <c r="G7" s="288"/>
      <c r="H7" s="288"/>
      <c r="I7" s="288"/>
      <c r="J7" s="288"/>
      <c r="K7" s="288"/>
      <c r="L7" s="288"/>
      <c r="M7" s="288"/>
      <c r="N7" s="288"/>
    </row>
    <row r="8" spans="1:14" x14ac:dyDescent="0.25">
      <c r="C8" s="16" t="s">
        <v>87</v>
      </c>
      <c r="E8" s="288"/>
      <c r="F8" s="288"/>
      <c r="G8" s="288"/>
      <c r="H8" s="288"/>
      <c r="I8" s="288"/>
      <c r="J8" s="288"/>
      <c r="K8" s="288"/>
      <c r="L8" s="288"/>
      <c r="M8" s="288"/>
      <c r="N8" s="288"/>
    </row>
    <row r="9" spans="1:14" x14ac:dyDescent="0.25">
      <c r="B9" s="16" t="s">
        <v>41</v>
      </c>
      <c r="C9" s="16" t="s">
        <v>88</v>
      </c>
      <c r="D9" s="16" t="s">
        <v>89</v>
      </c>
      <c r="E9" s="288"/>
      <c r="F9" s="288"/>
      <c r="G9" s="288"/>
      <c r="H9" s="288"/>
      <c r="I9" s="288"/>
      <c r="J9" s="288"/>
      <c r="K9" s="288"/>
      <c r="L9" s="288"/>
      <c r="M9" s="288"/>
      <c r="N9" s="288"/>
    </row>
    <row r="10" spans="1:14" x14ac:dyDescent="0.25">
      <c r="A10" s="16" t="s">
        <v>4123</v>
      </c>
      <c r="B10" s="16" t="s">
        <v>41</v>
      </c>
      <c r="C10" s="16" t="s">
        <v>90</v>
      </c>
      <c r="D10" s="16" t="s">
        <v>91</v>
      </c>
      <c r="E10" s="288">
        <v>678600</v>
      </c>
      <c r="F10" s="288">
        <f>ROUND(IF($A10="E",E10*(1+Assumptions!C$15),E10*(1+Assumptions!C$14)),-2)</f>
        <v>692200</v>
      </c>
      <c r="G10" s="288">
        <f>ROUND(IF($A10="E",F10*(1+Assumptions!D$15),F10*(1+Assumptions!D$14)),-2)</f>
        <v>706000</v>
      </c>
      <c r="H10" s="288">
        <f>ROUND(IF($A10="E",G10*(1+Assumptions!E$15),G10*(1+Assumptions!E$14)),-2)</f>
        <v>720100</v>
      </c>
      <c r="I10" s="288">
        <f>ROUND(IF($A10="E",H10*(1+Assumptions!F$15),H10*(1+Assumptions!F$14)),-2)</f>
        <v>734500</v>
      </c>
      <c r="J10" s="288">
        <f>ROUND(IF($A10="E",I10*(1+Assumptions!G$15),I10*(1+Assumptions!G$14)),-2)</f>
        <v>749200</v>
      </c>
      <c r="K10" s="288">
        <f>ROUND(IF($A10="E",J10*(1+Assumptions!H$15),J10*(1+Assumptions!H$14)),-2)</f>
        <v>764200</v>
      </c>
      <c r="L10" s="288">
        <f>ROUND(IF($A10="E",K10*(1+Assumptions!I$15),K10*(1+Assumptions!I$14)),-2)</f>
        <v>779500</v>
      </c>
      <c r="M10" s="288">
        <f>ROUND(IF($A10="E",L10*(1+Assumptions!J$15),L10*(1+Assumptions!J$14)),-2)</f>
        <v>795100</v>
      </c>
      <c r="N10" s="288">
        <f>ROUND(IF($A10="E",M10*(1+Assumptions!K$15),M10*(1+Assumptions!K$14)),-2)</f>
        <v>811000</v>
      </c>
    </row>
    <row r="11" spans="1:14" x14ac:dyDescent="0.25">
      <c r="B11" s="16" t="s">
        <v>45</v>
      </c>
      <c r="C11" s="16" t="s">
        <v>92</v>
      </c>
      <c r="D11" s="16" t="s">
        <v>93</v>
      </c>
      <c r="E11" s="288">
        <v>1100</v>
      </c>
      <c r="F11" s="288">
        <f>ROUND(IF($A11="E",E11*(1+Assumptions!C$15),E11*(1+Assumptions!C$14)),-2)</f>
        <v>1100</v>
      </c>
      <c r="G11" s="288">
        <f>ROUND(IF($A11="E",F11*(1+Assumptions!D$15),F11*(1+Assumptions!D$14)),-2)</f>
        <v>1100</v>
      </c>
      <c r="H11" s="288">
        <f>ROUND(IF($A11="E",G11*(1+Assumptions!E$15),G11*(1+Assumptions!E$14)),-2)</f>
        <v>1100</v>
      </c>
      <c r="I11" s="288">
        <f>ROUND(IF($A11="E",H11*(1+Assumptions!F$15),H11*(1+Assumptions!F$14)),-2)</f>
        <v>1100</v>
      </c>
      <c r="J11" s="288">
        <f>ROUND(IF($A11="E",I11*(1+Assumptions!G$15),I11*(1+Assumptions!G$14)),-2)</f>
        <v>1100</v>
      </c>
      <c r="K11" s="288">
        <f>ROUND(IF($A11="E",J11*(1+Assumptions!H$15),J11*(1+Assumptions!H$14)),-2)</f>
        <v>1100</v>
      </c>
      <c r="L11" s="288">
        <f>ROUND(IF($A11="E",K11*(1+Assumptions!I$15),K11*(1+Assumptions!I$14)),-2)</f>
        <v>1100</v>
      </c>
      <c r="M11" s="288">
        <f>ROUND(IF($A11="E",L11*(1+Assumptions!J$15),L11*(1+Assumptions!J$14)),-2)</f>
        <v>1100</v>
      </c>
      <c r="N11" s="288">
        <f>ROUND(IF($A11="E",M11*(1+Assumptions!K$15),M11*(1+Assumptions!K$14)),-2)</f>
        <v>1100</v>
      </c>
    </row>
    <row r="12" spans="1:14" x14ac:dyDescent="0.25">
      <c r="B12" s="16" t="s">
        <v>45</v>
      </c>
      <c r="C12" s="16" t="s">
        <v>94</v>
      </c>
      <c r="D12" s="16" t="s">
        <v>95</v>
      </c>
      <c r="E12" s="288">
        <v>6200</v>
      </c>
      <c r="F12" s="288">
        <f>ROUND(IF($A12="E",E12*(1+Assumptions!C$15),E12*(1+Assumptions!C$14)),-2)</f>
        <v>6300</v>
      </c>
      <c r="G12" s="288">
        <f>ROUND(IF($A12="E",F12*(1+Assumptions!D$15),F12*(1+Assumptions!D$14)),-2)</f>
        <v>6400</v>
      </c>
      <c r="H12" s="288">
        <f>ROUND(IF($A12="E",G12*(1+Assumptions!E$15),G12*(1+Assumptions!E$14)),-2)</f>
        <v>6500</v>
      </c>
      <c r="I12" s="288">
        <f>ROUND(IF($A12="E",H12*(1+Assumptions!F$15),H12*(1+Assumptions!F$14)),-2)</f>
        <v>6600</v>
      </c>
      <c r="J12" s="288">
        <f>ROUND(IF($A12="E",I12*(1+Assumptions!G$15),I12*(1+Assumptions!G$14)),-2)</f>
        <v>6700</v>
      </c>
      <c r="K12" s="288">
        <f>ROUND(IF($A12="E",J12*(1+Assumptions!H$15),J12*(1+Assumptions!H$14)),-2)</f>
        <v>6800</v>
      </c>
      <c r="L12" s="288">
        <f>ROUND(IF($A12="E",K12*(1+Assumptions!I$15),K12*(1+Assumptions!I$14)),-2)</f>
        <v>7000</v>
      </c>
      <c r="M12" s="288">
        <f>ROUND(IF($A12="E",L12*(1+Assumptions!J$15),L12*(1+Assumptions!J$14)),-2)</f>
        <v>7200</v>
      </c>
      <c r="N12" s="288">
        <f>ROUND(IF($A12="E",M12*(1+Assumptions!K$15),M12*(1+Assumptions!K$14)),-2)</f>
        <v>7400</v>
      </c>
    </row>
    <row r="13" spans="1:14" x14ac:dyDescent="0.25">
      <c r="B13" s="16" t="s">
        <v>45</v>
      </c>
      <c r="C13" s="16" t="s">
        <v>96</v>
      </c>
      <c r="D13" s="16" t="s">
        <v>97</v>
      </c>
      <c r="E13" s="288">
        <v>10000</v>
      </c>
      <c r="F13" s="288">
        <f>ROUND(IF($A13="E",E13*(1+Assumptions!C$15),E13*(1+Assumptions!C$14)),-2)</f>
        <v>10200</v>
      </c>
      <c r="G13" s="288">
        <f>ROUND(IF($A13="E",F13*(1+Assumptions!D$15),F13*(1+Assumptions!D$14)),-2)</f>
        <v>10400</v>
      </c>
      <c r="H13" s="288">
        <f>ROUND(IF($A13="E",G13*(1+Assumptions!E$15),G13*(1+Assumptions!E$14)),-2)</f>
        <v>10600</v>
      </c>
      <c r="I13" s="288">
        <f>ROUND(IF($A13="E",H13*(1+Assumptions!F$15),H13*(1+Assumptions!F$14)),-2)</f>
        <v>10800</v>
      </c>
      <c r="J13" s="288">
        <f>ROUND(IF($A13="E",I13*(1+Assumptions!G$15),I13*(1+Assumptions!G$14)),-2)</f>
        <v>11000</v>
      </c>
      <c r="K13" s="288">
        <f>ROUND(IF($A13="E",J13*(1+Assumptions!H$15),J13*(1+Assumptions!H$14)),-2)</f>
        <v>11200</v>
      </c>
      <c r="L13" s="288">
        <f>ROUND(IF($A13="E",K13*(1+Assumptions!I$15),K13*(1+Assumptions!I$14)),-2)</f>
        <v>11500</v>
      </c>
      <c r="M13" s="288">
        <f>ROUND(IF($A13="E",L13*(1+Assumptions!J$15),L13*(1+Assumptions!J$14)),-2)</f>
        <v>11800</v>
      </c>
      <c r="N13" s="288">
        <f>ROUND(IF($A13="E",M13*(1+Assumptions!K$15),M13*(1+Assumptions!K$14)),-2)</f>
        <v>12100</v>
      </c>
    </row>
    <row r="14" spans="1:14" x14ac:dyDescent="0.25">
      <c r="B14" s="16" t="s">
        <v>41</v>
      </c>
      <c r="C14" s="16" t="s">
        <v>98</v>
      </c>
      <c r="D14" s="16" t="s">
        <v>99</v>
      </c>
      <c r="E14" s="289"/>
      <c r="F14" s="289"/>
      <c r="G14" s="289"/>
      <c r="H14" s="289"/>
      <c r="I14" s="289"/>
      <c r="J14" s="289"/>
      <c r="K14" s="289"/>
      <c r="L14" s="289"/>
      <c r="M14" s="289"/>
      <c r="N14" s="289"/>
    </row>
    <row r="15" spans="1:14" x14ac:dyDescent="0.25">
      <c r="B15" s="16" t="s">
        <v>41</v>
      </c>
      <c r="C15" s="16" t="s">
        <v>100</v>
      </c>
      <c r="D15" s="16" t="s">
        <v>101</v>
      </c>
      <c r="E15" s="288">
        <v>77900</v>
      </c>
      <c r="F15" s="288">
        <f>ROUND(IF($A15="E",E15*(1+Assumptions!C$15),E15*(1+Assumptions!C$14)),-2)</f>
        <v>79100</v>
      </c>
      <c r="G15" s="288">
        <f>ROUND(IF($A15="E",F15*(1+Assumptions!D$15),F15*(1+Assumptions!D$14)),-2)</f>
        <v>80700</v>
      </c>
      <c r="H15" s="288">
        <f>ROUND(IF($A15="E",G15*(1+Assumptions!E$15),G15*(1+Assumptions!E$14)),-2)</f>
        <v>82300</v>
      </c>
      <c r="I15" s="288">
        <f>ROUND(IF($A15="E",H15*(1+Assumptions!F$15),H15*(1+Assumptions!F$14)),-2)</f>
        <v>83900</v>
      </c>
      <c r="J15" s="288">
        <f>ROUND(IF($A15="E",I15*(1+Assumptions!G$15),I15*(1+Assumptions!G$14)),-2)</f>
        <v>85600</v>
      </c>
      <c r="K15" s="288">
        <f>ROUND(IF($A15="E",J15*(1+Assumptions!H$15),J15*(1+Assumptions!H$14)),-2)</f>
        <v>87300</v>
      </c>
      <c r="L15" s="288">
        <f>ROUND(IF($A15="E",K15*(1+Assumptions!I$15),K15*(1+Assumptions!I$14)),-2)</f>
        <v>89500</v>
      </c>
      <c r="M15" s="288">
        <f>ROUND(IF($A15="E",L15*(1+Assumptions!J$15),L15*(1+Assumptions!J$14)),-2)</f>
        <v>91700</v>
      </c>
      <c r="N15" s="288">
        <f>ROUND(IF($A15="E",M15*(1+Assumptions!K$15),M15*(1+Assumptions!K$14)),-2)</f>
        <v>94000</v>
      </c>
    </row>
    <row r="16" spans="1:14" x14ac:dyDescent="0.25">
      <c r="B16" s="16" t="s">
        <v>41</v>
      </c>
      <c r="C16" s="16" t="s">
        <v>102</v>
      </c>
      <c r="D16" s="16" t="s">
        <v>103</v>
      </c>
      <c r="E16" s="288">
        <v>34300</v>
      </c>
      <c r="F16" s="288">
        <f>ROUND(IF($A16="E",E16*(1+Assumptions!C$15),E16*(1+Assumptions!C$14)),-2)</f>
        <v>34800</v>
      </c>
      <c r="G16" s="288">
        <f>ROUND(IF($A16="E",F16*(1+Assumptions!D$15),F16*(1+Assumptions!D$14)),-2)</f>
        <v>35500</v>
      </c>
      <c r="H16" s="288">
        <f>ROUND(IF($A16="E",G16*(1+Assumptions!E$15),G16*(1+Assumptions!E$14)),-2)</f>
        <v>36200</v>
      </c>
      <c r="I16" s="288">
        <f>ROUND(IF($A16="E",H16*(1+Assumptions!F$15),H16*(1+Assumptions!F$14)),-2)</f>
        <v>36900</v>
      </c>
      <c r="J16" s="288">
        <f>ROUND(IF($A16="E",I16*(1+Assumptions!G$15),I16*(1+Assumptions!G$14)),-2)</f>
        <v>37600</v>
      </c>
      <c r="K16" s="288">
        <f>ROUND(IF($A16="E",J16*(1+Assumptions!H$15),J16*(1+Assumptions!H$14)),-2)</f>
        <v>38400</v>
      </c>
      <c r="L16" s="288">
        <f>ROUND(IF($A16="E",K16*(1+Assumptions!I$15),K16*(1+Assumptions!I$14)),-2)</f>
        <v>39400</v>
      </c>
      <c r="M16" s="288">
        <f>ROUND(IF($A16="E",L16*(1+Assumptions!J$15),L16*(1+Assumptions!J$14)),-2)</f>
        <v>40400</v>
      </c>
      <c r="N16" s="288">
        <f>ROUND(IF($A16="E",M16*(1+Assumptions!K$15),M16*(1+Assumptions!K$14)),-2)</f>
        <v>41400</v>
      </c>
    </row>
    <row r="17" spans="2:14" x14ac:dyDescent="0.25">
      <c r="B17" s="16" t="s">
        <v>41</v>
      </c>
      <c r="C17" s="16" t="s">
        <v>104</v>
      </c>
      <c r="D17" s="16" t="s">
        <v>105</v>
      </c>
      <c r="E17" s="288">
        <v>65900</v>
      </c>
      <c r="F17" s="288">
        <f>ROUND(IF($A17="E",E17*(1+Assumptions!C$15),E17*(1+Assumptions!C$14)),-2)</f>
        <v>66900</v>
      </c>
      <c r="G17" s="288">
        <f>ROUND(IF($A17="E",F17*(1+Assumptions!D$15),F17*(1+Assumptions!D$14)),-2)</f>
        <v>68200</v>
      </c>
      <c r="H17" s="288">
        <f>ROUND(IF($A17="E",G17*(1+Assumptions!E$15),G17*(1+Assumptions!E$14)),-2)</f>
        <v>69600</v>
      </c>
      <c r="I17" s="288">
        <f>ROUND(IF($A17="E",H17*(1+Assumptions!F$15),H17*(1+Assumptions!F$14)),-2)</f>
        <v>71000</v>
      </c>
      <c r="J17" s="288">
        <f>ROUND(IF($A17="E",I17*(1+Assumptions!G$15),I17*(1+Assumptions!G$14)),-2)</f>
        <v>72400</v>
      </c>
      <c r="K17" s="288">
        <f>ROUND(IF($A17="E",J17*(1+Assumptions!H$15),J17*(1+Assumptions!H$14)),-2)</f>
        <v>73800</v>
      </c>
      <c r="L17" s="288">
        <f>ROUND(IF($A17="E",K17*(1+Assumptions!I$15),K17*(1+Assumptions!I$14)),-2)</f>
        <v>75600</v>
      </c>
      <c r="M17" s="288">
        <f>ROUND(IF($A17="E",L17*(1+Assumptions!J$15),L17*(1+Assumptions!J$14)),-2)</f>
        <v>77500</v>
      </c>
      <c r="N17" s="288">
        <f>ROUND(IF($A17="E",M17*(1+Assumptions!K$15),M17*(1+Assumptions!K$14)),-2)</f>
        <v>79400</v>
      </c>
    </row>
    <row r="18" spans="2:14" x14ac:dyDescent="0.25">
      <c r="B18" s="16" t="s">
        <v>41</v>
      </c>
      <c r="C18" s="16" t="s">
        <v>106</v>
      </c>
      <c r="D18" s="16" t="s">
        <v>107</v>
      </c>
      <c r="E18" s="288">
        <v>53000</v>
      </c>
      <c r="F18" s="288">
        <f>ROUND(IF($A18="E",E18*(1+Assumptions!C$15),E18*(1+Assumptions!C$14)),-2)</f>
        <v>53800</v>
      </c>
      <c r="G18" s="288">
        <f>ROUND(IF($A18="E",F18*(1+Assumptions!D$15),F18*(1+Assumptions!D$14)),-2)</f>
        <v>54900</v>
      </c>
      <c r="H18" s="288">
        <f>ROUND(IF($A18="E",G18*(1+Assumptions!E$15),G18*(1+Assumptions!E$14)),-2)</f>
        <v>56000</v>
      </c>
      <c r="I18" s="288">
        <f>ROUND(IF($A18="E",H18*(1+Assumptions!F$15),H18*(1+Assumptions!F$14)),-2)</f>
        <v>57100</v>
      </c>
      <c r="J18" s="288">
        <f>ROUND(IF($A18="E",I18*(1+Assumptions!G$15),I18*(1+Assumptions!G$14)),-2)</f>
        <v>58200</v>
      </c>
      <c r="K18" s="288">
        <f>ROUND(IF($A18="E",J18*(1+Assumptions!H$15),J18*(1+Assumptions!H$14)),-2)</f>
        <v>59400</v>
      </c>
      <c r="L18" s="288">
        <f>ROUND(IF($A18="E",K18*(1+Assumptions!I$15),K18*(1+Assumptions!I$14)),-2)</f>
        <v>60900</v>
      </c>
      <c r="M18" s="288">
        <f>ROUND(IF($A18="E",L18*(1+Assumptions!J$15),L18*(1+Assumptions!J$14)),-2)</f>
        <v>62400</v>
      </c>
      <c r="N18" s="288">
        <f>ROUND(IF($A18="E",M18*(1+Assumptions!K$15),M18*(1+Assumptions!K$14)),-2)</f>
        <v>64000</v>
      </c>
    </row>
    <row r="19" spans="2:14" x14ac:dyDescent="0.25">
      <c r="B19" s="16" t="s">
        <v>41</v>
      </c>
      <c r="C19" s="16" t="s">
        <v>108</v>
      </c>
      <c r="D19" s="16" t="s">
        <v>109</v>
      </c>
      <c r="E19" s="289"/>
      <c r="F19" s="289"/>
      <c r="G19" s="289"/>
      <c r="H19" s="289"/>
      <c r="I19" s="289"/>
      <c r="J19" s="289"/>
      <c r="K19" s="289"/>
      <c r="L19" s="289"/>
      <c r="M19" s="289"/>
      <c r="N19" s="289"/>
    </row>
    <row r="20" spans="2:14" x14ac:dyDescent="0.25">
      <c r="B20" s="16" t="s">
        <v>41</v>
      </c>
      <c r="C20" s="16" t="s">
        <v>110</v>
      </c>
      <c r="D20" s="16" t="s">
        <v>109</v>
      </c>
      <c r="E20" s="288">
        <v>92900</v>
      </c>
      <c r="F20" s="288">
        <f>ROUND(IF($A20="E",E20*(1+Assumptions!C$15),E20*(1+Assumptions!C$14)),-2)</f>
        <v>94300</v>
      </c>
      <c r="G20" s="288">
        <f>ROUND(IF($A20="E",F20*(1+Assumptions!D$15),F20*(1+Assumptions!D$14)),-2)</f>
        <v>96200</v>
      </c>
      <c r="H20" s="288">
        <f>ROUND(IF($A20="E",G20*(1+Assumptions!E$15),G20*(1+Assumptions!E$14)),-2)</f>
        <v>98100</v>
      </c>
      <c r="I20" s="288">
        <f>ROUND(IF($A20="E",H20*(1+Assumptions!F$15),H20*(1+Assumptions!F$14)),-2)</f>
        <v>100100</v>
      </c>
      <c r="J20" s="288">
        <f>ROUND(IF($A20="E",I20*(1+Assumptions!G$15),I20*(1+Assumptions!G$14)),-2)</f>
        <v>102100</v>
      </c>
      <c r="K20" s="288">
        <f>ROUND(IF($A20="E",J20*(1+Assumptions!H$15),J20*(1+Assumptions!H$14)),-2)</f>
        <v>104100</v>
      </c>
      <c r="L20" s="288">
        <f>ROUND(IF($A20="E",K20*(1+Assumptions!I$15),K20*(1+Assumptions!I$14)),-2)</f>
        <v>106700</v>
      </c>
      <c r="M20" s="288">
        <f>ROUND(IF($A20="E",L20*(1+Assumptions!J$15),L20*(1+Assumptions!J$14)),-2)</f>
        <v>109400</v>
      </c>
      <c r="N20" s="288">
        <f>ROUND(IF($A20="E",M20*(1+Assumptions!K$15),M20*(1+Assumptions!K$14)),-2)</f>
        <v>112100</v>
      </c>
    </row>
    <row r="21" spans="2:14" x14ac:dyDescent="0.25">
      <c r="B21" s="16" t="s">
        <v>41</v>
      </c>
      <c r="C21" s="16" t="s">
        <v>111</v>
      </c>
      <c r="D21" s="16" t="s">
        <v>112</v>
      </c>
      <c r="E21" s="289"/>
      <c r="F21" s="289"/>
      <c r="G21" s="289"/>
      <c r="H21" s="289"/>
      <c r="I21" s="289"/>
      <c r="J21" s="289"/>
      <c r="K21" s="289"/>
      <c r="L21" s="289"/>
      <c r="M21" s="289"/>
      <c r="N21" s="289"/>
    </row>
    <row r="22" spans="2:14" x14ac:dyDescent="0.25">
      <c r="B22" s="16" t="s">
        <v>41</v>
      </c>
      <c r="C22" s="16" t="s">
        <v>113</v>
      </c>
      <c r="D22" s="16" t="s">
        <v>114</v>
      </c>
      <c r="E22" s="288">
        <v>70600</v>
      </c>
      <c r="F22" s="288">
        <f>ROUND(IF($A22="E",E22*(1+Assumptions!C$15),E22*(1+Assumptions!C$14)),-2)</f>
        <v>71700</v>
      </c>
      <c r="G22" s="288">
        <f>ROUND(IF($A22="E",F22*(1+Assumptions!D$15),F22*(1+Assumptions!D$14)),-2)</f>
        <v>73100</v>
      </c>
      <c r="H22" s="288">
        <f>ROUND(IF($A22="E",G22*(1+Assumptions!E$15),G22*(1+Assumptions!E$14)),-2)</f>
        <v>74600</v>
      </c>
      <c r="I22" s="288">
        <f>ROUND(IF($A22="E",H22*(1+Assumptions!F$15),H22*(1+Assumptions!F$14)),-2)</f>
        <v>76100</v>
      </c>
      <c r="J22" s="288">
        <f>ROUND(IF($A22="E",I22*(1+Assumptions!G$15),I22*(1+Assumptions!G$14)),-2)</f>
        <v>77600</v>
      </c>
      <c r="K22" s="288">
        <f>ROUND(IF($A22="E",J22*(1+Assumptions!H$15),J22*(1+Assumptions!H$14)),-2)</f>
        <v>79200</v>
      </c>
      <c r="L22" s="288">
        <f>ROUND(IF($A22="E",K22*(1+Assumptions!I$15),K22*(1+Assumptions!I$14)),-2)</f>
        <v>81200</v>
      </c>
      <c r="M22" s="288">
        <f>ROUND(IF($A22="E",L22*(1+Assumptions!J$15),L22*(1+Assumptions!J$14)),-2)</f>
        <v>83200</v>
      </c>
      <c r="N22" s="288">
        <f>ROUND(IF($A22="E",M22*(1+Assumptions!K$15),M22*(1+Assumptions!K$14)),-2)</f>
        <v>85300</v>
      </c>
    </row>
    <row r="23" spans="2:14" x14ac:dyDescent="0.25">
      <c r="B23" s="16" t="s">
        <v>41</v>
      </c>
      <c r="C23" s="16" t="s">
        <v>115</v>
      </c>
      <c r="D23" s="16" t="s">
        <v>116</v>
      </c>
      <c r="E23" s="288">
        <v>15100</v>
      </c>
      <c r="F23" s="288">
        <f>ROUND(IF($A23="E",E23*(1+Assumptions!C$15),E23*(1+Assumptions!C$14)),-2)</f>
        <v>15300</v>
      </c>
      <c r="G23" s="288">
        <f>ROUND(IF($A23="E",F23*(1+Assumptions!D$15),F23*(1+Assumptions!D$14)),-2)</f>
        <v>15600</v>
      </c>
      <c r="H23" s="288">
        <f>ROUND(IF($A23="E",G23*(1+Assumptions!E$15),G23*(1+Assumptions!E$14)),-2)</f>
        <v>15900</v>
      </c>
      <c r="I23" s="288">
        <f>ROUND(IF($A23="E",H23*(1+Assumptions!F$15),H23*(1+Assumptions!F$14)),-2)</f>
        <v>16200</v>
      </c>
      <c r="J23" s="288">
        <f>ROUND(IF($A23="E",I23*(1+Assumptions!G$15),I23*(1+Assumptions!G$14)),-2)</f>
        <v>16500</v>
      </c>
      <c r="K23" s="288">
        <f>ROUND(IF($A23="E",J23*(1+Assumptions!H$15),J23*(1+Assumptions!H$14)),-2)</f>
        <v>16800</v>
      </c>
      <c r="L23" s="288">
        <f>ROUND(IF($A23="E",K23*(1+Assumptions!I$15),K23*(1+Assumptions!I$14)),-2)</f>
        <v>17200</v>
      </c>
      <c r="M23" s="288">
        <f>ROUND(IF($A23="E",L23*(1+Assumptions!J$15),L23*(1+Assumptions!J$14)),-2)</f>
        <v>17600</v>
      </c>
      <c r="N23" s="288">
        <f>ROUND(IF($A23="E",M23*(1+Assumptions!K$15),M23*(1+Assumptions!K$14)),-2)</f>
        <v>18000</v>
      </c>
    </row>
    <row r="24" spans="2:14" x14ac:dyDescent="0.25">
      <c r="B24" s="16" t="s">
        <v>41</v>
      </c>
      <c r="C24" s="16" t="s">
        <v>117</v>
      </c>
      <c r="D24" s="16" t="s">
        <v>118</v>
      </c>
      <c r="E24" s="289"/>
      <c r="F24" s="289"/>
      <c r="G24" s="289"/>
      <c r="H24" s="289"/>
      <c r="I24" s="289"/>
      <c r="J24" s="289"/>
      <c r="K24" s="289"/>
      <c r="L24" s="289"/>
      <c r="M24" s="289"/>
      <c r="N24" s="289"/>
    </row>
    <row r="25" spans="2:14" x14ac:dyDescent="0.25">
      <c r="B25" s="16" t="s">
        <v>41</v>
      </c>
      <c r="C25" s="16" t="s">
        <v>119</v>
      </c>
      <c r="D25" s="16" t="s">
        <v>120</v>
      </c>
      <c r="E25" s="288">
        <v>700000</v>
      </c>
      <c r="F25" s="288">
        <f>ROUND(IF($A25="E",E25*(1+Assumptions!C$15),E25*(1+Assumptions!C$14)),-2)</f>
        <v>710500</v>
      </c>
      <c r="G25" s="288">
        <f>ROUND(IF($A25="E",F25*(1+Assumptions!D$15),F25*(1+Assumptions!D$14)),-2)</f>
        <v>724700</v>
      </c>
      <c r="H25" s="288">
        <f>ROUND(IF($A25="E",G25*(1+Assumptions!E$15),G25*(1+Assumptions!E$14)),-2)</f>
        <v>739200</v>
      </c>
      <c r="I25" s="288">
        <f>ROUND(IF($A25="E",H25*(1+Assumptions!F$15),H25*(1+Assumptions!F$14)),-2)</f>
        <v>754000</v>
      </c>
      <c r="J25" s="288">
        <f>ROUND(IF($A25="E",I25*(1+Assumptions!G$15),I25*(1+Assumptions!G$14)),-2)</f>
        <v>769100</v>
      </c>
      <c r="K25" s="288">
        <f>ROUND(IF($A25="E",J25*(1+Assumptions!H$15),J25*(1+Assumptions!H$14)),-2)</f>
        <v>784500</v>
      </c>
      <c r="L25" s="288">
        <f>ROUND(IF($A25="E",K25*(1+Assumptions!I$15),K25*(1+Assumptions!I$14)),-2)</f>
        <v>804100</v>
      </c>
      <c r="M25" s="288">
        <f>ROUND(IF($A25="E",L25*(1+Assumptions!J$15),L25*(1+Assumptions!J$14)),-2)</f>
        <v>824200</v>
      </c>
      <c r="N25" s="288">
        <f>ROUND(IF($A25="E",M25*(1+Assumptions!K$15),M25*(1+Assumptions!K$14)),-2)</f>
        <v>844800</v>
      </c>
    </row>
    <row r="26" spans="2:14" x14ac:dyDescent="0.25">
      <c r="B26" s="16" t="s">
        <v>41</v>
      </c>
      <c r="C26" s="16" t="s">
        <v>121</v>
      </c>
      <c r="D26" s="16" t="s">
        <v>122</v>
      </c>
      <c r="E26" s="289"/>
      <c r="F26" s="289"/>
      <c r="G26" s="289"/>
      <c r="H26" s="289"/>
      <c r="I26" s="289"/>
      <c r="J26" s="289"/>
      <c r="K26" s="289"/>
      <c r="L26" s="289"/>
      <c r="M26" s="289"/>
      <c r="N26" s="289"/>
    </row>
    <row r="27" spans="2:14" x14ac:dyDescent="0.25">
      <c r="B27" s="16" t="s">
        <v>41</v>
      </c>
      <c r="C27" s="16" t="s">
        <v>123</v>
      </c>
      <c r="D27" s="16" t="s">
        <v>124</v>
      </c>
      <c r="E27" s="288">
        <v>15100</v>
      </c>
      <c r="F27" s="288">
        <f>ROUND(IF($A27="E",E27*(1+Assumptions!C$15),E27*(1+Assumptions!C$14)),-2)</f>
        <v>15300</v>
      </c>
      <c r="G27" s="288">
        <f>ROUND(IF($A27="E",F27*(1+Assumptions!D$15),F27*(1+Assumptions!D$14)),-2)</f>
        <v>15600</v>
      </c>
      <c r="H27" s="288">
        <f>ROUND(IF($A27="E",G27*(1+Assumptions!E$15),G27*(1+Assumptions!E$14)),-2)</f>
        <v>15900</v>
      </c>
      <c r="I27" s="288">
        <f>ROUND(IF($A27="E",H27*(1+Assumptions!F$15),H27*(1+Assumptions!F$14)),-2)</f>
        <v>16200</v>
      </c>
      <c r="J27" s="288">
        <f>ROUND(IF($A27="E",I27*(1+Assumptions!G$15),I27*(1+Assumptions!G$14)),-2)</f>
        <v>16500</v>
      </c>
      <c r="K27" s="288">
        <f>ROUND(IF($A27="E",J27*(1+Assumptions!H$15),J27*(1+Assumptions!H$14)),-2)</f>
        <v>16800</v>
      </c>
      <c r="L27" s="288">
        <f>ROUND(IF($A27="E",K27*(1+Assumptions!I$15),K27*(1+Assumptions!I$14)),-2)</f>
        <v>17200</v>
      </c>
      <c r="M27" s="288">
        <f>ROUND(IF($A27="E",L27*(1+Assumptions!J$15),L27*(1+Assumptions!J$14)),-2)</f>
        <v>17600</v>
      </c>
      <c r="N27" s="288">
        <f>ROUND(IF($A27="E",M27*(1+Assumptions!K$15),M27*(1+Assumptions!K$14)),-2)</f>
        <v>18000</v>
      </c>
    </row>
    <row r="28" spans="2:14" x14ac:dyDescent="0.25">
      <c r="B28" s="16" t="s">
        <v>41</v>
      </c>
      <c r="C28" s="16" t="s">
        <v>125</v>
      </c>
      <c r="D28" s="16" t="s">
        <v>126</v>
      </c>
      <c r="E28" s="288">
        <v>5000</v>
      </c>
      <c r="F28" s="288">
        <f>ROUND(IF($A28="E",E28*(1+Assumptions!C$15),E28*(1+Assumptions!C$14)),-2)</f>
        <v>5100</v>
      </c>
      <c r="G28" s="288">
        <f>ROUND(IF($A28="E",F28*(1+Assumptions!D$15),F28*(1+Assumptions!D$14)),-2)</f>
        <v>5200</v>
      </c>
      <c r="H28" s="288">
        <f>ROUND(IF($A28="E",G28*(1+Assumptions!E$15),G28*(1+Assumptions!E$14)),-2)</f>
        <v>5300</v>
      </c>
      <c r="I28" s="288">
        <f>ROUND(IF($A28="E",H28*(1+Assumptions!F$15),H28*(1+Assumptions!F$14)),-2)</f>
        <v>5400</v>
      </c>
      <c r="J28" s="288">
        <f>ROUND(IF($A28="E",I28*(1+Assumptions!G$15),I28*(1+Assumptions!G$14)),-2)</f>
        <v>5500</v>
      </c>
      <c r="K28" s="288">
        <f>ROUND(IF($A28="E",J28*(1+Assumptions!H$15),J28*(1+Assumptions!H$14)),-2)</f>
        <v>5600</v>
      </c>
      <c r="L28" s="288">
        <f>ROUND(IF($A28="E",K28*(1+Assumptions!I$15),K28*(1+Assumptions!I$14)),-2)</f>
        <v>5700</v>
      </c>
      <c r="M28" s="288">
        <f>ROUND(IF($A28="E",L28*(1+Assumptions!J$15),L28*(1+Assumptions!J$14)),-2)</f>
        <v>5800</v>
      </c>
      <c r="N28" s="288">
        <f>ROUND(IF($A28="E",M28*(1+Assumptions!K$15),M28*(1+Assumptions!K$14)),-2)</f>
        <v>5900</v>
      </c>
    </row>
    <row r="29" spans="2:14" x14ac:dyDescent="0.25">
      <c r="B29" s="16" t="s">
        <v>41</v>
      </c>
      <c r="C29" s="16" t="s">
        <v>127</v>
      </c>
      <c r="D29" s="16" t="s">
        <v>128</v>
      </c>
      <c r="E29" s="288">
        <v>14900</v>
      </c>
      <c r="F29" s="288">
        <f>ROUND(IF($A29="E",E29*(1+Assumptions!C$15),E29*(1+Assumptions!C$14)),-2)</f>
        <v>15100</v>
      </c>
      <c r="G29" s="288">
        <f>ROUND(IF($A29="E",F29*(1+Assumptions!D$15),F29*(1+Assumptions!D$14)),-2)</f>
        <v>15400</v>
      </c>
      <c r="H29" s="288">
        <f>ROUND(IF($A29="E",G29*(1+Assumptions!E$15),G29*(1+Assumptions!E$14)),-2)</f>
        <v>15700</v>
      </c>
      <c r="I29" s="288">
        <f>ROUND(IF($A29="E",H29*(1+Assumptions!F$15),H29*(1+Assumptions!F$14)),-2)</f>
        <v>16000</v>
      </c>
      <c r="J29" s="288">
        <f>ROUND(IF($A29="E",I29*(1+Assumptions!G$15),I29*(1+Assumptions!G$14)),-2)</f>
        <v>16300</v>
      </c>
      <c r="K29" s="288">
        <f>ROUND(IF($A29="E",J29*(1+Assumptions!H$15),J29*(1+Assumptions!H$14)),-2)</f>
        <v>16600</v>
      </c>
      <c r="L29" s="288">
        <f>ROUND(IF($A29="E",K29*(1+Assumptions!I$15),K29*(1+Assumptions!I$14)),-2)</f>
        <v>17000</v>
      </c>
      <c r="M29" s="288">
        <f>ROUND(IF($A29="E",L29*(1+Assumptions!J$15),L29*(1+Assumptions!J$14)),-2)</f>
        <v>17400</v>
      </c>
      <c r="N29" s="288">
        <f>ROUND(IF($A29="E",M29*(1+Assumptions!K$15),M29*(1+Assumptions!K$14)),-2)</f>
        <v>17800</v>
      </c>
    </row>
    <row r="30" spans="2:14" x14ac:dyDescent="0.25">
      <c r="B30" s="16" t="s">
        <v>41</v>
      </c>
      <c r="C30" s="16" t="s">
        <v>129</v>
      </c>
      <c r="D30" s="16" t="s">
        <v>130</v>
      </c>
      <c r="E30" s="288">
        <v>-35300</v>
      </c>
      <c r="F30" s="288">
        <f>ROUND(IF($A30="E",E30*(1+Assumptions!C$15),E30*(1+Assumptions!C$14)),-2)</f>
        <v>-35800</v>
      </c>
      <c r="G30" s="288">
        <f>ROUND(IF($A30="E",F30*(1+Assumptions!D$15),F30*(1+Assumptions!D$14)),-2)</f>
        <v>-36500</v>
      </c>
      <c r="H30" s="288">
        <f>ROUND(IF($A30="E",G30*(1+Assumptions!E$15),G30*(1+Assumptions!E$14)),-2)</f>
        <v>-37200</v>
      </c>
      <c r="I30" s="288">
        <f>ROUND(IF($A30="E",H30*(1+Assumptions!F$15),H30*(1+Assumptions!F$14)),-2)</f>
        <v>-37900</v>
      </c>
      <c r="J30" s="288">
        <f>ROUND(IF($A30="E",I30*(1+Assumptions!G$15),I30*(1+Assumptions!G$14)),-2)</f>
        <v>-38700</v>
      </c>
      <c r="K30" s="288">
        <f>ROUND(IF($A30="E",J30*(1+Assumptions!H$15),J30*(1+Assumptions!H$14)),-2)</f>
        <v>-39500</v>
      </c>
      <c r="L30" s="288">
        <f>ROUND(IF($A30="E",K30*(1+Assumptions!I$15),K30*(1+Assumptions!I$14)),-2)</f>
        <v>-40500</v>
      </c>
      <c r="M30" s="288">
        <f>ROUND(IF($A30="E",L30*(1+Assumptions!J$15),L30*(1+Assumptions!J$14)),-2)</f>
        <v>-41500</v>
      </c>
      <c r="N30" s="288">
        <f>ROUND(IF($A30="E",M30*(1+Assumptions!K$15),M30*(1+Assumptions!K$14)),-2)</f>
        <v>-42500</v>
      </c>
    </row>
    <row r="31" spans="2:14" x14ac:dyDescent="0.25">
      <c r="B31" s="16" t="s">
        <v>41</v>
      </c>
      <c r="C31" s="16" t="s">
        <v>131</v>
      </c>
      <c r="D31" s="16" t="s">
        <v>132</v>
      </c>
      <c r="E31" s="289"/>
      <c r="F31" s="289"/>
      <c r="G31" s="289"/>
      <c r="H31" s="289"/>
      <c r="I31" s="289"/>
      <c r="J31" s="289"/>
      <c r="K31" s="289"/>
      <c r="L31" s="289"/>
      <c r="M31" s="289"/>
      <c r="N31" s="289"/>
    </row>
    <row r="32" spans="2:14" x14ac:dyDescent="0.25">
      <c r="B32" s="16" t="s">
        <v>41</v>
      </c>
      <c r="C32" s="16" t="s">
        <v>133</v>
      </c>
      <c r="D32" s="16" t="s">
        <v>134</v>
      </c>
      <c r="E32" s="288">
        <v>237200</v>
      </c>
      <c r="F32" s="288">
        <f>ROUND(IF($A32="E",E32*(1+Assumptions!C$15),E32*(1+Assumptions!C$14)),-2)</f>
        <v>240800</v>
      </c>
      <c r="G32" s="288">
        <f>ROUND(IF($A32="E",F32*(1+Assumptions!D$15),F32*(1+Assumptions!D$14)),-2)</f>
        <v>245600</v>
      </c>
      <c r="H32" s="288">
        <f>ROUND(IF($A32="E",G32*(1+Assumptions!E$15),G32*(1+Assumptions!E$14)),-2)</f>
        <v>250500</v>
      </c>
      <c r="I32" s="288">
        <f>ROUND(IF($A32="E",H32*(1+Assumptions!F$15),H32*(1+Assumptions!F$14)),-2)</f>
        <v>255500</v>
      </c>
      <c r="J32" s="288">
        <f>ROUND(IF($A32="E",I32*(1+Assumptions!G$15),I32*(1+Assumptions!G$14)),-2)</f>
        <v>260600</v>
      </c>
      <c r="K32" s="288">
        <f>ROUND(IF($A32="E",J32*(1+Assumptions!H$15),J32*(1+Assumptions!H$14)),-2)</f>
        <v>265800</v>
      </c>
      <c r="L32" s="288">
        <f>ROUND(IF($A32="E",K32*(1+Assumptions!I$15),K32*(1+Assumptions!I$14)),-2)</f>
        <v>272400</v>
      </c>
      <c r="M32" s="288">
        <f>ROUND(IF($A32="E",L32*(1+Assumptions!J$15),L32*(1+Assumptions!J$14)),-2)</f>
        <v>279200</v>
      </c>
      <c r="N32" s="288">
        <f>ROUND(IF($A32="E",M32*(1+Assumptions!K$15),M32*(1+Assumptions!K$14)),-2)</f>
        <v>286200</v>
      </c>
    </row>
    <row r="33" spans="2:14" x14ac:dyDescent="0.25">
      <c r="B33" s="16" t="s">
        <v>41</v>
      </c>
      <c r="C33" s="16" t="s">
        <v>135</v>
      </c>
      <c r="D33" s="16" t="s">
        <v>136</v>
      </c>
      <c r="E33" s="288">
        <v>1496800</v>
      </c>
      <c r="F33" s="288">
        <f>ROUND(IF($A33="E",E33*(1+Assumptions!C$15),E33*(1+Assumptions!C$14)),-2)</f>
        <v>1519300</v>
      </c>
      <c r="G33" s="288">
        <f>ROUND(IF($A33="E",F33*(1+Assumptions!D$15),F33*(1+Assumptions!D$14)),-2)</f>
        <v>1549700</v>
      </c>
      <c r="H33" s="288">
        <f>ROUND(IF($A33="E",G33*(1+Assumptions!E$15),G33*(1+Assumptions!E$14)),-2)</f>
        <v>1580700</v>
      </c>
      <c r="I33" s="288">
        <f>ROUND(IF($A33="E",H33*(1+Assumptions!F$15),H33*(1+Assumptions!F$14)),-2)</f>
        <v>1612300</v>
      </c>
      <c r="J33" s="288">
        <f>ROUND(IF($A33="E",I33*(1+Assumptions!G$15),I33*(1+Assumptions!G$14)),-2)</f>
        <v>1644500</v>
      </c>
      <c r="K33" s="288">
        <f>ROUND(IF($A33="E",J33*(1+Assumptions!H$15),J33*(1+Assumptions!H$14)),-2)</f>
        <v>1677400</v>
      </c>
      <c r="L33" s="288">
        <f>ROUND(IF($A33="E",K33*(1+Assumptions!I$15),K33*(1+Assumptions!I$14)),-2)</f>
        <v>1719300</v>
      </c>
      <c r="M33" s="288">
        <f>ROUND(IF($A33="E",L33*(1+Assumptions!J$15),L33*(1+Assumptions!J$14)),-2)</f>
        <v>1762300</v>
      </c>
      <c r="N33" s="288">
        <f>ROUND(IF($A33="E",M33*(1+Assumptions!K$15),M33*(1+Assumptions!K$14)),-2)</f>
        <v>1806400</v>
      </c>
    </row>
    <row r="34" spans="2:14" x14ac:dyDescent="0.25">
      <c r="B34" s="16" t="s">
        <v>41</v>
      </c>
      <c r="C34" s="16" t="s">
        <v>137</v>
      </c>
      <c r="D34" s="16" t="s">
        <v>138</v>
      </c>
      <c r="E34" s="288">
        <v>700300</v>
      </c>
      <c r="F34" s="288">
        <f>ROUND(IF($A34="E",E34*(1+Assumptions!C$15),E34*(1+Assumptions!C$14)),-2)</f>
        <v>710800</v>
      </c>
      <c r="G34" s="288">
        <f>ROUND(IF($A34="E",F34*(1+Assumptions!D$15),F34*(1+Assumptions!D$14)),-2)</f>
        <v>725000</v>
      </c>
      <c r="H34" s="288">
        <f>ROUND(IF($A34="E",G34*(1+Assumptions!E$15),G34*(1+Assumptions!E$14)),-2)</f>
        <v>739500</v>
      </c>
      <c r="I34" s="288">
        <f>ROUND(IF($A34="E",H34*(1+Assumptions!F$15),H34*(1+Assumptions!F$14)),-2)</f>
        <v>754300</v>
      </c>
      <c r="J34" s="288">
        <f>ROUND(IF($A34="E",I34*(1+Assumptions!G$15),I34*(1+Assumptions!G$14)),-2)</f>
        <v>769400</v>
      </c>
      <c r="K34" s="288">
        <f>ROUND(IF($A34="E",J34*(1+Assumptions!H$15),J34*(1+Assumptions!H$14)),-2)</f>
        <v>784800</v>
      </c>
      <c r="L34" s="288">
        <f>ROUND(IF($A34="E",K34*(1+Assumptions!I$15),K34*(1+Assumptions!I$14)),-2)</f>
        <v>804400</v>
      </c>
      <c r="M34" s="288">
        <f>ROUND(IF($A34="E",L34*(1+Assumptions!J$15),L34*(1+Assumptions!J$14)),-2)</f>
        <v>824500</v>
      </c>
      <c r="N34" s="288">
        <f>ROUND(IF($A34="E",M34*(1+Assumptions!K$15),M34*(1+Assumptions!K$14)),-2)</f>
        <v>845100</v>
      </c>
    </row>
    <row r="35" spans="2:14" x14ac:dyDescent="0.25">
      <c r="B35" s="16" t="s">
        <v>41</v>
      </c>
      <c r="C35" s="16" t="s">
        <v>139</v>
      </c>
      <c r="D35" s="16" t="s">
        <v>140</v>
      </c>
      <c r="E35" s="288">
        <v>322100</v>
      </c>
      <c r="F35" s="288">
        <f>ROUND(IF($A35="E",E35*(1+Assumptions!C$15),E35*(1+Assumptions!C$14)),-2)</f>
        <v>326900</v>
      </c>
      <c r="G35" s="288">
        <f>ROUND(IF($A35="E",F35*(1+Assumptions!D$15),F35*(1+Assumptions!D$14)),-2)</f>
        <v>333400</v>
      </c>
      <c r="H35" s="288">
        <f>ROUND(IF($A35="E",G35*(1+Assumptions!E$15),G35*(1+Assumptions!E$14)),-2)</f>
        <v>340100</v>
      </c>
      <c r="I35" s="288">
        <f>ROUND(IF($A35="E",H35*(1+Assumptions!F$15),H35*(1+Assumptions!F$14)),-2)</f>
        <v>346900</v>
      </c>
      <c r="J35" s="288">
        <f>ROUND(IF($A35="E",I35*(1+Assumptions!G$15),I35*(1+Assumptions!G$14)),-2)</f>
        <v>353800</v>
      </c>
      <c r="K35" s="288">
        <f>ROUND(IF($A35="E",J35*(1+Assumptions!H$15),J35*(1+Assumptions!H$14)),-2)</f>
        <v>360900</v>
      </c>
      <c r="L35" s="288">
        <f>ROUND(IF($A35="E",K35*(1+Assumptions!I$15),K35*(1+Assumptions!I$14)),-2)</f>
        <v>369900</v>
      </c>
      <c r="M35" s="288">
        <f>ROUND(IF($A35="E",L35*(1+Assumptions!J$15),L35*(1+Assumptions!J$14)),-2)</f>
        <v>379100</v>
      </c>
      <c r="N35" s="288">
        <f>ROUND(IF($A35="E",M35*(1+Assumptions!K$15),M35*(1+Assumptions!K$14)),-2)</f>
        <v>388600</v>
      </c>
    </row>
    <row r="36" spans="2:14" x14ac:dyDescent="0.25">
      <c r="B36" s="16" t="s">
        <v>41</v>
      </c>
      <c r="C36" s="16" t="s">
        <v>141</v>
      </c>
      <c r="D36" s="16" t="s">
        <v>142</v>
      </c>
      <c r="E36" s="288">
        <v>56400</v>
      </c>
      <c r="F36" s="288">
        <f>ROUND(IF($A36="E",E36*(1+Assumptions!C$15),E36*(1+Assumptions!C$14)),-2)</f>
        <v>57200</v>
      </c>
      <c r="G36" s="288">
        <f>ROUND(IF($A36="E",F36*(1+Assumptions!D$15),F36*(1+Assumptions!D$14)),-2)</f>
        <v>58300</v>
      </c>
      <c r="H36" s="288">
        <f>ROUND(IF($A36="E",G36*(1+Assumptions!E$15),G36*(1+Assumptions!E$14)),-2)</f>
        <v>59500</v>
      </c>
      <c r="I36" s="288">
        <f>ROUND(IF($A36="E",H36*(1+Assumptions!F$15),H36*(1+Assumptions!F$14)),-2)</f>
        <v>60700</v>
      </c>
      <c r="J36" s="288">
        <f>ROUND(IF($A36="E",I36*(1+Assumptions!G$15),I36*(1+Assumptions!G$14)),-2)</f>
        <v>61900</v>
      </c>
      <c r="K36" s="288">
        <f>ROUND(IF($A36="E",J36*(1+Assumptions!H$15),J36*(1+Assumptions!H$14)),-2)</f>
        <v>63100</v>
      </c>
      <c r="L36" s="288">
        <f>ROUND(IF($A36="E",K36*(1+Assumptions!I$15),K36*(1+Assumptions!I$14)),-2)</f>
        <v>64700</v>
      </c>
      <c r="M36" s="288">
        <f>ROUND(IF($A36="E",L36*(1+Assumptions!J$15),L36*(1+Assumptions!J$14)),-2)</f>
        <v>66300</v>
      </c>
      <c r="N36" s="288">
        <f>ROUND(IF($A36="E",M36*(1+Assumptions!K$15),M36*(1+Assumptions!K$14)),-2)</f>
        <v>68000</v>
      </c>
    </row>
    <row r="37" spans="2:14" x14ac:dyDescent="0.25">
      <c r="B37" s="16" t="s">
        <v>41</v>
      </c>
      <c r="C37" s="16" t="s">
        <v>143</v>
      </c>
      <c r="D37" s="16" t="s">
        <v>144</v>
      </c>
      <c r="E37" s="288"/>
      <c r="F37" s="288">
        <f>ROUND(IF($A37="E",E37*(1+Assumptions!C$15),E37*(1+Assumptions!C$14)),-2)</f>
        <v>0</v>
      </c>
      <c r="G37" s="288">
        <f>ROUND(IF($A37="E",F37*(1+Assumptions!D$15),F37*(1+Assumptions!D$14)),-2)</f>
        <v>0</v>
      </c>
      <c r="H37" s="288">
        <f>ROUND(IF($A37="E",G37*(1+Assumptions!E$15),G37*(1+Assumptions!E$14)),-2)</f>
        <v>0</v>
      </c>
      <c r="I37" s="288">
        <f>ROUND(IF($A37="E",H37*(1+Assumptions!F$15),H37*(1+Assumptions!F$14)),-2)</f>
        <v>0</v>
      </c>
      <c r="J37" s="288">
        <f>ROUND(IF($A37="E",I37*(1+Assumptions!G$15),I37*(1+Assumptions!G$14)),-2)</f>
        <v>0</v>
      </c>
      <c r="K37" s="288">
        <f>ROUND(IF($A37="E",J37*(1+Assumptions!H$15),J37*(1+Assumptions!H$14)),-2)</f>
        <v>0</v>
      </c>
      <c r="L37" s="288">
        <f>ROUND(IF($A37="E",K37*(1+Assumptions!I$15),K37*(1+Assumptions!I$14)),-2)</f>
        <v>0</v>
      </c>
      <c r="M37" s="288">
        <f>ROUND(IF($A37="E",L37*(1+Assumptions!J$15),L37*(1+Assumptions!J$14)),-2)</f>
        <v>0</v>
      </c>
      <c r="N37" s="288">
        <f>ROUND(IF($A37="E",M37*(1+Assumptions!K$15),M37*(1+Assumptions!K$14)),-2)</f>
        <v>0</v>
      </c>
    </row>
    <row r="38" spans="2:14" x14ac:dyDescent="0.25">
      <c r="B38" s="16" t="s">
        <v>41</v>
      </c>
      <c r="C38" s="16" t="s">
        <v>145</v>
      </c>
      <c r="D38" s="16" t="s">
        <v>146</v>
      </c>
      <c r="E38" s="288">
        <v>53700</v>
      </c>
      <c r="F38" s="288">
        <f>ROUND(IF($A38="E",E38*(1+Assumptions!C$15),E38*(1+Assumptions!C$14)),-2)</f>
        <v>54500</v>
      </c>
      <c r="G38" s="288">
        <f>ROUND(IF($A38="E",F38*(1+Assumptions!D$15),F38*(1+Assumptions!D$14)),-2)</f>
        <v>55600</v>
      </c>
      <c r="H38" s="288">
        <f>ROUND(IF($A38="E",G38*(1+Assumptions!E$15),G38*(1+Assumptions!E$14)),-2)</f>
        <v>56700</v>
      </c>
      <c r="I38" s="288">
        <f>ROUND(IF($A38="E",H38*(1+Assumptions!F$15),H38*(1+Assumptions!F$14)),-2)</f>
        <v>57800</v>
      </c>
      <c r="J38" s="288">
        <f>ROUND(IF($A38="E",I38*(1+Assumptions!G$15),I38*(1+Assumptions!G$14)),-2)</f>
        <v>59000</v>
      </c>
      <c r="K38" s="288">
        <f>ROUND(IF($A38="E",J38*(1+Assumptions!H$15),J38*(1+Assumptions!H$14)),-2)</f>
        <v>60200</v>
      </c>
      <c r="L38" s="288">
        <f>ROUND(IF($A38="E",K38*(1+Assumptions!I$15),K38*(1+Assumptions!I$14)),-2)</f>
        <v>61700</v>
      </c>
      <c r="M38" s="288">
        <f>ROUND(IF($A38="E",L38*(1+Assumptions!J$15),L38*(1+Assumptions!J$14)),-2)</f>
        <v>63200</v>
      </c>
      <c r="N38" s="288">
        <f>ROUND(IF($A38="E",M38*(1+Assumptions!K$15),M38*(1+Assumptions!K$14)),-2)</f>
        <v>64800</v>
      </c>
    </row>
    <row r="39" spans="2:14" x14ac:dyDescent="0.25">
      <c r="B39" s="16" t="s">
        <v>41</v>
      </c>
      <c r="C39" s="16" t="s">
        <v>147</v>
      </c>
      <c r="D39" s="16" t="s">
        <v>148</v>
      </c>
      <c r="E39" s="288">
        <v>0</v>
      </c>
      <c r="F39" s="288">
        <f>ROUND(IF($A39="E",E39*(1+Assumptions!C$15),E39*(1+Assumptions!C$14)),-2)</f>
        <v>0</v>
      </c>
      <c r="G39" s="288">
        <f>ROUND(IF($A39="E",F39*(1+Assumptions!D$15),F39*(1+Assumptions!D$14)),-2)</f>
        <v>0</v>
      </c>
      <c r="H39" s="288">
        <f>ROUND(IF($A39="E",G39*(1+Assumptions!E$15),G39*(1+Assumptions!E$14)),-2)</f>
        <v>0</v>
      </c>
      <c r="I39" s="288">
        <f>ROUND(IF($A39="E",H39*(1+Assumptions!F$15),H39*(1+Assumptions!F$14)),-2)</f>
        <v>0</v>
      </c>
      <c r="J39" s="288">
        <f>ROUND(IF($A39="E",I39*(1+Assumptions!G$15),I39*(1+Assumptions!G$14)),-2)</f>
        <v>0</v>
      </c>
      <c r="K39" s="288">
        <f>ROUND(IF($A39="E",J39*(1+Assumptions!H$15),J39*(1+Assumptions!H$14)),-2)</f>
        <v>0</v>
      </c>
      <c r="L39" s="288">
        <f>ROUND(IF($A39="E",K39*(1+Assumptions!I$15),K39*(1+Assumptions!I$14)),-2)</f>
        <v>0</v>
      </c>
      <c r="M39" s="288">
        <f>ROUND(IF($A39="E",L39*(1+Assumptions!J$15),L39*(1+Assumptions!J$14)),-2)</f>
        <v>0</v>
      </c>
      <c r="N39" s="288">
        <f>ROUND(IF($A39="E",M39*(1+Assumptions!K$15),M39*(1+Assumptions!K$14)),-2)</f>
        <v>0</v>
      </c>
    </row>
    <row r="40" spans="2:14" x14ac:dyDescent="0.25">
      <c r="B40" s="16" t="s">
        <v>41</v>
      </c>
      <c r="C40" s="16" t="s">
        <v>149</v>
      </c>
      <c r="D40" s="16" t="s">
        <v>150</v>
      </c>
      <c r="E40" s="289"/>
      <c r="F40" s="289"/>
      <c r="G40" s="289"/>
      <c r="H40" s="289"/>
      <c r="I40" s="289"/>
      <c r="J40" s="289"/>
      <c r="K40" s="289"/>
      <c r="L40" s="289"/>
      <c r="M40" s="289"/>
      <c r="N40" s="289"/>
    </row>
    <row r="41" spans="2:14" x14ac:dyDescent="0.25">
      <c r="B41" s="16" t="s">
        <v>41</v>
      </c>
      <c r="C41" s="16" t="s">
        <v>151</v>
      </c>
      <c r="D41" s="16" t="s">
        <v>152</v>
      </c>
      <c r="E41" s="288">
        <v>1608300</v>
      </c>
      <c r="F41" s="288">
        <f>ROUND(IF($A41="E",E41*(1+Assumptions!C$15),E41*(1+Assumptions!C$14)),-2)</f>
        <v>1632400</v>
      </c>
      <c r="G41" s="288">
        <f>ROUND(IF($A41="E",F41*(1+Assumptions!D$15),F41*(1+Assumptions!D$14)),-2)</f>
        <v>1665000</v>
      </c>
      <c r="H41" s="288">
        <f>ROUND(IF($A41="E",G41*(1+Assumptions!E$15),G41*(1+Assumptions!E$14)),-2)</f>
        <v>1698300</v>
      </c>
      <c r="I41" s="288">
        <f>ROUND(IF($A41="E",H41*(1+Assumptions!F$15),H41*(1+Assumptions!F$14)),-2)</f>
        <v>1732300</v>
      </c>
      <c r="J41" s="288">
        <f>ROUND(IF($A41="E",I41*(1+Assumptions!G$15),I41*(1+Assumptions!G$14)),-2)</f>
        <v>1766900</v>
      </c>
      <c r="K41" s="288">
        <f>ROUND(IF($A41="E",J41*(1+Assumptions!H$15),J41*(1+Assumptions!H$14)),-2)</f>
        <v>1802200</v>
      </c>
      <c r="L41" s="288">
        <f>ROUND(IF($A41="E",K41*(1+Assumptions!I$15),K41*(1+Assumptions!I$14)),-2)</f>
        <v>1847300</v>
      </c>
      <c r="M41" s="288">
        <f>ROUND(IF($A41="E",L41*(1+Assumptions!J$15),L41*(1+Assumptions!J$14)),-2)</f>
        <v>1893500</v>
      </c>
      <c r="N41" s="288">
        <f>ROUND(IF($A41="E",M41*(1+Assumptions!K$15),M41*(1+Assumptions!K$14)),-2)</f>
        <v>1940800</v>
      </c>
    </row>
    <row r="42" spans="2:14" x14ac:dyDescent="0.25">
      <c r="B42" s="16" t="s">
        <v>41</v>
      </c>
      <c r="C42" s="16" t="s">
        <v>153</v>
      </c>
      <c r="D42" s="16" t="s">
        <v>154</v>
      </c>
      <c r="E42" s="288">
        <v>0</v>
      </c>
      <c r="F42" s="288">
        <f>ROUND(IF($A42="E",E42*(1+Assumptions!C$15),E42*(1+Assumptions!C$14)),-2)</f>
        <v>0</v>
      </c>
      <c r="G42" s="288">
        <f>ROUND(IF($A42="E",F42*(1+Assumptions!D$15),F42*(1+Assumptions!D$14)),-2)</f>
        <v>0</v>
      </c>
      <c r="H42" s="288">
        <f>ROUND(IF($A42="E",G42*(1+Assumptions!E$15),G42*(1+Assumptions!E$14)),-2)</f>
        <v>0</v>
      </c>
      <c r="I42" s="288">
        <f>ROUND(IF($A42="E",H42*(1+Assumptions!F$15),H42*(1+Assumptions!F$14)),-2)</f>
        <v>0</v>
      </c>
      <c r="J42" s="288">
        <f>ROUND(IF($A42="E",I42*(1+Assumptions!G$15),I42*(1+Assumptions!G$14)),-2)</f>
        <v>0</v>
      </c>
      <c r="K42" s="288">
        <f>ROUND(IF($A42="E",J42*(1+Assumptions!H$15),J42*(1+Assumptions!H$14)),-2)</f>
        <v>0</v>
      </c>
      <c r="L42" s="288">
        <f>ROUND(IF($A42="E",K42*(1+Assumptions!I$15),K42*(1+Assumptions!I$14)),-2)</f>
        <v>0</v>
      </c>
      <c r="M42" s="288">
        <f>ROUND(IF($A42="E",L42*(1+Assumptions!J$15),L42*(1+Assumptions!J$14)),-2)</f>
        <v>0</v>
      </c>
      <c r="N42" s="288">
        <f>ROUND(IF($A42="E",M42*(1+Assumptions!K$15),M42*(1+Assumptions!K$14)),-2)</f>
        <v>0</v>
      </c>
    </row>
    <row r="43" spans="2:14" x14ac:dyDescent="0.25">
      <c r="B43" s="16" t="s">
        <v>41</v>
      </c>
      <c r="C43" s="16" t="s">
        <v>155</v>
      </c>
      <c r="D43" s="16" t="s">
        <v>156</v>
      </c>
      <c r="E43" s="288">
        <v>266300</v>
      </c>
      <c r="F43" s="288">
        <f>ROUND(IF($A43="E",E43*(1+Assumptions!C$15),E43*(1+Assumptions!C$14)),-2)</f>
        <v>270300</v>
      </c>
      <c r="G43" s="288">
        <f>ROUND(IF($A43="E",F43*(1+Assumptions!D$15),F43*(1+Assumptions!D$14)),-2)</f>
        <v>275700</v>
      </c>
      <c r="H43" s="288">
        <f>ROUND(IF($A43="E",G43*(1+Assumptions!E$15),G43*(1+Assumptions!E$14)),-2)</f>
        <v>281200</v>
      </c>
      <c r="I43" s="288">
        <f>ROUND(IF($A43="E",H43*(1+Assumptions!F$15),H43*(1+Assumptions!F$14)),-2)</f>
        <v>286800</v>
      </c>
      <c r="J43" s="288">
        <f>ROUND(IF($A43="E",I43*(1+Assumptions!G$15),I43*(1+Assumptions!G$14)),-2)</f>
        <v>292500</v>
      </c>
      <c r="K43" s="288">
        <f>ROUND(IF($A43="E",J43*(1+Assumptions!H$15),J43*(1+Assumptions!H$14)),-2)</f>
        <v>298400</v>
      </c>
      <c r="L43" s="288">
        <f>ROUND(IF($A43="E",K43*(1+Assumptions!I$15),K43*(1+Assumptions!I$14)),-2)</f>
        <v>305900</v>
      </c>
      <c r="M43" s="288">
        <f>ROUND(IF($A43="E",L43*(1+Assumptions!J$15),L43*(1+Assumptions!J$14)),-2)</f>
        <v>313500</v>
      </c>
      <c r="N43" s="288">
        <f>ROUND(IF($A43="E",M43*(1+Assumptions!K$15),M43*(1+Assumptions!K$14)),-2)</f>
        <v>321300</v>
      </c>
    </row>
    <row r="44" spans="2:14" x14ac:dyDescent="0.25">
      <c r="B44" s="16" t="s">
        <v>41</v>
      </c>
      <c r="C44" s="16" t="s">
        <v>157</v>
      </c>
      <c r="D44" s="16" t="s">
        <v>158</v>
      </c>
      <c r="E44" s="289"/>
      <c r="F44" s="289"/>
      <c r="G44" s="289"/>
      <c r="H44" s="289"/>
      <c r="I44" s="289"/>
      <c r="J44" s="289"/>
      <c r="K44" s="289"/>
      <c r="L44" s="289"/>
      <c r="M44" s="289"/>
      <c r="N44" s="289"/>
    </row>
    <row r="45" spans="2:14" x14ac:dyDescent="0.25">
      <c r="B45" s="16" t="s">
        <v>41</v>
      </c>
      <c r="C45" s="16" t="s">
        <v>159</v>
      </c>
      <c r="D45" s="16" t="s">
        <v>160</v>
      </c>
      <c r="E45" s="288">
        <v>27400</v>
      </c>
      <c r="F45" s="288">
        <f>ROUND(IF($A45="E",E45*(1+Assumptions!C$15),E45*(1+Assumptions!C$14)),-2)</f>
        <v>27800</v>
      </c>
      <c r="G45" s="288">
        <f>ROUND(IF($A45="E",F45*(1+Assumptions!D$15),F45*(1+Assumptions!D$14)),-2)</f>
        <v>28400</v>
      </c>
      <c r="H45" s="288">
        <f>ROUND(IF($A45="E",G45*(1+Assumptions!E$15),G45*(1+Assumptions!E$14)),-2)</f>
        <v>29000</v>
      </c>
      <c r="I45" s="288">
        <f>ROUND(IF($A45="E",H45*(1+Assumptions!F$15),H45*(1+Assumptions!F$14)),-2)</f>
        <v>29600</v>
      </c>
      <c r="J45" s="288">
        <f>ROUND(IF($A45="E",I45*(1+Assumptions!G$15),I45*(1+Assumptions!G$14)),-2)</f>
        <v>30200</v>
      </c>
      <c r="K45" s="288">
        <f>ROUND(IF($A45="E",J45*(1+Assumptions!H$15),J45*(1+Assumptions!H$14)),-2)</f>
        <v>30800</v>
      </c>
      <c r="L45" s="288">
        <f>ROUND(IF($A45="E",K45*(1+Assumptions!I$15),K45*(1+Assumptions!I$14)),-2)</f>
        <v>31600</v>
      </c>
      <c r="M45" s="288">
        <f>ROUND(IF($A45="E",L45*(1+Assumptions!J$15),L45*(1+Assumptions!J$14)),-2)</f>
        <v>32400</v>
      </c>
      <c r="N45" s="288">
        <f>ROUND(IF($A45="E",M45*(1+Assumptions!K$15),M45*(1+Assumptions!K$14)),-2)</f>
        <v>33200</v>
      </c>
    </row>
    <row r="46" spans="2:14" x14ac:dyDescent="0.25">
      <c r="B46" s="16" t="s">
        <v>41</v>
      </c>
      <c r="C46" s="16" t="s">
        <v>161</v>
      </c>
      <c r="D46" s="16" t="s">
        <v>162</v>
      </c>
      <c r="E46" s="288">
        <v>400</v>
      </c>
      <c r="F46" s="288">
        <f>ROUND(IF($A46="E",E46*(1+Assumptions!C$15),E46*(1+Assumptions!C$14)),-2)</f>
        <v>400</v>
      </c>
      <c r="G46" s="288">
        <f>ROUND(IF($A46="E",F46*(1+Assumptions!D$15),F46*(1+Assumptions!D$14)),-2)</f>
        <v>400</v>
      </c>
      <c r="H46" s="288">
        <f>ROUND(IF($A46="E",G46*(1+Assumptions!E$15),G46*(1+Assumptions!E$14)),-2)</f>
        <v>400</v>
      </c>
      <c r="I46" s="288">
        <f>ROUND(IF($A46="E",H46*(1+Assumptions!F$15),H46*(1+Assumptions!F$14)),-2)</f>
        <v>400</v>
      </c>
      <c r="J46" s="288">
        <f>ROUND(IF($A46="E",I46*(1+Assumptions!G$15),I46*(1+Assumptions!G$14)),-2)</f>
        <v>400</v>
      </c>
      <c r="K46" s="288">
        <f>ROUND(IF($A46="E",J46*(1+Assumptions!H$15),J46*(1+Assumptions!H$14)),-2)</f>
        <v>400</v>
      </c>
      <c r="L46" s="288">
        <f>ROUND(IF($A46="E",K46*(1+Assumptions!I$15),K46*(1+Assumptions!I$14)),-2)</f>
        <v>400</v>
      </c>
      <c r="M46" s="288">
        <f>ROUND(IF($A46="E",L46*(1+Assumptions!J$15),L46*(1+Assumptions!J$14)),-2)</f>
        <v>400</v>
      </c>
      <c r="N46" s="288">
        <f>ROUND(IF($A46="E",M46*(1+Assumptions!K$15),M46*(1+Assumptions!K$14)),-2)</f>
        <v>400</v>
      </c>
    </row>
    <row r="47" spans="2:14" x14ac:dyDescent="0.25">
      <c r="B47" s="16" t="s">
        <v>41</v>
      </c>
      <c r="C47" s="16" t="s">
        <v>163</v>
      </c>
      <c r="D47" s="16" t="s">
        <v>164</v>
      </c>
      <c r="E47" s="288">
        <v>0</v>
      </c>
      <c r="F47" s="288">
        <f>ROUND(IF($A47="E",E47*(1+Assumptions!C$15),E47*(1+Assumptions!C$14)),-2)</f>
        <v>0</v>
      </c>
      <c r="G47" s="288">
        <f>ROUND(IF($A47="E",F47*(1+Assumptions!D$15),F47*(1+Assumptions!D$14)),-2)</f>
        <v>0</v>
      </c>
      <c r="H47" s="288">
        <f>ROUND(IF($A47="E",G47*(1+Assumptions!E$15),G47*(1+Assumptions!E$14)),-2)</f>
        <v>0</v>
      </c>
      <c r="I47" s="288">
        <f>ROUND(IF($A47="E",H47*(1+Assumptions!F$15),H47*(1+Assumptions!F$14)),-2)</f>
        <v>0</v>
      </c>
      <c r="J47" s="288">
        <f>ROUND(IF($A47="E",I47*(1+Assumptions!G$15),I47*(1+Assumptions!G$14)),-2)</f>
        <v>0</v>
      </c>
      <c r="K47" s="288">
        <f>ROUND(IF($A47="E",J47*(1+Assumptions!H$15),J47*(1+Assumptions!H$14)),-2)</f>
        <v>0</v>
      </c>
      <c r="L47" s="288">
        <f>ROUND(IF($A47="E",K47*(1+Assumptions!I$15),K47*(1+Assumptions!I$14)),-2)</f>
        <v>0</v>
      </c>
      <c r="M47" s="288">
        <f>ROUND(IF($A47="E",L47*(1+Assumptions!J$15),L47*(1+Assumptions!J$14)),-2)</f>
        <v>0</v>
      </c>
      <c r="N47" s="288">
        <f>ROUND(IF($A47="E",M47*(1+Assumptions!K$15),M47*(1+Assumptions!K$14)),-2)</f>
        <v>0</v>
      </c>
    </row>
    <row r="48" spans="2:14" x14ac:dyDescent="0.25">
      <c r="B48" s="16" t="s">
        <v>41</v>
      </c>
      <c r="C48" s="16" t="s">
        <v>165</v>
      </c>
      <c r="D48" s="16" t="s">
        <v>166</v>
      </c>
      <c r="E48" s="288">
        <v>79800</v>
      </c>
      <c r="F48" s="288">
        <f>ROUND(IF($A48="E",E48*(1+Assumptions!C$15),E48*(1+Assumptions!C$14)),-2)</f>
        <v>81000</v>
      </c>
      <c r="G48" s="288">
        <f>ROUND(IF($A48="E",F48*(1+Assumptions!D$15),F48*(1+Assumptions!D$14)),-2)</f>
        <v>82600</v>
      </c>
      <c r="H48" s="288">
        <f>ROUND(IF($A48="E",G48*(1+Assumptions!E$15),G48*(1+Assumptions!E$14)),-2)</f>
        <v>84300</v>
      </c>
      <c r="I48" s="288">
        <f>ROUND(IF($A48="E",H48*(1+Assumptions!F$15),H48*(1+Assumptions!F$14)),-2)</f>
        <v>86000</v>
      </c>
      <c r="J48" s="288">
        <f>ROUND(IF($A48="E",I48*(1+Assumptions!G$15),I48*(1+Assumptions!G$14)),-2)</f>
        <v>87700</v>
      </c>
      <c r="K48" s="288">
        <f>ROUND(IF($A48="E",J48*(1+Assumptions!H$15),J48*(1+Assumptions!H$14)),-2)</f>
        <v>89500</v>
      </c>
      <c r="L48" s="288">
        <f>ROUND(IF($A48="E",K48*(1+Assumptions!I$15),K48*(1+Assumptions!I$14)),-2)</f>
        <v>91700</v>
      </c>
      <c r="M48" s="288">
        <f>ROUND(IF($A48="E",L48*(1+Assumptions!J$15),L48*(1+Assumptions!J$14)),-2)</f>
        <v>94000</v>
      </c>
      <c r="N48" s="288">
        <f>ROUND(IF($A48="E",M48*(1+Assumptions!K$15),M48*(1+Assumptions!K$14)),-2)</f>
        <v>96400</v>
      </c>
    </row>
    <row r="49" spans="2:14" x14ac:dyDescent="0.25">
      <c r="B49" s="16" t="s">
        <v>41</v>
      </c>
      <c r="C49" s="16" t="s">
        <v>167</v>
      </c>
      <c r="D49" s="16" t="s">
        <v>168</v>
      </c>
      <c r="E49" s="288">
        <v>18100</v>
      </c>
      <c r="F49" s="288">
        <f>ROUND(IF($A49="E",E49*(1+Assumptions!C$15),E49*(1+Assumptions!C$14)),-2)</f>
        <v>18400</v>
      </c>
      <c r="G49" s="288">
        <f>ROUND(IF($A49="E",F49*(1+Assumptions!D$15),F49*(1+Assumptions!D$14)),-2)</f>
        <v>18800</v>
      </c>
      <c r="H49" s="288">
        <f>ROUND(IF($A49="E",G49*(1+Assumptions!E$15),G49*(1+Assumptions!E$14)),-2)</f>
        <v>19200</v>
      </c>
      <c r="I49" s="288">
        <f>ROUND(IF($A49="E",H49*(1+Assumptions!F$15),H49*(1+Assumptions!F$14)),-2)</f>
        <v>19600</v>
      </c>
      <c r="J49" s="288">
        <f>ROUND(IF($A49="E",I49*(1+Assumptions!G$15),I49*(1+Assumptions!G$14)),-2)</f>
        <v>20000</v>
      </c>
      <c r="K49" s="288">
        <f>ROUND(IF($A49="E",J49*(1+Assumptions!H$15),J49*(1+Assumptions!H$14)),-2)</f>
        <v>20400</v>
      </c>
      <c r="L49" s="288">
        <f>ROUND(IF($A49="E",K49*(1+Assumptions!I$15),K49*(1+Assumptions!I$14)),-2)</f>
        <v>20900</v>
      </c>
      <c r="M49" s="288">
        <f>ROUND(IF($A49="E",L49*(1+Assumptions!J$15),L49*(1+Assumptions!J$14)),-2)</f>
        <v>21400</v>
      </c>
      <c r="N49" s="288">
        <f>ROUND(IF($A49="E",M49*(1+Assumptions!K$15),M49*(1+Assumptions!K$14)),-2)</f>
        <v>21900</v>
      </c>
    </row>
    <row r="50" spans="2:14" x14ac:dyDescent="0.25">
      <c r="B50" s="16" t="s">
        <v>41</v>
      </c>
      <c r="C50" s="16" t="s">
        <v>169</v>
      </c>
      <c r="D50" s="16" t="s">
        <v>170</v>
      </c>
      <c r="E50" s="288">
        <v>6500</v>
      </c>
      <c r="F50" s="288">
        <f>ROUND(IF($A50="E",E50*(1+Assumptions!C$15),E50*(1+Assumptions!C$14)),-2)</f>
        <v>6600</v>
      </c>
      <c r="G50" s="288">
        <f>ROUND(IF($A50="E",F50*(1+Assumptions!D$15),F50*(1+Assumptions!D$14)),-2)</f>
        <v>6700</v>
      </c>
      <c r="H50" s="288">
        <f>ROUND(IF($A50="E",G50*(1+Assumptions!E$15),G50*(1+Assumptions!E$14)),-2)</f>
        <v>6800</v>
      </c>
      <c r="I50" s="288">
        <f>ROUND(IF($A50="E",H50*(1+Assumptions!F$15),H50*(1+Assumptions!F$14)),-2)</f>
        <v>6900</v>
      </c>
      <c r="J50" s="288">
        <f>ROUND(IF($A50="E",I50*(1+Assumptions!G$15),I50*(1+Assumptions!G$14)),-2)</f>
        <v>7000</v>
      </c>
      <c r="K50" s="288">
        <f>ROUND(IF($A50="E",J50*(1+Assumptions!H$15),J50*(1+Assumptions!H$14)),-2)</f>
        <v>7100</v>
      </c>
      <c r="L50" s="288">
        <f>ROUND(IF($A50="E",K50*(1+Assumptions!I$15),K50*(1+Assumptions!I$14)),-2)</f>
        <v>7300</v>
      </c>
      <c r="M50" s="288">
        <f>ROUND(IF($A50="E",L50*(1+Assumptions!J$15),L50*(1+Assumptions!J$14)),-2)</f>
        <v>7500</v>
      </c>
      <c r="N50" s="288">
        <f>ROUND(IF($A50="E",M50*(1+Assumptions!K$15),M50*(1+Assumptions!K$14)),-2)</f>
        <v>7700</v>
      </c>
    </row>
    <row r="51" spans="2:14" x14ac:dyDescent="0.25">
      <c r="B51" s="16" t="s">
        <v>41</v>
      </c>
      <c r="C51" s="16" t="s">
        <v>171</v>
      </c>
      <c r="D51" s="16" t="s">
        <v>172</v>
      </c>
      <c r="E51" s="288">
        <v>19200</v>
      </c>
      <c r="F51" s="288">
        <f>ROUND(IF($A51="E",E51*(1+Assumptions!C$15),E51*(1+Assumptions!C$14)),-2)</f>
        <v>19500</v>
      </c>
      <c r="G51" s="288">
        <f>ROUND(IF($A51="E",F51*(1+Assumptions!D$15),F51*(1+Assumptions!D$14)),-2)</f>
        <v>19900</v>
      </c>
      <c r="H51" s="288">
        <f>ROUND(IF($A51="E",G51*(1+Assumptions!E$15),G51*(1+Assumptions!E$14)),-2)</f>
        <v>20300</v>
      </c>
      <c r="I51" s="288">
        <f>ROUND(IF($A51="E",H51*(1+Assumptions!F$15),H51*(1+Assumptions!F$14)),-2)</f>
        <v>20700</v>
      </c>
      <c r="J51" s="288">
        <f>ROUND(IF($A51="E",I51*(1+Assumptions!G$15),I51*(1+Assumptions!G$14)),-2)</f>
        <v>21100</v>
      </c>
      <c r="K51" s="288">
        <f>ROUND(IF($A51="E",J51*(1+Assumptions!H$15),J51*(1+Assumptions!H$14)),-2)</f>
        <v>21500</v>
      </c>
      <c r="L51" s="288">
        <f>ROUND(IF($A51="E",K51*(1+Assumptions!I$15),K51*(1+Assumptions!I$14)),-2)</f>
        <v>22000</v>
      </c>
      <c r="M51" s="288">
        <f>ROUND(IF($A51="E",L51*(1+Assumptions!J$15),L51*(1+Assumptions!J$14)),-2)</f>
        <v>22600</v>
      </c>
      <c r="N51" s="288">
        <f>ROUND(IF($A51="E",M51*(1+Assumptions!K$15),M51*(1+Assumptions!K$14)),-2)</f>
        <v>23200</v>
      </c>
    </row>
    <row r="52" spans="2:14" x14ac:dyDescent="0.25">
      <c r="B52" s="16" t="s">
        <v>41</v>
      </c>
      <c r="C52" s="16" t="s">
        <v>173</v>
      </c>
      <c r="D52" s="16" t="s">
        <v>174</v>
      </c>
      <c r="E52" s="288">
        <v>4300</v>
      </c>
      <c r="F52" s="288">
        <f>ROUND(IF($A52="E",E52*(1+Assumptions!C$15),E52*(1+Assumptions!C$14)),-2)</f>
        <v>4400</v>
      </c>
      <c r="G52" s="288">
        <f>ROUND(IF($A52="E",F52*(1+Assumptions!D$15),F52*(1+Assumptions!D$14)),-2)</f>
        <v>4500</v>
      </c>
      <c r="H52" s="288">
        <f>ROUND(IF($A52="E",G52*(1+Assumptions!E$15),G52*(1+Assumptions!E$14)),-2)</f>
        <v>4600</v>
      </c>
      <c r="I52" s="288">
        <f>ROUND(IF($A52="E",H52*(1+Assumptions!F$15),H52*(1+Assumptions!F$14)),-2)</f>
        <v>4700</v>
      </c>
      <c r="J52" s="288">
        <f>ROUND(IF($A52="E",I52*(1+Assumptions!G$15),I52*(1+Assumptions!G$14)),-2)</f>
        <v>4800</v>
      </c>
      <c r="K52" s="288">
        <f>ROUND(IF($A52="E",J52*(1+Assumptions!H$15),J52*(1+Assumptions!H$14)),-2)</f>
        <v>4900</v>
      </c>
      <c r="L52" s="288">
        <f>ROUND(IF($A52="E",K52*(1+Assumptions!I$15),K52*(1+Assumptions!I$14)),-2)</f>
        <v>5000</v>
      </c>
      <c r="M52" s="288">
        <f>ROUND(IF($A52="E",L52*(1+Assumptions!J$15),L52*(1+Assumptions!J$14)),-2)</f>
        <v>5100</v>
      </c>
      <c r="N52" s="288">
        <f>ROUND(IF($A52="E",M52*(1+Assumptions!K$15),M52*(1+Assumptions!K$14)),-2)</f>
        <v>5200</v>
      </c>
    </row>
    <row r="53" spans="2:14" x14ac:dyDescent="0.25">
      <c r="B53" s="16" t="s">
        <v>41</v>
      </c>
      <c r="C53" s="16" t="s">
        <v>175</v>
      </c>
      <c r="D53" s="16" t="s">
        <v>176</v>
      </c>
      <c r="E53" s="288">
        <v>9800</v>
      </c>
      <c r="F53" s="288">
        <f>ROUND(IF($A53="E",E53*(1+Assumptions!C$15),E53*(1+Assumptions!C$14)),-2)</f>
        <v>9900</v>
      </c>
      <c r="G53" s="288">
        <f>ROUND(IF($A53="E",F53*(1+Assumptions!D$15),F53*(1+Assumptions!D$14)),-2)</f>
        <v>10100</v>
      </c>
      <c r="H53" s="288">
        <f>ROUND(IF($A53="E",G53*(1+Assumptions!E$15),G53*(1+Assumptions!E$14)),-2)</f>
        <v>10300</v>
      </c>
      <c r="I53" s="288">
        <f>ROUND(IF($A53="E",H53*(1+Assumptions!F$15),H53*(1+Assumptions!F$14)),-2)</f>
        <v>10500</v>
      </c>
      <c r="J53" s="288">
        <f>ROUND(IF($A53="E",I53*(1+Assumptions!G$15),I53*(1+Assumptions!G$14)),-2)</f>
        <v>10700</v>
      </c>
      <c r="K53" s="288">
        <f>ROUND(IF($A53="E",J53*(1+Assumptions!H$15),J53*(1+Assumptions!H$14)),-2)</f>
        <v>10900</v>
      </c>
      <c r="L53" s="288">
        <f>ROUND(IF($A53="E",K53*(1+Assumptions!I$15),K53*(1+Assumptions!I$14)),-2)</f>
        <v>11200</v>
      </c>
      <c r="M53" s="288">
        <f>ROUND(IF($A53="E",L53*(1+Assumptions!J$15),L53*(1+Assumptions!J$14)),-2)</f>
        <v>11500</v>
      </c>
      <c r="N53" s="288">
        <f>ROUND(IF($A53="E",M53*(1+Assumptions!K$15),M53*(1+Assumptions!K$14)),-2)</f>
        <v>11800</v>
      </c>
    </row>
    <row r="54" spans="2:14" x14ac:dyDescent="0.25">
      <c r="B54" s="16" t="s">
        <v>41</v>
      </c>
      <c r="C54" s="16" t="s">
        <v>177</v>
      </c>
      <c r="D54" s="16" t="s">
        <v>178</v>
      </c>
      <c r="E54" s="288">
        <v>12800</v>
      </c>
      <c r="F54" s="288">
        <f>ROUND(IF($A54="E",E54*(1+Assumptions!C$15),E54*(1+Assumptions!C$14)),-2)</f>
        <v>13000</v>
      </c>
      <c r="G54" s="288">
        <f>ROUND(IF($A54="E",F54*(1+Assumptions!D$15),F54*(1+Assumptions!D$14)),-2)</f>
        <v>13300</v>
      </c>
      <c r="H54" s="288">
        <f>ROUND(IF($A54="E",G54*(1+Assumptions!E$15),G54*(1+Assumptions!E$14)),-2)</f>
        <v>13600</v>
      </c>
      <c r="I54" s="288">
        <f>ROUND(IF($A54="E",H54*(1+Assumptions!F$15),H54*(1+Assumptions!F$14)),-2)</f>
        <v>13900</v>
      </c>
      <c r="J54" s="288">
        <f>ROUND(IF($A54="E",I54*(1+Assumptions!G$15),I54*(1+Assumptions!G$14)),-2)</f>
        <v>14200</v>
      </c>
      <c r="K54" s="288">
        <f>ROUND(IF($A54="E",J54*(1+Assumptions!H$15),J54*(1+Assumptions!H$14)),-2)</f>
        <v>14500</v>
      </c>
      <c r="L54" s="288">
        <f>ROUND(IF($A54="E",K54*(1+Assumptions!I$15),K54*(1+Assumptions!I$14)),-2)</f>
        <v>14900</v>
      </c>
      <c r="M54" s="288">
        <f>ROUND(IF($A54="E",L54*(1+Assumptions!J$15),L54*(1+Assumptions!J$14)),-2)</f>
        <v>15300</v>
      </c>
      <c r="N54" s="288">
        <f>ROUND(IF($A54="E",M54*(1+Assumptions!K$15),M54*(1+Assumptions!K$14)),-2)</f>
        <v>15700</v>
      </c>
    </row>
    <row r="55" spans="2:14" x14ac:dyDescent="0.25">
      <c r="B55" s="16" t="s">
        <v>41</v>
      </c>
      <c r="C55" s="16" t="s">
        <v>179</v>
      </c>
      <c r="D55" s="16" t="s">
        <v>180</v>
      </c>
      <c r="E55" s="288">
        <v>12300</v>
      </c>
      <c r="F55" s="288">
        <f>ROUND(IF($A55="E",E55*(1+Assumptions!C$15),E55*(1+Assumptions!C$14)),-2)</f>
        <v>12500</v>
      </c>
      <c r="G55" s="288">
        <f>ROUND(IF($A55="E",F55*(1+Assumptions!D$15),F55*(1+Assumptions!D$14)),-2)</f>
        <v>12800</v>
      </c>
      <c r="H55" s="288">
        <f>ROUND(IF($A55="E",G55*(1+Assumptions!E$15),G55*(1+Assumptions!E$14)),-2)</f>
        <v>13100</v>
      </c>
      <c r="I55" s="288">
        <f>ROUND(IF($A55="E",H55*(1+Assumptions!F$15),H55*(1+Assumptions!F$14)),-2)</f>
        <v>13400</v>
      </c>
      <c r="J55" s="288">
        <f>ROUND(IF($A55="E",I55*(1+Assumptions!G$15),I55*(1+Assumptions!G$14)),-2)</f>
        <v>13700</v>
      </c>
      <c r="K55" s="288">
        <f>ROUND(IF($A55="E",J55*(1+Assumptions!H$15),J55*(1+Assumptions!H$14)),-2)</f>
        <v>14000</v>
      </c>
      <c r="L55" s="288">
        <f>ROUND(IF($A55="E",K55*(1+Assumptions!I$15),K55*(1+Assumptions!I$14)),-2)</f>
        <v>14400</v>
      </c>
      <c r="M55" s="288">
        <f>ROUND(IF($A55="E",L55*(1+Assumptions!J$15),L55*(1+Assumptions!J$14)),-2)</f>
        <v>14800</v>
      </c>
      <c r="N55" s="288">
        <f>ROUND(IF($A55="E",M55*(1+Assumptions!K$15),M55*(1+Assumptions!K$14)),-2)</f>
        <v>15200</v>
      </c>
    </row>
    <row r="56" spans="2:14" x14ac:dyDescent="0.25">
      <c r="B56" s="16" t="s">
        <v>41</v>
      </c>
      <c r="C56" s="16" t="s">
        <v>181</v>
      </c>
      <c r="D56" s="16" t="s">
        <v>93</v>
      </c>
      <c r="E56" s="288">
        <v>2200</v>
      </c>
      <c r="F56" s="288">
        <f>ROUND(IF($A56="E",E56*(1+Assumptions!C$15),E56*(1+Assumptions!C$14)),-2)</f>
        <v>2200</v>
      </c>
      <c r="G56" s="288">
        <f>ROUND(IF($A56="E",F56*(1+Assumptions!D$15),F56*(1+Assumptions!D$14)),-2)</f>
        <v>2200</v>
      </c>
      <c r="H56" s="288">
        <f>ROUND(IF($A56="E",G56*(1+Assumptions!E$15),G56*(1+Assumptions!E$14)),-2)</f>
        <v>2200</v>
      </c>
      <c r="I56" s="288">
        <f>ROUND(IF($A56="E",H56*(1+Assumptions!F$15),H56*(1+Assumptions!F$14)),-2)</f>
        <v>2200</v>
      </c>
      <c r="J56" s="288">
        <f>ROUND(IF($A56="E",I56*(1+Assumptions!G$15),I56*(1+Assumptions!G$14)),-2)</f>
        <v>2200</v>
      </c>
      <c r="K56" s="288">
        <f>ROUND(IF($A56="E",J56*(1+Assumptions!H$15),J56*(1+Assumptions!H$14)),-2)</f>
        <v>2200</v>
      </c>
      <c r="L56" s="288">
        <f>ROUND(IF($A56="E",K56*(1+Assumptions!I$15),K56*(1+Assumptions!I$14)),-2)</f>
        <v>2300</v>
      </c>
      <c r="M56" s="288">
        <f>ROUND(IF($A56="E",L56*(1+Assumptions!J$15),L56*(1+Assumptions!J$14)),-2)</f>
        <v>2400</v>
      </c>
      <c r="N56" s="288">
        <f>ROUND(IF($A56="E",M56*(1+Assumptions!K$15),M56*(1+Assumptions!K$14)),-2)</f>
        <v>2500</v>
      </c>
    </row>
    <row r="57" spans="2:14" x14ac:dyDescent="0.25">
      <c r="B57" s="16" t="s">
        <v>41</v>
      </c>
      <c r="C57" s="16" t="s">
        <v>182</v>
      </c>
      <c r="D57" s="16" t="s">
        <v>183</v>
      </c>
      <c r="E57" s="288">
        <v>20300</v>
      </c>
      <c r="F57" s="288">
        <f>ROUND(IF($A57="E",E57*(1+Assumptions!C$15),E57*(1+Assumptions!C$14)),-2)</f>
        <v>20600</v>
      </c>
      <c r="G57" s="288">
        <f>ROUND(IF($A57="E",F57*(1+Assumptions!D$15),F57*(1+Assumptions!D$14)),-2)</f>
        <v>21000</v>
      </c>
      <c r="H57" s="288">
        <f>ROUND(IF($A57="E",G57*(1+Assumptions!E$15),G57*(1+Assumptions!E$14)),-2)</f>
        <v>21400</v>
      </c>
      <c r="I57" s="288">
        <f>ROUND(IF($A57="E",H57*(1+Assumptions!F$15),H57*(1+Assumptions!F$14)),-2)</f>
        <v>21800</v>
      </c>
      <c r="J57" s="288">
        <f>ROUND(IF($A57="E",I57*(1+Assumptions!G$15),I57*(1+Assumptions!G$14)),-2)</f>
        <v>22200</v>
      </c>
      <c r="K57" s="288">
        <f>ROUND(IF($A57="E",J57*(1+Assumptions!H$15),J57*(1+Assumptions!H$14)),-2)</f>
        <v>22600</v>
      </c>
      <c r="L57" s="288">
        <f>ROUND(IF($A57="E",K57*(1+Assumptions!I$15),K57*(1+Assumptions!I$14)),-2)</f>
        <v>23200</v>
      </c>
      <c r="M57" s="288">
        <f>ROUND(IF($A57="E",L57*(1+Assumptions!J$15),L57*(1+Assumptions!J$14)),-2)</f>
        <v>23800</v>
      </c>
      <c r="N57" s="288">
        <f>ROUND(IF($A57="E",M57*(1+Assumptions!K$15),M57*(1+Assumptions!K$14)),-2)</f>
        <v>24400</v>
      </c>
    </row>
    <row r="58" spans="2:14" x14ac:dyDescent="0.25">
      <c r="B58" s="16" t="s">
        <v>41</v>
      </c>
      <c r="C58" s="16" t="s">
        <v>184</v>
      </c>
      <c r="D58" s="16" t="s">
        <v>185</v>
      </c>
      <c r="E58" s="288">
        <v>10600</v>
      </c>
      <c r="F58" s="288">
        <f>ROUND(IF($A58="E",E58*(1+Assumptions!C$15),E58*(1+Assumptions!C$14)),-2)</f>
        <v>10800</v>
      </c>
      <c r="G58" s="288">
        <f>ROUND(IF($A58="E",F58*(1+Assumptions!D$15),F58*(1+Assumptions!D$14)),-2)</f>
        <v>11000</v>
      </c>
      <c r="H58" s="288">
        <f>ROUND(IF($A58="E",G58*(1+Assumptions!E$15),G58*(1+Assumptions!E$14)),-2)</f>
        <v>11200</v>
      </c>
      <c r="I58" s="288">
        <f>ROUND(IF($A58="E",H58*(1+Assumptions!F$15),H58*(1+Assumptions!F$14)),-2)</f>
        <v>11400</v>
      </c>
      <c r="J58" s="288">
        <f>ROUND(IF($A58="E",I58*(1+Assumptions!G$15),I58*(1+Assumptions!G$14)),-2)</f>
        <v>11600</v>
      </c>
      <c r="K58" s="288">
        <f>ROUND(IF($A58="E",J58*(1+Assumptions!H$15),J58*(1+Assumptions!H$14)),-2)</f>
        <v>11800</v>
      </c>
      <c r="L58" s="288">
        <f>ROUND(IF($A58="E",K58*(1+Assumptions!I$15),K58*(1+Assumptions!I$14)),-2)</f>
        <v>12100</v>
      </c>
      <c r="M58" s="288">
        <f>ROUND(IF($A58="E",L58*(1+Assumptions!J$15),L58*(1+Assumptions!J$14)),-2)</f>
        <v>12400</v>
      </c>
      <c r="N58" s="288">
        <f>ROUND(IF($A58="E",M58*(1+Assumptions!K$15),M58*(1+Assumptions!K$14)),-2)</f>
        <v>12700</v>
      </c>
    </row>
    <row r="59" spans="2:14" x14ac:dyDescent="0.25">
      <c r="B59" s="16" t="s">
        <v>41</v>
      </c>
      <c r="C59" s="16" t="s">
        <v>186</v>
      </c>
      <c r="D59" s="16" t="s">
        <v>187</v>
      </c>
      <c r="E59" s="289"/>
      <c r="F59" s="289"/>
      <c r="G59" s="289"/>
      <c r="H59" s="289"/>
      <c r="I59" s="289"/>
      <c r="J59" s="289"/>
      <c r="K59" s="289"/>
      <c r="L59" s="289"/>
      <c r="M59" s="289"/>
      <c r="N59" s="289"/>
    </row>
    <row r="60" spans="2:14" x14ac:dyDescent="0.25">
      <c r="B60" s="16" t="s">
        <v>41</v>
      </c>
      <c r="C60" s="16" t="s">
        <v>188</v>
      </c>
      <c r="D60" s="16" t="s">
        <v>189</v>
      </c>
      <c r="E60" s="288">
        <v>0</v>
      </c>
      <c r="F60" s="288">
        <f>ROUND(IF($A60="E",E60*(1+Assumptions!C$15),E60*(1+Assumptions!C$14)),-2)</f>
        <v>0</v>
      </c>
      <c r="G60" s="288">
        <f>ROUND(IF($A60="E",F60*(1+Assumptions!D$15),F60*(1+Assumptions!D$14)),-2)</f>
        <v>0</v>
      </c>
      <c r="H60" s="288">
        <f>ROUND(IF($A60="E",G60*(1+Assumptions!E$15),G60*(1+Assumptions!E$14)),-2)</f>
        <v>0</v>
      </c>
      <c r="I60" s="288">
        <f>ROUND(IF($A60="E",H60*(1+Assumptions!F$15),H60*(1+Assumptions!F$14)),-2)</f>
        <v>0</v>
      </c>
      <c r="J60" s="288">
        <f>ROUND(IF($A60="E",I60*(1+Assumptions!G$15),I60*(1+Assumptions!G$14)),-2)</f>
        <v>0</v>
      </c>
      <c r="K60" s="288">
        <f>ROUND(IF($A60="E",J60*(1+Assumptions!H$15),J60*(1+Assumptions!H$14)),-2)</f>
        <v>0</v>
      </c>
      <c r="L60" s="288">
        <f>ROUND(IF($A60="E",K60*(1+Assumptions!I$15),K60*(1+Assumptions!I$14)),-2)</f>
        <v>0</v>
      </c>
      <c r="M60" s="288">
        <f>ROUND(IF($A60="E",L60*(1+Assumptions!J$15),L60*(1+Assumptions!J$14)),-2)</f>
        <v>0</v>
      </c>
      <c r="N60" s="288">
        <f>ROUND(IF($A60="E",M60*(1+Assumptions!K$15),M60*(1+Assumptions!K$14)),-2)</f>
        <v>0</v>
      </c>
    </row>
    <row r="61" spans="2:14" x14ac:dyDescent="0.25">
      <c r="B61" s="16" t="s">
        <v>41</v>
      </c>
      <c r="C61" s="16" t="s">
        <v>190</v>
      </c>
      <c r="D61" s="16" t="s">
        <v>191</v>
      </c>
      <c r="E61" s="288">
        <v>-6074200</v>
      </c>
      <c r="F61" s="288">
        <f>ROUND(IF($A61="E",E61*(1+Assumptions!C$15),E61*(1+Assumptions!C$14)),-2)</f>
        <v>-6165300</v>
      </c>
      <c r="G61" s="288">
        <f>ROUND(IF($A61="E",F61*(1+Assumptions!D$15),F61*(1+Assumptions!D$14)),-2)</f>
        <v>-6288600</v>
      </c>
      <c r="H61" s="288">
        <f>ROUND(IF($A61="E",G61*(1+Assumptions!E$15),G61*(1+Assumptions!E$14)),-2)</f>
        <v>-6414400</v>
      </c>
      <c r="I61" s="288">
        <f>ROUND(IF($A61="E",H61*(1+Assumptions!F$15),H61*(1+Assumptions!F$14)),-2)</f>
        <v>-6542700</v>
      </c>
      <c r="J61" s="288">
        <f>ROUND(IF($A61="E",I61*(1+Assumptions!G$15),I61*(1+Assumptions!G$14)),-2)</f>
        <v>-6673600</v>
      </c>
      <c r="K61" s="288">
        <f>ROUND(IF($A61="E",J61*(1+Assumptions!H$15),J61*(1+Assumptions!H$14)),-2)</f>
        <v>-6807100</v>
      </c>
      <c r="L61" s="288">
        <f>ROUND(IF($A61="E",K61*(1+Assumptions!I$15),K61*(1+Assumptions!I$14)),-2)</f>
        <v>-6977300</v>
      </c>
      <c r="M61" s="288">
        <f>ROUND(IF($A61="E",L61*(1+Assumptions!J$15),L61*(1+Assumptions!J$14)),-2)</f>
        <v>-7151700</v>
      </c>
      <c r="N61" s="288">
        <f>ROUND(IF($A61="E",M61*(1+Assumptions!K$15),M61*(1+Assumptions!K$14)),-2)</f>
        <v>-7330500</v>
      </c>
    </row>
    <row r="62" spans="2:14" x14ac:dyDescent="0.25">
      <c r="B62" s="16" t="s">
        <v>43</v>
      </c>
      <c r="C62" s="16" t="s">
        <v>192</v>
      </c>
      <c r="D62" s="16" t="s">
        <v>193</v>
      </c>
      <c r="E62" s="288">
        <v>203100</v>
      </c>
      <c r="F62" s="288">
        <f>ROUND(IF($A62="E",E62*(1+Assumptions!C$15),E62*(1+Assumptions!C$14)),-2)</f>
        <v>206100</v>
      </c>
      <c r="G62" s="288">
        <f>ROUND(IF($A62="E",F62*(1+Assumptions!D$15),F62*(1+Assumptions!D$14)),-2)</f>
        <v>210200</v>
      </c>
      <c r="H62" s="288">
        <f>ROUND(IF($A62="E",G62*(1+Assumptions!E$15),G62*(1+Assumptions!E$14)),-2)</f>
        <v>214400</v>
      </c>
      <c r="I62" s="288">
        <f>ROUND(IF($A62="E",H62*(1+Assumptions!F$15),H62*(1+Assumptions!F$14)),-2)</f>
        <v>218700</v>
      </c>
      <c r="J62" s="288">
        <f>ROUND(IF($A62="E",I62*(1+Assumptions!G$15),I62*(1+Assumptions!G$14)),-2)</f>
        <v>223100</v>
      </c>
      <c r="K62" s="288">
        <f>ROUND(IF($A62="E",J62*(1+Assumptions!H$15),J62*(1+Assumptions!H$14)),-2)</f>
        <v>227600</v>
      </c>
      <c r="L62" s="288">
        <f>ROUND(IF($A62="E",K62*(1+Assumptions!I$15),K62*(1+Assumptions!I$14)),-2)</f>
        <v>233300</v>
      </c>
      <c r="M62" s="288">
        <f>ROUND(IF($A62="E",L62*(1+Assumptions!J$15),L62*(1+Assumptions!J$14)),-2)</f>
        <v>239100</v>
      </c>
      <c r="N62" s="288">
        <f>ROUND(IF($A62="E",M62*(1+Assumptions!K$15),M62*(1+Assumptions!K$14)),-2)</f>
        <v>245100</v>
      </c>
    </row>
    <row r="63" spans="2:14" x14ac:dyDescent="0.25">
      <c r="B63" s="16" t="s">
        <v>43</v>
      </c>
      <c r="C63" s="16" t="s">
        <v>194</v>
      </c>
      <c r="D63" s="16" t="s">
        <v>195</v>
      </c>
      <c r="E63" s="288">
        <v>-899000</v>
      </c>
      <c r="F63" s="288">
        <f>ROUND(IF($A63="E",E63*(1+Assumptions!C$15),E63*(1+Assumptions!C$14)),-2)</f>
        <v>-912500</v>
      </c>
      <c r="G63" s="288">
        <f>ROUND(IF($A63="E",F63*(1+Assumptions!D$15),F63*(1+Assumptions!D$14)),-2)</f>
        <v>-930800</v>
      </c>
      <c r="H63" s="288">
        <f>ROUND(IF($A63="E",G63*(1+Assumptions!E$15),G63*(1+Assumptions!E$14)),-2)</f>
        <v>-949400</v>
      </c>
      <c r="I63" s="288">
        <f>ROUND(IF($A63="E",H63*(1+Assumptions!F$15),H63*(1+Assumptions!F$14)),-2)</f>
        <v>-968400</v>
      </c>
      <c r="J63" s="288">
        <f>ROUND(IF($A63="E",I63*(1+Assumptions!G$15),I63*(1+Assumptions!G$14)),-2)</f>
        <v>-987800</v>
      </c>
      <c r="K63" s="288">
        <f>ROUND(IF($A63="E",J63*(1+Assumptions!H$15),J63*(1+Assumptions!H$14)),-2)</f>
        <v>-1007600</v>
      </c>
      <c r="L63" s="288">
        <f>ROUND(IF($A63="E",K63*(1+Assumptions!I$15),K63*(1+Assumptions!I$14)),-2)</f>
        <v>-1032800</v>
      </c>
      <c r="M63" s="288">
        <f>ROUND(IF($A63="E",L63*(1+Assumptions!J$15),L63*(1+Assumptions!J$14)),-2)</f>
        <v>-1058600</v>
      </c>
      <c r="N63" s="288">
        <f>ROUND(IF($A63="E",M63*(1+Assumptions!K$15),M63*(1+Assumptions!K$14)),-2)</f>
        <v>-1085100</v>
      </c>
    </row>
    <row r="64" spans="2:14" ht="12.75" customHeight="1" x14ac:dyDescent="0.25">
      <c r="E64" s="288"/>
      <c r="F64" s="288"/>
      <c r="G64" s="288"/>
      <c r="H64" s="288"/>
      <c r="I64" s="288"/>
      <c r="J64" s="288"/>
      <c r="K64" s="288"/>
      <c r="L64" s="288"/>
      <c r="M64" s="288"/>
      <c r="N64" s="288"/>
    </row>
    <row r="65" spans="2:14" ht="12.75" customHeight="1" x14ac:dyDescent="0.25">
      <c r="D65" s="19" t="s">
        <v>3234</v>
      </c>
      <c r="E65" s="291">
        <f>SUM(E9:E64)</f>
        <v>0</v>
      </c>
      <c r="F65" s="291">
        <f t="shared" ref="F65:N65" si="0">SUM(F9:F64)</f>
        <v>3500</v>
      </c>
      <c r="G65" s="291">
        <f t="shared" si="0"/>
        <v>3300</v>
      </c>
      <c r="H65" s="291">
        <f t="shared" si="0"/>
        <v>3400</v>
      </c>
      <c r="I65" s="291">
        <f t="shared" si="0"/>
        <v>3300</v>
      </c>
      <c r="J65" s="291">
        <f t="shared" si="0"/>
        <v>2800</v>
      </c>
      <c r="K65" s="291">
        <f t="shared" si="0"/>
        <v>2600</v>
      </c>
      <c r="L65" s="291">
        <f t="shared" si="0"/>
        <v>-1100</v>
      </c>
      <c r="M65" s="291">
        <f t="shared" si="0"/>
        <v>-5100</v>
      </c>
      <c r="N65" s="291">
        <f t="shared" si="0"/>
        <v>-9200</v>
      </c>
    </row>
    <row r="66" spans="2:14" ht="12.75" customHeight="1" x14ac:dyDescent="0.25">
      <c r="E66" s="288"/>
      <c r="F66" s="288"/>
      <c r="G66" s="288"/>
      <c r="H66" s="288"/>
      <c r="I66" s="288"/>
      <c r="J66" s="288"/>
      <c r="K66" s="288"/>
      <c r="L66" s="288"/>
      <c r="M66" s="288"/>
      <c r="N66" s="288"/>
    </row>
    <row r="67" spans="2:14" x14ac:dyDescent="0.25">
      <c r="C67" s="19" t="s">
        <v>197</v>
      </c>
      <c r="E67" s="288"/>
      <c r="F67" s="288"/>
      <c r="G67" s="288"/>
      <c r="H67" s="288"/>
      <c r="I67" s="288"/>
      <c r="J67" s="288"/>
      <c r="K67" s="288"/>
      <c r="L67" s="288"/>
      <c r="M67" s="288"/>
      <c r="N67" s="288"/>
    </row>
    <row r="68" spans="2:14" ht="12.75" customHeight="1" x14ac:dyDescent="0.25">
      <c r="E68" s="288"/>
      <c r="F68" s="288"/>
      <c r="G68" s="288"/>
      <c r="H68" s="288"/>
      <c r="I68" s="288"/>
      <c r="J68" s="288"/>
      <c r="K68" s="288"/>
      <c r="L68" s="288"/>
      <c r="M68" s="288"/>
      <c r="N68" s="288"/>
    </row>
    <row r="69" spans="2:14" x14ac:dyDescent="0.25">
      <c r="C69" s="16" t="s">
        <v>87</v>
      </c>
      <c r="E69" s="288"/>
      <c r="F69" s="288"/>
      <c r="G69" s="288"/>
      <c r="H69" s="288"/>
      <c r="I69" s="288"/>
      <c r="J69" s="288"/>
      <c r="K69" s="288"/>
      <c r="L69" s="288"/>
      <c r="M69" s="288"/>
      <c r="N69" s="288"/>
    </row>
    <row r="70" spans="2:14" x14ac:dyDescent="0.25">
      <c r="B70" s="16" t="s">
        <v>41</v>
      </c>
      <c r="C70" s="16" t="s">
        <v>198</v>
      </c>
      <c r="D70" s="16" t="s">
        <v>199</v>
      </c>
      <c r="E70" s="288"/>
      <c r="F70" s="288"/>
      <c r="G70" s="288"/>
      <c r="H70" s="288"/>
      <c r="I70" s="288"/>
      <c r="J70" s="288"/>
      <c r="K70" s="288"/>
      <c r="L70" s="288"/>
      <c r="M70" s="288"/>
      <c r="N70" s="288"/>
    </row>
    <row r="71" spans="2:14" x14ac:dyDescent="0.25">
      <c r="B71" s="16" t="s">
        <v>41</v>
      </c>
      <c r="C71" s="16" t="s">
        <v>200</v>
      </c>
      <c r="D71" s="16" t="s">
        <v>201</v>
      </c>
      <c r="E71" s="288">
        <v>640300</v>
      </c>
      <c r="F71" s="288">
        <f>ROUND(IF($A71="E",E71*(1+Assumptions!C$15),E71*(1+Assumptions!C$14)),-2)</f>
        <v>649900</v>
      </c>
      <c r="G71" s="288">
        <f>ROUND(IF($A71="E",F71*(1+Assumptions!D$15),F71*(1+Assumptions!D$14)),-2)</f>
        <v>662900</v>
      </c>
      <c r="H71" s="288">
        <f>ROUND(IF($A71="E",G71*(1+Assumptions!E$15),G71*(1+Assumptions!E$14)),-2)</f>
        <v>676200</v>
      </c>
      <c r="I71" s="288">
        <f>ROUND(IF($A71="E",H71*(1+Assumptions!F$15),H71*(1+Assumptions!F$14)),-2)</f>
        <v>689700</v>
      </c>
      <c r="J71" s="288">
        <f>ROUND(IF($A71="E",I71*(1+Assumptions!G$15),I71*(1+Assumptions!G$14)),-2)</f>
        <v>703500</v>
      </c>
      <c r="K71" s="288">
        <f>ROUND(IF($A71="E",J71*(1+Assumptions!H$15),J71*(1+Assumptions!H$14)),-2)</f>
        <v>717600</v>
      </c>
      <c r="L71" s="288">
        <f>ROUND(IF($A71="E",K71*(1+Assumptions!I$15),K71*(1+Assumptions!I$14)),-2)</f>
        <v>735500</v>
      </c>
      <c r="M71" s="288">
        <f>ROUND(IF($A71="E",L71*(1+Assumptions!J$15),L71*(1+Assumptions!J$14)),-2)</f>
        <v>753900</v>
      </c>
      <c r="N71" s="288">
        <f>ROUND(IF($A71="E",M71*(1+Assumptions!K$15),M71*(1+Assumptions!K$14)),-2)</f>
        <v>772700</v>
      </c>
    </row>
    <row r="72" spans="2:14" x14ac:dyDescent="0.25">
      <c r="B72" s="16" t="s">
        <v>41</v>
      </c>
      <c r="C72" s="16" t="s">
        <v>202</v>
      </c>
      <c r="D72" s="16" t="s">
        <v>203</v>
      </c>
      <c r="E72" s="288">
        <v>4100</v>
      </c>
      <c r="F72" s="288">
        <f>ROUND(IF($A72="E",E72*(1+Assumptions!C$15),E72*(1+Assumptions!C$14)),-2)</f>
        <v>4200</v>
      </c>
      <c r="G72" s="288">
        <f>ROUND(IF($A72="E",F72*(1+Assumptions!D$15),F72*(1+Assumptions!D$14)),-2)</f>
        <v>4300</v>
      </c>
      <c r="H72" s="288">
        <f>ROUND(IF($A72="E",G72*(1+Assumptions!E$15),G72*(1+Assumptions!E$14)),-2)</f>
        <v>4400</v>
      </c>
      <c r="I72" s="288">
        <f>ROUND(IF($A72="E",H72*(1+Assumptions!F$15),H72*(1+Assumptions!F$14)),-2)</f>
        <v>4500</v>
      </c>
      <c r="J72" s="288">
        <f>ROUND(IF($A72="E",I72*(1+Assumptions!G$15),I72*(1+Assumptions!G$14)),-2)</f>
        <v>4600</v>
      </c>
      <c r="K72" s="288">
        <f>ROUND(IF($A72="E",J72*(1+Assumptions!H$15),J72*(1+Assumptions!H$14)),-2)</f>
        <v>4700</v>
      </c>
      <c r="L72" s="288">
        <f>ROUND(IF($A72="E",K72*(1+Assumptions!I$15),K72*(1+Assumptions!I$14)),-2)</f>
        <v>4800</v>
      </c>
      <c r="M72" s="288">
        <f>ROUND(IF($A72="E",L72*(1+Assumptions!J$15),L72*(1+Assumptions!J$14)),-2)</f>
        <v>4900</v>
      </c>
      <c r="N72" s="288">
        <f>ROUND(IF($A72="E",M72*(1+Assumptions!K$15),M72*(1+Assumptions!K$14)),-2)</f>
        <v>5000</v>
      </c>
    </row>
    <row r="73" spans="2:14" x14ac:dyDescent="0.25">
      <c r="B73" s="16" t="s">
        <v>45</v>
      </c>
      <c r="C73" s="16" t="s">
        <v>204</v>
      </c>
      <c r="D73" s="16" t="s">
        <v>97</v>
      </c>
      <c r="E73" s="288">
        <v>18700</v>
      </c>
      <c r="F73" s="288">
        <f>ROUND(IF($A73="E",E73*(1+Assumptions!C$15),E73*(1+Assumptions!C$14)),-2)</f>
        <v>19000</v>
      </c>
      <c r="G73" s="288">
        <f>ROUND(IF($A73="E",F73*(1+Assumptions!D$15),F73*(1+Assumptions!D$14)),-2)</f>
        <v>19400</v>
      </c>
      <c r="H73" s="288">
        <f>ROUND(IF($A73="E",G73*(1+Assumptions!E$15),G73*(1+Assumptions!E$14)),-2)</f>
        <v>19800</v>
      </c>
      <c r="I73" s="288">
        <f>ROUND(IF($A73="E",H73*(1+Assumptions!F$15),H73*(1+Assumptions!F$14)),-2)</f>
        <v>20200</v>
      </c>
      <c r="J73" s="288">
        <f>ROUND(IF($A73="E",I73*(1+Assumptions!G$15),I73*(1+Assumptions!G$14)),-2)</f>
        <v>20600</v>
      </c>
      <c r="K73" s="288">
        <f>ROUND(IF($A73="E",J73*(1+Assumptions!H$15),J73*(1+Assumptions!H$14)),-2)</f>
        <v>21000</v>
      </c>
      <c r="L73" s="288">
        <f>ROUND(IF($A73="E",K73*(1+Assumptions!I$15),K73*(1+Assumptions!I$14)),-2)</f>
        <v>21500</v>
      </c>
      <c r="M73" s="288">
        <f>ROUND(IF($A73="E",L73*(1+Assumptions!J$15),L73*(1+Assumptions!J$14)),-2)</f>
        <v>22000</v>
      </c>
      <c r="N73" s="288">
        <f>ROUND(IF($A73="E",M73*(1+Assumptions!K$15),M73*(1+Assumptions!K$14)),-2)</f>
        <v>22600</v>
      </c>
    </row>
    <row r="74" spans="2:14" x14ac:dyDescent="0.25">
      <c r="B74" s="16" t="s">
        <v>45</v>
      </c>
      <c r="C74" s="16" t="s">
        <v>205</v>
      </c>
      <c r="D74" s="16" t="s">
        <v>206</v>
      </c>
      <c r="E74" s="289"/>
      <c r="F74" s="289"/>
      <c r="G74" s="289"/>
      <c r="H74" s="289"/>
      <c r="I74" s="289"/>
      <c r="J74" s="289"/>
      <c r="K74" s="289"/>
      <c r="L74" s="289"/>
      <c r="M74" s="289"/>
      <c r="N74" s="289"/>
    </row>
    <row r="75" spans="2:14" x14ac:dyDescent="0.25">
      <c r="B75" s="16" t="s">
        <v>45</v>
      </c>
      <c r="C75" s="16" t="s">
        <v>207</v>
      </c>
      <c r="D75" s="16" t="s">
        <v>208</v>
      </c>
      <c r="E75" s="288">
        <v>5000</v>
      </c>
      <c r="F75" s="288">
        <f>ROUND(IF($A75="E",E75*(1+Assumptions!C$15),E75*(1+Assumptions!C$14)),-2)</f>
        <v>5100</v>
      </c>
      <c r="G75" s="288">
        <f>ROUND(IF($A75="E",F75*(1+Assumptions!D$15),F75*(1+Assumptions!D$14)),-2)</f>
        <v>5200</v>
      </c>
      <c r="H75" s="288">
        <f>ROUND(IF($A75="E",G75*(1+Assumptions!E$15),G75*(1+Assumptions!E$14)),-2)</f>
        <v>5300</v>
      </c>
      <c r="I75" s="288">
        <f>ROUND(IF($A75="E",H75*(1+Assumptions!F$15),H75*(1+Assumptions!F$14)),-2)</f>
        <v>5400</v>
      </c>
      <c r="J75" s="288">
        <f>ROUND(IF($A75="E",I75*(1+Assumptions!G$15),I75*(1+Assumptions!G$14)),-2)</f>
        <v>5500</v>
      </c>
      <c r="K75" s="288">
        <f>ROUND(IF($A75="E",J75*(1+Assumptions!H$15),J75*(1+Assumptions!H$14)),-2)</f>
        <v>5600</v>
      </c>
      <c r="L75" s="288">
        <f>ROUND(IF($A75="E",K75*(1+Assumptions!I$15),K75*(1+Assumptions!I$14)),-2)</f>
        <v>5700</v>
      </c>
      <c r="M75" s="288">
        <f>ROUND(IF($A75="E",L75*(1+Assumptions!J$15),L75*(1+Assumptions!J$14)),-2)</f>
        <v>5800</v>
      </c>
      <c r="N75" s="288">
        <f>ROUND(IF($A75="E",M75*(1+Assumptions!K$15),M75*(1+Assumptions!K$14)),-2)</f>
        <v>5900</v>
      </c>
    </row>
    <row r="76" spans="2:14" x14ac:dyDescent="0.25">
      <c r="B76" s="16" t="s">
        <v>45</v>
      </c>
      <c r="C76" s="16" t="s">
        <v>209</v>
      </c>
      <c r="D76" s="16" t="s">
        <v>210</v>
      </c>
      <c r="E76" s="288">
        <v>2500</v>
      </c>
      <c r="F76" s="288">
        <f>ROUND(IF($A76="E",E76*(1+Assumptions!C$15),E76*(1+Assumptions!C$14)),-2)</f>
        <v>2500</v>
      </c>
      <c r="G76" s="288">
        <f>ROUND(IF($A76="E",F76*(1+Assumptions!D$15),F76*(1+Assumptions!D$14)),-2)</f>
        <v>2600</v>
      </c>
      <c r="H76" s="288">
        <f>ROUND(IF($A76="E",G76*(1+Assumptions!E$15),G76*(1+Assumptions!E$14)),-2)</f>
        <v>2700</v>
      </c>
      <c r="I76" s="288">
        <f>ROUND(IF($A76="E",H76*(1+Assumptions!F$15),H76*(1+Assumptions!F$14)),-2)</f>
        <v>2800</v>
      </c>
      <c r="J76" s="288">
        <f>ROUND(IF($A76="E",I76*(1+Assumptions!G$15),I76*(1+Assumptions!G$14)),-2)</f>
        <v>2900</v>
      </c>
      <c r="K76" s="288">
        <f>ROUND(IF($A76="E",J76*(1+Assumptions!H$15),J76*(1+Assumptions!H$14)),-2)</f>
        <v>3000</v>
      </c>
      <c r="L76" s="288">
        <f>ROUND(IF($A76="E",K76*(1+Assumptions!I$15),K76*(1+Assumptions!I$14)),-2)</f>
        <v>3100</v>
      </c>
      <c r="M76" s="288">
        <f>ROUND(IF($A76="E",L76*(1+Assumptions!J$15),L76*(1+Assumptions!J$14)),-2)</f>
        <v>3200</v>
      </c>
      <c r="N76" s="288">
        <f>ROUND(IF($A76="E",M76*(1+Assumptions!K$15),M76*(1+Assumptions!K$14)),-2)</f>
        <v>3300</v>
      </c>
    </row>
    <row r="77" spans="2:14" x14ac:dyDescent="0.25">
      <c r="B77" s="16" t="s">
        <v>45</v>
      </c>
      <c r="C77" s="16" t="s">
        <v>211</v>
      </c>
      <c r="D77" s="16" t="s">
        <v>212</v>
      </c>
      <c r="E77" s="288">
        <v>7200</v>
      </c>
      <c r="F77" s="288">
        <f>ROUND(IF($A77="E",E77*(1+Assumptions!C$15),E77*(1+Assumptions!C$14)),-2)</f>
        <v>7300</v>
      </c>
      <c r="G77" s="288">
        <f>ROUND(IF($A77="E",F77*(1+Assumptions!D$15),F77*(1+Assumptions!D$14)),-2)</f>
        <v>7400</v>
      </c>
      <c r="H77" s="288">
        <f>ROUND(IF($A77="E",G77*(1+Assumptions!E$15),G77*(1+Assumptions!E$14)),-2)</f>
        <v>7500</v>
      </c>
      <c r="I77" s="288">
        <f>ROUND(IF($A77="E",H77*(1+Assumptions!F$15),H77*(1+Assumptions!F$14)),-2)</f>
        <v>7700</v>
      </c>
      <c r="J77" s="288">
        <f>ROUND(IF($A77="E",I77*(1+Assumptions!G$15),I77*(1+Assumptions!G$14)),-2)</f>
        <v>7900</v>
      </c>
      <c r="K77" s="288">
        <f>ROUND(IF($A77="E",J77*(1+Assumptions!H$15),J77*(1+Assumptions!H$14)),-2)</f>
        <v>8100</v>
      </c>
      <c r="L77" s="288">
        <f>ROUND(IF($A77="E",K77*(1+Assumptions!I$15),K77*(1+Assumptions!I$14)),-2)</f>
        <v>8300</v>
      </c>
      <c r="M77" s="288">
        <f>ROUND(IF($A77="E",L77*(1+Assumptions!J$15),L77*(1+Assumptions!J$14)),-2)</f>
        <v>8500</v>
      </c>
      <c r="N77" s="288">
        <f>ROUND(IF($A77="E",M77*(1+Assumptions!K$15),M77*(1+Assumptions!K$14)),-2)</f>
        <v>8700</v>
      </c>
    </row>
    <row r="78" spans="2:14" x14ac:dyDescent="0.25">
      <c r="C78" s="16" t="s">
        <v>213</v>
      </c>
      <c r="D78" s="16" t="s">
        <v>214</v>
      </c>
      <c r="E78" s="289"/>
      <c r="F78" s="289"/>
      <c r="G78" s="289"/>
      <c r="H78" s="289"/>
      <c r="I78" s="289"/>
      <c r="J78" s="289"/>
      <c r="K78" s="289"/>
      <c r="L78" s="289"/>
      <c r="M78" s="289"/>
      <c r="N78" s="289"/>
    </row>
    <row r="79" spans="2:14" x14ac:dyDescent="0.25">
      <c r="B79" s="16" t="s">
        <v>45</v>
      </c>
      <c r="C79" s="16" t="s">
        <v>215</v>
      </c>
      <c r="D79" s="16" t="s">
        <v>93</v>
      </c>
      <c r="E79" s="288">
        <v>3600</v>
      </c>
      <c r="F79" s="288">
        <f>ROUND(IF($A79="E",E79*(1+Assumptions!C$15),E79*(1+Assumptions!C$14)),-2)</f>
        <v>3700</v>
      </c>
      <c r="G79" s="288">
        <f>ROUND(IF($A79="E",F79*(1+Assumptions!D$15),F79*(1+Assumptions!D$14)),-2)</f>
        <v>3800</v>
      </c>
      <c r="H79" s="288">
        <f>ROUND(IF($A79="E",G79*(1+Assumptions!E$15),G79*(1+Assumptions!E$14)),-2)</f>
        <v>3900</v>
      </c>
      <c r="I79" s="288">
        <f>ROUND(IF($A79="E",H79*(1+Assumptions!F$15),H79*(1+Assumptions!F$14)),-2)</f>
        <v>4000</v>
      </c>
      <c r="J79" s="288">
        <f>ROUND(IF($A79="E",I79*(1+Assumptions!G$15),I79*(1+Assumptions!G$14)),-2)</f>
        <v>4100</v>
      </c>
      <c r="K79" s="288">
        <f>ROUND(IF($A79="E",J79*(1+Assumptions!H$15),J79*(1+Assumptions!H$14)),-2)</f>
        <v>4200</v>
      </c>
      <c r="L79" s="288">
        <f>ROUND(IF($A79="E",K79*(1+Assumptions!I$15),K79*(1+Assumptions!I$14)),-2)</f>
        <v>4300</v>
      </c>
      <c r="M79" s="288">
        <f>ROUND(IF($A79="E",L79*(1+Assumptions!J$15),L79*(1+Assumptions!J$14)),-2)</f>
        <v>4400</v>
      </c>
      <c r="N79" s="288">
        <f>ROUND(IF($A79="E",M79*(1+Assumptions!K$15),M79*(1+Assumptions!K$14)),-2)</f>
        <v>4500</v>
      </c>
    </row>
    <row r="80" spans="2:14" x14ac:dyDescent="0.25">
      <c r="B80" s="16" t="s">
        <v>45</v>
      </c>
      <c r="C80" s="16" t="s">
        <v>216</v>
      </c>
      <c r="D80" s="16" t="s">
        <v>217</v>
      </c>
      <c r="E80" s="288">
        <v>1500</v>
      </c>
      <c r="F80" s="288">
        <f>ROUND(IF($A80="E",E80*(1+Assumptions!C$15),E80*(1+Assumptions!C$14)),-2)</f>
        <v>1500</v>
      </c>
      <c r="G80" s="288">
        <f>ROUND(IF($A80="E",F80*(1+Assumptions!D$15),F80*(1+Assumptions!D$14)),-2)</f>
        <v>1500</v>
      </c>
      <c r="H80" s="288">
        <f>ROUND(IF($A80="E",G80*(1+Assumptions!E$15),G80*(1+Assumptions!E$14)),-2)</f>
        <v>1500</v>
      </c>
      <c r="I80" s="288">
        <f>ROUND(IF($A80="E",H80*(1+Assumptions!F$15),H80*(1+Assumptions!F$14)),-2)</f>
        <v>1500</v>
      </c>
      <c r="J80" s="288">
        <f>ROUND(IF($A80="E",I80*(1+Assumptions!G$15),I80*(1+Assumptions!G$14)),-2)</f>
        <v>1500</v>
      </c>
      <c r="K80" s="288">
        <f>ROUND(IF($A80="E",J80*(1+Assumptions!H$15),J80*(1+Assumptions!H$14)),-2)</f>
        <v>1500</v>
      </c>
      <c r="L80" s="288">
        <f>ROUND(IF($A80="E",K80*(1+Assumptions!I$15),K80*(1+Assumptions!I$14)),-2)</f>
        <v>1500</v>
      </c>
      <c r="M80" s="288">
        <f>ROUND(IF($A80="E",L80*(1+Assumptions!J$15),L80*(1+Assumptions!J$14)),-2)</f>
        <v>1500</v>
      </c>
      <c r="N80" s="288">
        <f>ROUND(IF($A80="E",M80*(1+Assumptions!K$15),M80*(1+Assumptions!K$14)),-2)</f>
        <v>1500</v>
      </c>
    </row>
    <row r="81" spans="2:14" x14ac:dyDescent="0.25">
      <c r="B81" s="16" t="s">
        <v>45</v>
      </c>
      <c r="C81" s="16" t="s">
        <v>218</v>
      </c>
      <c r="D81" s="16" t="s">
        <v>219</v>
      </c>
      <c r="E81" s="288">
        <v>3100</v>
      </c>
      <c r="F81" s="288">
        <f>ROUND(IF($A81="E",E81*(1+Assumptions!C$15),E81*(1+Assumptions!C$14)),-2)</f>
        <v>3100</v>
      </c>
      <c r="G81" s="288">
        <f>ROUND(IF($A81="E",F81*(1+Assumptions!D$15),F81*(1+Assumptions!D$14)),-2)</f>
        <v>3200</v>
      </c>
      <c r="H81" s="288">
        <f>ROUND(IF($A81="E",G81*(1+Assumptions!E$15),G81*(1+Assumptions!E$14)),-2)</f>
        <v>3300</v>
      </c>
      <c r="I81" s="288">
        <f>ROUND(IF($A81="E",H81*(1+Assumptions!F$15),H81*(1+Assumptions!F$14)),-2)</f>
        <v>3400</v>
      </c>
      <c r="J81" s="288">
        <f>ROUND(IF($A81="E",I81*(1+Assumptions!G$15),I81*(1+Assumptions!G$14)),-2)</f>
        <v>3500</v>
      </c>
      <c r="K81" s="288">
        <f>ROUND(IF($A81="E",J81*(1+Assumptions!H$15),J81*(1+Assumptions!H$14)),-2)</f>
        <v>3600</v>
      </c>
      <c r="L81" s="288">
        <f>ROUND(IF($A81="E",K81*(1+Assumptions!I$15),K81*(1+Assumptions!I$14)),-2)</f>
        <v>3700</v>
      </c>
      <c r="M81" s="288">
        <f>ROUND(IF($A81="E",L81*(1+Assumptions!J$15),L81*(1+Assumptions!J$14)),-2)</f>
        <v>3800</v>
      </c>
      <c r="N81" s="288">
        <f>ROUND(IF($A81="E",M81*(1+Assumptions!K$15),M81*(1+Assumptions!K$14)),-2)</f>
        <v>3900</v>
      </c>
    </row>
    <row r="82" spans="2:14" x14ac:dyDescent="0.25">
      <c r="B82" s="16" t="s">
        <v>45</v>
      </c>
      <c r="C82" s="16" t="s">
        <v>220</v>
      </c>
      <c r="D82" s="16" t="s">
        <v>221</v>
      </c>
      <c r="E82" s="288">
        <v>37000</v>
      </c>
      <c r="F82" s="288">
        <f>ROUND(IF($A82="E",E82*(1+Assumptions!C$15),E82*(1+Assumptions!C$14)),-2)</f>
        <v>37600</v>
      </c>
      <c r="G82" s="288">
        <f>ROUND(IF($A82="E",F82*(1+Assumptions!D$15),F82*(1+Assumptions!D$14)),-2)</f>
        <v>38400</v>
      </c>
      <c r="H82" s="288">
        <f>ROUND(IF($A82="E",G82*(1+Assumptions!E$15),G82*(1+Assumptions!E$14)),-2)</f>
        <v>39200</v>
      </c>
      <c r="I82" s="288">
        <f>ROUND(IF($A82="E",H82*(1+Assumptions!F$15),H82*(1+Assumptions!F$14)),-2)</f>
        <v>40000</v>
      </c>
      <c r="J82" s="288">
        <f>ROUND(IF($A82="E",I82*(1+Assumptions!G$15),I82*(1+Assumptions!G$14)),-2)</f>
        <v>40800</v>
      </c>
      <c r="K82" s="288">
        <f>ROUND(IF($A82="E",J82*(1+Assumptions!H$15),J82*(1+Assumptions!H$14)),-2)</f>
        <v>41600</v>
      </c>
      <c r="L82" s="288">
        <f>ROUND(IF($A82="E",K82*(1+Assumptions!I$15),K82*(1+Assumptions!I$14)),-2)</f>
        <v>42600</v>
      </c>
      <c r="M82" s="288">
        <f>ROUND(IF($A82="E",L82*(1+Assumptions!J$15),L82*(1+Assumptions!J$14)),-2)</f>
        <v>43700</v>
      </c>
      <c r="N82" s="288">
        <f>ROUND(IF($A82="E",M82*(1+Assumptions!K$15),M82*(1+Assumptions!K$14)),-2)</f>
        <v>44800</v>
      </c>
    </row>
    <row r="83" spans="2:14" x14ac:dyDescent="0.25">
      <c r="C83" s="16" t="s">
        <v>222</v>
      </c>
      <c r="D83" s="16" t="s">
        <v>223</v>
      </c>
      <c r="E83" s="289"/>
      <c r="F83" s="289"/>
      <c r="G83" s="289"/>
      <c r="H83" s="289"/>
      <c r="I83" s="289"/>
      <c r="J83" s="289"/>
      <c r="K83" s="289"/>
      <c r="L83" s="289"/>
      <c r="M83" s="289"/>
      <c r="N83" s="289"/>
    </row>
    <row r="84" spans="2:14" x14ac:dyDescent="0.25">
      <c r="B84" s="16" t="s">
        <v>43</v>
      </c>
      <c r="C84" s="16" t="s">
        <v>224</v>
      </c>
      <c r="D84" s="16" t="s">
        <v>193</v>
      </c>
      <c r="E84" s="288">
        <v>343400</v>
      </c>
      <c r="F84" s="288">
        <f>ROUND(IF($A84="E",E84*(1+Assumptions!C$15),E84*(1+Assumptions!C$14)),-2)</f>
        <v>348600</v>
      </c>
      <c r="G84" s="288">
        <f>ROUND(IF($A84="E",F84*(1+Assumptions!D$15),F84*(1+Assumptions!D$14)),-2)</f>
        <v>355600</v>
      </c>
      <c r="H84" s="288">
        <f>ROUND(IF($A84="E",G84*(1+Assumptions!E$15),G84*(1+Assumptions!E$14)),-2)</f>
        <v>362700</v>
      </c>
      <c r="I84" s="288">
        <f>ROUND(IF($A84="E",H84*(1+Assumptions!F$15),H84*(1+Assumptions!F$14)),-2)</f>
        <v>370000</v>
      </c>
      <c r="J84" s="288">
        <f>ROUND(IF($A84="E",I84*(1+Assumptions!G$15),I84*(1+Assumptions!G$14)),-2)</f>
        <v>377400</v>
      </c>
      <c r="K84" s="288">
        <f>ROUND(IF($A84="E",J84*(1+Assumptions!H$15),J84*(1+Assumptions!H$14)),-2)</f>
        <v>384900</v>
      </c>
      <c r="L84" s="288">
        <f>ROUND(IF($A84="E",K84*(1+Assumptions!I$15),K84*(1+Assumptions!I$14)),-2)</f>
        <v>394500</v>
      </c>
      <c r="M84" s="288">
        <f>ROUND(IF($A84="E",L84*(1+Assumptions!J$15),L84*(1+Assumptions!J$14)),-2)</f>
        <v>404400</v>
      </c>
      <c r="N84" s="288">
        <f>ROUND(IF($A84="E",M84*(1+Assumptions!K$15),M84*(1+Assumptions!K$14)),-2)</f>
        <v>414500</v>
      </c>
    </row>
    <row r="85" spans="2:14" x14ac:dyDescent="0.25">
      <c r="B85" s="16" t="s">
        <v>43</v>
      </c>
      <c r="C85" s="16" t="s">
        <v>225</v>
      </c>
      <c r="D85" s="16" t="s">
        <v>195</v>
      </c>
      <c r="E85" s="288">
        <v>-1640500</v>
      </c>
      <c r="F85" s="288">
        <f>ROUND(IF($A85="E",E85*(1+Assumptions!C$15),E85*(1+Assumptions!C$14)),-2)</f>
        <v>-1665100</v>
      </c>
      <c r="G85" s="288">
        <f>ROUND(IF($A85="E",F85*(1+Assumptions!D$15),F85*(1+Assumptions!D$14)),-2)</f>
        <v>-1698400</v>
      </c>
      <c r="H85" s="288">
        <f>ROUND(IF($A85="E",G85*(1+Assumptions!E$15),G85*(1+Assumptions!E$14)),-2)</f>
        <v>-1732400</v>
      </c>
      <c r="I85" s="288">
        <f>ROUND(IF($A85="E",H85*(1+Assumptions!F$15),H85*(1+Assumptions!F$14)),-2)</f>
        <v>-1767000</v>
      </c>
      <c r="J85" s="288">
        <f>ROUND(IF($A85="E",I85*(1+Assumptions!G$15),I85*(1+Assumptions!G$14)),-2)</f>
        <v>-1802300</v>
      </c>
      <c r="K85" s="288">
        <f>ROUND(IF($A85="E",J85*(1+Assumptions!H$15),J85*(1+Assumptions!H$14)),-2)</f>
        <v>-1838300</v>
      </c>
      <c r="L85" s="288">
        <f>ROUND(IF($A85="E",K85*(1+Assumptions!I$15),K85*(1+Assumptions!I$14)),-2)</f>
        <v>-1884300</v>
      </c>
      <c r="M85" s="288">
        <f>ROUND(IF($A85="E",L85*(1+Assumptions!J$15),L85*(1+Assumptions!J$14)),-2)</f>
        <v>-1931400</v>
      </c>
      <c r="N85" s="288">
        <f>ROUND(IF($A85="E",M85*(1+Assumptions!K$15),M85*(1+Assumptions!K$14)),-2)</f>
        <v>-1979700</v>
      </c>
    </row>
    <row r="86" spans="2:14" x14ac:dyDescent="0.25">
      <c r="C86" s="16" t="s">
        <v>226</v>
      </c>
      <c r="D86" s="16" t="s">
        <v>227</v>
      </c>
      <c r="E86" s="289"/>
      <c r="F86" s="289"/>
      <c r="G86" s="289"/>
      <c r="H86" s="289"/>
      <c r="I86" s="289"/>
      <c r="J86" s="289"/>
      <c r="K86" s="289"/>
      <c r="L86" s="289"/>
      <c r="M86" s="289"/>
      <c r="N86" s="289"/>
    </row>
    <row r="87" spans="2:14" x14ac:dyDescent="0.25">
      <c r="B87" s="16" t="s">
        <v>41</v>
      </c>
      <c r="C87" s="16" t="s">
        <v>228</v>
      </c>
      <c r="D87" s="16" t="s">
        <v>201</v>
      </c>
      <c r="E87" s="288">
        <v>523600</v>
      </c>
      <c r="F87" s="288">
        <f>ROUND(IF($A87="E",E87*(1+Assumptions!C$15),E87*(1+Assumptions!C$14)),-2)</f>
        <v>531500</v>
      </c>
      <c r="G87" s="288">
        <f>ROUND(IF($A87="E",F87*(1+Assumptions!D$15),F87*(1+Assumptions!D$14)),-2)</f>
        <v>542100</v>
      </c>
      <c r="H87" s="288">
        <f>ROUND(IF($A87="E",G87*(1+Assumptions!E$15),G87*(1+Assumptions!E$14)),-2)</f>
        <v>552900</v>
      </c>
      <c r="I87" s="288">
        <f>ROUND(IF($A87="E",H87*(1+Assumptions!F$15),H87*(1+Assumptions!F$14)),-2)</f>
        <v>564000</v>
      </c>
      <c r="J87" s="288">
        <f>ROUND(IF($A87="E",I87*(1+Assumptions!G$15),I87*(1+Assumptions!G$14)),-2)</f>
        <v>575300</v>
      </c>
      <c r="K87" s="288">
        <f>ROUND(IF($A87="E",J87*(1+Assumptions!H$15),J87*(1+Assumptions!H$14)),-2)</f>
        <v>586800</v>
      </c>
      <c r="L87" s="288">
        <f>ROUND(IF($A87="E",K87*(1+Assumptions!I$15),K87*(1+Assumptions!I$14)),-2)</f>
        <v>601500</v>
      </c>
      <c r="M87" s="288">
        <f>ROUND(IF($A87="E",L87*(1+Assumptions!J$15),L87*(1+Assumptions!J$14)),-2)</f>
        <v>616500</v>
      </c>
      <c r="N87" s="288">
        <f>ROUND(IF($A87="E",M87*(1+Assumptions!K$15),M87*(1+Assumptions!K$14)),-2)</f>
        <v>631900</v>
      </c>
    </row>
    <row r="88" spans="2:14" x14ac:dyDescent="0.25">
      <c r="B88" s="16" t="s">
        <v>45</v>
      </c>
      <c r="C88" s="16" t="s">
        <v>229</v>
      </c>
      <c r="D88" s="16" t="s">
        <v>230</v>
      </c>
      <c r="E88" s="288">
        <v>17700</v>
      </c>
      <c r="F88" s="288">
        <f>ROUND(IF($A88="E",E88*(1+Assumptions!C$15),E88*(1+Assumptions!C$14)),-2)</f>
        <v>18000</v>
      </c>
      <c r="G88" s="288">
        <f>ROUND(IF($A88="E",F88*(1+Assumptions!D$15),F88*(1+Assumptions!D$14)),-2)</f>
        <v>18400</v>
      </c>
      <c r="H88" s="288">
        <f>ROUND(IF($A88="E",G88*(1+Assumptions!E$15),G88*(1+Assumptions!E$14)),-2)</f>
        <v>18800</v>
      </c>
      <c r="I88" s="288">
        <f>ROUND(IF($A88="E",H88*(1+Assumptions!F$15),H88*(1+Assumptions!F$14)),-2)</f>
        <v>19200</v>
      </c>
      <c r="J88" s="288">
        <f>ROUND(IF($A88="E",I88*(1+Assumptions!G$15),I88*(1+Assumptions!G$14)),-2)</f>
        <v>19600</v>
      </c>
      <c r="K88" s="288">
        <f>ROUND(IF($A88="E",J88*(1+Assumptions!H$15),J88*(1+Assumptions!H$14)),-2)</f>
        <v>20000</v>
      </c>
      <c r="L88" s="288">
        <f>ROUND(IF($A88="E",K88*(1+Assumptions!I$15),K88*(1+Assumptions!I$14)),-2)</f>
        <v>20500</v>
      </c>
      <c r="M88" s="288">
        <f>ROUND(IF($A88="E",L88*(1+Assumptions!J$15),L88*(1+Assumptions!J$14)),-2)</f>
        <v>21000</v>
      </c>
      <c r="N88" s="288">
        <f>ROUND(IF($A88="E",M88*(1+Assumptions!K$15),M88*(1+Assumptions!K$14)),-2)</f>
        <v>21500</v>
      </c>
    </row>
    <row r="89" spans="2:14" x14ac:dyDescent="0.25">
      <c r="B89" s="16" t="s">
        <v>45</v>
      </c>
      <c r="C89" s="16" t="s">
        <v>231</v>
      </c>
      <c r="D89" s="16" t="s">
        <v>232</v>
      </c>
      <c r="E89" s="288">
        <v>7600</v>
      </c>
      <c r="F89" s="288">
        <f>ROUND(IF($A89="E",E89*(1+Assumptions!C$15),E89*(1+Assumptions!C$14)),-2)</f>
        <v>7700</v>
      </c>
      <c r="G89" s="288">
        <f>ROUND(IF($A89="E",F89*(1+Assumptions!D$15),F89*(1+Assumptions!D$14)),-2)</f>
        <v>7900</v>
      </c>
      <c r="H89" s="288">
        <f>ROUND(IF($A89="E",G89*(1+Assumptions!E$15),G89*(1+Assumptions!E$14)),-2)</f>
        <v>8100</v>
      </c>
      <c r="I89" s="288">
        <f>ROUND(IF($A89="E",H89*(1+Assumptions!F$15),H89*(1+Assumptions!F$14)),-2)</f>
        <v>8300</v>
      </c>
      <c r="J89" s="288">
        <f>ROUND(IF($A89="E",I89*(1+Assumptions!G$15),I89*(1+Assumptions!G$14)),-2)</f>
        <v>8500</v>
      </c>
      <c r="K89" s="288">
        <f>ROUND(IF($A89="E",J89*(1+Assumptions!H$15),J89*(1+Assumptions!H$14)),-2)</f>
        <v>8700</v>
      </c>
      <c r="L89" s="288">
        <f>ROUND(IF($A89="E",K89*(1+Assumptions!I$15),K89*(1+Assumptions!I$14)),-2)</f>
        <v>8900</v>
      </c>
      <c r="M89" s="288">
        <f>ROUND(IF($A89="E",L89*(1+Assumptions!J$15),L89*(1+Assumptions!J$14)),-2)</f>
        <v>9100</v>
      </c>
      <c r="N89" s="288">
        <f>ROUND(IF($A89="E",M89*(1+Assumptions!K$15),M89*(1+Assumptions!K$14)),-2)</f>
        <v>9300</v>
      </c>
    </row>
    <row r="90" spans="2:14" x14ac:dyDescent="0.25">
      <c r="B90" s="16" t="s">
        <v>45</v>
      </c>
      <c r="C90" s="16" t="s">
        <v>233</v>
      </c>
      <c r="D90" s="16" t="s">
        <v>234</v>
      </c>
      <c r="E90" s="288">
        <v>25200</v>
      </c>
      <c r="F90" s="288">
        <f>ROUND(IF($A90="E",E90*(1+Assumptions!C$15),E90*(1+Assumptions!C$14)),-2)</f>
        <v>25600</v>
      </c>
      <c r="G90" s="288">
        <f>ROUND(IF($A90="E",F90*(1+Assumptions!D$15),F90*(1+Assumptions!D$14)),-2)</f>
        <v>26100</v>
      </c>
      <c r="H90" s="288">
        <f>ROUND(IF($A90="E",G90*(1+Assumptions!E$15),G90*(1+Assumptions!E$14)),-2)</f>
        <v>26600</v>
      </c>
      <c r="I90" s="288">
        <f>ROUND(IF($A90="E",H90*(1+Assumptions!F$15),H90*(1+Assumptions!F$14)),-2)</f>
        <v>27100</v>
      </c>
      <c r="J90" s="288">
        <f>ROUND(IF($A90="E",I90*(1+Assumptions!G$15),I90*(1+Assumptions!G$14)),-2)</f>
        <v>27600</v>
      </c>
      <c r="K90" s="288">
        <f>ROUND(IF($A90="E",J90*(1+Assumptions!H$15),J90*(1+Assumptions!H$14)),-2)</f>
        <v>28200</v>
      </c>
      <c r="L90" s="288">
        <f>ROUND(IF($A90="E",K90*(1+Assumptions!I$15),K90*(1+Assumptions!I$14)),-2)</f>
        <v>28900</v>
      </c>
      <c r="M90" s="288">
        <f>ROUND(IF($A90="E",L90*(1+Assumptions!J$15),L90*(1+Assumptions!J$14)),-2)</f>
        <v>29600</v>
      </c>
      <c r="N90" s="288">
        <f>ROUND(IF($A90="E",M90*(1+Assumptions!K$15),M90*(1+Assumptions!K$14)),-2)</f>
        <v>30300</v>
      </c>
    </row>
    <row r="91" spans="2:14" ht="12.75" customHeight="1" x14ac:dyDescent="0.25">
      <c r="E91" s="288"/>
      <c r="F91" s="288"/>
      <c r="G91" s="288"/>
      <c r="H91" s="288"/>
      <c r="I91" s="288"/>
      <c r="J91" s="288"/>
      <c r="K91" s="288"/>
      <c r="L91" s="288"/>
      <c r="M91" s="288"/>
      <c r="N91" s="288"/>
    </row>
    <row r="92" spans="2:14" ht="12.75" customHeight="1" x14ac:dyDescent="0.25">
      <c r="D92" s="19" t="s">
        <v>3234</v>
      </c>
      <c r="E92" s="291">
        <f>SUM(E71:E91)</f>
        <v>0</v>
      </c>
      <c r="F92" s="291">
        <f t="shared" ref="F92:N92" si="1">SUM(F71:F91)</f>
        <v>200</v>
      </c>
      <c r="G92" s="291">
        <f t="shared" si="1"/>
        <v>400</v>
      </c>
      <c r="H92" s="291">
        <f t="shared" si="1"/>
        <v>500</v>
      </c>
      <c r="I92" s="291">
        <f t="shared" si="1"/>
        <v>800</v>
      </c>
      <c r="J92" s="291">
        <f t="shared" si="1"/>
        <v>1000</v>
      </c>
      <c r="K92" s="291">
        <f t="shared" si="1"/>
        <v>1200</v>
      </c>
      <c r="L92" s="291">
        <f t="shared" si="1"/>
        <v>1000</v>
      </c>
      <c r="M92" s="291">
        <f t="shared" si="1"/>
        <v>900</v>
      </c>
      <c r="N92" s="291">
        <f t="shared" si="1"/>
        <v>700</v>
      </c>
    </row>
    <row r="93" spans="2:14" ht="12.75" customHeight="1" x14ac:dyDescent="0.25">
      <c r="E93" s="288"/>
      <c r="F93" s="288"/>
      <c r="G93" s="288"/>
      <c r="H93" s="288"/>
      <c r="I93" s="288"/>
      <c r="J93" s="288"/>
      <c r="K93" s="288"/>
      <c r="L93" s="288"/>
      <c r="M93" s="288"/>
      <c r="N93" s="288"/>
    </row>
    <row r="94" spans="2:14" x14ac:dyDescent="0.25">
      <c r="C94" s="19" t="s">
        <v>235</v>
      </c>
      <c r="E94" s="288"/>
      <c r="F94" s="288"/>
      <c r="G94" s="288"/>
      <c r="H94" s="288"/>
      <c r="I94" s="288"/>
      <c r="J94" s="288"/>
      <c r="K94" s="288"/>
      <c r="L94" s="288"/>
      <c r="M94" s="288"/>
      <c r="N94" s="288"/>
    </row>
    <row r="95" spans="2:14" ht="12.75" customHeight="1" x14ac:dyDescent="0.25">
      <c r="E95" s="288"/>
      <c r="F95" s="288"/>
      <c r="G95" s="288"/>
      <c r="H95" s="288"/>
      <c r="I95" s="288"/>
      <c r="J95" s="288"/>
      <c r="K95" s="288"/>
      <c r="L95" s="288"/>
      <c r="M95" s="288"/>
      <c r="N95" s="288"/>
    </row>
    <row r="96" spans="2:14" x14ac:dyDescent="0.25">
      <c r="C96" s="16" t="s">
        <v>87</v>
      </c>
      <c r="E96" s="288"/>
      <c r="F96" s="288"/>
      <c r="G96" s="288"/>
      <c r="H96" s="288"/>
      <c r="I96" s="288"/>
      <c r="J96" s="288"/>
      <c r="K96" s="288"/>
      <c r="L96" s="288"/>
      <c r="M96" s="288"/>
      <c r="N96" s="288"/>
    </row>
    <row r="97" spans="2:14" x14ac:dyDescent="0.25">
      <c r="B97" s="16" t="s">
        <v>45</v>
      </c>
      <c r="C97" s="16" t="s">
        <v>236</v>
      </c>
      <c r="D97" s="16" t="s">
        <v>237</v>
      </c>
      <c r="E97" s="288"/>
      <c r="F97" s="288"/>
      <c r="G97" s="288"/>
      <c r="H97" s="288"/>
      <c r="I97" s="288"/>
      <c r="J97" s="288"/>
      <c r="K97" s="288"/>
      <c r="L97" s="288"/>
      <c r="M97" s="288"/>
      <c r="N97" s="288"/>
    </row>
    <row r="98" spans="2:14" x14ac:dyDescent="0.25">
      <c r="B98" s="16" t="s">
        <v>45</v>
      </c>
      <c r="C98" s="16" t="s">
        <v>238</v>
      </c>
      <c r="D98" s="16" t="s">
        <v>239</v>
      </c>
      <c r="E98" s="288">
        <v>41100</v>
      </c>
      <c r="F98" s="288">
        <f>ROUND(IF($A98="E",E98*(1+Assumptions!C$15),E98*(1+Assumptions!C$14)),-2)</f>
        <v>41700</v>
      </c>
      <c r="G98" s="288">
        <f>ROUND(IF($A98="E",F98*(1+Assumptions!D$15),F98*(1+Assumptions!D$14)),-2)</f>
        <v>42500</v>
      </c>
      <c r="H98" s="288">
        <f>ROUND(IF($A98="E",G98*(1+Assumptions!E$15),G98*(1+Assumptions!E$14)),-2)</f>
        <v>43400</v>
      </c>
      <c r="I98" s="288">
        <f>ROUND(IF($A98="E",H98*(1+Assumptions!F$15),H98*(1+Assumptions!F$14)),-2)</f>
        <v>44300</v>
      </c>
      <c r="J98" s="288">
        <f>ROUND(IF($A98="E",I98*(1+Assumptions!G$15),I98*(1+Assumptions!G$14)),-2)</f>
        <v>45200</v>
      </c>
      <c r="K98" s="288">
        <f>ROUND(IF($A98="E",J98*(1+Assumptions!H$15),J98*(1+Assumptions!H$14)),-2)</f>
        <v>46100</v>
      </c>
      <c r="L98" s="288">
        <f>ROUND(IF($A98="E",K98*(1+Assumptions!I$15),K98*(1+Assumptions!I$14)),-2)</f>
        <v>47300</v>
      </c>
      <c r="M98" s="288">
        <f>ROUND(IF($A98="E",L98*(1+Assumptions!J$15),L98*(1+Assumptions!J$14)),-2)</f>
        <v>48500</v>
      </c>
      <c r="N98" s="288">
        <f>ROUND(IF($A98="E",M98*(1+Assumptions!K$15),M98*(1+Assumptions!K$14)),-2)</f>
        <v>49700</v>
      </c>
    </row>
    <row r="99" spans="2:14" x14ac:dyDescent="0.25">
      <c r="B99" s="16" t="s">
        <v>45</v>
      </c>
      <c r="C99" s="16" t="s">
        <v>240</v>
      </c>
      <c r="D99" s="16" t="s">
        <v>97</v>
      </c>
      <c r="E99" s="288">
        <v>7900</v>
      </c>
      <c r="F99" s="288">
        <f>ROUND(IF($A99="E",E99*(1+Assumptions!C$15),E99*(1+Assumptions!C$14)),-2)</f>
        <v>8000</v>
      </c>
      <c r="G99" s="288">
        <f>ROUND(IF($A99="E",F99*(1+Assumptions!D$15),F99*(1+Assumptions!D$14)),-2)</f>
        <v>8200</v>
      </c>
      <c r="H99" s="288">
        <f>ROUND(IF($A99="E",G99*(1+Assumptions!E$15),G99*(1+Assumptions!E$14)),-2)</f>
        <v>8400</v>
      </c>
      <c r="I99" s="288">
        <f>ROUND(IF($A99="E",H99*(1+Assumptions!F$15),H99*(1+Assumptions!F$14)),-2)</f>
        <v>8600</v>
      </c>
      <c r="J99" s="288">
        <f>ROUND(IF($A99="E",I99*(1+Assumptions!G$15),I99*(1+Assumptions!G$14)),-2)</f>
        <v>8800</v>
      </c>
      <c r="K99" s="288">
        <f>ROUND(IF($A99="E",J99*(1+Assumptions!H$15),J99*(1+Assumptions!H$14)),-2)</f>
        <v>9000</v>
      </c>
      <c r="L99" s="288">
        <f>ROUND(IF($A99="E",K99*(1+Assumptions!I$15),K99*(1+Assumptions!I$14)),-2)</f>
        <v>9200</v>
      </c>
      <c r="M99" s="288">
        <f>ROUND(IF($A99="E",L99*(1+Assumptions!J$15),L99*(1+Assumptions!J$14)),-2)</f>
        <v>9400</v>
      </c>
      <c r="N99" s="288">
        <f>ROUND(IF($A99="E",M99*(1+Assumptions!K$15),M99*(1+Assumptions!K$14)),-2)</f>
        <v>9600</v>
      </c>
    </row>
    <row r="100" spans="2:14" x14ac:dyDescent="0.25">
      <c r="B100" s="16" t="s">
        <v>45</v>
      </c>
      <c r="C100" s="16" t="s">
        <v>241</v>
      </c>
      <c r="D100" s="16" t="s">
        <v>242</v>
      </c>
      <c r="E100" s="289"/>
      <c r="F100" s="289"/>
      <c r="G100" s="289"/>
      <c r="H100" s="289"/>
      <c r="I100" s="289"/>
      <c r="J100" s="289"/>
      <c r="K100" s="289"/>
      <c r="L100" s="289"/>
      <c r="M100" s="289"/>
      <c r="N100" s="289"/>
    </row>
    <row r="101" spans="2:14" x14ac:dyDescent="0.25">
      <c r="B101" s="16" t="s">
        <v>45</v>
      </c>
      <c r="C101" s="16" t="s">
        <v>243</v>
      </c>
      <c r="D101" s="16" t="s">
        <v>244</v>
      </c>
      <c r="E101" s="288">
        <v>169500</v>
      </c>
      <c r="F101" s="288">
        <f>ROUND(IF($A101="E",E101*(1+Assumptions!C$15),E101*(1+Assumptions!C$14)),-2)</f>
        <v>172000</v>
      </c>
      <c r="G101" s="288">
        <f>ROUND(IF($A101="E",F101*(1+Assumptions!D$15),F101*(1+Assumptions!D$14)),-2)</f>
        <v>175400</v>
      </c>
      <c r="H101" s="288">
        <f>ROUND(IF($A101="E",G101*(1+Assumptions!E$15),G101*(1+Assumptions!E$14)),-2)</f>
        <v>178900</v>
      </c>
      <c r="I101" s="288">
        <f>ROUND(IF($A101="E",H101*(1+Assumptions!F$15),H101*(1+Assumptions!F$14)),-2)</f>
        <v>182500</v>
      </c>
      <c r="J101" s="288">
        <f>ROUND(IF($A101="E",I101*(1+Assumptions!G$15),I101*(1+Assumptions!G$14)),-2)</f>
        <v>186200</v>
      </c>
      <c r="K101" s="288">
        <f>ROUND(IF($A101="E",J101*(1+Assumptions!H$15),J101*(1+Assumptions!H$14)),-2)</f>
        <v>189900</v>
      </c>
      <c r="L101" s="288">
        <f>ROUND(IF($A101="E",K101*(1+Assumptions!I$15),K101*(1+Assumptions!I$14)),-2)</f>
        <v>194600</v>
      </c>
      <c r="M101" s="288">
        <f>ROUND(IF($A101="E",L101*(1+Assumptions!J$15),L101*(1+Assumptions!J$14)),-2)</f>
        <v>199500</v>
      </c>
      <c r="N101" s="288">
        <f>ROUND(IF($A101="E",M101*(1+Assumptions!K$15),M101*(1+Assumptions!K$14)),-2)</f>
        <v>204500</v>
      </c>
    </row>
    <row r="102" spans="2:14" x14ac:dyDescent="0.25">
      <c r="B102" s="16" t="s">
        <v>45</v>
      </c>
      <c r="C102" s="16" t="s">
        <v>245</v>
      </c>
      <c r="D102" s="16" t="s">
        <v>246</v>
      </c>
      <c r="E102" s="288">
        <v>17500</v>
      </c>
      <c r="F102" s="288">
        <f>ROUND(IF($A102="E",E102*(1+Assumptions!C$15),E102*(1+Assumptions!C$14)),-2)</f>
        <v>17800</v>
      </c>
      <c r="G102" s="288">
        <f>ROUND(IF($A102="E",F102*(1+Assumptions!D$15),F102*(1+Assumptions!D$14)),-2)</f>
        <v>18200</v>
      </c>
      <c r="H102" s="288">
        <f>ROUND(IF($A102="E",G102*(1+Assumptions!E$15),G102*(1+Assumptions!E$14)),-2)</f>
        <v>18600</v>
      </c>
      <c r="I102" s="288">
        <f>ROUND(IF($A102="E",H102*(1+Assumptions!F$15),H102*(1+Assumptions!F$14)),-2)</f>
        <v>19000</v>
      </c>
      <c r="J102" s="288">
        <f>ROUND(IF($A102="E",I102*(1+Assumptions!G$15),I102*(1+Assumptions!G$14)),-2)</f>
        <v>19400</v>
      </c>
      <c r="K102" s="288">
        <f>ROUND(IF($A102="E",J102*(1+Assumptions!H$15),J102*(1+Assumptions!H$14)),-2)</f>
        <v>19800</v>
      </c>
      <c r="L102" s="288">
        <f>ROUND(IF($A102="E",K102*(1+Assumptions!I$15),K102*(1+Assumptions!I$14)),-2)</f>
        <v>20300</v>
      </c>
      <c r="M102" s="288">
        <f>ROUND(IF($A102="E",L102*(1+Assumptions!J$15),L102*(1+Assumptions!J$14)),-2)</f>
        <v>20800</v>
      </c>
      <c r="N102" s="288">
        <f>ROUND(IF($A102="E",M102*(1+Assumptions!K$15),M102*(1+Assumptions!K$14)),-2)</f>
        <v>21300</v>
      </c>
    </row>
    <row r="103" spans="2:14" x14ac:dyDescent="0.25">
      <c r="B103" s="16" t="s">
        <v>45</v>
      </c>
      <c r="C103" s="16" t="s">
        <v>247</v>
      </c>
      <c r="D103" s="16" t="s">
        <v>248</v>
      </c>
      <c r="E103" s="288">
        <v>15500</v>
      </c>
      <c r="F103" s="288">
        <f>ROUND(IF($A103="E",E103*(1+Assumptions!C$15),E103*(1+Assumptions!C$14)),-2)</f>
        <v>15700</v>
      </c>
      <c r="G103" s="288">
        <f>ROUND(IF($A103="E",F103*(1+Assumptions!D$15),F103*(1+Assumptions!D$14)),-2)</f>
        <v>16000</v>
      </c>
      <c r="H103" s="288">
        <f>ROUND(IF($A103="E",G103*(1+Assumptions!E$15),G103*(1+Assumptions!E$14)),-2)</f>
        <v>16300</v>
      </c>
      <c r="I103" s="288">
        <f>ROUND(IF($A103="E",H103*(1+Assumptions!F$15),H103*(1+Assumptions!F$14)),-2)</f>
        <v>16600</v>
      </c>
      <c r="J103" s="288">
        <f>ROUND(IF($A103="E",I103*(1+Assumptions!G$15),I103*(1+Assumptions!G$14)),-2)</f>
        <v>16900</v>
      </c>
      <c r="K103" s="288">
        <f>ROUND(IF($A103="E",J103*(1+Assumptions!H$15),J103*(1+Assumptions!H$14)),-2)</f>
        <v>17200</v>
      </c>
      <c r="L103" s="288">
        <f>ROUND(IF($A103="E",K103*(1+Assumptions!I$15),K103*(1+Assumptions!I$14)),-2)</f>
        <v>17600</v>
      </c>
      <c r="M103" s="288">
        <f>ROUND(IF($A103="E",L103*(1+Assumptions!J$15),L103*(1+Assumptions!J$14)),-2)</f>
        <v>18000</v>
      </c>
      <c r="N103" s="288">
        <f>ROUND(IF($A103="E",M103*(1+Assumptions!K$15),M103*(1+Assumptions!K$14)),-2)</f>
        <v>18500</v>
      </c>
    </row>
    <row r="104" spans="2:14" x14ac:dyDescent="0.25">
      <c r="B104" s="16" t="s">
        <v>45</v>
      </c>
      <c r="C104" s="16" t="s">
        <v>249</v>
      </c>
      <c r="D104" s="16" t="s">
        <v>250</v>
      </c>
      <c r="E104" s="288">
        <v>19300</v>
      </c>
      <c r="F104" s="288">
        <f>ROUND(IF($A104="E",E104*(1+Assumptions!C$15),E104*(1+Assumptions!C$14)),-2)</f>
        <v>19600</v>
      </c>
      <c r="G104" s="288">
        <f>ROUND(IF($A104="E",F104*(1+Assumptions!D$15),F104*(1+Assumptions!D$14)),-2)</f>
        <v>20000</v>
      </c>
      <c r="H104" s="288">
        <f>ROUND(IF($A104="E",G104*(1+Assumptions!E$15),G104*(1+Assumptions!E$14)),-2)</f>
        <v>20400</v>
      </c>
      <c r="I104" s="288">
        <f>ROUND(IF($A104="E",H104*(1+Assumptions!F$15),H104*(1+Assumptions!F$14)),-2)</f>
        <v>20800</v>
      </c>
      <c r="J104" s="288">
        <f>ROUND(IF($A104="E",I104*(1+Assumptions!G$15),I104*(1+Assumptions!G$14)),-2)</f>
        <v>21200</v>
      </c>
      <c r="K104" s="288">
        <f>ROUND(IF($A104="E",J104*(1+Assumptions!H$15),J104*(1+Assumptions!H$14)),-2)</f>
        <v>21600</v>
      </c>
      <c r="L104" s="288">
        <f>ROUND(IF($A104="E",K104*(1+Assumptions!I$15),K104*(1+Assumptions!I$14)),-2)</f>
        <v>22100</v>
      </c>
      <c r="M104" s="288">
        <f>ROUND(IF($A104="E",L104*(1+Assumptions!J$15),L104*(1+Assumptions!J$14)),-2)</f>
        <v>22700</v>
      </c>
      <c r="N104" s="288">
        <f>ROUND(IF($A104="E",M104*(1+Assumptions!K$15),M104*(1+Assumptions!K$14)),-2)</f>
        <v>23300</v>
      </c>
    </row>
    <row r="105" spans="2:14" x14ac:dyDescent="0.25">
      <c r="B105" s="16" t="s">
        <v>45</v>
      </c>
      <c r="C105" s="16" t="s">
        <v>251</v>
      </c>
      <c r="D105" s="16" t="s">
        <v>252</v>
      </c>
      <c r="E105" s="288">
        <v>15500</v>
      </c>
      <c r="F105" s="288">
        <f>ROUND(IF($A105="E",E105*(1+Assumptions!C$15),E105*(1+Assumptions!C$14)),-2)</f>
        <v>15700</v>
      </c>
      <c r="G105" s="288">
        <f>ROUND(IF($A105="E",F105*(1+Assumptions!D$15),F105*(1+Assumptions!D$14)),-2)</f>
        <v>16000</v>
      </c>
      <c r="H105" s="288">
        <f>ROUND(IF($A105="E",G105*(1+Assumptions!E$15),G105*(1+Assumptions!E$14)),-2)</f>
        <v>16300</v>
      </c>
      <c r="I105" s="288">
        <f>ROUND(IF($A105="E",H105*(1+Assumptions!F$15),H105*(1+Assumptions!F$14)),-2)</f>
        <v>16600</v>
      </c>
      <c r="J105" s="288">
        <f>ROUND(IF($A105="E",I105*(1+Assumptions!G$15),I105*(1+Assumptions!G$14)),-2)</f>
        <v>16900</v>
      </c>
      <c r="K105" s="288">
        <f>ROUND(IF($A105="E",J105*(1+Assumptions!H$15),J105*(1+Assumptions!H$14)),-2)</f>
        <v>17200</v>
      </c>
      <c r="L105" s="288">
        <f>ROUND(IF($A105="E",K105*(1+Assumptions!I$15),K105*(1+Assumptions!I$14)),-2)</f>
        <v>17600</v>
      </c>
      <c r="M105" s="288">
        <f>ROUND(IF($A105="E",L105*(1+Assumptions!J$15),L105*(1+Assumptions!J$14)),-2)</f>
        <v>18000</v>
      </c>
      <c r="N105" s="288">
        <f>ROUND(IF($A105="E",M105*(1+Assumptions!K$15),M105*(1+Assumptions!K$14)),-2)</f>
        <v>18500</v>
      </c>
    </row>
    <row r="106" spans="2:14" x14ac:dyDescent="0.25">
      <c r="B106" s="16" t="s">
        <v>45</v>
      </c>
      <c r="C106" s="16" t="s">
        <v>253</v>
      </c>
      <c r="D106" s="16" t="s">
        <v>254</v>
      </c>
      <c r="E106" s="288">
        <v>11300</v>
      </c>
      <c r="F106" s="288">
        <f>ROUND(IF($A106="E",E106*(1+Assumptions!C$15),E106*(1+Assumptions!C$14)),-2)</f>
        <v>11500</v>
      </c>
      <c r="G106" s="288">
        <f>ROUND(IF($A106="E",F106*(1+Assumptions!D$15),F106*(1+Assumptions!D$14)),-2)</f>
        <v>11700</v>
      </c>
      <c r="H106" s="288">
        <f>ROUND(IF($A106="E",G106*(1+Assumptions!E$15),G106*(1+Assumptions!E$14)),-2)</f>
        <v>11900</v>
      </c>
      <c r="I106" s="288">
        <f>ROUND(IF($A106="E",H106*(1+Assumptions!F$15),H106*(1+Assumptions!F$14)),-2)</f>
        <v>12100</v>
      </c>
      <c r="J106" s="288">
        <f>ROUND(IF($A106="E",I106*(1+Assumptions!G$15),I106*(1+Assumptions!G$14)),-2)</f>
        <v>12300</v>
      </c>
      <c r="K106" s="288">
        <f>ROUND(IF($A106="E",J106*(1+Assumptions!H$15),J106*(1+Assumptions!H$14)),-2)</f>
        <v>12500</v>
      </c>
      <c r="L106" s="288">
        <f>ROUND(IF($A106="E",K106*(1+Assumptions!I$15),K106*(1+Assumptions!I$14)),-2)</f>
        <v>12800</v>
      </c>
      <c r="M106" s="288">
        <f>ROUND(IF($A106="E",L106*(1+Assumptions!J$15),L106*(1+Assumptions!J$14)),-2)</f>
        <v>13100</v>
      </c>
      <c r="N106" s="288">
        <f>ROUND(IF($A106="E",M106*(1+Assumptions!K$15),M106*(1+Assumptions!K$14)),-2)</f>
        <v>13400</v>
      </c>
    </row>
    <row r="107" spans="2:14" x14ac:dyDescent="0.25">
      <c r="B107" s="16" t="s">
        <v>45</v>
      </c>
      <c r="C107" s="16" t="s">
        <v>255</v>
      </c>
      <c r="D107" s="16" t="s">
        <v>256</v>
      </c>
      <c r="E107" s="288">
        <v>10600</v>
      </c>
      <c r="F107" s="288">
        <f>ROUND(IF($A107="E",E107*(1+Assumptions!C$15),E107*(1+Assumptions!C$14)),-2)</f>
        <v>10800</v>
      </c>
      <c r="G107" s="288">
        <f>ROUND(IF($A107="E",F107*(1+Assumptions!D$15),F107*(1+Assumptions!D$14)),-2)</f>
        <v>11000</v>
      </c>
      <c r="H107" s="288">
        <f>ROUND(IF($A107="E",G107*(1+Assumptions!E$15),G107*(1+Assumptions!E$14)),-2)</f>
        <v>11200</v>
      </c>
      <c r="I107" s="288">
        <f>ROUND(IF($A107="E",H107*(1+Assumptions!F$15),H107*(1+Assumptions!F$14)),-2)</f>
        <v>11400</v>
      </c>
      <c r="J107" s="288">
        <f>ROUND(IF($A107="E",I107*(1+Assumptions!G$15),I107*(1+Assumptions!G$14)),-2)</f>
        <v>11600</v>
      </c>
      <c r="K107" s="288">
        <f>ROUND(IF($A107="E",J107*(1+Assumptions!H$15),J107*(1+Assumptions!H$14)),-2)</f>
        <v>11800</v>
      </c>
      <c r="L107" s="288">
        <f>ROUND(IF($A107="E",K107*(1+Assumptions!I$15),K107*(1+Assumptions!I$14)),-2)</f>
        <v>12100</v>
      </c>
      <c r="M107" s="288">
        <f>ROUND(IF($A107="E",L107*(1+Assumptions!J$15),L107*(1+Assumptions!J$14)),-2)</f>
        <v>12400</v>
      </c>
      <c r="N107" s="288">
        <f>ROUND(IF($A107="E",M107*(1+Assumptions!K$15),M107*(1+Assumptions!K$14)),-2)</f>
        <v>12700</v>
      </c>
    </row>
    <row r="108" spans="2:14" x14ac:dyDescent="0.25">
      <c r="B108" s="16" t="s">
        <v>45</v>
      </c>
      <c r="C108" s="16" t="s">
        <v>257</v>
      </c>
      <c r="D108" s="16" t="s">
        <v>258</v>
      </c>
      <c r="E108" s="288">
        <v>3100</v>
      </c>
      <c r="F108" s="288">
        <f>ROUND(IF($A108="E",E108*(1+Assumptions!C$15),E108*(1+Assumptions!C$14)),-2)</f>
        <v>3100</v>
      </c>
      <c r="G108" s="288">
        <f>ROUND(IF($A108="E",F108*(1+Assumptions!D$15),F108*(1+Assumptions!D$14)),-2)</f>
        <v>3200</v>
      </c>
      <c r="H108" s="288">
        <f>ROUND(IF($A108="E",G108*(1+Assumptions!E$15),G108*(1+Assumptions!E$14)),-2)</f>
        <v>3300</v>
      </c>
      <c r="I108" s="288">
        <f>ROUND(IF($A108="E",H108*(1+Assumptions!F$15),H108*(1+Assumptions!F$14)),-2)</f>
        <v>3400</v>
      </c>
      <c r="J108" s="288">
        <f>ROUND(IF($A108="E",I108*(1+Assumptions!G$15),I108*(1+Assumptions!G$14)),-2)</f>
        <v>3500</v>
      </c>
      <c r="K108" s="288">
        <f>ROUND(IF($A108="E",J108*(1+Assumptions!H$15),J108*(1+Assumptions!H$14)),-2)</f>
        <v>3600</v>
      </c>
      <c r="L108" s="288">
        <f>ROUND(IF($A108="E",K108*(1+Assumptions!I$15),K108*(1+Assumptions!I$14)),-2)</f>
        <v>3700</v>
      </c>
      <c r="M108" s="288">
        <f>ROUND(IF($A108="E",L108*(1+Assumptions!J$15),L108*(1+Assumptions!J$14)),-2)</f>
        <v>3800</v>
      </c>
      <c r="N108" s="288">
        <f>ROUND(IF($A108="E",M108*(1+Assumptions!K$15),M108*(1+Assumptions!K$14)),-2)</f>
        <v>3900</v>
      </c>
    </row>
    <row r="109" spans="2:14" x14ac:dyDescent="0.25">
      <c r="B109" s="16" t="s">
        <v>45</v>
      </c>
      <c r="C109" s="16" t="s">
        <v>259</v>
      </c>
      <c r="D109" s="16" t="s">
        <v>223</v>
      </c>
      <c r="E109" s="288">
        <v>2000</v>
      </c>
      <c r="F109" s="288">
        <f>ROUND(IF($A109="E",E109*(1+Assumptions!C$15),E109*(1+Assumptions!C$14)),-2)</f>
        <v>2000</v>
      </c>
      <c r="G109" s="288">
        <f>ROUND(IF($A109="E",F109*(1+Assumptions!D$15),F109*(1+Assumptions!D$14)),-2)</f>
        <v>2000</v>
      </c>
      <c r="H109" s="288">
        <f>ROUND(IF($A109="E",G109*(1+Assumptions!E$15),G109*(1+Assumptions!E$14)),-2)</f>
        <v>2000</v>
      </c>
      <c r="I109" s="288">
        <f>ROUND(IF($A109="E",H109*(1+Assumptions!F$15),H109*(1+Assumptions!F$14)),-2)</f>
        <v>2000</v>
      </c>
      <c r="J109" s="288">
        <f>ROUND(IF($A109="E",I109*(1+Assumptions!G$15),I109*(1+Assumptions!G$14)),-2)</f>
        <v>2000</v>
      </c>
      <c r="K109" s="288">
        <f>ROUND(IF($A109="E",J109*(1+Assumptions!H$15),J109*(1+Assumptions!H$14)),-2)</f>
        <v>2000</v>
      </c>
      <c r="L109" s="288">
        <f>ROUND(IF($A109="E",K109*(1+Assumptions!I$15),K109*(1+Assumptions!I$14)),-2)</f>
        <v>2100</v>
      </c>
      <c r="M109" s="288">
        <f>ROUND(IF($A109="E",L109*(1+Assumptions!J$15),L109*(1+Assumptions!J$14)),-2)</f>
        <v>2200</v>
      </c>
      <c r="N109" s="288">
        <f>ROUND(IF($A109="E",M109*(1+Assumptions!K$15),M109*(1+Assumptions!K$14)),-2)</f>
        <v>2300</v>
      </c>
    </row>
    <row r="110" spans="2:14" x14ac:dyDescent="0.25">
      <c r="B110" s="16" t="s">
        <v>45</v>
      </c>
      <c r="C110" s="16" t="s">
        <v>260</v>
      </c>
      <c r="D110" s="16" t="s">
        <v>261</v>
      </c>
      <c r="E110" s="288">
        <v>1500</v>
      </c>
      <c r="F110" s="288">
        <f>ROUND(IF($A110="E",E110*(1+Assumptions!C$15),E110*(1+Assumptions!C$14)),-2)</f>
        <v>1500</v>
      </c>
      <c r="G110" s="288">
        <f>ROUND(IF($A110="E",F110*(1+Assumptions!D$15),F110*(1+Assumptions!D$14)),-2)</f>
        <v>1500</v>
      </c>
      <c r="H110" s="288">
        <f>ROUND(IF($A110="E",G110*(1+Assumptions!E$15),G110*(1+Assumptions!E$14)),-2)</f>
        <v>1500</v>
      </c>
      <c r="I110" s="288">
        <f>ROUND(IF($A110="E",H110*(1+Assumptions!F$15),H110*(1+Assumptions!F$14)),-2)</f>
        <v>1500</v>
      </c>
      <c r="J110" s="288">
        <f>ROUND(IF($A110="E",I110*(1+Assumptions!G$15),I110*(1+Assumptions!G$14)),-2)</f>
        <v>1500</v>
      </c>
      <c r="K110" s="288">
        <f>ROUND(IF($A110="E",J110*(1+Assumptions!H$15),J110*(1+Assumptions!H$14)),-2)</f>
        <v>1500</v>
      </c>
      <c r="L110" s="288">
        <f>ROUND(IF($A110="E",K110*(1+Assumptions!I$15),K110*(1+Assumptions!I$14)),-2)</f>
        <v>1500</v>
      </c>
      <c r="M110" s="288">
        <f>ROUND(IF($A110="E",L110*(1+Assumptions!J$15),L110*(1+Assumptions!J$14)),-2)</f>
        <v>1500</v>
      </c>
      <c r="N110" s="288">
        <f>ROUND(IF($A110="E",M110*(1+Assumptions!K$15),M110*(1+Assumptions!K$14)),-2)</f>
        <v>1500</v>
      </c>
    </row>
    <row r="111" spans="2:14" x14ac:dyDescent="0.25">
      <c r="B111" s="16" t="s">
        <v>45</v>
      </c>
      <c r="C111" s="16" t="s">
        <v>262</v>
      </c>
      <c r="D111" s="16" t="s">
        <v>263</v>
      </c>
      <c r="E111" s="289"/>
      <c r="F111" s="289"/>
      <c r="G111" s="289"/>
      <c r="H111" s="289"/>
      <c r="I111" s="289"/>
      <c r="J111" s="289"/>
      <c r="K111" s="289"/>
      <c r="L111" s="289"/>
      <c r="M111" s="289"/>
      <c r="N111" s="289"/>
    </row>
    <row r="112" spans="2:14" x14ac:dyDescent="0.25">
      <c r="B112" s="16" t="s">
        <v>45</v>
      </c>
      <c r="C112" s="16" t="s">
        <v>264</v>
      </c>
      <c r="D112" s="16" t="s">
        <v>265</v>
      </c>
      <c r="E112" s="288">
        <v>38900</v>
      </c>
      <c r="F112" s="288">
        <f>ROUND(IF($A112="E",E112*(1+Assumptions!C$15),E112*(1+Assumptions!C$14)),-2)</f>
        <v>39500</v>
      </c>
      <c r="G112" s="288">
        <f>ROUND(IF($A112="E",F112*(1+Assumptions!D$15),F112*(1+Assumptions!D$14)),-2)</f>
        <v>40300</v>
      </c>
      <c r="H112" s="288">
        <f>ROUND(IF($A112="E",G112*(1+Assumptions!E$15),G112*(1+Assumptions!E$14)),-2)</f>
        <v>41100</v>
      </c>
      <c r="I112" s="288">
        <f>ROUND(IF($A112="E",H112*(1+Assumptions!F$15),H112*(1+Assumptions!F$14)),-2)</f>
        <v>41900</v>
      </c>
      <c r="J112" s="288">
        <f>ROUND(IF($A112="E",I112*(1+Assumptions!G$15),I112*(1+Assumptions!G$14)),-2)</f>
        <v>42700</v>
      </c>
      <c r="K112" s="288">
        <f>ROUND(IF($A112="E",J112*(1+Assumptions!H$15),J112*(1+Assumptions!H$14)),-2)</f>
        <v>43600</v>
      </c>
      <c r="L112" s="288">
        <f>ROUND(IF($A112="E",K112*(1+Assumptions!I$15),K112*(1+Assumptions!I$14)),-2)</f>
        <v>44700</v>
      </c>
      <c r="M112" s="288">
        <f>ROUND(IF($A112="E",L112*(1+Assumptions!J$15),L112*(1+Assumptions!J$14)),-2)</f>
        <v>45800</v>
      </c>
      <c r="N112" s="288">
        <f>ROUND(IF($A112="E",M112*(1+Assumptions!K$15),M112*(1+Assumptions!K$14)),-2)</f>
        <v>46900</v>
      </c>
    </row>
    <row r="113" spans="2:14" x14ac:dyDescent="0.25">
      <c r="B113" s="16" t="s">
        <v>45</v>
      </c>
      <c r="C113" s="16" t="s">
        <v>266</v>
      </c>
      <c r="D113" s="16" t="s">
        <v>267</v>
      </c>
      <c r="E113" s="288">
        <v>210000</v>
      </c>
      <c r="F113" s="288"/>
      <c r="G113" s="288"/>
      <c r="H113" s="288">
        <v>250000</v>
      </c>
      <c r="I113" s="288"/>
      <c r="J113" s="288"/>
      <c r="K113" s="288"/>
      <c r="L113" s="288">
        <v>300000</v>
      </c>
      <c r="M113" s="288"/>
      <c r="N113" s="288"/>
    </row>
    <row r="114" spans="2:14" x14ac:dyDescent="0.25">
      <c r="B114" s="16" t="s">
        <v>45</v>
      </c>
      <c r="C114" s="16" t="s">
        <v>268</v>
      </c>
      <c r="D114" s="16" t="s">
        <v>269</v>
      </c>
      <c r="E114" s="288">
        <v>4000</v>
      </c>
      <c r="F114" s="288">
        <f>ROUND(IF($A114="E",E114*(1+Assumptions!C$15),E114*(1+Assumptions!C$14)),-2)</f>
        <v>4100</v>
      </c>
      <c r="G114" s="288">
        <f>ROUND(IF($A114="E",F114*(1+Assumptions!D$15),F114*(1+Assumptions!D$14)),-2)</f>
        <v>4200</v>
      </c>
      <c r="H114" s="288">
        <f>ROUND(IF($A114="E",G114*(1+Assumptions!E$15),G114*(1+Assumptions!E$14)),-2)</f>
        <v>4300</v>
      </c>
      <c r="I114" s="288">
        <f>ROUND(IF($A114="E",H114*(1+Assumptions!F$15),H114*(1+Assumptions!F$14)),-2)</f>
        <v>4400</v>
      </c>
      <c r="J114" s="288">
        <f>ROUND(IF($A114="E",I114*(1+Assumptions!G$15),I114*(1+Assumptions!G$14)),-2)</f>
        <v>4500</v>
      </c>
      <c r="K114" s="288">
        <f>ROUND(IF($A114="E",J114*(1+Assumptions!H$15),J114*(1+Assumptions!H$14)),-2)</f>
        <v>4600</v>
      </c>
      <c r="L114" s="288">
        <f>ROUND(IF($A114="E",K114*(1+Assumptions!I$15),K114*(1+Assumptions!I$14)),-2)</f>
        <v>4700</v>
      </c>
      <c r="M114" s="288">
        <f>ROUND(IF($A114="E",L114*(1+Assumptions!J$15),L114*(1+Assumptions!J$14)),-2)</f>
        <v>4800</v>
      </c>
      <c r="N114" s="288">
        <f>ROUND(IF($A114="E",M114*(1+Assumptions!K$15),M114*(1+Assumptions!K$14)),-2)</f>
        <v>4900</v>
      </c>
    </row>
    <row r="115" spans="2:14" x14ac:dyDescent="0.25">
      <c r="B115" s="16" t="s">
        <v>45</v>
      </c>
      <c r="C115" s="16" t="s">
        <v>270</v>
      </c>
      <c r="D115" s="16" t="s">
        <v>271</v>
      </c>
      <c r="E115" s="288">
        <v>30000</v>
      </c>
      <c r="F115" s="288">
        <f>ROUND(IF($A115="E",E115*(1+Assumptions!C$15),E115*(1+Assumptions!C$14)),-2)</f>
        <v>30500</v>
      </c>
      <c r="G115" s="288">
        <f>ROUND(IF($A115="E",F115*(1+Assumptions!D$15),F115*(1+Assumptions!D$14)),-2)</f>
        <v>31100</v>
      </c>
      <c r="H115" s="288">
        <f>ROUND(IF($A115="E",G115*(1+Assumptions!E$15),G115*(1+Assumptions!E$14)),-2)</f>
        <v>31700</v>
      </c>
      <c r="I115" s="288">
        <f>ROUND(IF($A115="E",H115*(1+Assumptions!F$15),H115*(1+Assumptions!F$14)),-2)</f>
        <v>32300</v>
      </c>
      <c r="J115" s="288">
        <f>ROUND(IF($A115="E",I115*(1+Assumptions!G$15),I115*(1+Assumptions!G$14)),-2)</f>
        <v>32900</v>
      </c>
      <c r="K115" s="288">
        <f>ROUND(IF($A115="E",J115*(1+Assumptions!H$15),J115*(1+Assumptions!H$14)),-2)</f>
        <v>33600</v>
      </c>
      <c r="L115" s="288">
        <f>ROUND(IF($A115="E",K115*(1+Assumptions!I$15),K115*(1+Assumptions!I$14)),-2)</f>
        <v>34400</v>
      </c>
      <c r="M115" s="288">
        <f>ROUND(IF($A115="E",L115*(1+Assumptions!J$15),L115*(1+Assumptions!J$14)),-2)</f>
        <v>35300</v>
      </c>
      <c r="N115" s="288">
        <f>ROUND(IF($A115="E",M115*(1+Assumptions!K$15),M115*(1+Assumptions!K$14)),-2)</f>
        <v>36200</v>
      </c>
    </row>
    <row r="116" spans="2:14" x14ac:dyDescent="0.25">
      <c r="B116" s="16" t="s">
        <v>45</v>
      </c>
      <c r="C116" s="16" t="s">
        <v>272</v>
      </c>
      <c r="D116" s="16" t="s">
        <v>273</v>
      </c>
      <c r="E116" s="289"/>
      <c r="F116" s="289"/>
      <c r="G116" s="289"/>
      <c r="H116" s="289"/>
      <c r="I116" s="289"/>
      <c r="J116" s="289"/>
      <c r="K116" s="289"/>
      <c r="L116" s="289"/>
      <c r="M116" s="289"/>
      <c r="N116" s="289"/>
    </row>
    <row r="117" spans="2:14" x14ac:dyDescent="0.25">
      <c r="B117" s="16" t="s">
        <v>45</v>
      </c>
      <c r="C117" s="16" t="s">
        <v>274</v>
      </c>
      <c r="D117" s="16" t="s">
        <v>275</v>
      </c>
      <c r="E117" s="288">
        <v>15600</v>
      </c>
      <c r="F117" s="288">
        <f>ROUND(IF($A117="E",E117*(1+Assumptions!C$15),E117*(1+Assumptions!C$14)),-2)</f>
        <v>15800</v>
      </c>
      <c r="G117" s="288">
        <f>ROUND(IF($A117="E",F117*(1+Assumptions!D$15),F117*(1+Assumptions!D$14)),-2)</f>
        <v>16100</v>
      </c>
      <c r="H117" s="288">
        <f>ROUND(IF($A117="E",G117*(1+Assumptions!E$15),G117*(1+Assumptions!E$14)),-2)</f>
        <v>16400</v>
      </c>
      <c r="I117" s="288">
        <f>ROUND(IF($A117="E",H117*(1+Assumptions!F$15),H117*(1+Assumptions!F$14)),-2)</f>
        <v>16700</v>
      </c>
      <c r="J117" s="288">
        <f>ROUND(IF($A117="E",I117*(1+Assumptions!G$15),I117*(1+Assumptions!G$14)),-2)</f>
        <v>17000</v>
      </c>
      <c r="K117" s="288">
        <f>ROUND(IF($A117="E",J117*(1+Assumptions!H$15),J117*(1+Assumptions!H$14)),-2)</f>
        <v>17300</v>
      </c>
      <c r="L117" s="288">
        <f>ROUND(IF($A117="E",K117*(1+Assumptions!I$15),K117*(1+Assumptions!I$14)),-2)</f>
        <v>17700</v>
      </c>
      <c r="M117" s="288">
        <f>ROUND(IF($A117="E",L117*(1+Assumptions!J$15),L117*(1+Assumptions!J$14)),-2)</f>
        <v>18100</v>
      </c>
      <c r="N117" s="288">
        <f>ROUND(IF($A117="E",M117*(1+Assumptions!K$15),M117*(1+Assumptions!K$14)),-2)</f>
        <v>18600</v>
      </c>
    </row>
    <row r="118" spans="2:14" x14ac:dyDescent="0.25">
      <c r="B118" s="16" t="s">
        <v>45</v>
      </c>
      <c r="C118" s="16" t="s">
        <v>276</v>
      </c>
      <c r="D118" s="16" t="s">
        <v>277</v>
      </c>
      <c r="E118" s="288">
        <v>104200</v>
      </c>
      <c r="F118" s="288">
        <f>ROUND(IF($A118="E",E118*(1+Assumptions!C$15),E118*(1+Assumptions!C$14)),-2)</f>
        <v>105800</v>
      </c>
      <c r="G118" s="288">
        <f>ROUND(IF($A118="E",F118*(1+Assumptions!D$15),F118*(1+Assumptions!D$14)),-2)</f>
        <v>107900</v>
      </c>
      <c r="H118" s="288">
        <f>ROUND(IF($A118="E",G118*(1+Assumptions!E$15),G118*(1+Assumptions!E$14)),-2)</f>
        <v>110100</v>
      </c>
      <c r="I118" s="288">
        <f>ROUND(IF($A118="E",H118*(1+Assumptions!F$15),H118*(1+Assumptions!F$14)),-2)</f>
        <v>112300</v>
      </c>
      <c r="J118" s="288">
        <f>ROUND(IF($A118="E",I118*(1+Assumptions!G$15),I118*(1+Assumptions!G$14)),-2)</f>
        <v>114500</v>
      </c>
      <c r="K118" s="288">
        <f>ROUND(IF($A118="E",J118*(1+Assumptions!H$15),J118*(1+Assumptions!H$14)),-2)</f>
        <v>116800</v>
      </c>
      <c r="L118" s="288">
        <f>ROUND(IF($A118="E",K118*(1+Assumptions!I$15),K118*(1+Assumptions!I$14)),-2)</f>
        <v>119700</v>
      </c>
      <c r="M118" s="288">
        <f>ROUND(IF($A118="E",L118*(1+Assumptions!J$15),L118*(1+Assumptions!J$14)),-2)</f>
        <v>122700</v>
      </c>
      <c r="N118" s="288">
        <f>ROUND(IF($A118="E",M118*(1+Assumptions!K$15),M118*(1+Assumptions!K$14)),-2)</f>
        <v>125800</v>
      </c>
    </row>
    <row r="119" spans="2:14" x14ac:dyDescent="0.25">
      <c r="B119" s="16" t="s">
        <v>45</v>
      </c>
      <c r="C119" s="16" t="s">
        <v>278</v>
      </c>
      <c r="D119" s="16" t="s">
        <v>279</v>
      </c>
      <c r="E119" s="288">
        <v>4200</v>
      </c>
      <c r="F119" s="288">
        <f>ROUND(IF($A119="E",E119*(1+Assumptions!C$15),E119*(1+Assumptions!C$14)),-2)</f>
        <v>4300</v>
      </c>
      <c r="G119" s="288">
        <f>ROUND(IF($A119="E",F119*(1+Assumptions!D$15),F119*(1+Assumptions!D$14)),-2)</f>
        <v>4400</v>
      </c>
      <c r="H119" s="288">
        <f>ROUND(IF($A119="E",G119*(1+Assumptions!E$15),G119*(1+Assumptions!E$14)),-2)</f>
        <v>4500</v>
      </c>
      <c r="I119" s="288">
        <f>ROUND(IF($A119="E",H119*(1+Assumptions!F$15),H119*(1+Assumptions!F$14)),-2)</f>
        <v>4600</v>
      </c>
      <c r="J119" s="288">
        <f>ROUND(IF($A119="E",I119*(1+Assumptions!G$15),I119*(1+Assumptions!G$14)),-2)</f>
        <v>4700</v>
      </c>
      <c r="K119" s="288">
        <f>ROUND(IF($A119="E",J119*(1+Assumptions!H$15),J119*(1+Assumptions!H$14)),-2)</f>
        <v>4800</v>
      </c>
      <c r="L119" s="288">
        <f>ROUND(IF($A119="E",K119*(1+Assumptions!I$15),K119*(1+Assumptions!I$14)),-2)</f>
        <v>4900</v>
      </c>
      <c r="M119" s="288">
        <f>ROUND(IF($A119="E",L119*(1+Assumptions!J$15),L119*(1+Assumptions!J$14)),-2)</f>
        <v>5000</v>
      </c>
      <c r="N119" s="288">
        <f>ROUND(IF($A119="E",M119*(1+Assumptions!K$15),M119*(1+Assumptions!K$14)),-2)</f>
        <v>5100</v>
      </c>
    </row>
    <row r="120" spans="2:14" x14ac:dyDescent="0.25">
      <c r="B120" s="16" t="s">
        <v>45</v>
      </c>
      <c r="C120" s="16" t="s">
        <v>280</v>
      </c>
      <c r="D120" s="16" t="s">
        <v>281</v>
      </c>
      <c r="E120" s="288">
        <v>28400</v>
      </c>
      <c r="F120" s="288">
        <f>ROUND(IF($A120="E",E120*(1+Assumptions!C$15),E120*(1+Assumptions!C$14)),-2)</f>
        <v>28800</v>
      </c>
      <c r="G120" s="288">
        <f>ROUND(IF($A120="E",F120*(1+Assumptions!D$15),F120*(1+Assumptions!D$14)),-2)</f>
        <v>29400</v>
      </c>
      <c r="H120" s="288">
        <f>ROUND(IF($A120="E",G120*(1+Assumptions!E$15),G120*(1+Assumptions!E$14)),-2)</f>
        <v>30000</v>
      </c>
      <c r="I120" s="288">
        <f>ROUND(IF($A120="E",H120*(1+Assumptions!F$15),H120*(1+Assumptions!F$14)),-2)</f>
        <v>30600</v>
      </c>
      <c r="J120" s="288">
        <f>ROUND(IF($A120="E",I120*(1+Assumptions!G$15),I120*(1+Assumptions!G$14)),-2)</f>
        <v>31200</v>
      </c>
      <c r="K120" s="288">
        <f>ROUND(IF($A120="E",J120*(1+Assumptions!H$15),J120*(1+Assumptions!H$14)),-2)</f>
        <v>31800</v>
      </c>
      <c r="L120" s="288">
        <f>ROUND(IF($A120="E",K120*(1+Assumptions!I$15),K120*(1+Assumptions!I$14)),-2)</f>
        <v>32600</v>
      </c>
      <c r="M120" s="288">
        <f>ROUND(IF($A120="E",L120*(1+Assumptions!J$15),L120*(1+Assumptions!J$14)),-2)</f>
        <v>33400</v>
      </c>
      <c r="N120" s="288">
        <f>ROUND(IF($A120="E",M120*(1+Assumptions!K$15),M120*(1+Assumptions!K$14)),-2)</f>
        <v>34200</v>
      </c>
    </row>
    <row r="121" spans="2:14" x14ac:dyDescent="0.25">
      <c r="B121" s="16" t="s">
        <v>45</v>
      </c>
      <c r="C121" s="16" t="s">
        <v>282</v>
      </c>
      <c r="D121" s="16" t="s">
        <v>283</v>
      </c>
      <c r="E121" s="288">
        <v>17300</v>
      </c>
      <c r="F121" s="288">
        <f>ROUND(IF($A121="E",E121*(1+Assumptions!C$15),E121*(1+Assumptions!C$14)),-2)</f>
        <v>17600</v>
      </c>
      <c r="G121" s="288">
        <f>ROUND(IF($A121="E",F121*(1+Assumptions!D$15),F121*(1+Assumptions!D$14)),-2)</f>
        <v>18000</v>
      </c>
      <c r="H121" s="288">
        <f>ROUND(IF($A121="E",G121*(1+Assumptions!E$15),G121*(1+Assumptions!E$14)),-2)</f>
        <v>18400</v>
      </c>
      <c r="I121" s="288">
        <f>ROUND(IF($A121="E",H121*(1+Assumptions!F$15),H121*(1+Assumptions!F$14)),-2)</f>
        <v>18800</v>
      </c>
      <c r="J121" s="288">
        <f>ROUND(IF($A121="E",I121*(1+Assumptions!G$15),I121*(1+Assumptions!G$14)),-2)</f>
        <v>19200</v>
      </c>
      <c r="K121" s="288">
        <f>ROUND(IF($A121="E",J121*(1+Assumptions!H$15),J121*(1+Assumptions!H$14)),-2)</f>
        <v>19600</v>
      </c>
      <c r="L121" s="288">
        <f>ROUND(IF($A121="E",K121*(1+Assumptions!I$15),K121*(1+Assumptions!I$14)),-2)</f>
        <v>20100</v>
      </c>
      <c r="M121" s="288">
        <f>ROUND(IF($A121="E",L121*(1+Assumptions!J$15),L121*(1+Assumptions!J$14)),-2)</f>
        <v>20600</v>
      </c>
      <c r="N121" s="288">
        <f>ROUND(IF($A121="E",M121*(1+Assumptions!K$15),M121*(1+Assumptions!K$14)),-2)</f>
        <v>21100</v>
      </c>
    </row>
    <row r="122" spans="2:14" x14ac:dyDescent="0.25">
      <c r="B122" s="16" t="s">
        <v>45</v>
      </c>
      <c r="C122" s="16" t="s">
        <v>284</v>
      </c>
      <c r="D122" s="16" t="s">
        <v>285</v>
      </c>
      <c r="E122" s="289"/>
      <c r="F122" s="289"/>
      <c r="G122" s="289"/>
      <c r="H122" s="289"/>
      <c r="I122" s="289"/>
      <c r="J122" s="289"/>
      <c r="K122" s="289"/>
      <c r="L122" s="289"/>
      <c r="M122" s="289"/>
      <c r="N122" s="289"/>
    </row>
    <row r="123" spans="2:14" x14ac:dyDescent="0.25">
      <c r="B123" s="16" t="s">
        <v>45</v>
      </c>
      <c r="C123" s="16" t="s">
        <v>286</v>
      </c>
      <c r="D123" s="16" t="s">
        <v>287</v>
      </c>
      <c r="E123" s="288">
        <v>100</v>
      </c>
      <c r="F123" s="288">
        <f>ROUND(IF($A123="E",E123*(1+Assumptions!C$15),E123*(1+Assumptions!C$14)),-2)</f>
        <v>100</v>
      </c>
      <c r="G123" s="288">
        <f>ROUND(IF($A123="E",F123*(1+Assumptions!D$15),F123*(1+Assumptions!D$14)),-2)</f>
        <v>100</v>
      </c>
      <c r="H123" s="288">
        <f>ROUND(IF($A123="E",G123*(1+Assumptions!E$15),G123*(1+Assumptions!E$14)),-2)</f>
        <v>100</v>
      </c>
      <c r="I123" s="288">
        <f>ROUND(IF($A123="E",H123*(1+Assumptions!F$15),H123*(1+Assumptions!F$14)),-2)</f>
        <v>100</v>
      </c>
      <c r="J123" s="288">
        <f>ROUND(IF($A123="E",I123*(1+Assumptions!G$15),I123*(1+Assumptions!G$14)),-2)</f>
        <v>100</v>
      </c>
      <c r="K123" s="288">
        <f>ROUND(IF($A123="E",J123*(1+Assumptions!H$15),J123*(1+Assumptions!H$14)),-2)</f>
        <v>100</v>
      </c>
      <c r="L123" s="288">
        <f>ROUND(IF($A123="E",K123*(1+Assumptions!I$15),K123*(1+Assumptions!I$14)),-2)</f>
        <v>100</v>
      </c>
      <c r="M123" s="288">
        <f>ROUND(IF($A123="E",L123*(1+Assumptions!J$15),L123*(1+Assumptions!J$14)),-2)</f>
        <v>100</v>
      </c>
      <c r="N123" s="288">
        <f>ROUND(IF($A123="E",M123*(1+Assumptions!K$15),M123*(1+Assumptions!K$14)),-2)</f>
        <v>100</v>
      </c>
    </row>
    <row r="124" spans="2:14" x14ac:dyDescent="0.25">
      <c r="B124" s="16" t="s">
        <v>45</v>
      </c>
      <c r="C124" s="16" t="s">
        <v>288</v>
      </c>
      <c r="D124" s="16" t="s">
        <v>289</v>
      </c>
      <c r="E124" s="288">
        <v>100</v>
      </c>
      <c r="F124" s="288">
        <f>ROUND(IF($A124="E",E124*(1+Assumptions!C$15),E124*(1+Assumptions!C$14)),-2)</f>
        <v>100</v>
      </c>
      <c r="G124" s="288">
        <f>ROUND(IF($A124="E",F124*(1+Assumptions!D$15),F124*(1+Assumptions!D$14)),-2)</f>
        <v>100</v>
      </c>
      <c r="H124" s="288">
        <f>ROUND(IF($A124="E",G124*(1+Assumptions!E$15),G124*(1+Assumptions!E$14)),-2)</f>
        <v>100</v>
      </c>
      <c r="I124" s="288">
        <f>ROUND(IF($A124="E",H124*(1+Assumptions!F$15),H124*(1+Assumptions!F$14)),-2)</f>
        <v>100</v>
      </c>
      <c r="J124" s="288">
        <f>ROUND(IF($A124="E",I124*(1+Assumptions!G$15),I124*(1+Assumptions!G$14)),-2)</f>
        <v>100</v>
      </c>
      <c r="K124" s="288">
        <f>ROUND(IF($A124="E",J124*(1+Assumptions!H$15),J124*(1+Assumptions!H$14)),-2)</f>
        <v>100</v>
      </c>
      <c r="L124" s="288">
        <f>ROUND(IF($A124="E",K124*(1+Assumptions!I$15),K124*(1+Assumptions!I$14)),-2)</f>
        <v>100</v>
      </c>
      <c r="M124" s="288">
        <f>ROUND(IF($A124="E",L124*(1+Assumptions!J$15),L124*(1+Assumptions!J$14)),-2)</f>
        <v>100</v>
      </c>
      <c r="N124" s="288">
        <f>ROUND(IF($A124="E",M124*(1+Assumptions!K$15),M124*(1+Assumptions!K$14)),-2)</f>
        <v>100</v>
      </c>
    </row>
    <row r="125" spans="2:14" x14ac:dyDescent="0.25">
      <c r="B125" s="16" t="s">
        <v>45</v>
      </c>
      <c r="C125" s="16" t="s">
        <v>290</v>
      </c>
      <c r="D125" s="16" t="s">
        <v>291</v>
      </c>
      <c r="E125" s="288">
        <v>100</v>
      </c>
      <c r="F125" s="288">
        <f>ROUND(IF($A125="E",E125*(1+Assumptions!C$15),E125*(1+Assumptions!C$14)),-2)</f>
        <v>100</v>
      </c>
      <c r="G125" s="288">
        <f>ROUND(IF($A125="E",F125*(1+Assumptions!D$15),F125*(1+Assumptions!D$14)),-2)</f>
        <v>100</v>
      </c>
      <c r="H125" s="288">
        <f>ROUND(IF($A125="E",G125*(1+Assumptions!E$15),G125*(1+Assumptions!E$14)),-2)</f>
        <v>100</v>
      </c>
      <c r="I125" s="288">
        <f>ROUND(IF($A125="E",H125*(1+Assumptions!F$15),H125*(1+Assumptions!F$14)),-2)</f>
        <v>100</v>
      </c>
      <c r="J125" s="288">
        <f>ROUND(IF($A125="E",I125*(1+Assumptions!G$15),I125*(1+Assumptions!G$14)),-2)</f>
        <v>100</v>
      </c>
      <c r="K125" s="288">
        <f>ROUND(IF($A125="E",J125*(1+Assumptions!H$15),J125*(1+Assumptions!H$14)),-2)</f>
        <v>100</v>
      </c>
      <c r="L125" s="288">
        <f>ROUND(IF($A125="E",K125*(1+Assumptions!I$15),K125*(1+Assumptions!I$14)),-2)</f>
        <v>100</v>
      </c>
      <c r="M125" s="288">
        <f>ROUND(IF($A125="E",L125*(1+Assumptions!J$15),L125*(1+Assumptions!J$14)),-2)</f>
        <v>100</v>
      </c>
      <c r="N125" s="288">
        <f>ROUND(IF($A125="E",M125*(1+Assumptions!K$15),M125*(1+Assumptions!K$14)),-2)</f>
        <v>100</v>
      </c>
    </row>
    <row r="126" spans="2:14" x14ac:dyDescent="0.25">
      <c r="B126" s="16" t="s">
        <v>45</v>
      </c>
      <c r="C126" s="16" t="s">
        <v>292</v>
      </c>
      <c r="D126" s="16" t="s">
        <v>293</v>
      </c>
      <c r="E126" s="288">
        <v>100</v>
      </c>
      <c r="F126" s="288">
        <f>ROUND(IF($A126="E",E126*(1+Assumptions!C$15),E126*(1+Assumptions!C$14)),-2)</f>
        <v>100</v>
      </c>
      <c r="G126" s="288">
        <f>ROUND(IF($A126="E",F126*(1+Assumptions!D$15),F126*(1+Assumptions!D$14)),-2)</f>
        <v>100</v>
      </c>
      <c r="H126" s="288">
        <f>ROUND(IF($A126="E",G126*(1+Assumptions!E$15),G126*(1+Assumptions!E$14)),-2)</f>
        <v>100</v>
      </c>
      <c r="I126" s="288">
        <f>ROUND(IF($A126="E",H126*(1+Assumptions!F$15),H126*(1+Assumptions!F$14)),-2)</f>
        <v>100</v>
      </c>
      <c r="J126" s="288">
        <f>ROUND(IF($A126="E",I126*(1+Assumptions!G$15),I126*(1+Assumptions!G$14)),-2)</f>
        <v>100</v>
      </c>
      <c r="K126" s="288">
        <f>ROUND(IF($A126="E",J126*(1+Assumptions!H$15),J126*(1+Assumptions!H$14)),-2)</f>
        <v>100</v>
      </c>
      <c r="L126" s="288">
        <f>ROUND(IF($A126="E",K126*(1+Assumptions!I$15),K126*(1+Assumptions!I$14)),-2)</f>
        <v>100</v>
      </c>
      <c r="M126" s="288">
        <f>ROUND(IF($A126="E",L126*(1+Assumptions!J$15),L126*(1+Assumptions!J$14)),-2)</f>
        <v>100</v>
      </c>
      <c r="N126" s="288">
        <f>ROUND(IF($A126="E",M126*(1+Assumptions!K$15),M126*(1+Assumptions!K$14)),-2)</f>
        <v>100</v>
      </c>
    </row>
    <row r="127" spans="2:14" x14ac:dyDescent="0.25">
      <c r="B127" s="16" t="s">
        <v>45</v>
      </c>
      <c r="C127" s="16" t="s">
        <v>294</v>
      </c>
      <c r="D127" s="16" t="s">
        <v>295</v>
      </c>
      <c r="E127" s="288">
        <v>50</v>
      </c>
      <c r="F127" s="288">
        <f>ROUND(IF($A127="E",E127*(1+Assumptions!C$15),E127*(1+Assumptions!C$14)),-2)</f>
        <v>100</v>
      </c>
      <c r="G127" s="288">
        <f>ROUND(IF($A127="E",F127*(1+Assumptions!D$15),F127*(1+Assumptions!D$14)),-2)</f>
        <v>100</v>
      </c>
      <c r="H127" s="288">
        <f>ROUND(IF($A127="E",G127*(1+Assumptions!E$15),G127*(1+Assumptions!E$14)),-2)</f>
        <v>100</v>
      </c>
      <c r="I127" s="288">
        <f>ROUND(IF($A127="E",H127*(1+Assumptions!F$15),H127*(1+Assumptions!F$14)),-2)</f>
        <v>100</v>
      </c>
      <c r="J127" s="288">
        <f>ROUND(IF($A127="E",I127*(1+Assumptions!G$15),I127*(1+Assumptions!G$14)),-2)</f>
        <v>100</v>
      </c>
      <c r="K127" s="288">
        <f>ROUND(IF($A127="E",J127*(1+Assumptions!H$15),J127*(1+Assumptions!H$14)),-2)</f>
        <v>100</v>
      </c>
      <c r="L127" s="288">
        <f>ROUND(IF($A127="E",K127*(1+Assumptions!I$15),K127*(1+Assumptions!I$14)),-2)</f>
        <v>100</v>
      </c>
      <c r="M127" s="288">
        <f>ROUND(IF($A127="E",L127*(1+Assumptions!J$15),L127*(1+Assumptions!J$14)),-2)</f>
        <v>100</v>
      </c>
      <c r="N127" s="288">
        <f>ROUND(IF($A127="E",M127*(1+Assumptions!K$15),M127*(1+Assumptions!K$14)),-2)</f>
        <v>100</v>
      </c>
    </row>
    <row r="128" spans="2:14" x14ac:dyDescent="0.25">
      <c r="B128" s="16" t="s">
        <v>45</v>
      </c>
      <c r="C128" s="16" t="s">
        <v>296</v>
      </c>
      <c r="D128" s="16" t="s">
        <v>297</v>
      </c>
      <c r="E128" s="288">
        <v>50</v>
      </c>
      <c r="F128" s="288">
        <f>ROUND(IF($A128="E",E128*(1+Assumptions!C$15),E128*(1+Assumptions!C$14)),-2)</f>
        <v>100</v>
      </c>
      <c r="G128" s="288">
        <f>ROUND(IF($A128="E",F128*(1+Assumptions!D$15),F128*(1+Assumptions!D$14)),-2)</f>
        <v>100</v>
      </c>
      <c r="H128" s="288">
        <f>ROUND(IF($A128="E",G128*(1+Assumptions!E$15),G128*(1+Assumptions!E$14)),-2)</f>
        <v>100</v>
      </c>
      <c r="I128" s="288">
        <f>ROUND(IF($A128="E",H128*(1+Assumptions!F$15),H128*(1+Assumptions!F$14)),-2)</f>
        <v>100</v>
      </c>
      <c r="J128" s="288">
        <f>ROUND(IF($A128="E",I128*(1+Assumptions!G$15),I128*(1+Assumptions!G$14)),-2)</f>
        <v>100</v>
      </c>
      <c r="K128" s="288">
        <f>ROUND(IF($A128="E",J128*(1+Assumptions!H$15),J128*(1+Assumptions!H$14)),-2)</f>
        <v>100</v>
      </c>
      <c r="L128" s="288">
        <f>ROUND(IF($A128="E",K128*(1+Assumptions!I$15),K128*(1+Assumptions!I$14)),-2)</f>
        <v>100</v>
      </c>
      <c r="M128" s="288">
        <f>ROUND(IF($A128="E",L128*(1+Assumptions!J$15),L128*(1+Assumptions!J$14)),-2)</f>
        <v>100</v>
      </c>
      <c r="N128" s="288">
        <f>ROUND(IF($A128="E",M128*(1+Assumptions!K$15),M128*(1+Assumptions!K$14)),-2)</f>
        <v>100</v>
      </c>
    </row>
    <row r="129" spans="2:14" x14ac:dyDescent="0.25">
      <c r="B129" s="16" t="s">
        <v>45</v>
      </c>
      <c r="C129" s="16" t="s">
        <v>298</v>
      </c>
      <c r="D129" s="16" t="s">
        <v>299</v>
      </c>
      <c r="E129" s="288">
        <v>50</v>
      </c>
      <c r="F129" s="288">
        <f>ROUND(IF($A129="E",E129*(1+Assumptions!C$15),E129*(1+Assumptions!C$14)),-2)</f>
        <v>100</v>
      </c>
      <c r="G129" s="288">
        <f>ROUND(IF($A129="E",F129*(1+Assumptions!D$15),F129*(1+Assumptions!D$14)),-2)</f>
        <v>100</v>
      </c>
      <c r="H129" s="288">
        <f>ROUND(IF($A129="E",G129*(1+Assumptions!E$15),G129*(1+Assumptions!E$14)),-2)</f>
        <v>100</v>
      </c>
      <c r="I129" s="288">
        <f>ROUND(IF($A129="E",H129*(1+Assumptions!F$15),H129*(1+Assumptions!F$14)),-2)</f>
        <v>100</v>
      </c>
      <c r="J129" s="288">
        <f>ROUND(IF($A129="E",I129*(1+Assumptions!G$15),I129*(1+Assumptions!G$14)),-2)</f>
        <v>100</v>
      </c>
      <c r="K129" s="288">
        <f>ROUND(IF($A129="E",J129*(1+Assumptions!H$15),J129*(1+Assumptions!H$14)),-2)</f>
        <v>100</v>
      </c>
      <c r="L129" s="288">
        <f>ROUND(IF($A129="E",K129*(1+Assumptions!I$15),K129*(1+Assumptions!I$14)),-2)</f>
        <v>100</v>
      </c>
      <c r="M129" s="288">
        <f>ROUND(IF($A129="E",L129*(1+Assumptions!J$15),L129*(1+Assumptions!J$14)),-2)</f>
        <v>100</v>
      </c>
      <c r="N129" s="288">
        <f>ROUND(IF($A129="E",M129*(1+Assumptions!K$15),M129*(1+Assumptions!K$14)),-2)</f>
        <v>100</v>
      </c>
    </row>
    <row r="130" spans="2:14" x14ac:dyDescent="0.25">
      <c r="B130" s="16" t="s">
        <v>45</v>
      </c>
      <c r="C130" s="16" t="s">
        <v>300</v>
      </c>
      <c r="D130" s="16" t="s">
        <v>301</v>
      </c>
      <c r="E130" s="288">
        <v>50</v>
      </c>
      <c r="F130" s="288">
        <f>ROUND(IF($A130="E",E130*(1+Assumptions!C$15),E130*(1+Assumptions!C$14)),-2)</f>
        <v>100</v>
      </c>
      <c r="G130" s="288">
        <f>ROUND(IF($A130="E",F130*(1+Assumptions!D$15),F130*(1+Assumptions!D$14)),-2)</f>
        <v>100</v>
      </c>
      <c r="H130" s="288">
        <f>ROUND(IF($A130="E",G130*(1+Assumptions!E$15),G130*(1+Assumptions!E$14)),-2)</f>
        <v>100</v>
      </c>
      <c r="I130" s="288">
        <f>ROUND(IF($A130="E",H130*(1+Assumptions!F$15),H130*(1+Assumptions!F$14)),-2)</f>
        <v>100</v>
      </c>
      <c r="J130" s="288">
        <f>ROUND(IF($A130="E",I130*(1+Assumptions!G$15),I130*(1+Assumptions!G$14)),-2)</f>
        <v>100</v>
      </c>
      <c r="K130" s="288">
        <f>ROUND(IF($A130="E",J130*(1+Assumptions!H$15),J130*(1+Assumptions!H$14)),-2)</f>
        <v>100</v>
      </c>
      <c r="L130" s="288">
        <f>ROUND(IF($A130="E",K130*(1+Assumptions!I$15),K130*(1+Assumptions!I$14)),-2)</f>
        <v>100</v>
      </c>
      <c r="M130" s="288">
        <f>ROUND(IF($A130="E",L130*(1+Assumptions!J$15),L130*(1+Assumptions!J$14)),-2)</f>
        <v>100</v>
      </c>
      <c r="N130" s="288">
        <f>ROUND(IF($A130="E",M130*(1+Assumptions!K$15),M130*(1+Assumptions!K$14)),-2)</f>
        <v>100</v>
      </c>
    </row>
    <row r="131" spans="2:14" x14ac:dyDescent="0.25">
      <c r="B131" s="16" t="s">
        <v>45</v>
      </c>
      <c r="C131" s="16" t="s">
        <v>302</v>
      </c>
      <c r="D131" s="16" t="s">
        <v>303</v>
      </c>
      <c r="E131" s="288">
        <v>500</v>
      </c>
      <c r="F131" s="288">
        <f>ROUND(IF($A131="E",E131*(1+Assumptions!C$15),E131*(1+Assumptions!C$14)),-2)</f>
        <v>500</v>
      </c>
      <c r="G131" s="288">
        <f>ROUND(IF($A131="E",F131*(1+Assumptions!D$15),F131*(1+Assumptions!D$14)),-2)</f>
        <v>500</v>
      </c>
      <c r="H131" s="288">
        <f>ROUND(IF($A131="E",G131*(1+Assumptions!E$15),G131*(1+Assumptions!E$14)),-2)</f>
        <v>500</v>
      </c>
      <c r="I131" s="288">
        <f>ROUND(IF($A131="E",H131*(1+Assumptions!F$15),H131*(1+Assumptions!F$14)),-2)</f>
        <v>500</v>
      </c>
      <c r="J131" s="288">
        <f>ROUND(IF($A131="E",I131*(1+Assumptions!G$15),I131*(1+Assumptions!G$14)),-2)</f>
        <v>500</v>
      </c>
      <c r="K131" s="288">
        <f>ROUND(IF($A131="E",J131*(1+Assumptions!H$15),J131*(1+Assumptions!H$14)),-2)</f>
        <v>500</v>
      </c>
      <c r="L131" s="288">
        <f>ROUND(IF($A131="E",K131*(1+Assumptions!I$15),K131*(1+Assumptions!I$14)),-2)</f>
        <v>500</v>
      </c>
      <c r="M131" s="288">
        <f>ROUND(IF($A131="E",L131*(1+Assumptions!J$15),L131*(1+Assumptions!J$14)),-2)</f>
        <v>500</v>
      </c>
      <c r="N131" s="288">
        <f>ROUND(IF($A131="E",M131*(1+Assumptions!K$15),M131*(1+Assumptions!K$14)),-2)</f>
        <v>500</v>
      </c>
    </row>
    <row r="132" spans="2:14" x14ac:dyDescent="0.25">
      <c r="B132" s="16" t="s">
        <v>45</v>
      </c>
      <c r="C132" s="16" t="s">
        <v>304</v>
      </c>
      <c r="D132" s="16" t="s">
        <v>305</v>
      </c>
      <c r="E132" s="288">
        <v>200</v>
      </c>
      <c r="F132" s="288">
        <f>ROUND(IF($A132="E",E132*(1+Assumptions!C$15),E132*(1+Assumptions!C$14)),-2)</f>
        <v>200</v>
      </c>
      <c r="G132" s="288">
        <f>ROUND(IF($A132="E",F132*(1+Assumptions!D$15),F132*(1+Assumptions!D$14)),-2)</f>
        <v>200</v>
      </c>
      <c r="H132" s="288">
        <f>ROUND(IF($A132="E",G132*(1+Assumptions!E$15),G132*(1+Assumptions!E$14)),-2)</f>
        <v>200</v>
      </c>
      <c r="I132" s="288">
        <f>ROUND(IF($A132="E",H132*(1+Assumptions!F$15),H132*(1+Assumptions!F$14)),-2)</f>
        <v>200</v>
      </c>
      <c r="J132" s="288">
        <f>ROUND(IF($A132="E",I132*(1+Assumptions!G$15),I132*(1+Assumptions!G$14)),-2)</f>
        <v>200</v>
      </c>
      <c r="K132" s="288">
        <f>ROUND(IF($A132="E",J132*(1+Assumptions!H$15),J132*(1+Assumptions!H$14)),-2)</f>
        <v>200</v>
      </c>
      <c r="L132" s="288">
        <f>ROUND(IF($A132="E",K132*(1+Assumptions!I$15),K132*(1+Assumptions!I$14)),-2)</f>
        <v>200</v>
      </c>
      <c r="M132" s="288">
        <f>ROUND(IF($A132="E",L132*(1+Assumptions!J$15),L132*(1+Assumptions!J$14)),-2)</f>
        <v>200</v>
      </c>
      <c r="N132" s="288">
        <f>ROUND(IF($A132="E",M132*(1+Assumptions!K$15),M132*(1+Assumptions!K$14)),-2)</f>
        <v>200</v>
      </c>
    </row>
    <row r="133" spans="2:14" x14ac:dyDescent="0.25">
      <c r="B133" s="16" t="s">
        <v>45</v>
      </c>
      <c r="C133" s="16" t="s">
        <v>306</v>
      </c>
      <c r="D133" s="16" t="s">
        <v>307</v>
      </c>
      <c r="E133" s="288">
        <v>100</v>
      </c>
      <c r="F133" s="288">
        <f>ROUND(IF($A133="E",E133*(1+Assumptions!C$15),E133*(1+Assumptions!C$14)),-2)</f>
        <v>100</v>
      </c>
      <c r="G133" s="288">
        <f>ROUND(IF($A133="E",F133*(1+Assumptions!D$15),F133*(1+Assumptions!D$14)),-2)</f>
        <v>100</v>
      </c>
      <c r="H133" s="288">
        <f>ROUND(IF($A133="E",G133*(1+Assumptions!E$15),G133*(1+Assumptions!E$14)),-2)</f>
        <v>100</v>
      </c>
      <c r="I133" s="288">
        <f>ROUND(IF($A133="E",H133*(1+Assumptions!F$15),H133*(1+Assumptions!F$14)),-2)</f>
        <v>100</v>
      </c>
      <c r="J133" s="288">
        <f>ROUND(IF($A133="E",I133*(1+Assumptions!G$15),I133*(1+Assumptions!G$14)),-2)</f>
        <v>100</v>
      </c>
      <c r="K133" s="288">
        <f>ROUND(IF($A133="E",J133*(1+Assumptions!H$15),J133*(1+Assumptions!H$14)),-2)</f>
        <v>100</v>
      </c>
      <c r="L133" s="288">
        <f>ROUND(IF($A133="E",K133*(1+Assumptions!I$15),K133*(1+Assumptions!I$14)),-2)</f>
        <v>100</v>
      </c>
      <c r="M133" s="288">
        <f>ROUND(IF($A133="E",L133*(1+Assumptions!J$15),L133*(1+Assumptions!J$14)),-2)</f>
        <v>100</v>
      </c>
      <c r="N133" s="288">
        <f>ROUND(IF($A133="E",M133*(1+Assumptions!K$15),M133*(1+Assumptions!K$14)),-2)</f>
        <v>100</v>
      </c>
    </row>
    <row r="134" spans="2:14" x14ac:dyDescent="0.25">
      <c r="B134" s="16" t="s">
        <v>45</v>
      </c>
      <c r="C134" s="16" t="s">
        <v>308</v>
      </c>
      <c r="D134" s="16" t="s">
        <v>309</v>
      </c>
      <c r="E134" s="288">
        <v>1950</v>
      </c>
      <c r="F134" s="288">
        <f>ROUND(IF($A134="E",E134*(1+Assumptions!C$15),E134*(1+Assumptions!C$14)),-2)</f>
        <v>2000</v>
      </c>
      <c r="G134" s="288">
        <f>ROUND(IF($A134="E",F134*(1+Assumptions!D$15),F134*(1+Assumptions!D$14)),-2)</f>
        <v>2000</v>
      </c>
      <c r="H134" s="288">
        <f>ROUND(IF($A134="E",G134*(1+Assumptions!E$15),G134*(1+Assumptions!E$14)),-2)</f>
        <v>2000</v>
      </c>
      <c r="I134" s="288">
        <f>ROUND(IF($A134="E",H134*(1+Assumptions!F$15),H134*(1+Assumptions!F$14)),-2)</f>
        <v>2000</v>
      </c>
      <c r="J134" s="288">
        <f>ROUND(IF($A134="E",I134*(1+Assumptions!G$15),I134*(1+Assumptions!G$14)),-2)</f>
        <v>2000</v>
      </c>
      <c r="K134" s="288">
        <f>ROUND(IF($A134="E",J134*(1+Assumptions!H$15),J134*(1+Assumptions!H$14)),-2)</f>
        <v>2000</v>
      </c>
      <c r="L134" s="288">
        <f>ROUND(IF($A134="E",K134*(1+Assumptions!I$15),K134*(1+Assumptions!I$14)),-2)</f>
        <v>2100</v>
      </c>
      <c r="M134" s="288">
        <f>ROUND(IF($A134="E",L134*(1+Assumptions!J$15),L134*(1+Assumptions!J$14)),-2)</f>
        <v>2200</v>
      </c>
      <c r="N134" s="288">
        <f>ROUND(IF($A134="E",M134*(1+Assumptions!K$15),M134*(1+Assumptions!K$14)),-2)</f>
        <v>2300</v>
      </c>
    </row>
    <row r="135" spans="2:14" x14ac:dyDescent="0.25">
      <c r="B135" s="16" t="s">
        <v>45</v>
      </c>
      <c r="C135" s="16" t="s">
        <v>310</v>
      </c>
      <c r="D135" s="16" t="s">
        <v>311</v>
      </c>
      <c r="E135" s="288">
        <v>250</v>
      </c>
      <c r="F135" s="288">
        <f>ROUND(IF($A135="E",E135*(1+Assumptions!C$15),E135*(1+Assumptions!C$14)),-2)</f>
        <v>300</v>
      </c>
      <c r="G135" s="288">
        <f>ROUND(IF($A135="E",F135*(1+Assumptions!D$15),F135*(1+Assumptions!D$14)),-2)</f>
        <v>300</v>
      </c>
      <c r="H135" s="288">
        <f>ROUND(IF($A135="E",G135*(1+Assumptions!E$15),G135*(1+Assumptions!E$14)),-2)</f>
        <v>300</v>
      </c>
      <c r="I135" s="288">
        <f>ROUND(IF($A135="E",H135*(1+Assumptions!F$15),H135*(1+Assumptions!F$14)),-2)</f>
        <v>300</v>
      </c>
      <c r="J135" s="288">
        <f>ROUND(IF($A135="E",I135*(1+Assumptions!G$15),I135*(1+Assumptions!G$14)),-2)</f>
        <v>300</v>
      </c>
      <c r="K135" s="288">
        <f>ROUND(IF($A135="E",J135*(1+Assumptions!H$15),J135*(1+Assumptions!H$14)),-2)</f>
        <v>300</v>
      </c>
      <c r="L135" s="288">
        <f>ROUND(IF($A135="E",K135*(1+Assumptions!I$15),K135*(1+Assumptions!I$14)),-2)</f>
        <v>300</v>
      </c>
      <c r="M135" s="288">
        <f>ROUND(IF($A135="E",L135*(1+Assumptions!J$15),L135*(1+Assumptions!J$14)),-2)</f>
        <v>300</v>
      </c>
      <c r="N135" s="288">
        <f>ROUND(IF($A135="E",M135*(1+Assumptions!K$15),M135*(1+Assumptions!K$14)),-2)</f>
        <v>300</v>
      </c>
    </row>
    <row r="136" spans="2:14" x14ac:dyDescent="0.25">
      <c r="B136" s="16" t="s">
        <v>43</v>
      </c>
      <c r="C136" s="16" t="s">
        <v>312</v>
      </c>
      <c r="D136" s="16" t="s">
        <v>187</v>
      </c>
      <c r="E136" s="289"/>
      <c r="F136" s="289"/>
      <c r="G136" s="289"/>
      <c r="H136" s="289"/>
      <c r="I136" s="289"/>
      <c r="J136" s="289"/>
      <c r="K136" s="289"/>
      <c r="L136" s="289"/>
      <c r="M136" s="289"/>
      <c r="N136" s="289"/>
    </row>
    <row r="137" spans="2:14" x14ac:dyDescent="0.25">
      <c r="B137" s="16" t="s">
        <v>43</v>
      </c>
      <c r="C137" s="16" t="s">
        <v>313</v>
      </c>
      <c r="D137" s="16" t="s">
        <v>193</v>
      </c>
      <c r="E137" s="288">
        <v>345600</v>
      </c>
      <c r="F137" s="288">
        <f>ROUND(IF($A137="E",E137*(1+Assumptions!C$15),E137*(1+Assumptions!C$14)),-2)</f>
        <v>350800</v>
      </c>
      <c r="G137" s="288">
        <f>ROUND(IF($A137="E",F137*(1+Assumptions!D$15),F137*(1+Assumptions!D$14)),-2)</f>
        <v>357800</v>
      </c>
      <c r="H137" s="288">
        <f>ROUND(IF($A137="E",G137*(1+Assumptions!E$15),G137*(1+Assumptions!E$14)),-2)</f>
        <v>365000</v>
      </c>
      <c r="I137" s="288">
        <f>ROUND(IF($A137="E",H137*(1+Assumptions!F$15),H137*(1+Assumptions!F$14)),-2)</f>
        <v>372300</v>
      </c>
      <c r="J137" s="288">
        <f>ROUND(IF($A137="E",I137*(1+Assumptions!G$15),I137*(1+Assumptions!G$14)),-2)</f>
        <v>379700</v>
      </c>
      <c r="K137" s="288">
        <f>ROUND(IF($A137="E",J137*(1+Assumptions!H$15),J137*(1+Assumptions!H$14)),-2)</f>
        <v>387300</v>
      </c>
      <c r="L137" s="288">
        <f>ROUND(IF($A137="E",K137*(1+Assumptions!I$15),K137*(1+Assumptions!I$14)),-2)</f>
        <v>397000</v>
      </c>
      <c r="M137" s="288">
        <f>ROUND(IF($A137="E",L137*(1+Assumptions!J$15),L137*(1+Assumptions!J$14)),-2)</f>
        <v>406900</v>
      </c>
      <c r="N137" s="288">
        <f>ROUND(IF($A137="E",M137*(1+Assumptions!K$15),M137*(1+Assumptions!K$14)),-2)</f>
        <v>417100</v>
      </c>
    </row>
    <row r="138" spans="2:14" ht="12.75" customHeight="1" x14ac:dyDescent="0.25">
      <c r="E138" s="288"/>
      <c r="F138" s="288"/>
      <c r="G138" s="288"/>
      <c r="H138" s="288"/>
      <c r="I138" s="288"/>
      <c r="J138" s="288"/>
      <c r="K138" s="288"/>
      <c r="L138" s="288"/>
      <c r="M138" s="288"/>
      <c r="N138" s="288"/>
    </row>
    <row r="139" spans="2:14" ht="12.75" customHeight="1" x14ac:dyDescent="0.25">
      <c r="D139" s="19" t="s">
        <v>3234</v>
      </c>
      <c r="E139" s="291">
        <f>SUM(E98:E138)</f>
        <v>1116600</v>
      </c>
      <c r="F139" s="291">
        <f t="shared" ref="F139:N139" si="2">SUM(F98:F138)</f>
        <v>920500</v>
      </c>
      <c r="G139" s="291">
        <f t="shared" si="2"/>
        <v>938800</v>
      </c>
      <c r="H139" s="291">
        <f t="shared" si="2"/>
        <v>1207600</v>
      </c>
      <c r="I139" s="291">
        <f t="shared" si="2"/>
        <v>976600</v>
      </c>
      <c r="J139" s="291">
        <f t="shared" si="2"/>
        <v>995800</v>
      </c>
      <c r="K139" s="291">
        <f t="shared" si="2"/>
        <v>1015500</v>
      </c>
      <c r="L139" s="291">
        <f t="shared" si="2"/>
        <v>1340700</v>
      </c>
      <c r="M139" s="291">
        <f t="shared" si="2"/>
        <v>1066600</v>
      </c>
      <c r="N139" s="291">
        <f t="shared" si="2"/>
        <v>1093300</v>
      </c>
    </row>
    <row r="140" spans="2:14" ht="12.75" customHeight="1" x14ac:dyDescent="0.25">
      <c r="E140" s="288"/>
      <c r="F140" s="288"/>
      <c r="G140" s="288"/>
      <c r="H140" s="288"/>
      <c r="I140" s="288"/>
      <c r="J140" s="288"/>
      <c r="K140" s="288"/>
      <c r="L140" s="288"/>
      <c r="M140" s="288"/>
      <c r="N140" s="288"/>
    </row>
    <row r="141" spans="2:14" x14ac:dyDescent="0.25">
      <c r="C141" s="19" t="s">
        <v>314</v>
      </c>
      <c r="E141" s="288"/>
      <c r="F141" s="288"/>
      <c r="G141" s="288"/>
      <c r="H141" s="288"/>
      <c r="I141" s="288"/>
      <c r="J141" s="288"/>
      <c r="K141" s="288"/>
      <c r="L141" s="288"/>
      <c r="M141" s="288"/>
      <c r="N141" s="288"/>
    </row>
    <row r="142" spans="2:14" ht="12.75" customHeight="1" x14ac:dyDescent="0.25">
      <c r="E142" s="288"/>
      <c r="F142" s="288"/>
      <c r="G142" s="288"/>
      <c r="H142" s="288"/>
      <c r="I142" s="288"/>
      <c r="J142" s="288"/>
      <c r="K142" s="288"/>
      <c r="L142" s="288"/>
      <c r="M142" s="288"/>
      <c r="N142" s="288"/>
    </row>
    <row r="143" spans="2:14" x14ac:dyDescent="0.25">
      <c r="C143" s="16" t="s">
        <v>315</v>
      </c>
      <c r="E143" s="288"/>
      <c r="F143" s="288"/>
      <c r="G143" s="288"/>
      <c r="H143" s="288"/>
      <c r="I143" s="288"/>
      <c r="J143" s="288"/>
      <c r="K143" s="288"/>
      <c r="L143" s="288"/>
      <c r="M143" s="288"/>
      <c r="N143" s="288"/>
    </row>
    <row r="144" spans="2:14" x14ac:dyDescent="0.25">
      <c r="B144" s="16" t="s">
        <v>3227</v>
      </c>
      <c r="C144" s="16" t="s">
        <v>316</v>
      </c>
      <c r="D144" s="16" t="s">
        <v>317</v>
      </c>
      <c r="E144" s="288"/>
      <c r="F144" s="288"/>
      <c r="G144" s="288"/>
      <c r="H144" s="288"/>
      <c r="I144" s="288"/>
      <c r="J144" s="288"/>
      <c r="K144" s="288"/>
      <c r="L144" s="288"/>
      <c r="M144" s="288"/>
      <c r="N144" s="288"/>
    </row>
    <row r="145" spans="2:14" x14ac:dyDescent="0.25">
      <c r="B145" s="16" t="s">
        <v>3227</v>
      </c>
      <c r="C145" s="16" t="s">
        <v>318</v>
      </c>
      <c r="D145" s="16" t="s">
        <v>319</v>
      </c>
      <c r="E145" s="288">
        <v>-15134300</v>
      </c>
      <c r="F145" s="288">
        <f>ROUND(E145+(E145*Assumptions!C$5),-2)+215100-120000</f>
        <v>-16174300</v>
      </c>
      <c r="G145" s="288">
        <f>ROUND(F145+(F145*Assumptions!D$5),-2)</f>
        <v>-17387400</v>
      </c>
      <c r="H145" s="288">
        <f>ROUND(G145+(G145*Assumptions!E$5),-2)</f>
        <v>-18691500</v>
      </c>
      <c r="I145" s="288">
        <f>ROUND(H145+(H145*Assumptions!F$5),-2)</f>
        <v>-20093400</v>
      </c>
      <c r="J145" s="288">
        <f>ROUND(I145+(I145*Assumptions!G$5),-2)</f>
        <v>-20595700</v>
      </c>
      <c r="K145" s="288">
        <f>ROUND(J145+(J145*Assumptions!H$5),-2)</f>
        <v>-21110600</v>
      </c>
      <c r="L145" s="288">
        <f>ROUND(K145+(K145*Assumptions!I$5),-2)</f>
        <v>-21638400</v>
      </c>
      <c r="M145" s="288">
        <f>ROUND(L145+(L145*Assumptions!J$5),-2)</f>
        <v>-22179400</v>
      </c>
      <c r="N145" s="288">
        <f>ROUND(M145+(M145*Assumptions!K$5),-2)</f>
        <v>-22733900</v>
      </c>
    </row>
    <row r="146" spans="2:14" x14ac:dyDescent="0.25">
      <c r="B146" s="16" t="s">
        <v>3227</v>
      </c>
      <c r="C146" s="16" t="s">
        <v>320</v>
      </c>
      <c r="D146" s="16" t="s">
        <v>321</v>
      </c>
      <c r="E146" s="288">
        <v>-1561900</v>
      </c>
      <c r="F146" s="288">
        <f>ROUND(E146+(E146*Assumptions!C$5),-2)</f>
        <v>-1679000</v>
      </c>
      <c r="G146" s="288">
        <f>ROUND(F146+(F146*Assumptions!D$5),-2)</f>
        <v>-1804900</v>
      </c>
      <c r="H146" s="288">
        <f>ROUND(G146+(G146*Assumptions!E$5),-2)</f>
        <v>-1940300</v>
      </c>
      <c r="I146" s="288">
        <f>ROUND(H146+(H146*Assumptions!F$5),-2)</f>
        <v>-2085800</v>
      </c>
      <c r="J146" s="288">
        <f>ROUND(I146+(I146*Assumptions!G$5),-2)</f>
        <v>-2137900</v>
      </c>
      <c r="K146" s="288">
        <f>ROUND(J146+(J146*Assumptions!H$5),-2)</f>
        <v>-2191300</v>
      </c>
      <c r="L146" s="288">
        <f>ROUND(K146+(K146*Assumptions!I$5),-2)</f>
        <v>-2246100</v>
      </c>
      <c r="M146" s="288">
        <f>ROUND(L146+(L146*Assumptions!J$5),-2)</f>
        <v>-2302300</v>
      </c>
      <c r="N146" s="288">
        <f>ROUND(M146+(M146*Assumptions!K$5),-2)</f>
        <v>-2359900</v>
      </c>
    </row>
    <row r="147" spans="2:14" x14ac:dyDescent="0.25">
      <c r="B147" s="16" t="s">
        <v>3227</v>
      </c>
      <c r="C147" s="16" t="s">
        <v>322</v>
      </c>
      <c r="D147" s="16" t="s">
        <v>323</v>
      </c>
      <c r="E147" s="288">
        <v>-2274300</v>
      </c>
      <c r="F147" s="288">
        <f>ROUND(E147+(E147*Assumptions!C$5),-2)</f>
        <v>-2444900</v>
      </c>
      <c r="G147" s="288">
        <f>ROUND(F147+(F147*Assumptions!D$5),-2)</f>
        <v>-2628300</v>
      </c>
      <c r="H147" s="288">
        <f>ROUND(G147+(G147*Assumptions!E$5),-2)</f>
        <v>-2825400</v>
      </c>
      <c r="I147" s="288">
        <f>ROUND(H147+(H147*Assumptions!F$5),-2)</f>
        <v>-3037300</v>
      </c>
      <c r="J147" s="288">
        <f>ROUND(I147+(I147*Assumptions!G$5),-2)</f>
        <v>-3113200</v>
      </c>
      <c r="K147" s="288">
        <f>ROUND(J147+(J147*Assumptions!H$5),-2)</f>
        <v>-3191000</v>
      </c>
      <c r="L147" s="288">
        <f>ROUND(K147+(K147*Assumptions!I$5),-2)</f>
        <v>-3270800</v>
      </c>
      <c r="M147" s="288">
        <f>ROUND(L147+(L147*Assumptions!J$5),-2)</f>
        <v>-3352600</v>
      </c>
      <c r="N147" s="288">
        <f>ROUND(M147+(M147*Assumptions!K$5),-2)</f>
        <v>-3436400</v>
      </c>
    </row>
    <row r="148" spans="2:14" x14ac:dyDescent="0.25">
      <c r="B148" s="16" t="s">
        <v>3227</v>
      </c>
      <c r="C148" s="16" t="s">
        <v>324</v>
      </c>
      <c r="D148" s="16" t="s">
        <v>325</v>
      </c>
      <c r="E148" s="288">
        <v>-871500</v>
      </c>
      <c r="F148" s="288">
        <f>ROUND(E148+(E148*Assumptions!C$5),-2)</f>
        <v>-936900</v>
      </c>
      <c r="G148" s="288">
        <f>ROUND(F148+(F148*Assumptions!D$5),-2)</f>
        <v>-1007200</v>
      </c>
      <c r="H148" s="288">
        <f>ROUND(G148+(G148*Assumptions!E$5),-2)</f>
        <v>-1082700</v>
      </c>
      <c r="I148" s="288">
        <f>ROUND(H148+(H148*Assumptions!F$5),-2)</f>
        <v>-1163900</v>
      </c>
      <c r="J148" s="288">
        <f>ROUND(I148+(I148*Assumptions!G$5),-2)</f>
        <v>-1193000</v>
      </c>
      <c r="K148" s="288">
        <f>ROUND(J148+(J148*Assumptions!H$5),-2)</f>
        <v>-1222800</v>
      </c>
      <c r="L148" s="288">
        <f>ROUND(K148+(K148*Assumptions!I$5),-2)</f>
        <v>-1253400</v>
      </c>
      <c r="M148" s="288">
        <f>ROUND(L148+(L148*Assumptions!J$5),-2)</f>
        <v>-1284700</v>
      </c>
      <c r="N148" s="288">
        <f>ROUND(M148+(M148*Assumptions!K$5),-2)</f>
        <v>-1316800</v>
      </c>
    </row>
    <row r="149" spans="2:14" x14ac:dyDescent="0.25">
      <c r="B149" s="16" t="s">
        <v>3227</v>
      </c>
      <c r="C149" s="16" t="s">
        <v>326</v>
      </c>
      <c r="D149" s="16" t="s">
        <v>327</v>
      </c>
      <c r="E149" s="289"/>
      <c r="F149" s="289"/>
      <c r="G149" s="289"/>
      <c r="H149" s="289"/>
      <c r="I149" s="289"/>
      <c r="J149" s="289"/>
      <c r="K149" s="289"/>
      <c r="L149" s="289"/>
      <c r="M149" s="289"/>
      <c r="N149" s="289"/>
    </row>
    <row r="150" spans="2:14" x14ac:dyDescent="0.25">
      <c r="B150" s="16" t="s">
        <v>3227</v>
      </c>
      <c r="C150" s="16" t="s">
        <v>328</v>
      </c>
      <c r="D150" s="16" t="s">
        <v>329</v>
      </c>
      <c r="E150" s="288">
        <v>415000</v>
      </c>
      <c r="F150" s="288">
        <f>ROUND(E150+(E150*Assumptions!C$5),-2)</f>
        <v>446100</v>
      </c>
      <c r="G150" s="288">
        <f>ROUND(F150+(F150*Assumptions!D$5),-2)</f>
        <v>479600</v>
      </c>
      <c r="H150" s="288">
        <f>ROUND(G150+(G150*Assumptions!E$5),-2)</f>
        <v>515600</v>
      </c>
      <c r="I150" s="288">
        <f>ROUND(H150+(H150*Assumptions!F$5),-2)</f>
        <v>554300</v>
      </c>
      <c r="J150" s="288">
        <f>ROUND(I150+(I150*Assumptions!G$5),-2)</f>
        <v>568200</v>
      </c>
      <c r="K150" s="288">
        <f>ROUND(J150+(J150*Assumptions!H$5),-2)</f>
        <v>582400</v>
      </c>
      <c r="L150" s="288">
        <f>ROUND(K150+(K150*Assumptions!I$5),-2)</f>
        <v>597000</v>
      </c>
      <c r="M150" s="288">
        <f>ROUND(L150+(L150*Assumptions!J$5),-2)</f>
        <v>611900</v>
      </c>
      <c r="N150" s="288">
        <f>ROUND(M150+(M150*Assumptions!K$5),-2)</f>
        <v>627200</v>
      </c>
    </row>
    <row r="151" spans="2:14" x14ac:dyDescent="0.25">
      <c r="B151" s="16" t="s">
        <v>35</v>
      </c>
      <c r="C151" s="16" t="s">
        <v>330</v>
      </c>
      <c r="D151" s="16" t="s">
        <v>331</v>
      </c>
      <c r="E151" s="289"/>
      <c r="F151" s="289"/>
      <c r="G151" s="289"/>
      <c r="H151" s="289"/>
      <c r="I151" s="289"/>
      <c r="J151" s="289"/>
      <c r="K151" s="289"/>
      <c r="L151" s="289"/>
      <c r="M151" s="289"/>
      <c r="N151" s="289"/>
    </row>
    <row r="152" spans="2:14" x14ac:dyDescent="0.25">
      <c r="B152" s="16" t="s">
        <v>35</v>
      </c>
      <c r="C152" s="16" t="s">
        <v>332</v>
      </c>
      <c r="D152" s="16" t="s">
        <v>333</v>
      </c>
      <c r="E152" s="288">
        <v>-60000</v>
      </c>
      <c r="F152" s="288">
        <f>ROUND(E152+(E152*Assumptions!C$5),-2)</f>
        <v>-64500</v>
      </c>
      <c r="G152" s="288">
        <f>ROUND(F152+(F152*Assumptions!D$5),-2)</f>
        <v>-69300</v>
      </c>
      <c r="H152" s="288">
        <f>ROUND(G152+(G152*Assumptions!E$5),-2)</f>
        <v>-74500</v>
      </c>
      <c r="I152" s="288">
        <f>ROUND(H152+(H152*Assumptions!F$5),-2)</f>
        <v>-80100</v>
      </c>
      <c r="J152" s="288">
        <f>ROUND(I152+(I152*Assumptions!G$5),-2)</f>
        <v>-82100</v>
      </c>
      <c r="K152" s="288">
        <f>ROUND(J152+(J152*Assumptions!H$5),-2)</f>
        <v>-84200</v>
      </c>
      <c r="L152" s="288">
        <f>ROUND(K152+(K152*Assumptions!I$5),-2)</f>
        <v>-86300</v>
      </c>
      <c r="M152" s="288">
        <f>ROUND(L152+(L152*Assumptions!J$5),-2)</f>
        <v>-88500</v>
      </c>
      <c r="N152" s="288">
        <f>ROUND(M152+(M152*Assumptions!K$5),-2)</f>
        <v>-90700</v>
      </c>
    </row>
    <row r="153" spans="2:14" x14ac:dyDescent="0.25">
      <c r="B153" s="16" t="s">
        <v>3228</v>
      </c>
      <c r="C153" s="16" t="s">
        <v>334</v>
      </c>
      <c r="D153" s="16" t="s">
        <v>335</v>
      </c>
      <c r="E153" s="288">
        <v>-80000</v>
      </c>
      <c r="F153" s="288">
        <f>ROUND(E153+(E153*Assumptions!C$5),-2)</f>
        <v>-86000</v>
      </c>
      <c r="G153" s="288">
        <f>ROUND(F153+(F153*Assumptions!D$5),-2)</f>
        <v>-92500</v>
      </c>
      <c r="H153" s="288">
        <f>ROUND(G153+(G153*Assumptions!E$5),-2)</f>
        <v>-99400</v>
      </c>
      <c r="I153" s="288">
        <f>ROUND(H153+(H153*Assumptions!F$5),-2)</f>
        <v>-106900</v>
      </c>
      <c r="J153" s="288">
        <f>ROUND(I153+(I153*Assumptions!G$5),-2)</f>
        <v>-109600</v>
      </c>
      <c r="K153" s="288">
        <f>ROUND(J153+(J153*Assumptions!H$5),-2)</f>
        <v>-112300</v>
      </c>
      <c r="L153" s="288">
        <f>ROUND(K153+(K153*Assumptions!I$5),-2)</f>
        <v>-115100</v>
      </c>
      <c r="M153" s="288">
        <f>ROUND(L153+(L153*Assumptions!J$5),-2)</f>
        <v>-118000</v>
      </c>
      <c r="N153" s="288">
        <f>ROUND(M153+(M153*Assumptions!K$5),-2)</f>
        <v>-121000</v>
      </c>
    </row>
    <row r="154" spans="2:14" x14ac:dyDescent="0.25">
      <c r="B154" s="16" t="s">
        <v>3228</v>
      </c>
      <c r="C154" s="16" t="s">
        <v>336</v>
      </c>
      <c r="D154" s="16" t="s">
        <v>337</v>
      </c>
      <c r="E154" s="288">
        <v>80000</v>
      </c>
      <c r="F154" s="288">
        <f>ROUND(E154+(E154*Assumptions!C$5),-2)</f>
        <v>86000</v>
      </c>
      <c r="G154" s="288">
        <f>ROUND(F154+(F154*Assumptions!D$5),-2)</f>
        <v>92500</v>
      </c>
      <c r="H154" s="288">
        <f>ROUND(G154+(G154*Assumptions!E$5),-2)</f>
        <v>99400</v>
      </c>
      <c r="I154" s="288">
        <f>ROUND(H154+(H154*Assumptions!F$5),-2)</f>
        <v>106900</v>
      </c>
      <c r="J154" s="288">
        <f>ROUND(I154+(I154*Assumptions!G$5),-2)</f>
        <v>109600</v>
      </c>
      <c r="K154" s="288">
        <f>ROUND(J154+(J154*Assumptions!H$5),-2)</f>
        <v>112300</v>
      </c>
      <c r="L154" s="288">
        <f>ROUND(K154+(K154*Assumptions!I$5),-2)</f>
        <v>115100</v>
      </c>
      <c r="M154" s="288">
        <f>ROUND(L154+(L154*Assumptions!J$5),-2)</f>
        <v>118000</v>
      </c>
      <c r="N154" s="288">
        <f>ROUND(M154+(M154*Assumptions!K$5),-2)</f>
        <v>121000</v>
      </c>
    </row>
    <row r="155" spans="2:14" x14ac:dyDescent="0.25">
      <c r="B155" s="16" t="s">
        <v>3228</v>
      </c>
      <c r="C155" s="16" t="s">
        <v>338</v>
      </c>
      <c r="D155" s="16" t="s">
        <v>339</v>
      </c>
      <c r="E155" s="288">
        <v>-2000</v>
      </c>
      <c r="F155" s="288">
        <f>ROUND(E155+(E155*Assumptions!C$5),-2)</f>
        <v>-2200</v>
      </c>
      <c r="G155" s="288">
        <f>ROUND(F155+(F155*Assumptions!D$5),-2)</f>
        <v>-2400</v>
      </c>
      <c r="H155" s="288">
        <f>ROUND(G155+(G155*Assumptions!E$5),-2)</f>
        <v>-2600</v>
      </c>
      <c r="I155" s="288">
        <f>ROUND(H155+(H155*Assumptions!F$5),-2)</f>
        <v>-2800</v>
      </c>
      <c r="J155" s="288">
        <f>ROUND(I155+(I155*Assumptions!G$5),-2)</f>
        <v>-2900</v>
      </c>
      <c r="K155" s="288">
        <f>ROUND(J155+(J155*Assumptions!H$5),-2)</f>
        <v>-3000</v>
      </c>
      <c r="L155" s="288">
        <f>ROUND(K155+(K155*Assumptions!I$5),-2)</f>
        <v>-3100</v>
      </c>
      <c r="M155" s="288">
        <f>ROUND(L155+(L155*Assumptions!J$5),-2)</f>
        <v>-3200</v>
      </c>
      <c r="N155" s="288">
        <f>ROUND(M155+(M155*Assumptions!K$5),-2)</f>
        <v>-3300</v>
      </c>
    </row>
    <row r="156" spans="2:14" x14ac:dyDescent="0.25">
      <c r="B156" s="16" t="s">
        <v>3228</v>
      </c>
      <c r="C156" s="16" t="s">
        <v>340</v>
      </c>
      <c r="D156" s="16" t="s">
        <v>341</v>
      </c>
      <c r="E156" s="289"/>
      <c r="F156" s="289"/>
      <c r="G156" s="289"/>
      <c r="H156" s="289"/>
      <c r="I156" s="289"/>
      <c r="J156" s="289"/>
      <c r="K156" s="289"/>
      <c r="L156" s="289"/>
      <c r="M156" s="289"/>
      <c r="N156" s="289"/>
    </row>
    <row r="157" spans="2:14" x14ac:dyDescent="0.25">
      <c r="B157" s="16" t="s">
        <v>3227</v>
      </c>
      <c r="C157" s="16" t="s">
        <v>342</v>
      </c>
      <c r="D157" s="16" t="s">
        <v>343</v>
      </c>
      <c r="E157" s="288">
        <v>20000</v>
      </c>
      <c r="F157" s="288">
        <f>ROUND(E157+(E157*Assumptions!C$5),-2)</f>
        <v>21500</v>
      </c>
      <c r="G157" s="288">
        <f>ROUND(F157+(F157*Assumptions!D$5),-2)</f>
        <v>23100</v>
      </c>
      <c r="H157" s="288">
        <f>ROUND(G157+(G157*Assumptions!E$5),-2)</f>
        <v>24800</v>
      </c>
      <c r="I157" s="288">
        <f>ROUND(H157+(H157*Assumptions!F$5),-2)</f>
        <v>26700</v>
      </c>
      <c r="J157" s="288">
        <f>ROUND(I157+(I157*Assumptions!G$5),-2)</f>
        <v>27400</v>
      </c>
      <c r="K157" s="288">
        <f>ROUND(J157+(J157*Assumptions!H$5),-2)</f>
        <v>28100</v>
      </c>
      <c r="L157" s="288">
        <f>ROUND(K157+(K157*Assumptions!I$5),-2)</f>
        <v>28800</v>
      </c>
      <c r="M157" s="288">
        <f>ROUND(L157+(L157*Assumptions!J$5),-2)</f>
        <v>29500</v>
      </c>
      <c r="N157" s="288">
        <f>ROUND(M157+(M157*Assumptions!K$5),-2)</f>
        <v>30200</v>
      </c>
    </row>
    <row r="158" spans="2:14" x14ac:dyDescent="0.25">
      <c r="B158" s="16" t="s">
        <v>3227</v>
      </c>
      <c r="C158" s="16" t="s">
        <v>344</v>
      </c>
      <c r="D158" s="16" t="s">
        <v>345</v>
      </c>
      <c r="E158" s="288">
        <v>3900</v>
      </c>
      <c r="F158" s="288">
        <f>ROUND(E158+(E158*Assumptions!C$5),-2)</f>
        <v>4200</v>
      </c>
      <c r="G158" s="288">
        <f>ROUND(F158+(F158*Assumptions!D$5),-2)</f>
        <v>4500</v>
      </c>
      <c r="H158" s="288">
        <f>ROUND(G158+(G158*Assumptions!E$5),-2)</f>
        <v>4800</v>
      </c>
      <c r="I158" s="288">
        <f>ROUND(H158+(H158*Assumptions!F$5),-2)</f>
        <v>5200</v>
      </c>
      <c r="J158" s="288">
        <f>ROUND(I158+(I158*Assumptions!G$5),-2)</f>
        <v>5300</v>
      </c>
      <c r="K158" s="288">
        <f>ROUND(J158+(J158*Assumptions!H$5),-2)</f>
        <v>5400</v>
      </c>
      <c r="L158" s="288">
        <f>ROUND(K158+(K158*Assumptions!I$5),-2)</f>
        <v>5500</v>
      </c>
      <c r="M158" s="288">
        <f>ROUND(L158+(L158*Assumptions!J$5),-2)</f>
        <v>5600</v>
      </c>
      <c r="N158" s="288">
        <f>ROUND(M158+(M158*Assumptions!K$5),-2)</f>
        <v>5700</v>
      </c>
    </row>
    <row r="159" spans="2:14" x14ac:dyDescent="0.25">
      <c r="B159" s="16" t="s">
        <v>3229</v>
      </c>
      <c r="C159" s="16" t="s">
        <v>346</v>
      </c>
      <c r="D159" s="16" t="s">
        <v>347</v>
      </c>
      <c r="E159" s="289"/>
      <c r="F159" s="289"/>
      <c r="G159" s="289"/>
      <c r="H159" s="289"/>
      <c r="I159" s="289"/>
      <c r="J159" s="289"/>
      <c r="K159" s="289"/>
      <c r="L159" s="289"/>
      <c r="M159" s="289"/>
      <c r="N159" s="289"/>
    </row>
    <row r="160" spans="2:14" x14ac:dyDescent="0.25">
      <c r="B160" s="16" t="s">
        <v>3229</v>
      </c>
      <c r="C160" s="16" t="s">
        <v>348</v>
      </c>
      <c r="D160" s="27" t="s">
        <v>349</v>
      </c>
      <c r="E160" s="288">
        <v>-1611400</v>
      </c>
      <c r="F160" s="288">
        <f>ROUND(E160+(E160*Assumptions!C11),-2)</f>
        <v>-1611400</v>
      </c>
      <c r="G160" s="288">
        <f>ROUND(F160+(F160*Assumptions!D11),-2)</f>
        <v>-1627500</v>
      </c>
      <c r="H160" s="288">
        <f>ROUND(G160+(G160*Assumptions!E11),-2)</f>
        <v>-1643800</v>
      </c>
      <c r="I160" s="288">
        <f>ROUND(H160+(H160*Assumptions!F11),-2)</f>
        <v>-1660200</v>
      </c>
      <c r="J160" s="288">
        <f>ROUND(I160+(I160*Assumptions!G11),-2)</f>
        <v>-1676800</v>
      </c>
      <c r="K160" s="288">
        <f>ROUND(J160+(J160*Assumptions!H11),-2)</f>
        <v>-1693600</v>
      </c>
      <c r="L160" s="288">
        <f>ROUND(K160+(K160*Assumptions!I11),-2)</f>
        <v>-1710500</v>
      </c>
      <c r="M160" s="288">
        <f>ROUND(L160+(L160*Assumptions!J11),-2)</f>
        <v>-1727600</v>
      </c>
      <c r="N160" s="288">
        <f>ROUND(M160+(M160*Assumptions!K11),-2)</f>
        <v>-1744900</v>
      </c>
    </row>
    <row r="161" spans="2:14" x14ac:dyDescent="0.25">
      <c r="B161" s="16" t="s">
        <v>3229</v>
      </c>
      <c r="C161" s="16" t="s">
        <v>350</v>
      </c>
      <c r="D161" s="16" t="s">
        <v>351</v>
      </c>
      <c r="E161" s="288">
        <v>-228000</v>
      </c>
      <c r="F161" s="288">
        <f>ROUND(E161+(E161*Assumptions!C$5),-2)</f>
        <v>-245100</v>
      </c>
      <c r="G161" s="288">
        <f>ROUND(F161+(F161*Assumptions!D$5),-2)</f>
        <v>-263500</v>
      </c>
      <c r="H161" s="288">
        <f>ROUND(G161+(G161*Assumptions!E$5),-2)</f>
        <v>-283300</v>
      </c>
      <c r="I161" s="288">
        <f>ROUND(H161+(H161*Assumptions!F$5),-2)</f>
        <v>-304500</v>
      </c>
      <c r="J161" s="288">
        <f>ROUND(I161+(I161*Assumptions!G$5),-2)</f>
        <v>-312100</v>
      </c>
      <c r="K161" s="288">
        <f>ROUND(J161+(J161*Assumptions!H$5),-2)</f>
        <v>-319900</v>
      </c>
      <c r="L161" s="288">
        <f>ROUND(K161+(K161*Assumptions!I$5),-2)</f>
        <v>-327900</v>
      </c>
      <c r="M161" s="288">
        <f>ROUND(L161+(L161*Assumptions!J$5),-2)</f>
        <v>-336100</v>
      </c>
      <c r="N161" s="288">
        <f>ROUND(M161+(M161*Assumptions!K$5),-2)</f>
        <v>-344500</v>
      </c>
    </row>
    <row r="162" spans="2:14" x14ac:dyDescent="0.25">
      <c r="B162" s="16" t="s">
        <v>3229</v>
      </c>
      <c r="C162" s="16" t="s">
        <v>352</v>
      </c>
      <c r="D162" s="27" t="s">
        <v>353</v>
      </c>
      <c r="E162" s="288">
        <v>-1161300</v>
      </c>
      <c r="F162" s="288">
        <f>ROUND(E162+(E162*Assumptions!C13),-2)</f>
        <v>-1184500</v>
      </c>
      <c r="G162" s="288">
        <f>ROUND(F162+(F162*Assumptions!D13),-2)</f>
        <v>-1214100</v>
      </c>
      <c r="H162" s="288">
        <f>ROUND(G162+(G162*Assumptions!E13),-2)</f>
        <v>-1244500</v>
      </c>
      <c r="I162" s="288">
        <f>ROUND(H162+(H162*Assumptions!F13),-2)</f>
        <v>-1275600</v>
      </c>
      <c r="J162" s="288">
        <f>ROUND(I162+(I162*Assumptions!G13),-2)</f>
        <v>-1307500</v>
      </c>
      <c r="K162" s="288">
        <f>ROUND(J162+(J162*Assumptions!H13),-2)</f>
        <v>-1340200</v>
      </c>
      <c r="L162" s="288">
        <f>ROUND(K162+(K162*Assumptions!I13),-2)</f>
        <v>-1373700</v>
      </c>
      <c r="M162" s="288">
        <f>ROUND(L162+(L162*Assumptions!J13),-2)</f>
        <v>-1408000</v>
      </c>
      <c r="N162" s="288">
        <f>ROUND(M162+(M162*Assumptions!K13),-2)</f>
        <v>-1443200</v>
      </c>
    </row>
    <row r="163" spans="2:14" x14ac:dyDescent="0.25">
      <c r="B163" s="16" t="s">
        <v>35</v>
      </c>
      <c r="C163" s="16" t="s">
        <v>354</v>
      </c>
      <c r="D163" s="273" t="s">
        <v>355</v>
      </c>
      <c r="E163" s="288"/>
      <c r="F163" s="290"/>
      <c r="G163" s="290"/>
      <c r="H163" s="290"/>
      <c r="I163" s="290"/>
      <c r="J163" s="290"/>
      <c r="K163" s="290"/>
      <c r="L163" s="290"/>
      <c r="M163" s="290"/>
      <c r="N163" s="290"/>
    </row>
    <row r="164" spans="2:14" x14ac:dyDescent="0.25">
      <c r="B164" s="16" t="s">
        <v>35</v>
      </c>
      <c r="C164" s="16" t="s">
        <v>356</v>
      </c>
      <c r="D164" s="273" t="s">
        <v>357</v>
      </c>
      <c r="E164" s="288">
        <v>-50000</v>
      </c>
      <c r="F164" s="290">
        <f>E164</f>
        <v>-50000</v>
      </c>
      <c r="G164" s="290">
        <f t="shared" ref="G164:N164" si="3">F164</f>
        <v>-50000</v>
      </c>
      <c r="H164" s="290">
        <f t="shared" si="3"/>
        <v>-50000</v>
      </c>
      <c r="I164" s="290">
        <f t="shared" si="3"/>
        <v>-50000</v>
      </c>
      <c r="J164" s="290">
        <f t="shared" si="3"/>
        <v>-50000</v>
      </c>
      <c r="K164" s="290">
        <f t="shared" si="3"/>
        <v>-50000</v>
      </c>
      <c r="L164" s="290">
        <f t="shared" si="3"/>
        <v>-50000</v>
      </c>
      <c r="M164" s="290">
        <f t="shared" si="3"/>
        <v>-50000</v>
      </c>
      <c r="N164" s="290">
        <f t="shared" si="3"/>
        <v>-50000</v>
      </c>
    </row>
    <row r="165" spans="2:14" x14ac:dyDescent="0.25">
      <c r="B165" s="16" t="s">
        <v>35</v>
      </c>
      <c r="C165" s="16" t="s">
        <v>358</v>
      </c>
      <c r="D165" s="273" t="s">
        <v>359</v>
      </c>
      <c r="E165" s="288">
        <v>-807000</v>
      </c>
      <c r="F165" s="290">
        <f>-interest!D32+operatingdata!F164</f>
        <v>-567700</v>
      </c>
      <c r="G165" s="290">
        <f>-interest!E32+operatingdata!G164</f>
        <v>-547700</v>
      </c>
      <c r="H165" s="290">
        <f>-interest!F32+operatingdata!H164</f>
        <v>-566300</v>
      </c>
      <c r="I165" s="290">
        <f>-interest!G32+operatingdata!I164</f>
        <v>-581100</v>
      </c>
      <c r="J165" s="290">
        <f>-interest!H32+operatingdata!J164</f>
        <v>-641600</v>
      </c>
      <c r="K165" s="290">
        <f>-interest!I32+operatingdata!K164</f>
        <v>-727400</v>
      </c>
      <c r="L165" s="290">
        <f>-interest!J32+operatingdata!L164</f>
        <v>-819300</v>
      </c>
      <c r="M165" s="290">
        <f>-interest!K32+operatingdata!M164</f>
        <v>-927500</v>
      </c>
      <c r="N165" s="290">
        <f>-interest!L32+operatingdata!N164</f>
        <v>-1100600</v>
      </c>
    </row>
    <row r="166" spans="2:14" x14ac:dyDescent="0.25">
      <c r="B166" s="16" t="s">
        <v>35</v>
      </c>
      <c r="C166" s="16" t="s">
        <v>360</v>
      </c>
      <c r="D166" s="273" t="s">
        <v>361</v>
      </c>
      <c r="E166" s="288"/>
      <c r="F166" s="290"/>
      <c r="G166" s="290"/>
      <c r="H166" s="290"/>
      <c r="I166" s="290"/>
      <c r="J166" s="290"/>
      <c r="K166" s="290"/>
      <c r="L166" s="290"/>
      <c r="M166" s="290"/>
      <c r="N166" s="290"/>
    </row>
    <row r="167" spans="2:14" x14ac:dyDescent="0.25">
      <c r="B167" s="16" t="s">
        <v>35</v>
      </c>
      <c r="C167" s="16" t="s">
        <v>362</v>
      </c>
      <c r="D167" s="273" t="s">
        <v>363</v>
      </c>
      <c r="E167" s="288">
        <v>-456500</v>
      </c>
      <c r="F167" s="290">
        <f>-interest!D25-interest!D26</f>
        <v>-534700</v>
      </c>
      <c r="G167" s="290">
        <f>-interest!E25-interest!E26</f>
        <v>-530600</v>
      </c>
      <c r="H167" s="290">
        <f>-interest!F25-interest!F26</f>
        <v>-629600</v>
      </c>
      <c r="I167" s="290">
        <f>-interest!G25-interest!G26</f>
        <v>-651200</v>
      </c>
      <c r="J167" s="290">
        <f>-interest!H25-interest!H26</f>
        <v>-675800</v>
      </c>
      <c r="K167" s="290">
        <f>-interest!I25-interest!I26</f>
        <v>-728800</v>
      </c>
      <c r="L167" s="290">
        <f>-interest!J25-interest!J26</f>
        <v>-792800</v>
      </c>
      <c r="M167" s="290">
        <f>-interest!K25-interest!K26</f>
        <v>-869200</v>
      </c>
      <c r="N167" s="290">
        <f>-interest!L25-interest!L26</f>
        <v>-1033800</v>
      </c>
    </row>
    <row r="168" spans="2:14" ht="12.75" customHeight="1" x14ac:dyDescent="0.25">
      <c r="E168" s="288"/>
      <c r="F168" s="288"/>
      <c r="G168" s="288"/>
      <c r="H168" s="288"/>
      <c r="I168" s="288"/>
      <c r="J168" s="288"/>
      <c r="K168" s="288"/>
      <c r="L168" s="288"/>
      <c r="M168" s="288"/>
      <c r="N168" s="288"/>
    </row>
    <row r="169" spans="2:14" ht="12.75" customHeight="1" x14ac:dyDescent="0.25">
      <c r="D169" s="19" t="s">
        <v>3234</v>
      </c>
      <c r="E169" s="291">
        <f>SUM(E143:E168)</f>
        <v>-23779300</v>
      </c>
      <c r="F169" s="291">
        <f t="shared" ref="F169:N169" si="4">SUM(F143:F168)</f>
        <v>-25023400</v>
      </c>
      <c r="G169" s="291">
        <f t="shared" si="4"/>
        <v>-26625700</v>
      </c>
      <c r="H169" s="291">
        <f t="shared" si="4"/>
        <v>-28489300</v>
      </c>
      <c r="I169" s="291">
        <f t="shared" si="4"/>
        <v>-30399700</v>
      </c>
      <c r="J169" s="291">
        <f t="shared" si="4"/>
        <v>-31187700</v>
      </c>
      <c r="K169" s="291">
        <f t="shared" si="4"/>
        <v>-32046900</v>
      </c>
      <c r="L169" s="291">
        <f t="shared" si="4"/>
        <v>-32941000</v>
      </c>
      <c r="M169" s="291">
        <f t="shared" si="4"/>
        <v>-33882100</v>
      </c>
      <c r="N169" s="291">
        <f t="shared" si="4"/>
        <v>-34994900</v>
      </c>
    </row>
    <row r="170" spans="2:14" ht="12.75" customHeight="1" x14ac:dyDescent="0.25">
      <c r="E170" s="288"/>
      <c r="F170" s="288"/>
      <c r="G170" s="288"/>
      <c r="H170" s="288"/>
      <c r="I170" s="288"/>
      <c r="J170" s="288"/>
      <c r="K170" s="288"/>
      <c r="L170" s="288"/>
      <c r="M170" s="288"/>
      <c r="N170" s="288"/>
    </row>
    <row r="171" spans="2:14" x14ac:dyDescent="0.25">
      <c r="C171" s="19" t="s">
        <v>364</v>
      </c>
      <c r="E171" s="288"/>
      <c r="F171" s="288"/>
      <c r="G171" s="288"/>
      <c r="H171" s="288"/>
      <c r="I171" s="288"/>
      <c r="J171" s="288"/>
      <c r="K171" s="288"/>
      <c r="L171" s="288"/>
      <c r="M171" s="288"/>
      <c r="N171" s="288"/>
    </row>
    <row r="172" spans="2:14" ht="12.75" customHeight="1" x14ac:dyDescent="0.25">
      <c r="E172" s="288"/>
      <c r="F172" s="288"/>
      <c r="G172" s="288"/>
      <c r="H172" s="288"/>
      <c r="I172" s="288"/>
      <c r="J172" s="288"/>
      <c r="K172" s="288"/>
      <c r="L172" s="288"/>
      <c r="M172" s="288"/>
      <c r="N172" s="288"/>
    </row>
    <row r="173" spans="2:14" x14ac:dyDescent="0.25">
      <c r="C173" s="16" t="s">
        <v>87</v>
      </c>
      <c r="E173" s="288"/>
      <c r="F173" s="288"/>
      <c r="G173" s="288"/>
      <c r="H173" s="288"/>
      <c r="I173" s="288"/>
      <c r="J173" s="288"/>
      <c r="K173" s="288"/>
      <c r="L173" s="288"/>
      <c r="M173" s="288"/>
      <c r="N173" s="288"/>
    </row>
    <row r="174" spans="2:14" x14ac:dyDescent="0.25">
      <c r="C174" s="16" t="s">
        <v>365</v>
      </c>
      <c r="D174" s="16" t="s">
        <v>187</v>
      </c>
      <c r="E174" s="289"/>
      <c r="F174" s="289"/>
      <c r="G174" s="289"/>
      <c r="H174" s="289"/>
      <c r="I174" s="289"/>
      <c r="J174" s="289"/>
      <c r="K174" s="289"/>
      <c r="L174" s="289"/>
      <c r="M174" s="289"/>
      <c r="N174" s="289"/>
    </row>
    <row r="175" spans="2:14" x14ac:dyDescent="0.25">
      <c r="B175" s="16" t="s">
        <v>43</v>
      </c>
      <c r="C175" s="16" t="s">
        <v>366</v>
      </c>
      <c r="D175" s="16" t="s">
        <v>367</v>
      </c>
      <c r="E175" s="288">
        <v>-1075100</v>
      </c>
      <c r="F175" s="288">
        <f>ROUND(IF($A175="E",E175*(1+Assumptions!C$15),E175*(1+Assumptions!C$14)),-2)</f>
        <v>-1091200</v>
      </c>
      <c r="G175" s="288">
        <f>ROUND(IF($A175="E",F175*(1+Assumptions!D$15),F175*(1+Assumptions!D$14)),-2)</f>
        <v>-1113000</v>
      </c>
      <c r="H175" s="288">
        <f>ROUND(IF($A175="E",G175*(1+Assumptions!E$15),G175*(1+Assumptions!E$14)),-2)</f>
        <v>-1135300</v>
      </c>
      <c r="I175" s="288">
        <f>ROUND(IF($A175="E",H175*(1+Assumptions!F$15),H175*(1+Assumptions!F$14)),-2)</f>
        <v>-1158000</v>
      </c>
      <c r="J175" s="288">
        <f>ROUND(IF($A175="E",I175*(1+Assumptions!G$15),I175*(1+Assumptions!G$14)),-2)</f>
        <v>-1181200</v>
      </c>
      <c r="K175" s="288">
        <f>ROUND(IF($A175="E",J175*(1+Assumptions!H$15),J175*(1+Assumptions!H$14)),-2)</f>
        <v>-1204800</v>
      </c>
      <c r="L175" s="288">
        <f>ROUND(IF($A175="E",K175*(1+Assumptions!I$15),K175*(1+Assumptions!I$14)),-2)</f>
        <v>-1234900</v>
      </c>
      <c r="M175" s="288">
        <f>ROUND(IF($A175="E",L175*(1+Assumptions!J$15),L175*(1+Assumptions!J$14)),-2)</f>
        <v>-1265800</v>
      </c>
      <c r="N175" s="288">
        <f>ROUND(IF($A175="E",M175*(1+Assumptions!K$15),M175*(1+Assumptions!K$14)),-2)</f>
        <v>-1297400</v>
      </c>
    </row>
    <row r="176" spans="2:14" x14ac:dyDescent="0.25">
      <c r="C176" s="16" t="s">
        <v>368</v>
      </c>
      <c r="D176" s="16" t="s">
        <v>369</v>
      </c>
      <c r="E176" s="289"/>
      <c r="F176" s="289"/>
      <c r="G176" s="289"/>
      <c r="H176" s="289"/>
      <c r="I176" s="289"/>
      <c r="J176" s="289"/>
      <c r="K176" s="289"/>
      <c r="L176" s="289"/>
      <c r="M176" s="289"/>
      <c r="N176" s="289"/>
    </row>
    <row r="177" spans="2:14" x14ac:dyDescent="0.25">
      <c r="B177" s="16" t="s">
        <v>41</v>
      </c>
      <c r="C177" s="16" t="s">
        <v>370</v>
      </c>
      <c r="D177" s="16" t="s">
        <v>201</v>
      </c>
      <c r="E177" s="288">
        <v>462500</v>
      </c>
      <c r="F177" s="288">
        <f>ROUND(IF($A177="E",E177*(1+Assumptions!C$15),E177*(1+Assumptions!C$14)),-2)</f>
        <v>469400</v>
      </c>
      <c r="G177" s="288">
        <f>ROUND(IF($A177="E",F177*(1+Assumptions!D$15),F177*(1+Assumptions!D$14)),-2)</f>
        <v>478800</v>
      </c>
      <c r="H177" s="288">
        <f>ROUND(IF($A177="E",G177*(1+Assumptions!E$15),G177*(1+Assumptions!E$14)),-2)</f>
        <v>488400</v>
      </c>
      <c r="I177" s="288">
        <f>ROUND(IF($A177="E",H177*(1+Assumptions!F$15),H177*(1+Assumptions!F$14)),-2)</f>
        <v>498200</v>
      </c>
      <c r="J177" s="288">
        <f>ROUND(IF($A177="E",I177*(1+Assumptions!G$15),I177*(1+Assumptions!G$14)),-2)</f>
        <v>508200</v>
      </c>
      <c r="K177" s="288">
        <f>ROUND(IF($A177="E",J177*(1+Assumptions!H$15),J177*(1+Assumptions!H$14)),-2)</f>
        <v>518400</v>
      </c>
      <c r="L177" s="288">
        <f>ROUND(IF($A177="E",K177*(1+Assumptions!I$15),K177*(1+Assumptions!I$14)),-2)</f>
        <v>531400</v>
      </c>
      <c r="M177" s="288">
        <f>ROUND(IF($A177="E",L177*(1+Assumptions!J$15),L177*(1+Assumptions!J$14)),-2)</f>
        <v>544700</v>
      </c>
      <c r="N177" s="288">
        <f>ROUND(IF($A177="E",M177*(1+Assumptions!K$15),M177*(1+Assumptions!K$14)),-2)</f>
        <v>558300</v>
      </c>
    </row>
    <row r="178" spans="2:14" x14ac:dyDescent="0.25">
      <c r="B178" s="16" t="s">
        <v>41</v>
      </c>
      <c r="C178" s="16" t="s">
        <v>371</v>
      </c>
      <c r="D178" s="16" t="s">
        <v>372</v>
      </c>
      <c r="E178" s="288">
        <v>79000</v>
      </c>
      <c r="F178" s="288">
        <f>ROUND(IF($A178="E",E178*(1+Assumptions!C$15),E178*(1+Assumptions!C$14)),-2)</f>
        <v>80200</v>
      </c>
      <c r="G178" s="288">
        <f>ROUND(IF($A178="E",F178*(1+Assumptions!D$15),F178*(1+Assumptions!D$14)),-2)</f>
        <v>81800</v>
      </c>
      <c r="H178" s="288">
        <f>ROUND(IF($A178="E",G178*(1+Assumptions!E$15),G178*(1+Assumptions!E$14)),-2)</f>
        <v>83400</v>
      </c>
      <c r="I178" s="288">
        <f>ROUND(IF($A178="E",H178*(1+Assumptions!F$15),H178*(1+Assumptions!F$14)),-2)</f>
        <v>85100</v>
      </c>
      <c r="J178" s="288">
        <f>ROUND(IF($A178="E",I178*(1+Assumptions!G$15),I178*(1+Assumptions!G$14)),-2)</f>
        <v>86800</v>
      </c>
      <c r="K178" s="288">
        <f>ROUND(IF($A178="E",J178*(1+Assumptions!H$15),J178*(1+Assumptions!H$14)),-2)</f>
        <v>88500</v>
      </c>
      <c r="L178" s="288">
        <f>ROUND(IF($A178="E",K178*(1+Assumptions!I$15),K178*(1+Assumptions!I$14)),-2)</f>
        <v>90700</v>
      </c>
      <c r="M178" s="288">
        <f>ROUND(IF($A178="E",L178*(1+Assumptions!J$15),L178*(1+Assumptions!J$14)),-2)</f>
        <v>93000</v>
      </c>
      <c r="N178" s="288">
        <f>ROUND(IF($A178="E",M178*(1+Assumptions!K$15),M178*(1+Assumptions!K$14)),-2)</f>
        <v>95300</v>
      </c>
    </row>
    <row r="179" spans="2:14" x14ac:dyDescent="0.25">
      <c r="B179" s="16" t="s">
        <v>45</v>
      </c>
      <c r="C179" s="16" t="s">
        <v>373</v>
      </c>
      <c r="D179" s="16" t="s">
        <v>230</v>
      </c>
      <c r="E179" s="288">
        <v>2000</v>
      </c>
      <c r="F179" s="288">
        <f>ROUND(IF($A179="E",E179*(1+Assumptions!C$15),E179*(1+Assumptions!C$14)),-2)</f>
        <v>2000</v>
      </c>
      <c r="G179" s="288">
        <f>ROUND(IF($A179="E",F179*(1+Assumptions!D$15),F179*(1+Assumptions!D$14)),-2)</f>
        <v>2000</v>
      </c>
      <c r="H179" s="288">
        <f>ROUND(IF($A179="E",G179*(1+Assumptions!E$15),G179*(1+Assumptions!E$14)),-2)</f>
        <v>2000</v>
      </c>
      <c r="I179" s="288">
        <f>ROUND(IF($A179="E",H179*(1+Assumptions!F$15),H179*(1+Assumptions!F$14)),-2)</f>
        <v>2000</v>
      </c>
      <c r="J179" s="288">
        <f>ROUND(IF($A179="E",I179*(1+Assumptions!G$15),I179*(1+Assumptions!G$14)),-2)</f>
        <v>2000</v>
      </c>
      <c r="K179" s="288">
        <f>ROUND(IF($A179="E",J179*(1+Assumptions!H$15),J179*(1+Assumptions!H$14)),-2)</f>
        <v>2000</v>
      </c>
      <c r="L179" s="288">
        <f>ROUND(IF($A179="E",K179*(1+Assumptions!I$15),K179*(1+Assumptions!I$14)),-2)</f>
        <v>2100</v>
      </c>
      <c r="M179" s="288">
        <f>ROUND(IF($A179="E",L179*(1+Assumptions!J$15),L179*(1+Assumptions!J$14)),-2)</f>
        <v>2200</v>
      </c>
      <c r="N179" s="288">
        <f>ROUND(IF($A179="E",M179*(1+Assumptions!K$15),M179*(1+Assumptions!K$14)),-2)</f>
        <v>2300</v>
      </c>
    </row>
    <row r="180" spans="2:14" x14ac:dyDescent="0.25">
      <c r="B180" s="16" t="s">
        <v>43</v>
      </c>
      <c r="C180" s="16" t="s">
        <v>374</v>
      </c>
      <c r="D180" s="16" t="s">
        <v>375</v>
      </c>
      <c r="E180" s="288">
        <v>65000</v>
      </c>
      <c r="F180" s="288">
        <f>ROUND(IF($A180="E",E180*(1+Assumptions!C$15),E180*(1+Assumptions!C$14)),-2)</f>
        <v>66000</v>
      </c>
      <c r="G180" s="288">
        <f>ROUND(IF($A180="E",F180*(1+Assumptions!D$15),F180*(1+Assumptions!D$14)),-2)</f>
        <v>67300</v>
      </c>
      <c r="H180" s="288">
        <f>ROUND(IF($A180="E",G180*(1+Assumptions!E$15),G180*(1+Assumptions!E$14)),-2)</f>
        <v>68600</v>
      </c>
      <c r="I180" s="288">
        <f>ROUND(IF($A180="E",H180*(1+Assumptions!F$15),H180*(1+Assumptions!F$14)),-2)</f>
        <v>70000</v>
      </c>
      <c r="J180" s="288">
        <f>ROUND(IF($A180="E",I180*(1+Assumptions!G$15),I180*(1+Assumptions!G$14)),-2)</f>
        <v>71400</v>
      </c>
      <c r="K180" s="288">
        <f>ROUND(IF($A180="E",J180*(1+Assumptions!H$15),J180*(1+Assumptions!H$14)),-2)</f>
        <v>72800</v>
      </c>
      <c r="L180" s="288">
        <f>ROUND(IF($A180="E",K180*(1+Assumptions!I$15),K180*(1+Assumptions!I$14)),-2)</f>
        <v>74600</v>
      </c>
      <c r="M180" s="288">
        <f>ROUND(IF($A180="E",L180*(1+Assumptions!J$15),L180*(1+Assumptions!J$14)),-2)</f>
        <v>76500</v>
      </c>
      <c r="N180" s="288">
        <f>ROUND(IF($A180="E",M180*(1+Assumptions!K$15),M180*(1+Assumptions!K$14)),-2)</f>
        <v>78400</v>
      </c>
    </row>
    <row r="181" spans="2:14" x14ac:dyDescent="0.25">
      <c r="B181" s="16" t="s">
        <v>45</v>
      </c>
      <c r="C181" s="16" t="s">
        <v>376</v>
      </c>
      <c r="D181" s="16" t="s">
        <v>208</v>
      </c>
      <c r="E181" s="288">
        <v>17800</v>
      </c>
      <c r="F181" s="288">
        <f>ROUND(IF($A181="E",E181*(1+Assumptions!C$15),E181*(1+Assumptions!C$14)),-2)</f>
        <v>18100</v>
      </c>
      <c r="G181" s="288">
        <f>ROUND(IF($A181="E",F181*(1+Assumptions!D$15),F181*(1+Assumptions!D$14)),-2)</f>
        <v>18500</v>
      </c>
      <c r="H181" s="288">
        <f>ROUND(IF($A181="E",G181*(1+Assumptions!E$15),G181*(1+Assumptions!E$14)),-2)</f>
        <v>18900</v>
      </c>
      <c r="I181" s="288">
        <f>ROUND(IF($A181="E",H181*(1+Assumptions!F$15),H181*(1+Assumptions!F$14)),-2)</f>
        <v>19300</v>
      </c>
      <c r="J181" s="288">
        <f>ROUND(IF($A181="E",I181*(1+Assumptions!G$15),I181*(1+Assumptions!G$14)),-2)</f>
        <v>19700</v>
      </c>
      <c r="K181" s="288">
        <f>ROUND(IF($A181="E",J181*(1+Assumptions!H$15),J181*(1+Assumptions!H$14)),-2)</f>
        <v>20100</v>
      </c>
      <c r="L181" s="288">
        <f>ROUND(IF($A181="E",K181*(1+Assumptions!I$15),K181*(1+Assumptions!I$14)),-2)</f>
        <v>20600</v>
      </c>
      <c r="M181" s="288">
        <f>ROUND(IF($A181="E",L181*(1+Assumptions!J$15),L181*(1+Assumptions!J$14)),-2)</f>
        <v>21100</v>
      </c>
      <c r="N181" s="288">
        <f>ROUND(IF($A181="E",M181*(1+Assumptions!K$15),M181*(1+Assumptions!K$14)),-2)</f>
        <v>21600</v>
      </c>
    </row>
    <row r="182" spans="2:14" x14ac:dyDescent="0.25">
      <c r="B182" s="16" t="s">
        <v>45</v>
      </c>
      <c r="C182" s="16" t="s">
        <v>377</v>
      </c>
      <c r="D182" s="16" t="s">
        <v>378</v>
      </c>
      <c r="E182" s="288">
        <v>84700</v>
      </c>
      <c r="F182" s="288">
        <f>ROUND(IF($A182="E",E182*(1+Assumptions!C$15),E182*(1+Assumptions!C$14)),-2)</f>
        <v>86000</v>
      </c>
      <c r="G182" s="288">
        <f>ROUND(IF($A182="E",F182*(1+Assumptions!D$15),F182*(1+Assumptions!D$14)),-2)</f>
        <v>87700</v>
      </c>
      <c r="H182" s="288">
        <f>ROUND(IF($A182="E",G182*(1+Assumptions!E$15),G182*(1+Assumptions!E$14)),-2)</f>
        <v>89500</v>
      </c>
      <c r="I182" s="288">
        <f>ROUND(IF($A182="E",H182*(1+Assumptions!F$15),H182*(1+Assumptions!F$14)),-2)</f>
        <v>91300</v>
      </c>
      <c r="J182" s="288">
        <f>ROUND(IF($A182="E",I182*(1+Assumptions!G$15),I182*(1+Assumptions!G$14)),-2)</f>
        <v>93100</v>
      </c>
      <c r="K182" s="288">
        <f>ROUND(IF($A182="E",J182*(1+Assumptions!H$15),J182*(1+Assumptions!H$14)),-2)</f>
        <v>95000</v>
      </c>
      <c r="L182" s="288">
        <f>ROUND(IF($A182="E",K182*(1+Assumptions!I$15),K182*(1+Assumptions!I$14)),-2)</f>
        <v>97400</v>
      </c>
      <c r="M182" s="288">
        <f>ROUND(IF($A182="E",L182*(1+Assumptions!J$15),L182*(1+Assumptions!J$14)),-2)</f>
        <v>99800</v>
      </c>
      <c r="N182" s="288">
        <f>ROUND(IF($A182="E",M182*(1+Assumptions!K$15),M182*(1+Assumptions!K$14)),-2)</f>
        <v>102300</v>
      </c>
    </row>
    <row r="183" spans="2:14" x14ac:dyDescent="0.25">
      <c r="B183" s="16" t="s">
        <v>45</v>
      </c>
      <c r="C183" s="16" t="s">
        <v>379</v>
      </c>
      <c r="D183" s="16" t="s">
        <v>380</v>
      </c>
      <c r="E183" s="288">
        <v>0</v>
      </c>
      <c r="F183" s="288">
        <f>ROUND(IF($A183="E",E183*(1+Assumptions!C$15),E183*(1+Assumptions!C$14)),-2)</f>
        <v>0</v>
      </c>
      <c r="G183" s="288">
        <f>ROUND(IF($A183="E",F183*(1+Assumptions!D$15),F183*(1+Assumptions!D$14)),-2)</f>
        <v>0</v>
      </c>
      <c r="H183" s="288">
        <f>ROUND(IF($A183="E",G183*(1+Assumptions!E$15),G183*(1+Assumptions!E$14)),-2)</f>
        <v>0</v>
      </c>
      <c r="I183" s="288">
        <f>ROUND(IF($A183="E",H183*(1+Assumptions!F$15),H183*(1+Assumptions!F$14)),-2)</f>
        <v>0</v>
      </c>
      <c r="J183" s="288">
        <f>ROUND(IF($A183="E",I183*(1+Assumptions!G$15),I183*(1+Assumptions!G$14)),-2)</f>
        <v>0</v>
      </c>
      <c r="K183" s="288">
        <f>ROUND(IF($A183="E",J183*(1+Assumptions!H$15),J183*(1+Assumptions!H$14)),-2)</f>
        <v>0</v>
      </c>
      <c r="L183" s="288">
        <f>ROUND(IF($A183="E",K183*(1+Assumptions!I$15),K183*(1+Assumptions!I$14)),-2)</f>
        <v>0</v>
      </c>
      <c r="M183" s="288">
        <f>ROUND(IF($A183="E",L183*(1+Assumptions!J$15),L183*(1+Assumptions!J$14)),-2)</f>
        <v>0</v>
      </c>
      <c r="N183" s="288">
        <f>ROUND(IF($A183="E",M183*(1+Assumptions!K$15),M183*(1+Assumptions!K$14)),-2)</f>
        <v>0</v>
      </c>
    </row>
    <row r="184" spans="2:14" x14ac:dyDescent="0.25">
      <c r="B184" s="16" t="s">
        <v>45</v>
      </c>
      <c r="C184" s="16" t="s">
        <v>381</v>
      </c>
      <c r="D184" s="16" t="s">
        <v>382</v>
      </c>
      <c r="E184" s="288">
        <v>0</v>
      </c>
      <c r="F184" s="288">
        <f>ROUND(IF($A184="E",E184*(1+Assumptions!C$15),E184*(1+Assumptions!C$14)),-2)</f>
        <v>0</v>
      </c>
      <c r="G184" s="288">
        <f>ROUND(IF($A184="E",F184*(1+Assumptions!D$15),F184*(1+Assumptions!D$14)),-2)</f>
        <v>0</v>
      </c>
      <c r="H184" s="288">
        <f>ROUND(IF($A184="E",G184*(1+Assumptions!E$15),G184*(1+Assumptions!E$14)),-2)</f>
        <v>0</v>
      </c>
      <c r="I184" s="288">
        <f>ROUND(IF($A184="E",H184*(1+Assumptions!F$15),H184*(1+Assumptions!F$14)),-2)</f>
        <v>0</v>
      </c>
      <c r="J184" s="288">
        <f>ROUND(IF($A184="E",I184*(1+Assumptions!G$15),I184*(1+Assumptions!G$14)),-2)</f>
        <v>0</v>
      </c>
      <c r="K184" s="288">
        <f>ROUND(IF($A184="E",J184*(1+Assumptions!H$15),J184*(1+Assumptions!H$14)),-2)</f>
        <v>0</v>
      </c>
      <c r="L184" s="288">
        <f>ROUND(IF($A184="E",K184*(1+Assumptions!I$15),K184*(1+Assumptions!I$14)),-2)</f>
        <v>0</v>
      </c>
      <c r="M184" s="288">
        <f>ROUND(IF($A184="E",L184*(1+Assumptions!J$15),L184*(1+Assumptions!J$14)),-2)</f>
        <v>0</v>
      </c>
      <c r="N184" s="288">
        <f>ROUND(IF($A184="E",M184*(1+Assumptions!K$15),M184*(1+Assumptions!K$14)),-2)</f>
        <v>0</v>
      </c>
    </row>
    <row r="185" spans="2:14" x14ac:dyDescent="0.25">
      <c r="B185" s="16" t="s">
        <v>45</v>
      </c>
      <c r="C185" s="16" t="s">
        <v>383</v>
      </c>
      <c r="D185" s="16" t="s">
        <v>384</v>
      </c>
      <c r="E185" s="288">
        <v>3000</v>
      </c>
      <c r="F185" s="288">
        <f>ROUND(IF($A185="E",E185*(1+Assumptions!C$15),E185*(1+Assumptions!C$14)),-2)</f>
        <v>3000</v>
      </c>
      <c r="G185" s="288">
        <f>ROUND(IF($A185="E",F185*(1+Assumptions!D$15),F185*(1+Assumptions!D$14)),-2)</f>
        <v>3100</v>
      </c>
      <c r="H185" s="288">
        <f>ROUND(IF($A185="E",G185*(1+Assumptions!E$15),G185*(1+Assumptions!E$14)),-2)</f>
        <v>3200</v>
      </c>
      <c r="I185" s="288">
        <f>ROUND(IF($A185="E",H185*(1+Assumptions!F$15),H185*(1+Assumptions!F$14)),-2)</f>
        <v>3300</v>
      </c>
      <c r="J185" s="288">
        <f>ROUND(IF($A185="E",I185*(1+Assumptions!G$15),I185*(1+Assumptions!G$14)),-2)</f>
        <v>3400</v>
      </c>
      <c r="K185" s="288">
        <f>ROUND(IF($A185="E",J185*(1+Assumptions!H$15),J185*(1+Assumptions!H$14)),-2)</f>
        <v>3500</v>
      </c>
      <c r="L185" s="288">
        <f>ROUND(IF($A185="E",K185*(1+Assumptions!I$15),K185*(1+Assumptions!I$14)),-2)</f>
        <v>3600</v>
      </c>
      <c r="M185" s="288">
        <f>ROUND(IF($A185="E",L185*(1+Assumptions!J$15),L185*(1+Assumptions!J$14)),-2)</f>
        <v>3700</v>
      </c>
      <c r="N185" s="288">
        <f>ROUND(IF($A185="E",M185*(1+Assumptions!K$15),M185*(1+Assumptions!K$14)),-2)</f>
        <v>3800</v>
      </c>
    </row>
    <row r="186" spans="2:14" x14ac:dyDescent="0.25">
      <c r="B186" s="16" t="s">
        <v>45</v>
      </c>
      <c r="C186" s="16" t="s">
        <v>385</v>
      </c>
      <c r="D186" s="16" t="s">
        <v>386</v>
      </c>
      <c r="E186" s="288">
        <v>4500</v>
      </c>
      <c r="F186" s="288">
        <f>ROUND(IF($A186="E",E186*(1+Assumptions!C$15),E186*(1+Assumptions!C$14)),-2)</f>
        <v>4600</v>
      </c>
      <c r="G186" s="288">
        <f>ROUND(IF($A186="E",F186*(1+Assumptions!D$15),F186*(1+Assumptions!D$14)),-2)</f>
        <v>4700</v>
      </c>
      <c r="H186" s="288">
        <f>ROUND(IF($A186="E",G186*(1+Assumptions!E$15),G186*(1+Assumptions!E$14)),-2)</f>
        <v>4800</v>
      </c>
      <c r="I186" s="288">
        <f>ROUND(IF($A186="E",H186*(1+Assumptions!F$15),H186*(1+Assumptions!F$14)),-2)</f>
        <v>4900</v>
      </c>
      <c r="J186" s="288">
        <f>ROUND(IF($A186="E",I186*(1+Assumptions!G$15),I186*(1+Assumptions!G$14)),-2)</f>
        <v>5000</v>
      </c>
      <c r="K186" s="288">
        <f>ROUND(IF($A186="E",J186*(1+Assumptions!H$15),J186*(1+Assumptions!H$14)),-2)</f>
        <v>5100</v>
      </c>
      <c r="L186" s="288">
        <f>ROUND(IF($A186="E",K186*(1+Assumptions!I$15),K186*(1+Assumptions!I$14)),-2)</f>
        <v>5200</v>
      </c>
      <c r="M186" s="288">
        <f>ROUND(IF($A186="E",L186*(1+Assumptions!J$15),L186*(1+Assumptions!J$14)),-2)</f>
        <v>5300</v>
      </c>
      <c r="N186" s="288">
        <f>ROUND(IF($A186="E",M186*(1+Assumptions!K$15),M186*(1+Assumptions!K$14)),-2)</f>
        <v>5400</v>
      </c>
    </row>
    <row r="187" spans="2:14" x14ac:dyDescent="0.25">
      <c r="B187" s="16" t="s">
        <v>43</v>
      </c>
      <c r="C187" s="16" t="s">
        <v>387</v>
      </c>
      <c r="D187" s="16" t="s">
        <v>97</v>
      </c>
      <c r="E187" s="288">
        <v>10000</v>
      </c>
      <c r="F187" s="288">
        <f>ROUND(IF($A187="E",E187*(1+Assumptions!C$15),E187*(1+Assumptions!C$14)),-2)</f>
        <v>10200</v>
      </c>
      <c r="G187" s="288">
        <f>ROUND(IF($A187="E",F187*(1+Assumptions!D$15),F187*(1+Assumptions!D$14)),-2)</f>
        <v>10400</v>
      </c>
      <c r="H187" s="288">
        <f>ROUND(IF($A187="E",G187*(1+Assumptions!E$15),G187*(1+Assumptions!E$14)),-2)</f>
        <v>10600</v>
      </c>
      <c r="I187" s="288">
        <f>ROUND(IF($A187="E",H187*(1+Assumptions!F$15),H187*(1+Assumptions!F$14)),-2)</f>
        <v>10800</v>
      </c>
      <c r="J187" s="288">
        <f>ROUND(IF($A187="E",I187*(1+Assumptions!G$15),I187*(1+Assumptions!G$14)),-2)</f>
        <v>11000</v>
      </c>
      <c r="K187" s="288">
        <f>ROUND(IF($A187="E",J187*(1+Assumptions!H$15),J187*(1+Assumptions!H$14)),-2)</f>
        <v>11200</v>
      </c>
      <c r="L187" s="288">
        <f>ROUND(IF($A187="E",K187*(1+Assumptions!I$15),K187*(1+Assumptions!I$14)),-2)</f>
        <v>11500</v>
      </c>
      <c r="M187" s="288">
        <f>ROUND(IF($A187="E",L187*(1+Assumptions!J$15),L187*(1+Assumptions!J$14)),-2)</f>
        <v>11800</v>
      </c>
      <c r="N187" s="288">
        <f>ROUND(IF($A187="E",M187*(1+Assumptions!K$15),M187*(1+Assumptions!K$14)),-2)</f>
        <v>12100</v>
      </c>
    </row>
    <row r="188" spans="2:14" x14ac:dyDescent="0.25">
      <c r="B188" s="16" t="s">
        <v>41</v>
      </c>
      <c r="C188" s="16" t="s">
        <v>388</v>
      </c>
      <c r="D188" s="16" t="s">
        <v>389</v>
      </c>
      <c r="E188" s="289"/>
      <c r="F188" s="289"/>
      <c r="G188" s="289"/>
      <c r="H188" s="289"/>
      <c r="I188" s="289"/>
      <c r="J188" s="289"/>
      <c r="K188" s="289"/>
      <c r="L188" s="289"/>
      <c r="M188" s="289"/>
      <c r="N188" s="289"/>
    </row>
    <row r="189" spans="2:14" x14ac:dyDescent="0.25">
      <c r="B189" s="16" t="s">
        <v>41</v>
      </c>
      <c r="C189" s="16" t="s">
        <v>390</v>
      </c>
      <c r="D189" s="16" t="s">
        <v>391</v>
      </c>
      <c r="E189" s="288">
        <v>90200</v>
      </c>
      <c r="F189" s="288">
        <f>ROUND(IF($A189="E",E189*(1+Assumptions!C$15),E189*(1+Assumptions!C$14)),-2)</f>
        <v>91600</v>
      </c>
      <c r="G189" s="288">
        <f>ROUND(IF($A189="E",F189*(1+Assumptions!D$15),F189*(1+Assumptions!D$14)),-2)</f>
        <v>93400</v>
      </c>
      <c r="H189" s="288">
        <f>ROUND(IF($A189="E",G189*(1+Assumptions!E$15),G189*(1+Assumptions!E$14)),-2)</f>
        <v>95300</v>
      </c>
      <c r="I189" s="288">
        <f>ROUND(IF($A189="E",H189*(1+Assumptions!F$15),H189*(1+Assumptions!F$14)),-2)</f>
        <v>97200</v>
      </c>
      <c r="J189" s="288">
        <f>ROUND(IF($A189="E",I189*(1+Assumptions!G$15),I189*(1+Assumptions!G$14)),-2)</f>
        <v>99100</v>
      </c>
      <c r="K189" s="288">
        <f>ROUND(IF($A189="E",J189*(1+Assumptions!H$15),J189*(1+Assumptions!H$14)),-2)</f>
        <v>101100</v>
      </c>
      <c r="L189" s="288">
        <f>ROUND(IF($A189="E",K189*(1+Assumptions!I$15),K189*(1+Assumptions!I$14)),-2)</f>
        <v>103600</v>
      </c>
      <c r="M189" s="288">
        <f>ROUND(IF($A189="E",L189*(1+Assumptions!J$15),L189*(1+Assumptions!J$14)),-2)</f>
        <v>106200</v>
      </c>
      <c r="N189" s="288">
        <f>ROUND(IF($A189="E",M189*(1+Assumptions!K$15),M189*(1+Assumptions!K$14)),-2)</f>
        <v>108900</v>
      </c>
    </row>
    <row r="190" spans="2:14" x14ac:dyDescent="0.25">
      <c r="B190" s="16" t="s">
        <v>45</v>
      </c>
      <c r="C190" s="16" t="s">
        <v>392</v>
      </c>
      <c r="D190" s="16" t="s">
        <v>393</v>
      </c>
      <c r="E190" s="288">
        <v>50400</v>
      </c>
      <c r="F190" s="288">
        <f>ROUND(IF($A190="E",E190*(1+Assumptions!C$15),E190*(1+Assumptions!C$14)),-2)</f>
        <v>51200</v>
      </c>
      <c r="G190" s="288">
        <f>ROUND(IF($A190="E",F190*(1+Assumptions!D$15),F190*(1+Assumptions!D$14)),-2)</f>
        <v>52200</v>
      </c>
      <c r="H190" s="288">
        <f>ROUND(IF($A190="E",G190*(1+Assumptions!E$15),G190*(1+Assumptions!E$14)),-2)</f>
        <v>53200</v>
      </c>
      <c r="I190" s="288">
        <f>ROUND(IF($A190="E",H190*(1+Assumptions!F$15),H190*(1+Assumptions!F$14)),-2)</f>
        <v>54300</v>
      </c>
      <c r="J190" s="288">
        <f>ROUND(IF($A190="E",I190*(1+Assumptions!G$15),I190*(1+Assumptions!G$14)),-2)</f>
        <v>55400</v>
      </c>
      <c r="K190" s="288">
        <f>ROUND(IF($A190="E",J190*(1+Assumptions!H$15),J190*(1+Assumptions!H$14)),-2)</f>
        <v>56500</v>
      </c>
      <c r="L190" s="288">
        <f>ROUND(IF($A190="E",K190*(1+Assumptions!I$15),K190*(1+Assumptions!I$14)),-2)</f>
        <v>57900</v>
      </c>
      <c r="M190" s="288">
        <f>ROUND(IF($A190="E",L190*(1+Assumptions!J$15),L190*(1+Assumptions!J$14)),-2)</f>
        <v>59300</v>
      </c>
      <c r="N190" s="288">
        <f>ROUND(IF($A190="E",M190*(1+Assumptions!K$15),M190*(1+Assumptions!K$14)),-2)</f>
        <v>60800</v>
      </c>
    </row>
    <row r="191" spans="2:14" x14ac:dyDescent="0.25">
      <c r="B191" s="16" t="s">
        <v>43</v>
      </c>
      <c r="C191" s="16" t="s">
        <v>394</v>
      </c>
      <c r="D191" s="16" t="s">
        <v>395</v>
      </c>
      <c r="E191" s="288">
        <v>90700</v>
      </c>
      <c r="F191" s="288">
        <f>ROUND(IF($A191="E",E191*(1+Assumptions!C$15),E191*(1+Assumptions!C$14)),-2)</f>
        <v>92100</v>
      </c>
      <c r="G191" s="288">
        <f>ROUND(IF($A191="E",F191*(1+Assumptions!D$15),F191*(1+Assumptions!D$14)),-2)</f>
        <v>93900</v>
      </c>
      <c r="H191" s="288">
        <f>ROUND(IF($A191="E",G191*(1+Assumptions!E$15),G191*(1+Assumptions!E$14)),-2)</f>
        <v>95800</v>
      </c>
      <c r="I191" s="288">
        <f>ROUND(IF($A191="E",H191*(1+Assumptions!F$15),H191*(1+Assumptions!F$14)),-2)</f>
        <v>97700</v>
      </c>
      <c r="J191" s="288">
        <f>ROUND(IF($A191="E",I191*(1+Assumptions!G$15),I191*(1+Assumptions!G$14)),-2)</f>
        <v>99700</v>
      </c>
      <c r="K191" s="288">
        <f>ROUND(IF($A191="E",J191*(1+Assumptions!H$15),J191*(1+Assumptions!H$14)),-2)</f>
        <v>101700</v>
      </c>
      <c r="L191" s="288">
        <f>ROUND(IF($A191="E",K191*(1+Assumptions!I$15),K191*(1+Assumptions!I$14)),-2)</f>
        <v>104200</v>
      </c>
      <c r="M191" s="288">
        <f>ROUND(IF($A191="E",L191*(1+Assumptions!J$15),L191*(1+Assumptions!J$14)),-2)</f>
        <v>106800</v>
      </c>
      <c r="N191" s="288">
        <f>ROUND(IF($A191="E",M191*(1+Assumptions!K$15),M191*(1+Assumptions!K$14)),-2)</f>
        <v>109500</v>
      </c>
    </row>
    <row r="192" spans="2:14" x14ac:dyDescent="0.25">
      <c r="B192" s="16" t="s">
        <v>45</v>
      </c>
      <c r="C192" s="16" t="s">
        <v>396</v>
      </c>
      <c r="D192" s="16" t="s">
        <v>397</v>
      </c>
      <c r="E192" s="288">
        <v>2300</v>
      </c>
      <c r="F192" s="288">
        <f>ROUND(IF($A192="E",E192*(1+Assumptions!C$15),E192*(1+Assumptions!C$14)),-2)</f>
        <v>2300</v>
      </c>
      <c r="G192" s="288">
        <f>ROUND(IF($A192="E",F192*(1+Assumptions!D$15),F192*(1+Assumptions!D$14)),-2)</f>
        <v>2300</v>
      </c>
      <c r="H192" s="288">
        <f>ROUND(IF($A192="E",G192*(1+Assumptions!E$15),G192*(1+Assumptions!E$14)),-2)</f>
        <v>2300</v>
      </c>
      <c r="I192" s="288">
        <f>ROUND(IF($A192="E",H192*(1+Assumptions!F$15),H192*(1+Assumptions!F$14)),-2)</f>
        <v>2300</v>
      </c>
      <c r="J192" s="288">
        <f>ROUND(IF($A192="E",I192*(1+Assumptions!G$15),I192*(1+Assumptions!G$14)),-2)</f>
        <v>2300</v>
      </c>
      <c r="K192" s="288">
        <f>ROUND(IF($A192="E",J192*(1+Assumptions!H$15),J192*(1+Assumptions!H$14)),-2)</f>
        <v>2300</v>
      </c>
      <c r="L192" s="288">
        <f>ROUND(IF($A192="E",K192*(1+Assumptions!I$15),K192*(1+Assumptions!I$14)),-2)</f>
        <v>2400</v>
      </c>
      <c r="M192" s="288">
        <f>ROUND(IF($A192="E",L192*(1+Assumptions!J$15),L192*(1+Assumptions!J$14)),-2)</f>
        <v>2500</v>
      </c>
      <c r="N192" s="288">
        <f>ROUND(IF($A192="E",M192*(1+Assumptions!K$15),M192*(1+Assumptions!K$14)),-2)</f>
        <v>2600</v>
      </c>
    </row>
    <row r="193" spans="2:14" x14ac:dyDescent="0.25">
      <c r="B193" s="16" t="s">
        <v>45</v>
      </c>
      <c r="C193" s="16" t="s">
        <v>398</v>
      </c>
      <c r="D193" s="16" t="s">
        <v>399</v>
      </c>
      <c r="E193" s="288">
        <v>23000</v>
      </c>
      <c r="F193" s="288">
        <f>ROUND(IF($A193="E",E193*(1+Assumptions!C$15),E193*(1+Assumptions!C$14)),-2)</f>
        <v>23300</v>
      </c>
      <c r="G193" s="288">
        <f>ROUND(IF($A193="E",F193*(1+Assumptions!D$15),F193*(1+Assumptions!D$14)),-2)</f>
        <v>23800</v>
      </c>
      <c r="H193" s="288">
        <f>ROUND(IF($A193="E",G193*(1+Assumptions!E$15),G193*(1+Assumptions!E$14)),-2)</f>
        <v>24300</v>
      </c>
      <c r="I193" s="288">
        <f>ROUND(IF($A193="E",H193*(1+Assumptions!F$15),H193*(1+Assumptions!F$14)),-2)</f>
        <v>24800</v>
      </c>
      <c r="J193" s="288">
        <f>ROUND(IF($A193="E",I193*(1+Assumptions!G$15),I193*(1+Assumptions!G$14)),-2)</f>
        <v>25300</v>
      </c>
      <c r="K193" s="288">
        <f>ROUND(IF($A193="E",J193*(1+Assumptions!H$15),J193*(1+Assumptions!H$14)),-2)</f>
        <v>25800</v>
      </c>
      <c r="L193" s="288">
        <f>ROUND(IF($A193="E",K193*(1+Assumptions!I$15),K193*(1+Assumptions!I$14)),-2)</f>
        <v>26400</v>
      </c>
      <c r="M193" s="288">
        <f>ROUND(IF($A193="E",L193*(1+Assumptions!J$15),L193*(1+Assumptions!J$14)),-2)</f>
        <v>27100</v>
      </c>
      <c r="N193" s="288">
        <f>ROUND(IF($A193="E",M193*(1+Assumptions!K$15),M193*(1+Assumptions!K$14)),-2)</f>
        <v>27800</v>
      </c>
    </row>
    <row r="194" spans="2:14" x14ac:dyDescent="0.25">
      <c r="B194" s="16" t="s">
        <v>45</v>
      </c>
      <c r="C194" s="16" t="s">
        <v>400</v>
      </c>
      <c r="D194" s="16" t="s">
        <v>401</v>
      </c>
      <c r="E194" s="288">
        <v>5000</v>
      </c>
      <c r="F194" s="288">
        <f>ROUND(IF($A194="E",E194*(1+Assumptions!C$15),E194*(1+Assumptions!C$14)),-2)</f>
        <v>5100</v>
      </c>
      <c r="G194" s="288">
        <f>ROUND(IF($A194="E",F194*(1+Assumptions!D$15),F194*(1+Assumptions!D$14)),-2)</f>
        <v>5200</v>
      </c>
      <c r="H194" s="288">
        <f>ROUND(IF($A194="E",G194*(1+Assumptions!E$15),G194*(1+Assumptions!E$14)),-2)</f>
        <v>5300</v>
      </c>
      <c r="I194" s="288">
        <f>ROUND(IF($A194="E",H194*(1+Assumptions!F$15),H194*(1+Assumptions!F$14)),-2)</f>
        <v>5400</v>
      </c>
      <c r="J194" s="288">
        <f>ROUND(IF($A194="E",I194*(1+Assumptions!G$15),I194*(1+Assumptions!G$14)),-2)</f>
        <v>5500</v>
      </c>
      <c r="K194" s="288">
        <f>ROUND(IF($A194="E",J194*(1+Assumptions!H$15),J194*(1+Assumptions!H$14)),-2)</f>
        <v>5600</v>
      </c>
      <c r="L194" s="288">
        <f>ROUND(IF($A194="E",K194*(1+Assumptions!I$15),K194*(1+Assumptions!I$14)),-2)</f>
        <v>5700</v>
      </c>
      <c r="M194" s="288">
        <f>ROUND(IF($A194="E",L194*(1+Assumptions!J$15),L194*(1+Assumptions!J$14)),-2)</f>
        <v>5800</v>
      </c>
      <c r="N194" s="288">
        <f>ROUND(IF($A194="E",M194*(1+Assumptions!K$15),M194*(1+Assumptions!K$14)),-2)</f>
        <v>5900</v>
      </c>
    </row>
    <row r="195" spans="2:14" x14ac:dyDescent="0.25">
      <c r="B195" s="16" t="s">
        <v>43</v>
      </c>
      <c r="C195" s="16" t="s">
        <v>402</v>
      </c>
      <c r="D195" s="16" t="s">
        <v>97</v>
      </c>
      <c r="E195" s="288">
        <v>2700</v>
      </c>
      <c r="F195" s="288">
        <f>ROUND(IF($A195="E",E195*(1+Assumptions!C$15),E195*(1+Assumptions!C$14)),-2)</f>
        <v>2700</v>
      </c>
      <c r="G195" s="288">
        <f>ROUND(IF($A195="E",F195*(1+Assumptions!D$15),F195*(1+Assumptions!D$14)),-2)</f>
        <v>2800</v>
      </c>
      <c r="H195" s="288">
        <f>ROUND(IF($A195="E",G195*(1+Assumptions!E$15),G195*(1+Assumptions!E$14)),-2)</f>
        <v>2900</v>
      </c>
      <c r="I195" s="288">
        <f>ROUND(IF($A195="E",H195*(1+Assumptions!F$15),H195*(1+Assumptions!F$14)),-2)</f>
        <v>3000</v>
      </c>
      <c r="J195" s="288">
        <f>ROUND(IF($A195="E",I195*(1+Assumptions!G$15),I195*(1+Assumptions!G$14)),-2)</f>
        <v>3100</v>
      </c>
      <c r="K195" s="288">
        <f>ROUND(IF($A195="E",J195*(1+Assumptions!H$15),J195*(1+Assumptions!H$14)),-2)</f>
        <v>3200</v>
      </c>
      <c r="L195" s="288">
        <f>ROUND(IF($A195="E",K195*(1+Assumptions!I$15),K195*(1+Assumptions!I$14)),-2)</f>
        <v>3300</v>
      </c>
      <c r="M195" s="288">
        <f>ROUND(IF($A195="E",L195*(1+Assumptions!J$15),L195*(1+Assumptions!J$14)),-2)</f>
        <v>3400</v>
      </c>
      <c r="N195" s="288">
        <f>ROUND(IF($A195="E",M195*(1+Assumptions!K$15),M195*(1+Assumptions!K$14)),-2)</f>
        <v>3500</v>
      </c>
    </row>
    <row r="196" spans="2:14" x14ac:dyDescent="0.25">
      <c r="B196" s="16" t="s">
        <v>42</v>
      </c>
      <c r="C196" s="16" t="s">
        <v>403</v>
      </c>
      <c r="D196" s="16" t="s">
        <v>404</v>
      </c>
      <c r="E196" s="289"/>
      <c r="F196" s="289"/>
      <c r="G196" s="289"/>
      <c r="H196" s="289"/>
      <c r="I196" s="289"/>
      <c r="J196" s="289"/>
      <c r="K196" s="289"/>
      <c r="L196" s="289"/>
      <c r="M196" s="289"/>
      <c r="N196" s="289"/>
    </row>
    <row r="197" spans="2:14" x14ac:dyDescent="0.25">
      <c r="B197" s="16" t="s">
        <v>42</v>
      </c>
      <c r="C197" s="16" t="s">
        <v>405</v>
      </c>
      <c r="D197" s="16" t="s">
        <v>406</v>
      </c>
      <c r="E197" s="302">
        <v>118600</v>
      </c>
      <c r="F197" s="302">
        <f>ROUND(loans!U13,-2)</f>
        <v>105900</v>
      </c>
      <c r="G197" s="302">
        <f>ROUND(loans!Y13,-2)</f>
        <v>92400</v>
      </c>
      <c r="H197" s="302">
        <f>ROUND(loans!AC13,-2)</f>
        <v>78000</v>
      </c>
      <c r="I197" s="302">
        <f>ROUND(loans!AG13,-2)</f>
        <v>62600</v>
      </c>
      <c r="J197" s="302">
        <f>ROUND(loans!AK13,-2)</f>
        <v>46100</v>
      </c>
      <c r="K197" s="302">
        <f>ROUND(loans!AO13,-2)</f>
        <v>28500</v>
      </c>
      <c r="L197" s="302">
        <f>ROUND(loans!AS13,-2)</f>
        <v>9700</v>
      </c>
      <c r="M197" s="302">
        <v>0</v>
      </c>
      <c r="N197" s="302">
        <v>0</v>
      </c>
    </row>
    <row r="198" spans="2:14" x14ac:dyDescent="0.25">
      <c r="B198" s="16" t="s">
        <v>42</v>
      </c>
      <c r="C198" s="16" t="s">
        <v>407</v>
      </c>
      <c r="D198" s="16" t="s">
        <v>408</v>
      </c>
      <c r="E198" s="288">
        <v>0</v>
      </c>
      <c r="F198" s="288">
        <f>ROUND(IF($A198="E",E198*(1+Assumptions!C$15),E198*(1+Assumptions!C$14)),-2)</f>
        <v>0</v>
      </c>
      <c r="G198" s="288">
        <f>ROUND(IF($A198="E",F198*(1+Assumptions!D$15),F198*(1+Assumptions!D$14)),-2)</f>
        <v>0</v>
      </c>
      <c r="H198" s="288">
        <f>ROUND(IF($A198="E",G198*(1+Assumptions!E$15),G198*(1+Assumptions!E$14)),-2)</f>
        <v>0</v>
      </c>
      <c r="I198" s="288">
        <f>ROUND(IF($A198="E",H198*(1+Assumptions!F$15),H198*(1+Assumptions!F$14)),-2)</f>
        <v>0</v>
      </c>
      <c r="J198" s="288">
        <f>ROUND(IF($A198="E",I198*(1+Assumptions!G$15),I198*(1+Assumptions!G$14)),-2)</f>
        <v>0</v>
      </c>
      <c r="K198" s="288">
        <f>ROUND(IF($A198="E",J198*(1+Assumptions!H$15),J198*(1+Assumptions!H$14)),-2)</f>
        <v>0</v>
      </c>
      <c r="L198" s="288">
        <f>ROUND(IF($A198="E",K198*(1+Assumptions!I$15),K198*(1+Assumptions!I$14)),-2)</f>
        <v>0</v>
      </c>
      <c r="M198" s="288">
        <f>ROUND(IF($A198="E",L198*(1+Assumptions!J$15),L198*(1+Assumptions!J$14)),-2)</f>
        <v>0</v>
      </c>
      <c r="N198" s="288">
        <f>ROUND(IF($A198="E",M198*(1+Assumptions!K$15),M198*(1+Assumptions!K$14)),-2)</f>
        <v>0</v>
      </c>
    </row>
    <row r="199" spans="2:14" x14ac:dyDescent="0.25">
      <c r="C199" s="16" t="s">
        <v>409</v>
      </c>
      <c r="D199" s="16" t="s">
        <v>187</v>
      </c>
      <c r="E199" s="289"/>
      <c r="F199" s="289"/>
      <c r="G199" s="289"/>
      <c r="H199" s="289"/>
      <c r="I199" s="289"/>
      <c r="J199" s="289"/>
      <c r="K199" s="289"/>
      <c r="L199" s="289"/>
      <c r="M199" s="289"/>
      <c r="N199" s="289"/>
    </row>
    <row r="200" spans="2:14" x14ac:dyDescent="0.25">
      <c r="B200" s="16" t="s">
        <v>43</v>
      </c>
      <c r="C200" s="16" t="s">
        <v>410</v>
      </c>
      <c r="D200" s="16" t="s">
        <v>193</v>
      </c>
      <c r="E200" s="288">
        <v>251000</v>
      </c>
      <c r="F200" s="288">
        <f>ROUND(IF($A200="E",E200*(1+Assumptions!C$15),E200*(1+Assumptions!C$14)),-2)</f>
        <v>254800</v>
      </c>
      <c r="G200" s="288">
        <f>ROUND(IF($A200="E",F200*(1+Assumptions!D$15),F200*(1+Assumptions!D$14)),-2)</f>
        <v>259900</v>
      </c>
      <c r="H200" s="288">
        <f>ROUND(IF($A200="E",G200*(1+Assumptions!E$15),G200*(1+Assumptions!E$14)),-2)</f>
        <v>265100</v>
      </c>
      <c r="I200" s="288">
        <f>ROUND(IF($A200="E",H200*(1+Assumptions!F$15),H200*(1+Assumptions!F$14)),-2)</f>
        <v>270400</v>
      </c>
      <c r="J200" s="288">
        <f>ROUND(IF($A200="E",I200*(1+Assumptions!G$15),I200*(1+Assumptions!G$14)),-2)</f>
        <v>275800</v>
      </c>
      <c r="K200" s="288">
        <f>ROUND(IF($A200="E",J200*(1+Assumptions!H$15),J200*(1+Assumptions!H$14)),-2)</f>
        <v>281300</v>
      </c>
      <c r="L200" s="288">
        <f>ROUND(IF($A200="E",K200*(1+Assumptions!I$15),K200*(1+Assumptions!I$14)),-2)</f>
        <v>288300</v>
      </c>
      <c r="M200" s="288">
        <f>ROUND(IF($A200="E",L200*(1+Assumptions!J$15),L200*(1+Assumptions!J$14)),-2)</f>
        <v>295500</v>
      </c>
      <c r="N200" s="288">
        <f>ROUND(IF($A200="E",M200*(1+Assumptions!K$15),M200*(1+Assumptions!K$14)),-2)</f>
        <v>302900</v>
      </c>
    </row>
    <row r="201" spans="2:14" x14ac:dyDescent="0.25">
      <c r="B201" s="16" t="s">
        <v>43</v>
      </c>
      <c r="C201" s="16" t="s">
        <v>411</v>
      </c>
      <c r="D201" s="16" t="s">
        <v>195</v>
      </c>
      <c r="E201" s="288">
        <v>-1169600</v>
      </c>
      <c r="F201" s="288">
        <f>ROUND(IF($A201="E",E201*(1+Assumptions!C$15),E201*(1+Assumptions!C$14)),-2)</f>
        <v>-1187100</v>
      </c>
      <c r="G201" s="288">
        <f>ROUND(IF($A201="E",F201*(1+Assumptions!D$15),F201*(1+Assumptions!D$14)),-2)</f>
        <v>-1210800</v>
      </c>
      <c r="H201" s="288">
        <f>ROUND(IF($A201="E",G201*(1+Assumptions!E$15),G201*(1+Assumptions!E$14)),-2)</f>
        <v>-1235000</v>
      </c>
      <c r="I201" s="288">
        <f>ROUND(IF($A201="E",H201*(1+Assumptions!F$15),H201*(1+Assumptions!F$14)),-2)</f>
        <v>-1259700</v>
      </c>
      <c r="J201" s="288">
        <f>ROUND(IF($A201="E",I201*(1+Assumptions!G$15),I201*(1+Assumptions!G$14)),-2)</f>
        <v>-1284900</v>
      </c>
      <c r="K201" s="288">
        <f>ROUND(IF($A201="E",J201*(1+Assumptions!H$15),J201*(1+Assumptions!H$14)),-2)</f>
        <v>-1310600</v>
      </c>
      <c r="L201" s="288">
        <f>ROUND(IF($A201="E",K201*(1+Assumptions!I$15),K201*(1+Assumptions!I$14)),-2)</f>
        <v>-1343400</v>
      </c>
      <c r="M201" s="288">
        <f>ROUND(IF($A201="E",L201*(1+Assumptions!J$15),L201*(1+Assumptions!J$14)),-2)</f>
        <v>-1377000</v>
      </c>
      <c r="N201" s="288">
        <f>ROUND(IF($A201="E",M201*(1+Assumptions!K$15),M201*(1+Assumptions!K$14)),-2)</f>
        <v>-1411400</v>
      </c>
    </row>
    <row r="202" spans="2:14" x14ac:dyDescent="0.25">
      <c r="C202" s="16" t="s">
        <v>196</v>
      </c>
      <c r="E202" s="288"/>
      <c r="F202" s="288"/>
      <c r="G202" s="288"/>
      <c r="H202" s="288"/>
      <c r="I202" s="288"/>
      <c r="J202" s="288"/>
      <c r="K202" s="288"/>
      <c r="L202" s="288"/>
      <c r="M202" s="288"/>
      <c r="N202" s="288"/>
    </row>
    <row r="203" spans="2:14" ht="12.75" customHeight="1" x14ac:dyDescent="0.25">
      <c r="D203" s="19" t="s">
        <v>3234</v>
      </c>
      <c r="E203" s="291">
        <f>SUM(E174:E202)</f>
        <v>-882300</v>
      </c>
      <c r="F203" s="291">
        <f t="shared" ref="F203:N203" si="5">SUM(F174:F202)</f>
        <v>-909800</v>
      </c>
      <c r="G203" s="291">
        <f t="shared" si="5"/>
        <v>-943600</v>
      </c>
      <c r="H203" s="291">
        <f t="shared" si="5"/>
        <v>-978700</v>
      </c>
      <c r="I203" s="291">
        <f t="shared" si="5"/>
        <v>-1015100</v>
      </c>
      <c r="J203" s="291">
        <f t="shared" si="5"/>
        <v>-1053200</v>
      </c>
      <c r="K203" s="291">
        <f t="shared" si="5"/>
        <v>-1092800</v>
      </c>
      <c r="L203" s="291">
        <f t="shared" si="5"/>
        <v>-1139700</v>
      </c>
      <c r="M203" s="291">
        <f t="shared" si="5"/>
        <v>-1178100</v>
      </c>
      <c r="N203" s="291">
        <f t="shared" si="5"/>
        <v>-1207400</v>
      </c>
    </row>
    <row r="204" spans="2:14" ht="12.75" customHeight="1" x14ac:dyDescent="0.25">
      <c r="E204" s="288"/>
      <c r="F204" s="288"/>
      <c r="G204" s="288"/>
      <c r="H204" s="288"/>
      <c r="I204" s="288"/>
      <c r="J204" s="288"/>
      <c r="K204" s="288"/>
      <c r="L204" s="288"/>
      <c r="M204" s="288"/>
      <c r="N204" s="288"/>
    </row>
    <row r="205" spans="2:14" ht="12.75" customHeight="1" x14ac:dyDescent="0.25">
      <c r="E205" s="288"/>
      <c r="F205" s="288"/>
      <c r="G205" s="288"/>
      <c r="H205" s="288"/>
      <c r="I205" s="288"/>
      <c r="J205" s="288"/>
      <c r="K205" s="288"/>
      <c r="L205" s="288"/>
      <c r="M205" s="288"/>
      <c r="N205" s="288"/>
    </row>
    <row r="206" spans="2:14" x14ac:dyDescent="0.25">
      <c r="C206" s="16" t="s">
        <v>315</v>
      </c>
      <c r="E206" s="288"/>
      <c r="F206" s="288"/>
      <c r="G206" s="288"/>
      <c r="H206" s="288"/>
      <c r="I206" s="288"/>
      <c r="J206" s="288"/>
      <c r="K206" s="288"/>
      <c r="L206" s="288"/>
      <c r="M206" s="288"/>
      <c r="N206" s="288"/>
    </row>
    <row r="207" spans="2:14" x14ac:dyDescent="0.25">
      <c r="B207" s="16" t="s">
        <v>3228</v>
      </c>
      <c r="C207" s="16" t="s">
        <v>412</v>
      </c>
      <c r="D207" s="16" t="s">
        <v>413</v>
      </c>
      <c r="E207" s="289"/>
      <c r="F207" s="289"/>
      <c r="G207" s="289"/>
      <c r="H207" s="289"/>
      <c r="I207" s="289"/>
      <c r="J207" s="289"/>
      <c r="K207" s="289"/>
      <c r="L207" s="289"/>
      <c r="M207" s="289"/>
      <c r="N207" s="289"/>
    </row>
    <row r="208" spans="2:14" x14ac:dyDescent="0.25">
      <c r="B208" s="16" t="s">
        <v>3228</v>
      </c>
      <c r="C208" s="16" t="s">
        <v>414</v>
      </c>
      <c r="D208" s="27" t="s">
        <v>415</v>
      </c>
      <c r="E208" s="288">
        <v>-70000</v>
      </c>
      <c r="F208" s="288">
        <f>E208</f>
        <v>-70000</v>
      </c>
      <c r="G208" s="288">
        <f t="shared" ref="G208:N208" si="6">F208</f>
        <v>-70000</v>
      </c>
      <c r="H208" s="288">
        <f t="shared" si="6"/>
        <v>-70000</v>
      </c>
      <c r="I208" s="288">
        <f t="shared" si="6"/>
        <v>-70000</v>
      </c>
      <c r="J208" s="288">
        <f t="shared" si="6"/>
        <v>-70000</v>
      </c>
      <c r="K208" s="288">
        <f t="shared" si="6"/>
        <v>-70000</v>
      </c>
      <c r="L208" s="288">
        <f t="shared" si="6"/>
        <v>-70000</v>
      </c>
      <c r="M208" s="288">
        <f t="shared" si="6"/>
        <v>-70000</v>
      </c>
      <c r="N208" s="288">
        <f t="shared" si="6"/>
        <v>-70000</v>
      </c>
    </row>
    <row r="209" spans="2:14" x14ac:dyDescent="0.25">
      <c r="B209" s="16" t="s">
        <v>3228</v>
      </c>
      <c r="C209" s="16" t="s">
        <v>416</v>
      </c>
      <c r="D209" s="27" t="s">
        <v>417</v>
      </c>
      <c r="E209" s="288">
        <v>-400</v>
      </c>
      <c r="F209" s="288">
        <f>E209</f>
        <v>-400</v>
      </c>
      <c r="G209" s="288">
        <f t="shared" ref="G209:N209" si="7">F209</f>
        <v>-400</v>
      </c>
      <c r="H209" s="288">
        <f t="shared" si="7"/>
        <v>-400</v>
      </c>
      <c r="I209" s="288">
        <f t="shared" si="7"/>
        <v>-400</v>
      </c>
      <c r="J209" s="288">
        <f t="shared" si="7"/>
        <v>-400</v>
      </c>
      <c r="K209" s="288">
        <f t="shared" si="7"/>
        <v>-400</v>
      </c>
      <c r="L209" s="288">
        <f t="shared" si="7"/>
        <v>-400</v>
      </c>
      <c r="M209" s="288">
        <f t="shared" si="7"/>
        <v>-400</v>
      </c>
      <c r="N209" s="288">
        <f t="shared" si="7"/>
        <v>-400</v>
      </c>
    </row>
    <row r="210" spans="2:14" x14ac:dyDescent="0.25">
      <c r="B210" s="16" t="s">
        <v>3228</v>
      </c>
      <c r="C210" s="16" t="s">
        <v>418</v>
      </c>
      <c r="D210" s="27" t="s">
        <v>419</v>
      </c>
      <c r="E210" s="288">
        <v>-3800</v>
      </c>
      <c r="F210" s="288">
        <f>E210</f>
        <v>-3800</v>
      </c>
      <c r="G210" s="288">
        <f t="shared" ref="G210:N210" si="8">F210</f>
        <v>-3800</v>
      </c>
      <c r="H210" s="288">
        <f t="shared" si="8"/>
        <v>-3800</v>
      </c>
      <c r="I210" s="288">
        <f t="shared" si="8"/>
        <v>-3800</v>
      </c>
      <c r="J210" s="288">
        <f t="shared" si="8"/>
        <v>-3800</v>
      </c>
      <c r="K210" s="288">
        <f t="shared" si="8"/>
        <v>-3800</v>
      </c>
      <c r="L210" s="288">
        <f t="shared" si="8"/>
        <v>-3800</v>
      </c>
      <c r="M210" s="288">
        <f t="shared" si="8"/>
        <v>-3800</v>
      </c>
      <c r="N210" s="288">
        <f t="shared" si="8"/>
        <v>-3800</v>
      </c>
    </row>
    <row r="211" spans="2:14" x14ac:dyDescent="0.25">
      <c r="B211" s="16" t="s">
        <v>3228</v>
      </c>
      <c r="C211" s="16" t="s">
        <v>420</v>
      </c>
      <c r="D211" s="16" t="s">
        <v>421</v>
      </c>
      <c r="E211" s="288">
        <v>-55200</v>
      </c>
      <c r="F211" s="288">
        <f>ROUND(E211+(E211*Assumptions!C$13),-2)</f>
        <v>-56300</v>
      </c>
      <c r="G211" s="288">
        <f>ROUND(F211+(F211*Assumptions!D$13),-2)</f>
        <v>-57700</v>
      </c>
      <c r="H211" s="288">
        <f>ROUND(G211+(G211*Assumptions!E$13),-2)</f>
        <v>-59100</v>
      </c>
      <c r="I211" s="288">
        <f>ROUND(H211+(H211*Assumptions!F$13),-2)</f>
        <v>-60600</v>
      </c>
      <c r="J211" s="288">
        <f>ROUND(I211+(I211*Assumptions!G$13),-2)</f>
        <v>-62100</v>
      </c>
      <c r="K211" s="288">
        <f>ROUND(J211+(J211*Assumptions!H$13),-2)</f>
        <v>-63700</v>
      </c>
      <c r="L211" s="288">
        <f>ROUND(K211+(K211*Assumptions!I$13),-2)</f>
        <v>-65300</v>
      </c>
      <c r="M211" s="288">
        <f>ROUND(L211+(L211*Assumptions!J$13),-2)</f>
        <v>-66900</v>
      </c>
      <c r="N211" s="288">
        <f>ROUND(M211+(M211*Assumptions!K$13),-2)</f>
        <v>-68600</v>
      </c>
    </row>
    <row r="212" spans="2:14" ht="12.75" customHeight="1" x14ac:dyDescent="0.25">
      <c r="E212" s="288"/>
      <c r="F212" s="288"/>
      <c r="G212" s="288"/>
      <c r="H212" s="288"/>
      <c r="I212" s="288"/>
      <c r="J212" s="288"/>
      <c r="K212" s="288"/>
      <c r="L212" s="288"/>
      <c r="M212" s="288"/>
      <c r="N212" s="288"/>
    </row>
    <row r="213" spans="2:14" ht="12.75" customHeight="1" x14ac:dyDescent="0.25">
      <c r="D213" s="19" t="s">
        <v>3234</v>
      </c>
      <c r="E213" s="291">
        <f>SUM(E207:E212)</f>
        <v>-129400</v>
      </c>
      <c r="F213" s="291">
        <f t="shared" ref="F213:N213" si="9">SUM(F207:F212)</f>
        <v>-130500</v>
      </c>
      <c r="G213" s="291">
        <f t="shared" si="9"/>
        <v>-131900</v>
      </c>
      <c r="H213" s="291">
        <f t="shared" si="9"/>
        <v>-133300</v>
      </c>
      <c r="I213" s="291">
        <f t="shared" si="9"/>
        <v>-134800</v>
      </c>
      <c r="J213" s="291">
        <f t="shared" si="9"/>
        <v>-136300</v>
      </c>
      <c r="K213" s="291">
        <f t="shared" si="9"/>
        <v>-137900</v>
      </c>
      <c r="L213" s="291">
        <f t="shared" si="9"/>
        <v>-139500</v>
      </c>
      <c r="M213" s="291">
        <f t="shared" si="9"/>
        <v>-141100</v>
      </c>
      <c r="N213" s="291">
        <f t="shared" si="9"/>
        <v>-142800</v>
      </c>
    </row>
    <row r="214" spans="2:14" ht="12.75" customHeight="1" x14ac:dyDescent="0.25">
      <c r="E214" s="288"/>
      <c r="F214" s="288"/>
      <c r="G214" s="288"/>
      <c r="H214" s="288"/>
      <c r="I214" s="288"/>
      <c r="J214" s="288"/>
      <c r="K214" s="288"/>
      <c r="L214" s="288"/>
      <c r="M214" s="288"/>
      <c r="N214" s="288"/>
    </row>
    <row r="215" spans="2:14" x14ac:dyDescent="0.25">
      <c r="C215" s="19" t="s">
        <v>422</v>
      </c>
      <c r="E215" s="288"/>
      <c r="F215" s="288"/>
      <c r="G215" s="288"/>
      <c r="H215" s="288"/>
      <c r="I215" s="288"/>
      <c r="J215" s="288"/>
      <c r="K215" s="288"/>
      <c r="L215" s="288"/>
      <c r="M215" s="288"/>
      <c r="N215" s="288"/>
    </row>
    <row r="216" spans="2:14" ht="12.75" customHeight="1" x14ac:dyDescent="0.25">
      <c r="E216" s="288"/>
      <c r="F216" s="288"/>
      <c r="G216" s="288"/>
      <c r="H216" s="288"/>
      <c r="I216" s="288"/>
      <c r="J216" s="288"/>
      <c r="K216" s="288"/>
      <c r="L216" s="288"/>
      <c r="M216" s="288"/>
      <c r="N216" s="288"/>
    </row>
    <row r="217" spans="2:14" x14ac:dyDescent="0.25">
      <c r="C217" s="16" t="s">
        <v>87</v>
      </c>
      <c r="E217" s="288"/>
      <c r="F217" s="288"/>
      <c r="G217" s="288"/>
      <c r="H217" s="288"/>
      <c r="I217" s="288"/>
      <c r="J217" s="288"/>
      <c r="K217" s="288"/>
      <c r="L217" s="288"/>
      <c r="M217" s="288"/>
      <c r="N217" s="288"/>
    </row>
    <row r="218" spans="2:14" x14ac:dyDescent="0.25">
      <c r="B218" s="16" t="s">
        <v>41</v>
      </c>
      <c r="C218" s="16" t="s">
        <v>423</v>
      </c>
      <c r="D218" s="16" t="s">
        <v>424</v>
      </c>
      <c r="E218" s="288"/>
      <c r="F218" s="288"/>
      <c r="G218" s="288"/>
      <c r="H218" s="288"/>
      <c r="I218" s="288"/>
      <c r="J218" s="288"/>
      <c r="K218" s="288"/>
      <c r="L218" s="288"/>
      <c r="M218" s="288"/>
      <c r="N218" s="288"/>
    </row>
    <row r="219" spans="2:14" x14ac:dyDescent="0.25">
      <c r="B219" s="16" t="s">
        <v>41</v>
      </c>
      <c r="C219" s="16" t="s">
        <v>425</v>
      </c>
      <c r="D219" s="16" t="s">
        <v>201</v>
      </c>
      <c r="E219" s="288">
        <v>825700</v>
      </c>
      <c r="F219" s="288">
        <f>ROUND(IF($A219="E",E219*(1+Assumptions!C$15),E219*(1+Assumptions!C$14)),-2)</f>
        <v>838100</v>
      </c>
      <c r="G219" s="288">
        <f>ROUND(IF($A219="E",F219*(1+Assumptions!D$15),F219*(1+Assumptions!D$14)),-2)</f>
        <v>854900</v>
      </c>
      <c r="H219" s="288">
        <f>ROUND(IF($A219="E",G219*(1+Assumptions!E$15),G219*(1+Assumptions!E$14)),-2)</f>
        <v>872000</v>
      </c>
      <c r="I219" s="288">
        <f>ROUND(IF($A219="E",H219*(1+Assumptions!F$15),H219*(1+Assumptions!F$14)),-2)</f>
        <v>889400</v>
      </c>
      <c r="J219" s="288">
        <f>ROUND(IF($A219="E",I219*(1+Assumptions!G$15),I219*(1+Assumptions!G$14)),-2)</f>
        <v>907200</v>
      </c>
      <c r="K219" s="288">
        <f>ROUND(IF($A219="E",J219*(1+Assumptions!H$15),J219*(1+Assumptions!H$14)),-2)</f>
        <v>925300</v>
      </c>
      <c r="L219" s="288">
        <f>ROUND(IF($A219="E",K219*(1+Assumptions!I$15),K219*(1+Assumptions!I$14)),-2)</f>
        <v>948400</v>
      </c>
      <c r="M219" s="288">
        <f>ROUND(IF($A219="E",L219*(1+Assumptions!J$15),L219*(1+Assumptions!J$14)),-2)</f>
        <v>972100</v>
      </c>
      <c r="N219" s="288">
        <f>ROUND(IF($A219="E",M219*(1+Assumptions!K$15),M219*(1+Assumptions!K$14)),-2)</f>
        <v>996400</v>
      </c>
    </row>
    <row r="220" spans="2:14" x14ac:dyDescent="0.25">
      <c r="B220" s="16" t="s">
        <v>41</v>
      </c>
      <c r="C220" s="16" t="s">
        <v>426</v>
      </c>
      <c r="D220" s="16" t="s">
        <v>427</v>
      </c>
      <c r="E220" s="288">
        <v>60500</v>
      </c>
      <c r="F220" s="288">
        <f>ROUND(IF($A220="E",E220*(1+Assumptions!C$15),E220*(1+Assumptions!C$14)),-2)</f>
        <v>61400</v>
      </c>
      <c r="G220" s="288">
        <f>ROUND(IF($A220="E",F220*(1+Assumptions!D$15),F220*(1+Assumptions!D$14)),-2)</f>
        <v>62600</v>
      </c>
      <c r="H220" s="288">
        <f>ROUND(IF($A220="E",G220*(1+Assumptions!E$15),G220*(1+Assumptions!E$14)),-2)</f>
        <v>63900</v>
      </c>
      <c r="I220" s="288">
        <f>ROUND(IF($A220="E",H220*(1+Assumptions!F$15),H220*(1+Assumptions!F$14)),-2)</f>
        <v>65200</v>
      </c>
      <c r="J220" s="288">
        <f>ROUND(IF($A220="E",I220*(1+Assumptions!G$15),I220*(1+Assumptions!G$14)),-2)</f>
        <v>66500</v>
      </c>
      <c r="K220" s="288">
        <f>ROUND(IF($A220="E",J220*(1+Assumptions!H$15),J220*(1+Assumptions!H$14)),-2)</f>
        <v>67800</v>
      </c>
      <c r="L220" s="288">
        <f>ROUND(IF($A220="E",K220*(1+Assumptions!I$15),K220*(1+Assumptions!I$14)),-2)</f>
        <v>69500</v>
      </c>
      <c r="M220" s="288">
        <f>ROUND(IF($A220="E",L220*(1+Assumptions!J$15),L220*(1+Assumptions!J$14)),-2)</f>
        <v>71200</v>
      </c>
      <c r="N220" s="288">
        <f>ROUND(IF($A220="E",M220*(1+Assumptions!K$15),M220*(1+Assumptions!K$14)),-2)</f>
        <v>73000</v>
      </c>
    </row>
    <row r="221" spans="2:14" x14ac:dyDescent="0.25">
      <c r="B221" s="16" t="s">
        <v>43</v>
      </c>
      <c r="C221" s="16" t="s">
        <v>428</v>
      </c>
      <c r="D221" s="16" t="s">
        <v>97</v>
      </c>
      <c r="E221" s="288">
        <v>10000</v>
      </c>
      <c r="F221" s="288">
        <f>ROUND(IF($A221="E",E221*(1+Assumptions!C$15),E221*(1+Assumptions!C$14)),-2)</f>
        <v>10200</v>
      </c>
      <c r="G221" s="288">
        <f>ROUND(IF($A221="E",F221*(1+Assumptions!D$15),F221*(1+Assumptions!D$14)),-2)</f>
        <v>10400</v>
      </c>
      <c r="H221" s="288">
        <f>ROUND(IF($A221="E",G221*(1+Assumptions!E$15),G221*(1+Assumptions!E$14)),-2)</f>
        <v>10600</v>
      </c>
      <c r="I221" s="288">
        <f>ROUND(IF($A221="E",H221*(1+Assumptions!F$15),H221*(1+Assumptions!F$14)),-2)</f>
        <v>10800</v>
      </c>
      <c r="J221" s="288">
        <f>ROUND(IF($A221="E",I221*(1+Assumptions!G$15),I221*(1+Assumptions!G$14)),-2)</f>
        <v>11000</v>
      </c>
      <c r="K221" s="288">
        <f>ROUND(IF($A221="E",J221*(1+Assumptions!H$15),J221*(1+Assumptions!H$14)),-2)</f>
        <v>11200</v>
      </c>
      <c r="L221" s="288">
        <f>ROUND(IF($A221="E",K221*(1+Assumptions!I$15),K221*(1+Assumptions!I$14)),-2)</f>
        <v>11500</v>
      </c>
      <c r="M221" s="288">
        <f>ROUND(IF($A221="E",L221*(1+Assumptions!J$15),L221*(1+Assumptions!J$14)),-2)</f>
        <v>11800</v>
      </c>
      <c r="N221" s="288">
        <f>ROUND(IF($A221="E",M221*(1+Assumptions!K$15),M221*(1+Assumptions!K$14)),-2)</f>
        <v>12100</v>
      </c>
    </row>
    <row r="222" spans="2:14" x14ac:dyDescent="0.25">
      <c r="B222" s="16" t="s">
        <v>45</v>
      </c>
      <c r="C222" s="16" t="s">
        <v>429</v>
      </c>
      <c r="D222" s="16" t="s">
        <v>430</v>
      </c>
      <c r="E222" s="289"/>
      <c r="F222" s="289"/>
      <c r="G222" s="289"/>
      <c r="H222" s="289"/>
      <c r="I222" s="289"/>
      <c r="J222" s="289"/>
      <c r="K222" s="289"/>
      <c r="L222" s="289"/>
      <c r="M222" s="289"/>
      <c r="N222" s="289"/>
    </row>
    <row r="223" spans="2:14" x14ac:dyDescent="0.25">
      <c r="B223" s="16" t="s">
        <v>45</v>
      </c>
      <c r="C223" s="16" t="s">
        <v>431</v>
      </c>
      <c r="D223" s="16" t="s">
        <v>432</v>
      </c>
      <c r="E223" s="288">
        <v>21200</v>
      </c>
      <c r="F223" s="288">
        <f>ROUND(IF($A223="E",E223*(1+Assumptions!C$15),E223*(1+Assumptions!C$14)),-2)</f>
        <v>21500</v>
      </c>
      <c r="G223" s="288">
        <f>ROUND(IF($A223="E",F223*(1+Assumptions!D$15),F223*(1+Assumptions!D$14)),-2)</f>
        <v>21900</v>
      </c>
      <c r="H223" s="288">
        <f>ROUND(IF($A223="E",G223*(1+Assumptions!E$15),G223*(1+Assumptions!E$14)),-2)</f>
        <v>22300</v>
      </c>
      <c r="I223" s="288">
        <f>ROUND(IF($A223="E",H223*(1+Assumptions!F$15),H223*(1+Assumptions!F$14)),-2)</f>
        <v>22700</v>
      </c>
      <c r="J223" s="288">
        <f>ROUND(IF($A223="E",I223*(1+Assumptions!G$15),I223*(1+Assumptions!G$14)),-2)</f>
        <v>23200</v>
      </c>
      <c r="K223" s="288">
        <f>ROUND(IF($A223="E",J223*(1+Assumptions!H$15),J223*(1+Assumptions!H$14)),-2)</f>
        <v>23700</v>
      </c>
      <c r="L223" s="288">
        <f>ROUND(IF($A223="E",K223*(1+Assumptions!I$15),K223*(1+Assumptions!I$14)),-2)</f>
        <v>24300</v>
      </c>
      <c r="M223" s="288">
        <f>ROUND(IF($A223="E",L223*(1+Assumptions!J$15),L223*(1+Assumptions!J$14)),-2)</f>
        <v>24900</v>
      </c>
      <c r="N223" s="288">
        <f>ROUND(IF($A223="E",M223*(1+Assumptions!K$15),M223*(1+Assumptions!K$14)),-2)</f>
        <v>25500</v>
      </c>
    </row>
    <row r="224" spans="2:14" x14ac:dyDescent="0.25">
      <c r="B224" s="16" t="s">
        <v>45</v>
      </c>
      <c r="C224" s="16" t="s">
        <v>433</v>
      </c>
      <c r="D224" s="16" t="s">
        <v>434</v>
      </c>
      <c r="E224" s="288">
        <v>113800</v>
      </c>
      <c r="F224" s="288">
        <f>ROUND(IF($A224="E",E224*(1+Assumptions!C$15),E224*(1+Assumptions!C$14)),-2)</f>
        <v>115500</v>
      </c>
      <c r="G224" s="288">
        <f>ROUND(IF($A224="E",F224*(1+Assumptions!D$15),F224*(1+Assumptions!D$14)),-2)</f>
        <v>117800</v>
      </c>
      <c r="H224" s="288">
        <f>ROUND(IF($A224="E",G224*(1+Assumptions!E$15),G224*(1+Assumptions!E$14)),-2)</f>
        <v>120200</v>
      </c>
      <c r="I224" s="288">
        <f>ROUND(IF($A224="E",H224*(1+Assumptions!F$15),H224*(1+Assumptions!F$14)),-2)</f>
        <v>122600</v>
      </c>
      <c r="J224" s="288">
        <f>ROUND(IF($A224="E",I224*(1+Assumptions!G$15),I224*(1+Assumptions!G$14)),-2)</f>
        <v>125100</v>
      </c>
      <c r="K224" s="288">
        <f>ROUND(IF($A224="E",J224*(1+Assumptions!H$15),J224*(1+Assumptions!H$14)),-2)</f>
        <v>127600</v>
      </c>
      <c r="L224" s="288">
        <f>ROUND(IF($A224="E",K224*(1+Assumptions!I$15),K224*(1+Assumptions!I$14)),-2)</f>
        <v>130800</v>
      </c>
      <c r="M224" s="288">
        <f>ROUND(IF($A224="E",L224*(1+Assumptions!J$15),L224*(1+Assumptions!J$14)),-2)</f>
        <v>134100</v>
      </c>
      <c r="N224" s="288">
        <f>ROUND(IF($A224="E",M224*(1+Assumptions!K$15),M224*(1+Assumptions!K$14)),-2)</f>
        <v>137500</v>
      </c>
    </row>
    <row r="225" spans="2:14" x14ac:dyDescent="0.25">
      <c r="B225" s="16" t="s">
        <v>45</v>
      </c>
      <c r="C225" s="16" t="s">
        <v>435</v>
      </c>
      <c r="D225" s="16" t="s">
        <v>436</v>
      </c>
      <c r="E225" s="288">
        <v>21700</v>
      </c>
      <c r="F225" s="288">
        <f>ROUND(IF($A225="E",E225*(1+Assumptions!C$15),E225*(1+Assumptions!C$14)),-2)</f>
        <v>22000</v>
      </c>
      <c r="G225" s="288">
        <f>ROUND(IF($A225="E",F225*(1+Assumptions!D$15),F225*(1+Assumptions!D$14)),-2)</f>
        <v>22400</v>
      </c>
      <c r="H225" s="288">
        <f>ROUND(IF($A225="E",G225*(1+Assumptions!E$15),G225*(1+Assumptions!E$14)),-2)</f>
        <v>22800</v>
      </c>
      <c r="I225" s="288">
        <f>ROUND(IF($A225="E",H225*(1+Assumptions!F$15),H225*(1+Assumptions!F$14)),-2)</f>
        <v>23300</v>
      </c>
      <c r="J225" s="288">
        <f>ROUND(IF($A225="E",I225*(1+Assumptions!G$15),I225*(1+Assumptions!G$14)),-2)</f>
        <v>23800</v>
      </c>
      <c r="K225" s="288">
        <f>ROUND(IF($A225="E",J225*(1+Assumptions!H$15),J225*(1+Assumptions!H$14)),-2)</f>
        <v>24300</v>
      </c>
      <c r="L225" s="288">
        <f>ROUND(IF($A225="E",K225*(1+Assumptions!I$15),K225*(1+Assumptions!I$14)),-2)</f>
        <v>24900</v>
      </c>
      <c r="M225" s="288">
        <f>ROUND(IF($A225="E",L225*(1+Assumptions!J$15),L225*(1+Assumptions!J$14)),-2)</f>
        <v>25500</v>
      </c>
      <c r="N225" s="288">
        <f>ROUND(IF($A225="E",M225*(1+Assumptions!K$15),M225*(1+Assumptions!K$14)),-2)</f>
        <v>26100</v>
      </c>
    </row>
    <row r="226" spans="2:14" x14ac:dyDescent="0.25">
      <c r="B226" s="16" t="s">
        <v>45</v>
      </c>
      <c r="C226" s="16" t="s">
        <v>437</v>
      </c>
      <c r="D226" s="16" t="s">
        <v>438</v>
      </c>
      <c r="E226" s="288">
        <v>21700</v>
      </c>
      <c r="F226" s="288">
        <f>ROUND(IF($A226="E",E226*(1+Assumptions!C$15),E226*(1+Assumptions!C$14)),-2)</f>
        <v>22000</v>
      </c>
      <c r="G226" s="288">
        <f>ROUND(IF($A226="E",F226*(1+Assumptions!D$15),F226*(1+Assumptions!D$14)),-2)</f>
        <v>22400</v>
      </c>
      <c r="H226" s="288">
        <f>ROUND(IF($A226="E",G226*(1+Assumptions!E$15),G226*(1+Assumptions!E$14)),-2)</f>
        <v>22800</v>
      </c>
      <c r="I226" s="288">
        <f>ROUND(IF($A226="E",H226*(1+Assumptions!F$15),H226*(1+Assumptions!F$14)),-2)</f>
        <v>23300</v>
      </c>
      <c r="J226" s="288">
        <f>ROUND(IF($A226="E",I226*(1+Assumptions!G$15),I226*(1+Assumptions!G$14)),-2)</f>
        <v>23800</v>
      </c>
      <c r="K226" s="288">
        <f>ROUND(IF($A226="E",J226*(1+Assumptions!H$15),J226*(1+Assumptions!H$14)),-2)</f>
        <v>24300</v>
      </c>
      <c r="L226" s="288">
        <f>ROUND(IF($A226="E",K226*(1+Assumptions!I$15),K226*(1+Assumptions!I$14)),-2)</f>
        <v>24900</v>
      </c>
      <c r="M226" s="288">
        <f>ROUND(IF($A226="E",L226*(1+Assumptions!J$15),L226*(1+Assumptions!J$14)),-2)</f>
        <v>25500</v>
      </c>
      <c r="N226" s="288">
        <f>ROUND(IF($A226="E",M226*(1+Assumptions!K$15),M226*(1+Assumptions!K$14)),-2)</f>
        <v>26100</v>
      </c>
    </row>
    <row r="227" spans="2:14" x14ac:dyDescent="0.25">
      <c r="B227" s="16" t="s">
        <v>45</v>
      </c>
      <c r="C227" s="16" t="s">
        <v>439</v>
      </c>
      <c r="D227" s="16" t="s">
        <v>440</v>
      </c>
      <c r="E227" s="288">
        <v>18100</v>
      </c>
      <c r="F227" s="288">
        <f>ROUND(IF($A227="E",E227*(1+Assumptions!C$15),E227*(1+Assumptions!C$14)),-2)</f>
        <v>18400</v>
      </c>
      <c r="G227" s="288">
        <f>ROUND(IF($A227="E",F227*(1+Assumptions!D$15),F227*(1+Assumptions!D$14)),-2)</f>
        <v>18800</v>
      </c>
      <c r="H227" s="288">
        <f>ROUND(IF($A227="E",G227*(1+Assumptions!E$15),G227*(1+Assumptions!E$14)),-2)</f>
        <v>19200</v>
      </c>
      <c r="I227" s="288">
        <f>ROUND(IF($A227="E",H227*(1+Assumptions!F$15),H227*(1+Assumptions!F$14)),-2)</f>
        <v>19600</v>
      </c>
      <c r="J227" s="288">
        <f>ROUND(IF($A227="E",I227*(1+Assumptions!G$15),I227*(1+Assumptions!G$14)),-2)</f>
        <v>20000</v>
      </c>
      <c r="K227" s="288">
        <f>ROUND(IF($A227="E",J227*(1+Assumptions!H$15),J227*(1+Assumptions!H$14)),-2)</f>
        <v>20400</v>
      </c>
      <c r="L227" s="288">
        <f>ROUND(IF($A227="E",K227*(1+Assumptions!I$15),K227*(1+Assumptions!I$14)),-2)</f>
        <v>20900</v>
      </c>
      <c r="M227" s="288">
        <f>ROUND(IF($A227="E",L227*(1+Assumptions!J$15),L227*(1+Assumptions!J$14)),-2)</f>
        <v>21400</v>
      </c>
      <c r="N227" s="288">
        <f>ROUND(IF($A227="E",M227*(1+Assumptions!K$15),M227*(1+Assumptions!K$14)),-2)</f>
        <v>21900</v>
      </c>
    </row>
    <row r="228" spans="2:14" x14ac:dyDescent="0.25">
      <c r="B228" s="16" t="s">
        <v>45</v>
      </c>
      <c r="C228" s="16" t="s">
        <v>441</v>
      </c>
      <c r="D228" s="16" t="s">
        <v>442</v>
      </c>
      <c r="E228" s="288">
        <v>5500</v>
      </c>
      <c r="F228" s="288">
        <f>ROUND(IF($A228="E",E228*(1+Assumptions!C$15),E228*(1+Assumptions!C$14)),-2)</f>
        <v>5600</v>
      </c>
      <c r="G228" s="288">
        <f>ROUND(IF($A228="E",F228*(1+Assumptions!D$15),F228*(1+Assumptions!D$14)),-2)</f>
        <v>5700</v>
      </c>
      <c r="H228" s="288">
        <f>ROUND(IF($A228="E",G228*(1+Assumptions!E$15),G228*(1+Assumptions!E$14)),-2)</f>
        <v>5800</v>
      </c>
      <c r="I228" s="288">
        <f>ROUND(IF($A228="E",H228*(1+Assumptions!F$15),H228*(1+Assumptions!F$14)),-2)</f>
        <v>5900</v>
      </c>
      <c r="J228" s="288">
        <f>ROUND(IF($A228="E",I228*(1+Assumptions!G$15),I228*(1+Assumptions!G$14)),-2)</f>
        <v>6000</v>
      </c>
      <c r="K228" s="288">
        <f>ROUND(IF($A228="E",J228*(1+Assumptions!H$15),J228*(1+Assumptions!H$14)),-2)</f>
        <v>6100</v>
      </c>
      <c r="L228" s="288">
        <f>ROUND(IF($A228="E",K228*(1+Assumptions!I$15),K228*(1+Assumptions!I$14)),-2)</f>
        <v>6300</v>
      </c>
      <c r="M228" s="288">
        <f>ROUND(IF($A228="E",L228*(1+Assumptions!J$15),L228*(1+Assumptions!J$14)),-2)</f>
        <v>6500</v>
      </c>
      <c r="N228" s="288">
        <f>ROUND(IF($A228="E",M228*(1+Assumptions!K$15),M228*(1+Assumptions!K$14)),-2)</f>
        <v>6700</v>
      </c>
    </row>
    <row r="229" spans="2:14" x14ac:dyDescent="0.25">
      <c r="B229" s="16" t="s">
        <v>45</v>
      </c>
      <c r="C229" s="16" t="s">
        <v>443</v>
      </c>
      <c r="D229" s="16" t="s">
        <v>444</v>
      </c>
      <c r="E229" s="288">
        <v>10000</v>
      </c>
      <c r="F229" s="288">
        <f>ROUND(IF($A229="E",E229*(1+Assumptions!C$15),E229*(1+Assumptions!C$14)),-2)</f>
        <v>10200</v>
      </c>
      <c r="G229" s="288">
        <f>ROUND(IF($A229="E",F229*(1+Assumptions!D$15),F229*(1+Assumptions!D$14)),-2)</f>
        <v>10400</v>
      </c>
      <c r="H229" s="288">
        <f>ROUND(IF($A229="E",G229*(1+Assumptions!E$15),G229*(1+Assumptions!E$14)),-2)</f>
        <v>10600</v>
      </c>
      <c r="I229" s="288">
        <f>ROUND(IF($A229="E",H229*(1+Assumptions!F$15),H229*(1+Assumptions!F$14)),-2)</f>
        <v>10800</v>
      </c>
      <c r="J229" s="288">
        <f>ROUND(IF($A229="E",I229*(1+Assumptions!G$15),I229*(1+Assumptions!G$14)),-2)</f>
        <v>11000</v>
      </c>
      <c r="K229" s="288">
        <f>ROUND(IF($A229="E",J229*(1+Assumptions!H$15),J229*(1+Assumptions!H$14)),-2)</f>
        <v>11200</v>
      </c>
      <c r="L229" s="288">
        <f>ROUND(IF($A229="E",K229*(1+Assumptions!I$15),K229*(1+Assumptions!I$14)),-2)</f>
        <v>11500</v>
      </c>
      <c r="M229" s="288">
        <f>ROUND(IF($A229="E",L229*(1+Assumptions!J$15),L229*(1+Assumptions!J$14)),-2)</f>
        <v>11800</v>
      </c>
      <c r="N229" s="288">
        <f>ROUND(IF($A229="E",M229*(1+Assumptions!K$15),M229*(1+Assumptions!K$14)),-2)</f>
        <v>12100</v>
      </c>
    </row>
    <row r="230" spans="2:14" x14ac:dyDescent="0.25">
      <c r="B230" s="16" t="s">
        <v>45</v>
      </c>
      <c r="C230" s="16" t="s">
        <v>445</v>
      </c>
      <c r="D230" s="16" t="s">
        <v>446</v>
      </c>
      <c r="E230" s="288">
        <v>6100</v>
      </c>
      <c r="F230" s="288">
        <f>ROUND(IF($A230="E",E230*(1+Assumptions!C$15),E230*(1+Assumptions!C$14)),-2)</f>
        <v>6200</v>
      </c>
      <c r="G230" s="288">
        <f>ROUND(IF($A230="E",F230*(1+Assumptions!D$15),F230*(1+Assumptions!D$14)),-2)</f>
        <v>6300</v>
      </c>
      <c r="H230" s="288">
        <f>ROUND(IF($A230="E",G230*(1+Assumptions!E$15),G230*(1+Assumptions!E$14)),-2)</f>
        <v>6400</v>
      </c>
      <c r="I230" s="288">
        <f>ROUND(IF($A230="E",H230*(1+Assumptions!F$15),H230*(1+Assumptions!F$14)),-2)</f>
        <v>6500</v>
      </c>
      <c r="J230" s="288">
        <f>ROUND(IF($A230="E",I230*(1+Assumptions!G$15),I230*(1+Assumptions!G$14)),-2)</f>
        <v>6600</v>
      </c>
      <c r="K230" s="288">
        <f>ROUND(IF($A230="E",J230*(1+Assumptions!H$15),J230*(1+Assumptions!H$14)),-2)</f>
        <v>6700</v>
      </c>
      <c r="L230" s="288">
        <f>ROUND(IF($A230="E",K230*(1+Assumptions!I$15),K230*(1+Assumptions!I$14)),-2)</f>
        <v>6900</v>
      </c>
      <c r="M230" s="288">
        <f>ROUND(IF($A230="E",L230*(1+Assumptions!J$15),L230*(1+Assumptions!J$14)),-2)</f>
        <v>7100</v>
      </c>
      <c r="N230" s="288">
        <f>ROUND(IF($A230="E",M230*(1+Assumptions!K$15),M230*(1+Assumptions!K$14)),-2)</f>
        <v>7300</v>
      </c>
    </row>
    <row r="231" spans="2:14" x14ac:dyDescent="0.25">
      <c r="B231" s="16" t="s">
        <v>45</v>
      </c>
      <c r="C231" s="16" t="s">
        <v>447</v>
      </c>
      <c r="D231" s="16" t="s">
        <v>448</v>
      </c>
      <c r="E231" s="288">
        <v>67100</v>
      </c>
      <c r="F231" s="288">
        <f>ROUND(IF($A231="E",E231*(1+Assumptions!C$15),E231*(1+Assumptions!C$14)),-2)</f>
        <v>68100</v>
      </c>
      <c r="G231" s="288">
        <f>ROUND(IF($A231="E",F231*(1+Assumptions!D$15),F231*(1+Assumptions!D$14)),-2)</f>
        <v>69500</v>
      </c>
      <c r="H231" s="288">
        <f>ROUND(IF($A231="E",G231*(1+Assumptions!E$15),G231*(1+Assumptions!E$14)),-2)</f>
        <v>70900</v>
      </c>
      <c r="I231" s="288">
        <f>ROUND(IF($A231="E",H231*(1+Assumptions!F$15),H231*(1+Assumptions!F$14)),-2)</f>
        <v>72300</v>
      </c>
      <c r="J231" s="288">
        <f>ROUND(IF($A231="E",I231*(1+Assumptions!G$15),I231*(1+Assumptions!G$14)),-2)</f>
        <v>73700</v>
      </c>
      <c r="K231" s="288">
        <f>ROUND(IF($A231="E",J231*(1+Assumptions!H$15),J231*(1+Assumptions!H$14)),-2)</f>
        <v>75200</v>
      </c>
      <c r="L231" s="288">
        <f>ROUND(IF($A231="E",K231*(1+Assumptions!I$15),K231*(1+Assumptions!I$14)),-2)</f>
        <v>77100</v>
      </c>
      <c r="M231" s="288">
        <f>ROUND(IF($A231="E",L231*(1+Assumptions!J$15),L231*(1+Assumptions!J$14)),-2)</f>
        <v>79000</v>
      </c>
      <c r="N231" s="288">
        <f>ROUND(IF($A231="E",M231*(1+Assumptions!K$15),M231*(1+Assumptions!K$14)),-2)</f>
        <v>81000</v>
      </c>
    </row>
    <row r="232" spans="2:14" x14ac:dyDescent="0.25">
      <c r="B232" s="16" t="s">
        <v>45</v>
      </c>
      <c r="C232" s="16" t="s">
        <v>449</v>
      </c>
      <c r="D232" s="16" t="s">
        <v>450</v>
      </c>
      <c r="E232" s="288">
        <v>155000</v>
      </c>
      <c r="F232" s="288">
        <f>ROUND(IF($A232="E",E232*(1+Assumptions!C$15),E232*(1+Assumptions!C$14)),-2)</f>
        <v>157300</v>
      </c>
      <c r="G232" s="288">
        <f>ROUND(IF($A232="E",F232*(1+Assumptions!D$15),F232*(1+Assumptions!D$14)),-2)</f>
        <v>160400</v>
      </c>
      <c r="H232" s="288">
        <f>ROUND(IF($A232="E",G232*(1+Assumptions!E$15),G232*(1+Assumptions!E$14)),-2)</f>
        <v>163600</v>
      </c>
      <c r="I232" s="288">
        <f>ROUND(IF($A232="E",H232*(1+Assumptions!F$15),H232*(1+Assumptions!F$14)),-2)</f>
        <v>166900</v>
      </c>
      <c r="J232" s="288">
        <f>ROUND(IF($A232="E",I232*(1+Assumptions!G$15),I232*(1+Assumptions!G$14)),-2)</f>
        <v>170200</v>
      </c>
      <c r="K232" s="288">
        <f>ROUND(IF($A232="E",J232*(1+Assumptions!H$15),J232*(1+Assumptions!H$14)),-2)</f>
        <v>173600</v>
      </c>
      <c r="L232" s="288">
        <f>ROUND(IF($A232="E",K232*(1+Assumptions!I$15),K232*(1+Assumptions!I$14)),-2)</f>
        <v>177900</v>
      </c>
      <c r="M232" s="288">
        <f>ROUND(IF($A232="E",L232*(1+Assumptions!J$15),L232*(1+Assumptions!J$14)),-2)</f>
        <v>182300</v>
      </c>
      <c r="N232" s="288">
        <f>ROUND(IF($A232="E",M232*(1+Assumptions!K$15),M232*(1+Assumptions!K$14)),-2)</f>
        <v>186900</v>
      </c>
    </row>
    <row r="233" spans="2:14" x14ac:dyDescent="0.25">
      <c r="B233" s="16" t="s">
        <v>45</v>
      </c>
      <c r="C233" s="16" t="s">
        <v>451</v>
      </c>
      <c r="D233" s="16" t="s">
        <v>452</v>
      </c>
      <c r="E233" s="288">
        <v>10900</v>
      </c>
      <c r="F233" s="288">
        <f>ROUND(IF($A233="E",E233*(1+Assumptions!C$15),E233*(1+Assumptions!C$14)),-2)</f>
        <v>11100</v>
      </c>
      <c r="G233" s="288">
        <f>ROUND(IF($A233="E",F233*(1+Assumptions!D$15),F233*(1+Assumptions!D$14)),-2)</f>
        <v>11300</v>
      </c>
      <c r="H233" s="288">
        <f>ROUND(IF($A233="E",G233*(1+Assumptions!E$15),G233*(1+Assumptions!E$14)),-2)</f>
        <v>11500</v>
      </c>
      <c r="I233" s="288">
        <f>ROUND(IF($A233="E",H233*(1+Assumptions!F$15),H233*(1+Assumptions!F$14)),-2)</f>
        <v>11700</v>
      </c>
      <c r="J233" s="288">
        <f>ROUND(IF($A233="E",I233*(1+Assumptions!G$15),I233*(1+Assumptions!G$14)),-2)</f>
        <v>11900</v>
      </c>
      <c r="K233" s="288">
        <f>ROUND(IF($A233="E",J233*(1+Assumptions!H$15),J233*(1+Assumptions!H$14)),-2)</f>
        <v>12100</v>
      </c>
      <c r="L233" s="288">
        <f>ROUND(IF($A233="E",K233*(1+Assumptions!I$15),K233*(1+Assumptions!I$14)),-2)</f>
        <v>12400</v>
      </c>
      <c r="M233" s="288">
        <f>ROUND(IF($A233="E",L233*(1+Assumptions!J$15),L233*(1+Assumptions!J$14)),-2)</f>
        <v>12700</v>
      </c>
      <c r="N233" s="288">
        <f>ROUND(IF($A233="E",M233*(1+Assumptions!K$15),M233*(1+Assumptions!K$14)),-2)</f>
        <v>13000</v>
      </c>
    </row>
    <row r="234" spans="2:14" x14ac:dyDescent="0.25">
      <c r="B234" s="16" t="s">
        <v>45</v>
      </c>
      <c r="C234" s="16" t="s">
        <v>453</v>
      </c>
      <c r="D234" s="16" t="s">
        <v>454</v>
      </c>
      <c r="E234" s="288">
        <v>24400</v>
      </c>
      <c r="F234" s="288">
        <f>ROUND(IF($A234="E",E234*(1+Assumptions!C$15),E234*(1+Assumptions!C$14)),-2)</f>
        <v>24800</v>
      </c>
      <c r="G234" s="288">
        <f>ROUND(IF($A234="E",F234*(1+Assumptions!D$15),F234*(1+Assumptions!D$14)),-2)</f>
        <v>25300</v>
      </c>
      <c r="H234" s="288">
        <f>ROUND(IF($A234="E",G234*(1+Assumptions!E$15),G234*(1+Assumptions!E$14)),-2)</f>
        <v>25800</v>
      </c>
      <c r="I234" s="288">
        <f>ROUND(IF($A234="E",H234*(1+Assumptions!F$15),H234*(1+Assumptions!F$14)),-2)</f>
        <v>26300</v>
      </c>
      <c r="J234" s="288">
        <f>ROUND(IF($A234="E",I234*(1+Assumptions!G$15),I234*(1+Assumptions!G$14)),-2)</f>
        <v>26800</v>
      </c>
      <c r="K234" s="288">
        <f>ROUND(IF($A234="E",J234*(1+Assumptions!H$15),J234*(1+Assumptions!H$14)),-2)</f>
        <v>27300</v>
      </c>
      <c r="L234" s="288">
        <f>ROUND(IF($A234="E",K234*(1+Assumptions!I$15),K234*(1+Assumptions!I$14)),-2)</f>
        <v>28000</v>
      </c>
      <c r="M234" s="288">
        <f>ROUND(IF($A234="E",L234*(1+Assumptions!J$15),L234*(1+Assumptions!J$14)),-2)</f>
        <v>28700</v>
      </c>
      <c r="N234" s="288">
        <f>ROUND(IF($A234="E",M234*(1+Assumptions!K$15),M234*(1+Assumptions!K$14)),-2)</f>
        <v>29400</v>
      </c>
    </row>
    <row r="235" spans="2:14" x14ac:dyDescent="0.25">
      <c r="B235" s="16" t="s">
        <v>45</v>
      </c>
      <c r="C235" s="16" t="s">
        <v>455</v>
      </c>
      <c r="D235" s="16" t="s">
        <v>456</v>
      </c>
      <c r="E235" s="288">
        <v>45000</v>
      </c>
      <c r="F235" s="288">
        <f>ROUND(IF($A235="E",E235*(1+Assumptions!C$15),E235*(1+Assumptions!C$14)),-2)</f>
        <v>45700</v>
      </c>
      <c r="G235" s="288">
        <f>ROUND(IF($A235="E",F235*(1+Assumptions!D$15),F235*(1+Assumptions!D$14)),-2)</f>
        <v>46600</v>
      </c>
      <c r="H235" s="288">
        <f>ROUND(IF($A235="E",G235*(1+Assumptions!E$15),G235*(1+Assumptions!E$14)),-2)</f>
        <v>47500</v>
      </c>
      <c r="I235" s="288">
        <f>ROUND(IF($A235="E",H235*(1+Assumptions!F$15),H235*(1+Assumptions!F$14)),-2)</f>
        <v>48500</v>
      </c>
      <c r="J235" s="288">
        <f>ROUND(IF($A235="E",I235*(1+Assumptions!G$15),I235*(1+Assumptions!G$14)),-2)</f>
        <v>49500</v>
      </c>
      <c r="K235" s="288">
        <f>ROUND(IF($A235="E",J235*(1+Assumptions!H$15),J235*(1+Assumptions!H$14)),-2)</f>
        <v>50500</v>
      </c>
      <c r="L235" s="288">
        <f>ROUND(IF($A235="E",K235*(1+Assumptions!I$15),K235*(1+Assumptions!I$14)),-2)</f>
        <v>51800</v>
      </c>
      <c r="M235" s="288">
        <f>ROUND(IF($A235="E",L235*(1+Assumptions!J$15),L235*(1+Assumptions!J$14)),-2)</f>
        <v>53100</v>
      </c>
      <c r="N235" s="288">
        <f>ROUND(IF($A235="E",M235*(1+Assumptions!K$15),M235*(1+Assumptions!K$14)),-2)</f>
        <v>54400</v>
      </c>
    </row>
    <row r="236" spans="2:14" x14ac:dyDescent="0.25">
      <c r="B236" s="16" t="s">
        <v>45</v>
      </c>
      <c r="C236" s="16" t="s">
        <v>457</v>
      </c>
      <c r="D236" s="16" t="s">
        <v>458</v>
      </c>
      <c r="E236" s="288">
        <v>21600</v>
      </c>
      <c r="F236" s="288">
        <f>ROUND(IF($A236="E",E236*(1+Assumptions!C$15),E236*(1+Assumptions!C$14)),-2)</f>
        <v>21900</v>
      </c>
      <c r="G236" s="288">
        <f>ROUND(IF($A236="E",F236*(1+Assumptions!D$15),F236*(1+Assumptions!D$14)),-2)</f>
        <v>22300</v>
      </c>
      <c r="H236" s="288">
        <f>ROUND(IF($A236="E",G236*(1+Assumptions!E$15),G236*(1+Assumptions!E$14)),-2)</f>
        <v>22700</v>
      </c>
      <c r="I236" s="288">
        <f>ROUND(IF($A236="E",H236*(1+Assumptions!F$15),H236*(1+Assumptions!F$14)),-2)</f>
        <v>23200</v>
      </c>
      <c r="J236" s="288">
        <f>ROUND(IF($A236="E",I236*(1+Assumptions!G$15),I236*(1+Assumptions!G$14)),-2)</f>
        <v>23700</v>
      </c>
      <c r="K236" s="288">
        <f>ROUND(IF($A236="E",J236*(1+Assumptions!H$15),J236*(1+Assumptions!H$14)),-2)</f>
        <v>24200</v>
      </c>
      <c r="L236" s="288">
        <f>ROUND(IF($A236="E",K236*(1+Assumptions!I$15),K236*(1+Assumptions!I$14)),-2)</f>
        <v>24800</v>
      </c>
      <c r="M236" s="288">
        <f>ROUND(IF($A236="E",L236*(1+Assumptions!J$15),L236*(1+Assumptions!J$14)),-2)</f>
        <v>25400</v>
      </c>
      <c r="N236" s="288">
        <f>ROUND(IF($A236="E",M236*(1+Assumptions!K$15),M236*(1+Assumptions!K$14)),-2)</f>
        <v>26000</v>
      </c>
    </row>
    <row r="237" spans="2:14" x14ac:dyDescent="0.25">
      <c r="B237" s="16" t="s">
        <v>45</v>
      </c>
      <c r="C237" s="16" t="s">
        <v>459</v>
      </c>
      <c r="D237" s="16" t="s">
        <v>460</v>
      </c>
      <c r="E237" s="288">
        <v>30000</v>
      </c>
      <c r="F237" s="288">
        <f>ROUND(IF($A237="E",E237*(1+Assumptions!C$15),E237*(1+Assumptions!C$14)),-2)</f>
        <v>30500</v>
      </c>
      <c r="G237" s="288">
        <f>ROUND(IF($A237="E",F237*(1+Assumptions!D$15),F237*(1+Assumptions!D$14)),-2)</f>
        <v>31100</v>
      </c>
      <c r="H237" s="288">
        <f>ROUND(IF($A237="E",G237*(1+Assumptions!E$15),G237*(1+Assumptions!E$14)),-2)</f>
        <v>31700</v>
      </c>
      <c r="I237" s="288">
        <f>ROUND(IF($A237="E",H237*(1+Assumptions!F$15),H237*(1+Assumptions!F$14)),-2)</f>
        <v>32300</v>
      </c>
      <c r="J237" s="288">
        <f>ROUND(IF($A237="E",I237*(1+Assumptions!G$15),I237*(1+Assumptions!G$14)),-2)</f>
        <v>32900</v>
      </c>
      <c r="K237" s="288">
        <f>ROUND(IF($A237="E",J237*(1+Assumptions!H$15),J237*(1+Assumptions!H$14)),-2)</f>
        <v>33600</v>
      </c>
      <c r="L237" s="288">
        <f>ROUND(IF($A237="E",K237*(1+Assumptions!I$15),K237*(1+Assumptions!I$14)),-2)</f>
        <v>34400</v>
      </c>
      <c r="M237" s="288">
        <f>ROUND(IF($A237="E",L237*(1+Assumptions!J$15),L237*(1+Assumptions!J$14)),-2)</f>
        <v>35300</v>
      </c>
      <c r="N237" s="288">
        <f>ROUND(IF($A237="E",M237*(1+Assumptions!K$15),M237*(1+Assumptions!K$14)),-2)</f>
        <v>36200</v>
      </c>
    </row>
    <row r="238" spans="2:14" x14ac:dyDescent="0.25">
      <c r="B238" s="16" t="s">
        <v>45</v>
      </c>
      <c r="C238" s="16" t="s">
        <v>461</v>
      </c>
      <c r="D238" s="16" t="s">
        <v>462</v>
      </c>
      <c r="E238" s="289"/>
      <c r="F238" s="289"/>
      <c r="G238" s="289"/>
      <c r="H238" s="289"/>
      <c r="I238" s="289"/>
      <c r="J238" s="289"/>
      <c r="K238" s="289"/>
      <c r="L238" s="289"/>
      <c r="M238" s="289"/>
      <c r="N238" s="289"/>
    </row>
    <row r="239" spans="2:14" x14ac:dyDescent="0.25">
      <c r="B239" s="16" t="s">
        <v>45</v>
      </c>
      <c r="C239" s="16" t="s">
        <v>463</v>
      </c>
      <c r="D239" s="16" t="s">
        <v>464</v>
      </c>
      <c r="E239" s="288">
        <v>24000</v>
      </c>
      <c r="F239" s="288">
        <f>ROUND(IF($A239="E",E239*(1+Assumptions!C$15),E239*(1+Assumptions!C$14)),-2)</f>
        <v>24400</v>
      </c>
      <c r="G239" s="288">
        <f>ROUND(IF($A239="E",F239*(1+Assumptions!D$15),F239*(1+Assumptions!D$14)),-2)</f>
        <v>24900</v>
      </c>
      <c r="H239" s="288">
        <f>ROUND(IF($A239="E",G239*(1+Assumptions!E$15),G239*(1+Assumptions!E$14)),-2)</f>
        <v>25400</v>
      </c>
      <c r="I239" s="288">
        <f>ROUND(IF($A239="E",H239*(1+Assumptions!F$15),H239*(1+Assumptions!F$14)),-2)</f>
        <v>25900</v>
      </c>
      <c r="J239" s="288">
        <f>ROUND(IF($A239="E",I239*(1+Assumptions!G$15),I239*(1+Assumptions!G$14)),-2)</f>
        <v>26400</v>
      </c>
      <c r="K239" s="288">
        <f>ROUND(IF($A239="E",J239*(1+Assumptions!H$15),J239*(1+Assumptions!H$14)),-2)</f>
        <v>26900</v>
      </c>
      <c r="L239" s="288">
        <f>ROUND(IF($A239="E",K239*(1+Assumptions!I$15),K239*(1+Assumptions!I$14)),-2)</f>
        <v>27600</v>
      </c>
      <c r="M239" s="288">
        <f>ROUND(IF($A239="E",L239*(1+Assumptions!J$15),L239*(1+Assumptions!J$14)),-2)</f>
        <v>28300</v>
      </c>
      <c r="N239" s="288">
        <f>ROUND(IF($A239="E",M239*(1+Assumptions!K$15),M239*(1+Assumptions!K$14)),-2)</f>
        <v>29000</v>
      </c>
    </row>
    <row r="240" spans="2:14" x14ac:dyDescent="0.25">
      <c r="B240" s="16" t="s">
        <v>45</v>
      </c>
      <c r="C240" s="16" t="s">
        <v>465</v>
      </c>
      <c r="D240" s="16" t="s">
        <v>466</v>
      </c>
      <c r="E240" s="288">
        <v>16500</v>
      </c>
      <c r="F240" s="288">
        <f>ROUND(IF($A240="E",E240*(1+Assumptions!C$15),E240*(1+Assumptions!C$14)),-2)</f>
        <v>16700</v>
      </c>
      <c r="G240" s="288">
        <f>ROUND(IF($A240="E",F240*(1+Assumptions!D$15),F240*(1+Assumptions!D$14)),-2)</f>
        <v>17000</v>
      </c>
      <c r="H240" s="288">
        <f>ROUND(IF($A240="E",G240*(1+Assumptions!E$15),G240*(1+Assumptions!E$14)),-2)</f>
        <v>17300</v>
      </c>
      <c r="I240" s="288">
        <f>ROUND(IF($A240="E",H240*(1+Assumptions!F$15),H240*(1+Assumptions!F$14)),-2)</f>
        <v>17600</v>
      </c>
      <c r="J240" s="288">
        <f>ROUND(IF($A240="E",I240*(1+Assumptions!G$15),I240*(1+Assumptions!G$14)),-2)</f>
        <v>18000</v>
      </c>
      <c r="K240" s="288">
        <f>ROUND(IF($A240="E",J240*(1+Assumptions!H$15),J240*(1+Assumptions!H$14)),-2)</f>
        <v>18400</v>
      </c>
      <c r="L240" s="288">
        <f>ROUND(IF($A240="E",K240*(1+Assumptions!I$15),K240*(1+Assumptions!I$14)),-2)</f>
        <v>18900</v>
      </c>
      <c r="M240" s="288">
        <f>ROUND(IF($A240="E",L240*(1+Assumptions!J$15),L240*(1+Assumptions!J$14)),-2)</f>
        <v>19400</v>
      </c>
      <c r="N240" s="288">
        <f>ROUND(IF($A240="E",M240*(1+Assumptions!K$15),M240*(1+Assumptions!K$14)),-2)</f>
        <v>19900</v>
      </c>
    </row>
    <row r="241" spans="2:14" x14ac:dyDescent="0.25">
      <c r="B241" s="16" t="s">
        <v>45</v>
      </c>
      <c r="C241" s="16" t="s">
        <v>467</v>
      </c>
      <c r="D241" s="16" t="s">
        <v>468</v>
      </c>
      <c r="E241" s="288">
        <v>5600</v>
      </c>
      <c r="F241" s="288">
        <f>ROUND(IF($A241="E",E241*(1+Assumptions!C$15),E241*(1+Assumptions!C$14)),-2)</f>
        <v>5700</v>
      </c>
      <c r="G241" s="288">
        <f>ROUND(IF($A241="E",F241*(1+Assumptions!D$15),F241*(1+Assumptions!D$14)),-2)</f>
        <v>5800</v>
      </c>
      <c r="H241" s="288">
        <f>ROUND(IF($A241="E",G241*(1+Assumptions!E$15),G241*(1+Assumptions!E$14)),-2)</f>
        <v>5900</v>
      </c>
      <c r="I241" s="288">
        <f>ROUND(IF($A241="E",H241*(1+Assumptions!F$15),H241*(1+Assumptions!F$14)),-2)</f>
        <v>6000</v>
      </c>
      <c r="J241" s="288">
        <f>ROUND(IF($A241="E",I241*(1+Assumptions!G$15),I241*(1+Assumptions!G$14)),-2)</f>
        <v>6100</v>
      </c>
      <c r="K241" s="288">
        <f>ROUND(IF($A241="E",J241*(1+Assumptions!H$15),J241*(1+Assumptions!H$14)),-2)</f>
        <v>6200</v>
      </c>
      <c r="L241" s="288">
        <f>ROUND(IF($A241="E",K241*(1+Assumptions!I$15),K241*(1+Assumptions!I$14)),-2)</f>
        <v>6400</v>
      </c>
      <c r="M241" s="288">
        <f>ROUND(IF($A241="E",L241*(1+Assumptions!J$15),L241*(1+Assumptions!J$14)),-2)</f>
        <v>6600</v>
      </c>
      <c r="N241" s="288">
        <f>ROUND(IF($A241="E",M241*(1+Assumptions!K$15),M241*(1+Assumptions!K$14)),-2)</f>
        <v>6800</v>
      </c>
    </row>
    <row r="242" spans="2:14" x14ac:dyDescent="0.25">
      <c r="B242" s="16" t="s">
        <v>45</v>
      </c>
      <c r="C242" s="16" t="s">
        <v>469</v>
      </c>
      <c r="D242" s="16" t="s">
        <v>470</v>
      </c>
      <c r="E242" s="288">
        <v>12500</v>
      </c>
      <c r="F242" s="288">
        <f>ROUND(IF($A242="E",E242*(1+Assumptions!C$15),E242*(1+Assumptions!C$14)),-2)</f>
        <v>12700</v>
      </c>
      <c r="G242" s="288">
        <f>ROUND(IF($A242="E",F242*(1+Assumptions!D$15),F242*(1+Assumptions!D$14)),-2)</f>
        <v>13000</v>
      </c>
      <c r="H242" s="288">
        <f>ROUND(IF($A242="E",G242*(1+Assumptions!E$15),G242*(1+Assumptions!E$14)),-2)</f>
        <v>13300</v>
      </c>
      <c r="I242" s="288">
        <f>ROUND(IF($A242="E",H242*(1+Assumptions!F$15),H242*(1+Assumptions!F$14)),-2)</f>
        <v>13600</v>
      </c>
      <c r="J242" s="288">
        <f>ROUND(IF($A242="E",I242*(1+Assumptions!G$15),I242*(1+Assumptions!G$14)),-2)</f>
        <v>13900</v>
      </c>
      <c r="K242" s="288">
        <f>ROUND(IF($A242="E",J242*(1+Assumptions!H$15),J242*(1+Assumptions!H$14)),-2)</f>
        <v>14200</v>
      </c>
      <c r="L242" s="288">
        <f>ROUND(IF($A242="E",K242*(1+Assumptions!I$15),K242*(1+Assumptions!I$14)),-2)</f>
        <v>14600</v>
      </c>
      <c r="M242" s="288">
        <f>ROUND(IF($A242="E",L242*(1+Assumptions!J$15),L242*(1+Assumptions!J$14)),-2)</f>
        <v>15000</v>
      </c>
      <c r="N242" s="288">
        <f>ROUND(IF($A242="E",M242*(1+Assumptions!K$15),M242*(1+Assumptions!K$14)),-2)</f>
        <v>15400</v>
      </c>
    </row>
    <row r="243" spans="2:14" x14ac:dyDescent="0.25">
      <c r="B243" s="16" t="s">
        <v>45</v>
      </c>
      <c r="C243" s="16" t="s">
        <v>471</v>
      </c>
      <c r="D243" s="16" t="s">
        <v>472</v>
      </c>
      <c r="E243" s="288">
        <v>1000</v>
      </c>
      <c r="F243" s="288">
        <f>ROUND(IF($A243="E",E243*(1+Assumptions!C$15),E243*(1+Assumptions!C$14)),-2)</f>
        <v>1000</v>
      </c>
      <c r="G243" s="288">
        <f>ROUND(IF($A243="E",F243*(1+Assumptions!D$15),F243*(1+Assumptions!D$14)),-2)</f>
        <v>1000</v>
      </c>
      <c r="H243" s="288">
        <f>ROUND(IF($A243="E",G243*(1+Assumptions!E$15),G243*(1+Assumptions!E$14)),-2)</f>
        <v>1000</v>
      </c>
      <c r="I243" s="288">
        <f>ROUND(IF($A243="E",H243*(1+Assumptions!F$15),H243*(1+Assumptions!F$14)),-2)</f>
        <v>1000</v>
      </c>
      <c r="J243" s="288">
        <f>ROUND(IF($A243="E",I243*(1+Assumptions!G$15),I243*(1+Assumptions!G$14)),-2)</f>
        <v>1000</v>
      </c>
      <c r="K243" s="288">
        <f>ROUND(IF($A243="E",J243*(1+Assumptions!H$15),J243*(1+Assumptions!H$14)),-2)</f>
        <v>1000</v>
      </c>
      <c r="L243" s="288">
        <f>ROUND(IF($A243="E",K243*(1+Assumptions!I$15),K243*(1+Assumptions!I$14)),-2)</f>
        <v>1000</v>
      </c>
      <c r="M243" s="288">
        <f>ROUND(IF($A243="E",L243*(1+Assumptions!J$15),L243*(1+Assumptions!J$14)),-2)</f>
        <v>1000</v>
      </c>
      <c r="N243" s="288">
        <f>ROUND(IF($A243="E",M243*(1+Assumptions!K$15),M243*(1+Assumptions!K$14)),-2)</f>
        <v>1000</v>
      </c>
    </row>
    <row r="244" spans="2:14" x14ac:dyDescent="0.25">
      <c r="B244" s="16" t="s">
        <v>45</v>
      </c>
      <c r="C244" s="16" t="s">
        <v>473</v>
      </c>
      <c r="D244" s="16" t="s">
        <v>474</v>
      </c>
      <c r="E244" s="288">
        <v>13700</v>
      </c>
      <c r="F244" s="288">
        <f>ROUND(IF($A244="E",E244*(1+Assumptions!C$15),E244*(1+Assumptions!C$14)),-2)</f>
        <v>13900</v>
      </c>
      <c r="G244" s="288">
        <f>ROUND(IF($A244="E",F244*(1+Assumptions!D$15),F244*(1+Assumptions!D$14)),-2)</f>
        <v>14200</v>
      </c>
      <c r="H244" s="288">
        <f>ROUND(IF($A244="E",G244*(1+Assumptions!E$15),G244*(1+Assumptions!E$14)),-2)</f>
        <v>14500</v>
      </c>
      <c r="I244" s="288">
        <f>ROUND(IF($A244="E",H244*(1+Assumptions!F$15),H244*(1+Assumptions!F$14)),-2)</f>
        <v>14800</v>
      </c>
      <c r="J244" s="288">
        <f>ROUND(IF($A244="E",I244*(1+Assumptions!G$15),I244*(1+Assumptions!G$14)),-2)</f>
        <v>15100</v>
      </c>
      <c r="K244" s="288">
        <f>ROUND(IF($A244="E",J244*(1+Assumptions!H$15),J244*(1+Assumptions!H$14)),-2)</f>
        <v>15400</v>
      </c>
      <c r="L244" s="288">
        <f>ROUND(IF($A244="E",K244*(1+Assumptions!I$15),K244*(1+Assumptions!I$14)),-2)</f>
        <v>15800</v>
      </c>
      <c r="M244" s="288">
        <f>ROUND(IF($A244="E",L244*(1+Assumptions!J$15),L244*(1+Assumptions!J$14)),-2)</f>
        <v>16200</v>
      </c>
      <c r="N244" s="288">
        <f>ROUND(IF($A244="E",M244*(1+Assumptions!K$15),M244*(1+Assumptions!K$14)),-2)</f>
        <v>16600</v>
      </c>
    </row>
    <row r="245" spans="2:14" x14ac:dyDescent="0.25">
      <c r="B245" s="16" t="s">
        <v>45</v>
      </c>
      <c r="C245" s="16" t="s">
        <v>475</v>
      </c>
      <c r="D245" s="16" t="s">
        <v>476</v>
      </c>
      <c r="E245" s="288">
        <v>34000</v>
      </c>
      <c r="F245" s="288">
        <f>ROUND(IF($A245="E",E245*(1+Assumptions!C$15),E245*(1+Assumptions!C$14)),-2)</f>
        <v>34500</v>
      </c>
      <c r="G245" s="288">
        <f>ROUND(IF($A245="E",F245*(1+Assumptions!D$15),F245*(1+Assumptions!D$14)),-2)</f>
        <v>35200</v>
      </c>
      <c r="H245" s="288">
        <f>ROUND(IF($A245="E",G245*(1+Assumptions!E$15),G245*(1+Assumptions!E$14)),-2)</f>
        <v>35900</v>
      </c>
      <c r="I245" s="288">
        <f>ROUND(IF($A245="E",H245*(1+Assumptions!F$15),H245*(1+Assumptions!F$14)),-2)</f>
        <v>36600</v>
      </c>
      <c r="J245" s="288">
        <f>ROUND(IF($A245="E",I245*(1+Assumptions!G$15),I245*(1+Assumptions!G$14)),-2)</f>
        <v>37300</v>
      </c>
      <c r="K245" s="288">
        <f>ROUND(IF($A245="E",J245*(1+Assumptions!H$15),J245*(1+Assumptions!H$14)),-2)</f>
        <v>38000</v>
      </c>
      <c r="L245" s="288">
        <f>ROUND(IF($A245="E",K245*(1+Assumptions!I$15),K245*(1+Assumptions!I$14)),-2)</f>
        <v>39000</v>
      </c>
      <c r="M245" s="288">
        <f>ROUND(IF($A245="E",L245*(1+Assumptions!J$15),L245*(1+Assumptions!J$14)),-2)</f>
        <v>40000</v>
      </c>
      <c r="N245" s="288">
        <f>ROUND(IF($A245="E",M245*(1+Assumptions!K$15),M245*(1+Assumptions!K$14)),-2)</f>
        <v>41000</v>
      </c>
    </row>
    <row r="246" spans="2:14" x14ac:dyDescent="0.25">
      <c r="B246" s="16" t="s">
        <v>43</v>
      </c>
      <c r="C246" s="16" t="s">
        <v>477</v>
      </c>
      <c r="D246" s="16" t="s">
        <v>478</v>
      </c>
      <c r="E246" s="289"/>
      <c r="F246" s="289"/>
      <c r="G246" s="289"/>
      <c r="H246" s="289"/>
      <c r="I246" s="289"/>
      <c r="J246" s="289"/>
      <c r="K246" s="289"/>
      <c r="L246" s="289"/>
      <c r="M246" s="289"/>
      <c r="N246" s="289"/>
    </row>
    <row r="247" spans="2:14" x14ac:dyDescent="0.25">
      <c r="B247" s="16" t="s">
        <v>43</v>
      </c>
      <c r="C247" s="16" t="s">
        <v>479</v>
      </c>
      <c r="D247" s="16" t="s">
        <v>480</v>
      </c>
      <c r="E247" s="288">
        <v>7900</v>
      </c>
      <c r="F247" s="288">
        <f>ROUND(IF($A247="E",E247*(1+Assumptions!C$15),E247*(1+Assumptions!C$14)),-2)</f>
        <v>8000</v>
      </c>
      <c r="G247" s="288">
        <f>ROUND(IF($A247="E",F247*(1+Assumptions!D$15),F247*(1+Assumptions!D$14)),-2)</f>
        <v>8200</v>
      </c>
      <c r="H247" s="288">
        <f>ROUND(IF($A247="E",G247*(1+Assumptions!E$15),G247*(1+Assumptions!E$14)),-2)</f>
        <v>8400</v>
      </c>
      <c r="I247" s="288">
        <f>ROUND(IF($A247="E",H247*(1+Assumptions!F$15),H247*(1+Assumptions!F$14)),-2)</f>
        <v>8600</v>
      </c>
      <c r="J247" s="288">
        <f>ROUND(IF($A247="E",I247*(1+Assumptions!G$15),I247*(1+Assumptions!G$14)),-2)</f>
        <v>8800</v>
      </c>
      <c r="K247" s="288">
        <f>ROUND(IF($A247="E",J247*(1+Assumptions!H$15),J247*(1+Assumptions!H$14)),-2)</f>
        <v>9000</v>
      </c>
      <c r="L247" s="288">
        <f>ROUND(IF($A247="E",K247*(1+Assumptions!I$15),K247*(1+Assumptions!I$14)),-2)</f>
        <v>9200</v>
      </c>
      <c r="M247" s="288">
        <f>ROUND(IF($A247="E",L247*(1+Assumptions!J$15),L247*(1+Assumptions!J$14)),-2)</f>
        <v>9400</v>
      </c>
      <c r="N247" s="288">
        <f>ROUND(IF($A247="E",M247*(1+Assumptions!K$15),M247*(1+Assumptions!K$14)),-2)</f>
        <v>9600</v>
      </c>
    </row>
    <row r="248" spans="2:14" x14ac:dyDescent="0.25">
      <c r="B248" s="16" t="s">
        <v>43</v>
      </c>
      <c r="C248" s="16" t="s">
        <v>481</v>
      </c>
      <c r="D248" s="16" t="s">
        <v>482</v>
      </c>
      <c r="E248" s="288">
        <v>15000</v>
      </c>
      <c r="F248" s="288">
        <f>ROUND(IF($A248="E",E248*(1+Assumptions!C$15),E248*(1+Assumptions!C$14)),-2)</f>
        <v>15200</v>
      </c>
      <c r="G248" s="288">
        <f>ROUND(IF($A248="E",F248*(1+Assumptions!D$15),F248*(1+Assumptions!D$14)),-2)</f>
        <v>15500</v>
      </c>
      <c r="H248" s="288">
        <f>ROUND(IF($A248="E",G248*(1+Assumptions!E$15),G248*(1+Assumptions!E$14)),-2)</f>
        <v>15800</v>
      </c>
      <c r="I248" s="288">
        <f>ROUND(IF($A248="E",H248*(1+Assumptions!F$15),H248*(1+Assumptions!F$14)),-2)</f>
        <v>16100</v>
      </c>
      <c r="J248" s="288">
        <f>ROUND(IF($A248="E",I248*(1+Assumptions!G$15),I248*(1+Assumptions!G$14)),-2)</f>
        <v>16400</v>
      </c>
      <c r="K248" s="288">
        <f>ROUND(IF($A248="E",J248*(1+Assumptions!H$15),J248*(1+Assumptions!H$14)),-2)</f>
        <v>16700</v>
      </c>
      <c r="L248" s="288">
        <f>ROUND(IF($A248="E",K248*(1+Assumptions!I$15),K248*(1+Assumptions!I$14)),-2)</f>
        <v>17100</v>
      </c>
      <c r="M248" s="288">
        <f>ROUND(IF($A248="E",L248*(1+Assumptions!J$15),L248*(1+Assumptions!J$14)),-2)</f>
        <v>17500</v>
      </c>
      <c r="N248" s="288">
        <f>ROUND(IF($A248="E",M248*(1+Assumptions!K$15),M248*(1+Assumptions!K$14)),-2)</f>
        <v>17900</v>
      </c>
    </row>
    <row r="249" spans="2:14" x14ac:dyDescent="0.25">
      <c r="B249" s="16" t="s">
        <v>43</v>
      </c>
      <c r="C249" s="16" t="s">
        <v>483</v>
      </c>
      <c r="D249" s="16" t="s">
        <v>484</v>
      </c>
      <c r="E249" s="288">
        <v>6100</v>
      </c>
      <c r="F249" s="288">
        <f>ROUND(IF($A249="E",E249*(1+Assumptions!C$15),E249*(1+Assumptions!C$14)),-2)</f>
        <v>6200</v>
      </c>
      <c r="G249" s="288">
        <f>ROUND(IF($A249="E",F249*(1+Assumptions!D$15),F249*(1+Assumptions!D$14)),-2)</f>
        <v>6300</v>
      </c>
      <c r="H249" s="288">
        <f>ROUND(IF($A249="E",G249*(1+Assumptions!E$15),G249*(1+Assumptions!E$14)),-2)</f>
        <v>6400</v>
      </c>
      <c r="I249" s="288">
        <f>ROUND(IF($A249="E",H249*(1+Assumptions!F$15),H249*(1+Assumptions!F$14)),-2)</f>
        <v>6500</v>
      </c>
      <c r="J249" s="288">
        <f>ROUND(IF($A249="E",I249*(1+Assumptions!G$15),I249*(1+Assumptions!G$14)),-2)</f>
        <v>6600</v>
      </c>
      <c r="K249" s="288">
        <f>ROUND(IF($A249="E",J249*(1+Assumptions!H$15),J249*(1+Assumptions!H$14)),-2)</f>
        <v>6700</v>
      </c>
      <c r="L249" s="288">
        <f>ROUND(IF($A249="E",K249*(1+Assumptions!I$15),K249*(1+Assumptions!I$14)),-2)</f>
        <v>6900</v>
      </c>
      <c r="M249" s="288">
        <f>ROUND(IF($A249="E",L249*(1+Assumptions!J$15),L249*(1+Assumptions!J$14)),-2)</f>
        <v>7100</v>
      </c>
      <c r="N249" s="288">
        <f>ROUND(IF($A249="E",M249*(1+Assumptions!K$15),M249*(1+Assumptions!K$14)),-2)</f>
        <v>7300</v>
      </c>
    </row>
    <row r="250" spans="2:14" x14ac:dyDescent="0.25">
      <c r="B250" s="16" t="s">
        <v>43</v>
      </c>
      <c r="C250" s="16" t="s">
        <v>485</v>
      </c>
      <c r="D250" s="16" t="s">
        <v>486</v>
      </c>
      <c r="E250" s="288">
        <v>11200</v>
      </c>
      <c r="F250" s="288">
        <f>ROUND(IF($A250="E",E250*(1+Assumptions!C$15),E250*(1+Assumptions!C$14)),-2)</f>
        <v>11400</v>
      </c>
      <c r="G250" s="288">
        <f>ROUND(IF($A250="E",F250*(1+Assumptions!D$15),F250*(1+Assumptions!D$14)),-2)</f>
        <v>11600</v>
      </c>
      <c r="H250" s="288">
        <f>ROUND(IF($A250="E",G250*(1+Assumptions!E$15),G250*(1+Assumptions!E$14)),-2)</f>
        <v>11800</v>
      </c>
      <c r="I250" s="288">
        <f>ROUND(IF($A250="E",H250*(1+Assumptions!F$15),H250*(1+Assumptions!F$14)),-2)</f>
        <v>12000</v>
      </c>
      <c r="J250" s="288">
        <f>ROUND(IF($A250="E",I250*(1+Assumptions!G$15),I250*(1+Assumptions!G$14)),-2)</f>
        <v>12200</v>
      </c>
      <c r="K250" s="288">
        <f>ROUND(IF($A250="E",J250*(1+Assumptions!H$15),J250*(1+Assumptions!H$14)),-2)</f>
        <v>12400</v>
      </c>
      <c r="L250" s="288">
        <f>ROUND(IF($A250="E",K250*(1+Assumptions!I$15),K250*(1+Assumptions!I$14)),-2)</f>
        <v>12700</v>
      </c>
      <c r="M250" s="288">
        <f>ROUND(IF($A250="E",L250*(1+Assumptions!J$15),L250*(1+Assumptions!J$14)),-2)</f>
        <v>13000</v>
      </c>
      <c r="N250" s="288">
        <f>ROUND(IF($A250="E",M250*(1+Assumptions!K$15),M250*(1+Assumptions!K$14)),-2)</f>
        <v>13300</v>
      </c>
    </row>
    <row r="251" spans="2:14" x14ac:dyDescent="0.25">
      <c r="B251" s="16" t="s">
        <v>43</v>
      </c>
      <c r="C251" s="16" t="s">
        <v>487</v>
      </c>
      <c r="D251" s="16" t="s">
        <v>488</v>
      </c>
      <c r="E251" s="288">
        <v>285000</v>
      </c>
      <c r="F251" s="288">
        <f>ROUND(IF($A251="E",E251*(1+Assumptions!C$15),E251*(1+Assumptions!C$14)),-2)</f>
        <v>289300</v>
      </c>
      <c r="G251" s="288">
        <f>ROUND(IF($A251="E",F251*(1+Assumptions!D$15),F251*(1+Assumptions!D$14)),-2)</f>
        <v>295100</v>
      </c>
      <c r="H251" s="288">
        <f>ROUND(IF($A251="E",G251*(1+Assumptions!E$15),G251*(1+Assumptions!E$14)),-2)</f>
        <v>301000</v>
      </c>
      <c r="I251" s="288">
        <f>ROUND(IF($A251="E",H251*(1+Assumptions!F$15),H251*(1+Assumptions!F$14)),-2)</f>
        <v>307000</v>
      </c>
      <c r="J251" s="288">
        <f>ROUND(IF($A251="E",I251*(1+Assumptions!G$15),I251*(1+Assumptions!G$14)),-2)</f>
        <v>313100</v>
      </c>
      <c r="K251" s="288">
        <f>ROUND(IF($A251="E",J251*(1+Assumptions!H$15),J251*(1+Assumptions!H$14)),-2)</f>
        <v>319400</v>
      </c>
      <c r="L251" s="288">
        <f>ROUND(IF($A251="E",K251*(1+Assumptions!I$15),K251*(1+Assumptions!I$14)),-2)</f>
        <v>327400</v>
      </c>
      <c r="M251" s="288">
        <f>ROUND(IF($A251="E",L251*(1+Assumptions!J$15),L251*(1+Assumptions!J$14)),-2)</f>
        <v>335600</v>
      </c>
      <c r="N251" s="288">
        <f>ROUND(IF($A251="E",M251*(1+Assumptions!K$15),M251*(1+Assumptions!K$14)),-2)</f>
        <v>344000</v>
      </c>
    </row>
    <row r="252" spans="2:14" x14ac:dyDescent="0.25">
      <c r="B252" s="16" t="s">
        <v>45</v>
      </c>
      <c r="C252" s="16" t="s">
        <v>489</v>
      </c>
      <c r="D252" s="16" t="s">
        <v>490</v>
      </c>
      <c r="E252" s="289"/>
      <c r="F252" s="289"/>
      <c r="G252" s="289"/>
      <c r="H252" s="289"/>
      <c r="I252" s="289"/>
      <c r="J252" s="289"/>
      <c r="K252" s="289"/>
      <c r="L252" s="289"/>
      <c r="M252" s="289"/>
      <c r="N252" s="289"/>
    </row>
    <row r="253" spans="2:14" x14ac:dyDescent="0.25">
      <c r="B253" s="16" t="s">
        <v>45</v>
      </c>
      <c r="C253" s="16" t="s">
        <v>491</v>
      </c>
      <c r="D253" s="16" t="s">
        <v>492</v>
      </c>
      <c r="E253" s="288">
        <v>4500</v>
      </c>
      <c r="F253" s="288">
        <f>ROUND(IF($A253="E",E253*(1+Assumptions!C$15),E253*(1+Assumptions!C$14)),-2)</f>
        <v>4600</v>
      </c>
      <c r="G253" s="288">
        <f>ROUND(IF($A253="E",F253*(1+Assumptions!D$15),F253*(1+Assumptions!D$14)),-2)</f>
        <v>4700</v>
      </c>
      <c r="H253" s="288">
        <f>ROUND(IF($A253="E",G253*(1+Assumptions!E$15),G253*(1+Assumptions!E$14)),-2)</f>
        <v>4800</v>
      </c>
      <c r="I253" s="288">
        <f>ROUND(IF($A253="E",H253*(1+Assumptions!F$15),H253*(1+Assumptions!F$14)),-2)</f>
        <v>4900</v>
      </c>
      <c r="J253" s="288">
        <f>ROUND(IF($A253="E",I253*(1+Assumptions!G$15),I253*(1+Assumptions!G$14)),-2)</f>
        <v>5000</v>
      </c>
      <c r="K253" s="288">
        <f>ROUND(IF($A253="E",J253*(1+Assumptions!H$15),J253*(1+Assumptions!H$14)),-2)</f>
        <v>5100</v>
      </c>
      <c r="L253" s="288">
        <f>ROUND(IF($A253="E",K253*(1+Assumptions!I$15),K253*(1+Assumptions!I$14)),-2)</f>
        <v>5200</v>
      </c>
      <c r="M253" s="288">
        <f>ROUND(IF($A253="E",L253*(1+Assumptions!J$15),L253*(1+Assumptions!J$14)),-2)</f>
        <v>5300</v>
      </c>
      <c r="N253" s="288">
        <f>ROUND(IF($A253="E",M253*(1+Assumptions!K$15),M253*(1+Assumptions!K$14)),-2)</f>
        <v>5400</v>
      </c>
    </row>
    <row r="254" spans="2:14" x14ac:dyDescent="0.25">
      <c r="B254" s="16" t="s">
        <v>45</v>
      </c>
      <c r="C254" s="16" t="s">
        <v>493</v>
      </c>
      <c r="D254" s="16" t="s">
        <v>494</v>
      </c>
      <c r="E254" s="288">
        <v>1600</v>
      </c>
      <c r="F254" s="288">
        <f>ROUND(IF($A254="E",E254*(1+Assumptions!C$15),E254*(1+Assumptions!C$14)),-2)</f>
        <v>1600</v>
      </c>
      <c r="G254" s="288">
        <f>ROUND(IF($A254="E",F254*(1+Assumptions!D$15),F254*(1+Assumptions!D$14)),-2)</f>
        <v>1600</v>
      </c>
      <c r="H254" s="288">
        <f>ROUND(IF($A254="E",G254*(1+Assumptions!E$15),G254*(1+Assumptions!E$14)),-2)</f>
        <v>1600</v>
      </c>
      <c r="I254" s="288">
        <f>ROUND(IF($A254="E",H254*(1+Assumptions!F$15),H254*(1+Assumptions!F$14)),-2)</f>
        <v>1600</v>
      </c>
      <c r="J254" s="288">
        <f>ROUND(IF($A254="E",I254*(1+Assumptions!G$15),I254*(1+Assumptions!G$14)),-2)</f>
        <v>1600</v>
      </c>
      <c r="K254" s="288">
        <f>ROUND(IF($A254="E",J254*(1+Assumptions!H$15),J254*(1+Assumptions!H$14)),-2)</f>
        <v>1600</v>
      </c>
      <c r="L254" s="288">
        <f>ROUND(IF($A254="E",K254*(1+Assumptions!I$15),K254*(1+Assumptions!I$14)),-2)</f>
        <v>1600</v>
      </c>
      <c r="M254" s="288">
        <f>ROUND(IF($A254="E",L254*(1+Assumptions!J$15),L254*(1+Assumptions!J$14)),-2)</f>
        <v>1600</v>
      </c>
      <c r="N254" s="288">
        <f>ROUND(IF($A254="E",M254*(1+Assumptions!K$15),M254*(1+Assumptions!K$14)),-2)</f>
        <v>1600</v>
      </c>
    </row>
    <row r="255" spans="2:14" x14ac:dyDescent="0.25">
      <c r="B255" s="16" t="s">
        <v>45</v>
      </c>
      <c r="C255" s="16" t="s">
        <v>495</v>
      </c>
      <c r="D255" s="16" t="s">
        <v>496</v>
      </c>
      <c r="E255" s="288">
        <v>7800</v>
      </c>
      <c r="F255" s="288">
        <f>ROUND(IF($A255="E",E255*(1+Assumptions!C$15),E255*(1+Assumptions!C$14)),-2)</f>
        <v>7900</v>
      </c>
      <c r="G255" s="288">
        <f>ROUND(IF($A255="E",F255*(1+Assumptions!D$15),F255*(1+Assumptions!D$14)),-2)</f>
        <v>8100</v>
      </c>
      <c r="H255" s="288">
        <f>ROUND(IF($A255="E",G255*(1+Assumptions!E$15),G255*(1+Assumptions!E$14)),-2)</f>
        <v>8300</v>
      </c>
      <c r="I255" s="288">
        <f>ROUND(IF($A255="E",H255*(1+Assumptions!F$15),H255*(1+Assumptions!F$14)),-2)</f>
        <v>8500</v>
      </c>
      <c r="J255" s="288">
        <f>ROUND(IF($A255="E",I255*(1+Assumptions!G$15),I255*(1+Assumptions!G$14)),-2)</f>
        <v>8700</v>
      </c>
      <c r="K255" s="288">
        <f>ROUND(IF($A255="E",J255*(1+Assumptions!H$15),J255*(1+Assumptions!H$14)),-2)</f>
        <v>8900</v>
      </c>
      <c r="L255" s="288">
        <f>ROUND(IF($A255="E",K255*(1+Assumptions!I$15),K255*(1+Assumptions!I$14)),-2)</f>
        <v>9100</v>
      </c>
      <c r="M255" s="288">
        <f>ROUND(IF($A255="E",L255*(1+Assumptions!J$15),L255*(1+Assumptions!J$14)),-2)</f>
        <v>9300</v>
      </c>
      <c r="N255" s="288">
        <f>ROUND(IF($A255="E",M255*(1+Assumptions!K$15),M255*(1+Assumptions!K$14)),-2)</f>
        <v>9500</v>
      </c>
    </row>
    <row r="256" spans="2:14" x14ac:dyDescent="0.25">
      <c r="B256" s="16" t="s">
        <v>45</v>
      </c>
      <c r="C256" s="16" t="s">
        <v>497</v>
      </c>
      <c r="D256" s="16" t="s">
        <v>498</v>
      </c>
      <c r="E256" s="288">
        <v>6500</v>
      </c>
      <c r="F256" s="288">
        <f>ROUND(IF($A256="E",E256*(1+Assumptions!C$15),E256*(1+Assumptions!C$14)),-2)</f>
        <v>6600</v>
      </c>
      <c r="G256" s="288">
        <f>ROUND(IF($A256="E",F256*(1+Assumptions!D$15),F256*(1+Assumptions!D$14)),-2)</f>
        <v>6700</v>
      </c>
      <c r="H256" s="288">
        <f>ROUND(IF($A256="E",G256*(1+Assumptions!E$15),G256*(1+Assumptions!E$14)),-2)</f>
        <v>6800</v>
      </c>
      <c r="I256" s="288">
        <f>ROUND(IF($A256="E",H256*(1+Assumptions!F$15),H256*(1+Assumptions!F$14)),-2)</f>
        <v>6900</v>
      </c>
      <c r="J256" s="288">
        <f>ROUND(IF($A256="E",I256*(1+Assumptions!G$15),I256*(1+Assumptions!G$14)),-2)</f>
        <v>7000</v>
      </c>
      <c r="K256" s="288">
        <f>ROUND(IF($A256="E",J256*(1+Assumptions!H$15),J256*(1+Assumptions!H$14)),-2)</f>
        <v>7100</v>
      </c>
      <c r="L256" s="288">
        <f>ROUND(IF($A256="E",K256*(1+Assumptions!I$15),K256*(1+Assumptions!I$14)),-2)</f>
        <v>7300</v>
      </c>
      <c r="M256" s="288">
        <f>ROUND(IF($A256="E",L256*(1+Assumptions!J$15),L256*(1+Assumptions!J$14)),-2)</f>
        <v>7500</v>
      </c>
      <c r="N256" s="288">
        <f>ROUND(IF($A256="E",M256*(1+Assumptions!K$15),M256*(1+Assumptions!K$14)),-2)</f>
        <v>7700</v>
      </c>
    </row>
    <row r="257" spans="2:14" x14ac:dyDescent="0.25">
      <c r="B257" s="16" t="s">
        <v>45</v>
      </c>
      <c r="C257" s="16" t="s">
        <v>499</v>
      </c>
      <c r="D257" s="16" t="s">
        <v>500</v>
      </c>
      <c r="E257" s="288">
        <v>11800</v>
      </c>
      <c r="F257" s="288">
        <f>ROUND(IF($A257="E",E257*(1+Assumptions!C$15),E257*(1+Assumptions!C$14)),-2)</f>
        <v>12000</v>
      </c>
      <c r="G257" s="288">
        <f>ROUND(IF($A257="E",F257*(1+Assumptions!D$15),F257*(1+Assumptions!D$14)),-2)</f>
        <v>12200</v>
      </c>
      <c r="H257" s="288">
        <f>ROUND(IF($A257="E",G257*(1+Assumptions!E$15),G257*(1+Assumptions!E$14)),-2)</f>
        <v>12400</v>
      </c>
      <c r="I257" s="288">
        <f>ROUND(IF($A257="E",H257*(1+Assumptions!F$15),H257*(1+Assumptions!F$14)),-2)</f>
        <v>12600</v>
      </c>
      <c r="J257" s="288">
        <f>ROUND(IF($A257="E",I257*(1+Assumptions!G$15),I257*(1+Assumptions!G$14)),-2)</f>
        <v>12900</v>
      </c>
      <c r="K257" s="288">
        <f>ROUND(IF($A257="E",J257*(1+Assumptions!H$15),J257*(1+Assumptions!H$14)),-2)</f>
        <v>13200</v>
      </c>
      <c r="L257" s="288">
        <f>ROUND(IF($A257="E",K257*(1+Assumptions!I$15),K257*(1+Assumptions!I$14)),-2)</f>
        <v>13500</v>
      </c>
      <c r="M257" s="288">
        <f>ROUND(IF($A257="E",L257*(1+Assumptions!J$15),L257*(1+Assumptions!J$14)),-2)</f>
        <v>13800</v>
      </c>
      <c r="N257" s="288">
        <f>ROUND(IF($A257="E",M257*(1+Assumptions!K$15),M257*(1+Assumptions!K$14)),-2)</f>
        <v>14100</v>
      </c>
    </row>
    <row r="258" spans="2:14" x14ac:dyDescent="0.25">
      <c r="B258" s="16" t="s">
        <v>43</v>
      </c>
      <c r="C258" s="16" t="s">
        <v>501</v>
      </c>
      <c r="D258" s="16" t="s">
        <v>502</v>
      </c>
      <c r="E258" s="289"/>
      <c r="F258" s="289"/>
      <c r="G258" s="289"/>
      <c r="H258" s="289"/>
      <c r="I258" s="289"/>
      <c r="J258" s="289"/>
      <c r="K258" s="289"/>
      <c r="L258" s="289"/>
      <c r="M258" s="289"/>
      <c r="N258" s="289"/>
    </row>
    <row r="259" spans="2:14" x14ac:dyDescent="0.25">
      <c r="B259" s="16" t="s">
        <v>43</v>
      </c>
      <c r="C259" s="16" t="s">
        <v>503</v>
      </c>
      <c r="D259" s="16" t="s">
        <v>504</v>
      </c>
      <c r="E259" s="288">
        <v>15000</v>
      </c>
      <c r="F259" s="288">
        <f>ROUND(IF($A259="E",E259*(1+Assumptions!C$15),E259*(1+Assumptions!C$14)),-2)</f>
        <v>15200</v>
      </c>
      <c r="G259" s="288">
        <f>ROUND(IF($A259="E",F259*(1+Assumptions!D$15),F259*(1+Assumptions!D$14)),-2)</f>
        <v>15500</v>
      </c>
      <c r="H259" s="288">
        <f>ROUND(IF($A259="E",G259*(1+Assumptions!E$15),G259*(1+Assumptions!E$14)),-2)</f>
        <v>15800</v>
      </c>
      <c r="I259" s="288">
        <f>ROUND(IF($A259="E",H259*(1+Assumptions!F$15),H259*(1+Assumptions!F$14)),-2)</f>
        <v>16100</v>
      </c>
      <c r="J259" s="288">
        <f>ROUND(IF($A259="E",I259*(1+Assumptions!G$15),I259*(1+Assumptions!G$14)),-2)</f>
        <v>16400</v>
      </c>
      <c r="K259" s="288">
        <f>ROUND(IF($A259="E",J259*(1+Assumptions!H$15),J259*(1+Assumptions!H$14)),-2)</f>
        <v>16700</v>
      </c>
      <c r="L259" s="288">
        <f>ROUND(IF($A259="E",K259*(1+Assumptions!I$15),K259*(1+Assumptions!I$14)),-2)</f>
        <v>17100</v>
      </c>
      <c r="M259" s="288">
        <f>ROUND(IF($A259="E",L259*(1+Assumptions!J$15),L259*(1+Assumptions!J$14)),-2)</f>
        <v>17500</v>
      </c>
      <c r="N259" s="288">
        <f>ROUND(IF($A259="E",M259*(1+Assumptions!K$15),M259*(1+Assumptions!K$14)),-2)</f>
        <v>17900</v>
      </c>
    </row>
    <row r="260" spans="2:14" x14ac:dyDescent="0.25">
      <c r="B260" s="16" t="s">
        <v>43</v>
      </c>
      <c r="C260" s="16" t="s">
        <v>505</v>
      </c>
      <c r="D260" s="16" t="s">
        <v>506</v>
      </c>
      <c r="E260" s="288">
        <v>33900</v>
      </c>
      <c r="F260" s="288">
        <f>ROUND(IF($A260="E",E260*(1+Assumptions!C$15),E260*(1+Assumptions!C$14)),-2)</f>
        <v>34400</v>
      </c>
      <c r="G260" s="288">
        <f>ROUND(IF($A260="E",F260*(1+Assumptions!D$15),F260*(1+Assumptions!D$14)),-2)</f>
        <v>35100</v>
      </c>
      <c r="H260" s="288">
        <f>ROUND(IF($A260="E",G260*(1+Assumptions!E$15),G260*(1+Assumptions!E$14)),-2)</f>
        <v>35800</v>
      </c>
      <c r="I260" s="288">
        <f>ROUND(IF($A260="E",H260*(1+Assumptions!F$15),H260*(1+Assumptions!F$14)),-2)</f>
        <v>36500</v>
      </c>
      <c r="J260" s="288">
        <f>ROUND(IF($A260="E",I260*(1+Assumptions!G$15),I260*(1+Assumptions!G$14)),-2)</f>
        <v>37200</v>
      </c>
      <c r="K260" s="288">
        <f>ROUND(IF($A260="E",J260*(1+Assumptions!H$15),J260*(1+Assumptions!H$14)),-2)</f>
        <v>37900</v>
      </c>
      <c r="L260" s="288">
        <f>ROUND(IF($A260="E",K260*(1+Assumptions!I$15),K260*(1+Assumptions!I$14)),-2)</f>
        <v>38800</v>
      </c>
      <c r="M260" s="288">
        <f>ROUND(IF($A260="E",L260*(1+Assumptions!J$15),L260*(1+Assumptions!J$14)),-2)</f>
        <v>39800</v>
      </c>
      <c r="N260" s="288">
        <f>ROUND(IF($A260="E",M260*(1+Assumptions!K$15),M260*(1+Assumptions!K$14)),-2)</f>
        <v>40800</v>
      </c>
    </row>
    <row r="261" spans="2:14" x14ac:dyDescent="0.25">
      <c r="B261" s="16" t="s">
        <v>43</v>
      </c>
      <c r="C261" s="16" t="s">
        <v>507</v>
      </c>
      <c r="D261" s="16" t="s">
        <v>508</v>
      </c>
      <c r="E261" s="288">
        <v>144000</v>
      </c>
      <c r="F261" s="288">
        <f>ROUND(IF($A261="E",E261*(1+Assumptions!C$15),E261*(1+Assumptions!C$14)),-2)</f>
        <v>146200</v>
      </c>
      <c r="G261" s="288">
        <f>ROUND(IF($A261="E",F261*(1+Assumptions!D$15),F261*(1+Assumptions!D$14)),-2)</f>
        <v>149100</v>
      </c>
      <c r="H261" s="288">
        <f>ROUND(IF($A261="E",G261*(1+Assumptions!E$15),G261*(1+Assumptions!E$14)),-2)</f>
        <v>152100</v>
      </c>
      <c r="I261" s="288">
        <f>ROUND(IF($A261="E",H261*(1+Assumptions!F$15),H261*(1+Assumptions!F$14)),-2)</f>
        <v>155100</v>
      </c>
      <c r="J261" s="288">
        <f>ROUND(IF($A261="E",I261*(1+Assumptions!G$15),I261*(1+Assumptions!G$14)),-2)</f>
        <v>158200</v>
      </c>
      <c r="K261" s="288">
        <f>ROUND(IF($A261="E",J261*(1+Assumptions!H$15),J261*(1+Assumptions!H$14)),-2)</f>
        <v>161400</v>
      </c>
      <c r="L261" s="288">
        <f>ROUND(IF($A261="E",K261*(1+Assumptions!I$15),K261*(1+Assumptions!I$14)),-2)</f>
        <v>165400</v>
      </c>
      <c r="M261" s="288">
        <f>ROUND(IF($A261="E",L261*(1+Assumptions!J$15),L261*(1+Assumptions!J$14)),-2)</f>
        <v>169500</v>
      </c>
      <c r="N261" s="288">
        <f>ROUND(IF($A261="E",M261*(1+Assumptions!K$15),M261*(1+Assumptions!K$14)),-2)</f>
        <v>173700</v>
      </c>
    </row>
    <row r="262" spans="2:14" x14ac:dyDescent="0.25">
      <c r="B262" s="16" t="s">
        <v>41</v>
      </c>
      <c r="C262" s="16" t="s">
        <v>509</v>
      </c>
      <c r="D262" s="16" t="s">
        <v>510</v>
      </c>
      <c r="E262" s="289"/>
      <c r="F262" s="289"/>
      <c r="G262" s="289"/>
      <c r="H262" s="289"/>
      <c r="I262" s="289"/>
      <c r="J262" s="289"/>
      <c r="K262" s="289"/>
      <c r="L262" s="289"/>
      <c r="M262" s="289"/>
      <c r="N262" s="289"/>
    </row>
    <row r="263" spans="2:14" x14ac:dyDescent="0.25">
      <c r="B263" s="16" t="s">
        <v>41</v>
      </c>
      <c r="C263" s="16" t="s">
        <v>511</v>
      </c>
      <c r="D263" s="16" t="s">
        <v>201</v>
      </c>
      <c r="E263" s="288">
        <v>261100</v>
      </c>
      <c r="F263" s="288">
        <f>ROUND(IF($A263="E",E263*(1+Assumptions!C$15),E263*(1+Assumptions!C$14)),-2)</f>
        <v>265000</v>
      </c>
      <c r="G263" s="288">
        <f>ROUND(IF($A263="E",F263*(1+Assumptions!D$15),F263*(1+Assumptions!D$14)),-2)</f>
        <v>270300</v>
      </c>
      <c r="H263" s="288">
        <f>ROUND(IF($A263="E",G263*(1+Assumptions!E$15),G263*(1+Assumptions!E$14)),-2)</f>
        <v>275700</v>
      </c>
      <c r="I263" s="288">
        <f>ROUND(IF($A263="E",H263*(1+Assumptions!F$15),H263*(1+Assumptions!F$14)),-2)</f>
        <v>281200</v>
      </c>
      <c r="J263" s="288">
        <f>ROUND(IF($A263="E",I263*(1+Assumptions!G$15),I263*(1+Assumptions!G$14)),-2)</f>
        <v>286800</v>
      </c>
      <c r="K263" s="288">
        <f>ROUND(IF($A263="E",J263*(1+Assumptions!H$15),J263*(1+Assumptions!H$14)),-2)</f>
        <v>292500</v>
      </c>
      <c r="L263" s="288">
        <f>ROUND(IF($A263="E",K263*(1+Assumptions!I$15),K263*(1+Assumptions!I$14)),-2)</f>
        <v>299800</v>
      </c>
      <c r="M263" s="288">
        <f>ROUND(IF($A263="E",L263*(1+Assumptions!J$15),L263*(1+Assumptions!J$14)),-2)</f>
        <v>307300</v>
      </c>
      <c r="N263" s="288">
        <f>ROUND(IF($A263="E",M263*(1+Assumptions!K$15),M263*(1+Assumptions!K$14)),-2)</f>
        <v>315000</v>
      </c>
    </row>
    <row r="264" spans="2:14" x14ac:dyDescent="0.25">
      <c r="B264" s="16" t="s">
        <v>43</v>
      </c>
      <c r="C264" s="16" t="s">
        <v>512</v>
      </c>
      <c r="D264" s="16" t="s">
        <v>513</v>
      </c>
      <c r="E264" s="288">
        <v>1700</v>
      </c>
      <c r="F264" s="288">
        <f>ROUND(IF($A264="E",E264*(1+Assumptions!C$15),E264*(1+Assumptions!C$14)),-2)</f>
        <v>1700</v>
      </c>
      <c r="G264" s="288">
        <f>ROUND(IF($A264="E",F264*(1+Assumptions!D$15),F264*(1+Assumptions!D$14)),-2)</f>
        <v>1700</v>
      </c>
      <c r="H264" s="288">
        <f>ROUND(IF($A264="E",G264*(1+Assumptions!E$15),G264*(1+Assumptions!E$14)),-2)</f>
        <v>1700</v>
      </c>
      <c r="I264" s="288">
        <f>ROUND(IF($A264="E",H264*(1+Assumptions!F$15),H264*(1+Assumptions!F$14)),-2)</f>
        <v>1700</v>
      </c>
      <c r="J264" s="288">
        <f>ROUND(IF($A264="E",I264*(1+Assumptions!G$15),I264*(1+Assumptions!G$14)),-2)</f>
        <v>1700</v>
      </c>
      <c r="K264" s="288">
        <f>ROUND(IF($A264="E",J264*(1+Assumptions!H$15),J264*(1+Assumptions!H$14)),-2)</f>
        <v>1700</v>
      </c>
      <c r="L264" s="288">
        <f>ROUND(IF($A264="E",K264*(1+Assumptions!I$15),K264*(1+Assumptions!I$14)),-2)</f>
        <v>1700</v>
      </c>
      <c r="M264" s="288">
        <f>ROUND(IF($A264="E",L264*(1+Assumptions!J$15),L264*(1+Assumptions!J$14)),-2)</f>
        <v>1700</v>
      </c>
      <c r="N264" s="288">
        <f>ROUND(IF($A264="E",M264*(1+Assumptions!K$15),M264*(1+Assumptions!K$14)),-2)</f>
        <v>1700</v>
      </c>
    </row>
    <row r="265" spans="2:14" x14ac:dyDescent="0.25">
      <c r="B265" s="16" t="s">
        <v>43</v>
      </c>
      <c r="C265" s="16" t="s">
        <v>514</v>
      </c>
      <c r="D265" s="16" t="s">
        <v>515</v>
      </c>
      <c r="E265" s="288">
        <v>2400</v>
      </c>
      <c r="F265" s="288">
        <f>ROUND(IF($A265="E",E265*(1+Assumptions!C$15),E265*(1+Assumptions!C$14)),-2)</f>
        <v>2400</v>
      </c>
      <c r="G265" s="288">
        <f>ROUND(IF($A265="E",F265*(1+Assumptions!D$15),F265*(1+Assumptions!D$14)),-2)</f>
        <v>2400</v>
      </c>
      <c r="H265" s="288">
        <f>ROUND(IF($A265="E",G265*(1+Assumptions!E$15),G265*(1+Assumptions!E$14)),-2)</f>
        <v>2400</v>
      </c>
      <c r="I265" s="288">
        <f>ROUND(IF($A265="E",H265*(1+Assumptions!F$15),H265*(1+Assumptions!F$14)),-2)</f>
        <v>2400</v>
      </c>
      <c r="J265" s="288">
        <f>ROUND(IF($A265="E",I265*(1+Assumptions!G$15),I265*(1+Assumptions!G$14)),-2)</f>
        <v>2400</v>
      </c>
      <c r="K265" s="288">
        <f>ROUND(IF($A265="E",J265*(1+Assumptions!H$15),J265*(1+Assumptions!H$14)),-2)</f>
        <v>2400</v>
      </c>
      <c r="L265" s="288">
        <f>ROUND(IF($A265="E",K265*(1+Assumptions!I$15),K265*(1+Assumptions!I$14)),-2)</f>
        <v>2500</v>
      </c>
      <c r="M265" s="288">
        <f>ROUND(IF($A265="E",L265*(1+Assumptions!J$15),L265*(1+Assumptions!J$14)),-2)</f>
        <v>2600</v>
      </c>
      <c r="N265" s="288">
        <f>ROUND(IF($A265="E",M265*(1+Assumptions!K$15),M265*(1+Assumptions!K$14)),-2)</f>
        <v>2700</v>
      </c>
    </row>
    <row r="266" spans="2:14" x14ac:dyDescent="0.25">
      <c r="B266" s="16" t="s">
        <v>43</v>
      </c>
      <c r="C266" s="16" t="s">
        <v>516</v>
      </c>
      <c r="D266" s="16" t="s">
        <v>517</v>
      </c>
      <c r="E266" s="288">
        <v>13600</v>
      </c>
      <c r="F266" s="288">
        <f>ROUND(IF($A266="E",E266*(1+Assumptions!C$15),E266*(1+Assumptions!C$14)),-2)</f>
        <v>13800</v>
      </c>
      <c r="G266" s="288">
        <f>ROUND(IF($A266="E",F266*(1+Assumptions!D$15),F266*(1+Assumptions!D$14)),-2)</f>
        <v>14100</v>
      </c>
      <c r="H266" s="288">
        <f>ROUND(IF($A266="E",G266*(1+Assumptions!E$15),G266*(1+Assumptions!E$14)),-2)</f>
        <v>14400</v>
      </c>
      <c r="I266" s="288">
        <f>ROUND(IF($A266="E",H266*(1+Assumptions!F$15),H266*(1+Assumptions!F$14)),-2)</f>
        <v>14700</v>
      </c>
      <c r="J266" s="288">
        <f>ROUND(IF($A266="E",I266*(1+Assumptions!G$15),I266*(1+Assumptions!G$14)),-2)</f>
        <v>15000</v>
      </c>
      <c r="K266" s="288">
        <f>ROUND(IF($A266="E",J266*(1+Assumptions!H$15),J266*(1+Assumptions!H$14)),-2)</f>
        <v>15300</v>
      </c>
      <c r="L266" s="288">
        <f>ROUND(IF($A266="E",K266*(1+Assumptions!I$15),K266*(1+Assumptions!I$14)),-2)</f>
        <v>15700</v>
      </c>
      <c r="M266" s="288">
        <f>ROUND(IF($A266="E",L266*(1+Assumptions!J$15),L266*(1+Assumptions!J$14)),-2)</f>
        <v>16100</v>
      </c>
      <c r="N266" s="288">
        <f>ROUND(IF($A266="E",M266*(1+Assumptions!K$15),M266*(1+Assumptions!K$14)),-2)</f>
        <v>16500</v>
      </c>
    </row>
    <row r="267" spans="2:14" x14ac:dyDescent="0.25">
      <c r="B267" s="16" t="s">
        <v>43</v>
      </c>
      <c r="C267" s="16" t="s">
        <v>518</v>
      </c>
      <c r="D267" s="16" t="s">
        <v>519</v>
      </c>
      <c r="E267" s="288">
        <v>54300</v>
      </c>
      <c r="F267" s="288">
        <f>ROUND(IF($A267="E",E267*(1+Assumptions!C$15),E267*(1+Assumptions!C$14)),-2)</f>
        <v>55100</v>
      </c>
      <c r="G267" s="288">
        <f>ROUND(IF($A267="E",F267*(1+Assumptions!D$15),F267*(1+Assumptions!D$14)),-2)</f>
        <v>56200</v>
      </c>
      <c r="H267" s="288">
        <f>ROUND(IF($A267="E",G267*(1+Assumptions!E$15),G267*(1+Assumptions!E$14)),-2)</f>
        <v>57300</v>
      </c>
      <c r="I267" s="288">
        <f>ROUND(IF($A267="E",H267*(1+Assumptions!F$15),H267*(1+Assumptions!F$14)),-2)</f>
        <v>58400</v>
      </c>
      <c r="J267" s="288">
        <f>ROUND(IF($A267="E",I267*(1+Assumptions!G$15),I267*(1+Assumptions!G$14)),-2)</f>
        <v>59600</v>
      </c>
      <c r="K267" s="288">
        <f>ROUND(IF($A267="E",J267*(1+Assumptions!H$15),J267*(1+Assumptions!H$14)),-2)</f>
        <v>60800</v>
      </c>
      <c r="L267" s="288">
        <f>ROUND(IF($A267="E",K267*(1+Assumptions!I$15),K267*(1+Assumptions!I$14)),-2)</f>
        <v>62300</v>
      </c>
      <c r="M267" s="288">
        <f>ROUND(IF($A267="E",L267*(1+Assumptions!J$15),L267*(1+Assumptions!J$14)),-2)</f>
        <v>63900</v>
      </c>
      <c r="N267" s="288">
        <f>ROUND(IF($A267="E",M267*(1+Assumptions!K$15),M267*(1+Assumptions!K$14)),-2)</f>
        <v>65500</v>
      </c>
    </row>
    <row r="268" spans="2:14" x14ac:dyDescent="0.25">
      <c r="B268" s="16" t="s">
        <v>43</v>
      </c>
      <c r="C268" s="16" t="s">
        <v>520</v>
      </c>
      <c r="D268" s="16" t="s">
        <v>521</v>
      </c>
      <c r="E268" s="289"/>
      <c r="F268" s="289"/>
      <c r="G268" s="289"/>
      <c r="H268" s="289"/>
      <c r="I268" s="289"/>
      <c r="J268" s="289"/>
      <c r="K268" s="289"/>
      <c r="L268" s="289"/>
      <c r="M268" s="289"/>
      <c r="N268" s="289"/>
    </row>
    <row r="269" spans="2:14" x14ac:dyDescent="0.25">
      <c r="B269" s="16" t="s">
        <v>43</v>
      </c>
      <c r="C269" s="16" t="s">
        <v>522</v>
      </c>
      <c r="D269" s="16" t="s">
        <v>523</v>
      </c>
      <c r="E269" s="288">
        <v>182500</v>
      </c>
      <c r="F269" s="288">
        <f>ROUND(IF($A269="E",E269*(1+Assumptions!C$15),E269*(1+Assumptions!C$14)),-2)</f>
        <v>185200</v>
      </c>
      <c r="G269" s="288">
        <f>ROUND(IF($A269="E",F269*(1+Assumptions!D$15),F269*(1+Assumptions!D$14)),-2)</f>
        <v>188900</v>
      </c>
      <c r="H269" s="288">
        <f>ROUND(IF($A269="E",G269*(1+Assumptions!E$15),G269*(1+Assumptions!E$14)),-2)</f>
        <v>192700</v>
      </c>
      <c r="I269" s="288">
        <f>ROUND(IF($A269="E",H269*(1+Assumptions!F$15),H269*(1+Assumptions!F$14)),-2)</f>
        <v>196600</v>
      </c>
      <c r="J269" s="288">
        <f>ROUND(IF($A269="E",I269*(1+Assumptions!G$15),I269*(1+Assumptions!G$14)),-2)</f>
        <v>200500</v>
      </c>
      <c r="K269" s="288">
        <f>ROUND(IF($A269="E",J269*(1+Assumptions!H$15),J269*(1+Assumptions!H$14)),-2)</f>
        <v>204500</v>
      </c>
      <c r="L269" s="288">
        <f>ROUND(IF($A269="E",K269*(1+Assumptions!I$15),K269*(1+Assumptions!I$14)),-2)</f>
        <v>209600</v>
      </c>
      <c r="M269" s="288">
        <f>ROUND(IF($A269="E",L269*(1+Assumptions!J$15),L269*(1+Assumptions!J$14)),-2)</f>
        <v>214800</v>
      </c>
      <c r="N269" s="288">
        <f>ROUND(IF($A269="E",M269*(1+Assumptions!K$15),M269*(1+Assumptions!K$14)),-2)</f>
        <v>220200</v>
      </c>
    </row>
    <row r="270" spans="2:14" x14ac:dyDescent="0.25">
      <c r="B270" s="16" t="s">
        <v>43</v>
      </c>
      <c r="C270" s="16" t="s">
        <v>524</v>
      </c>
      <c r="D270" s="16" t="s">
        <v>525</v>
      </c>
      <c r="E270" s="288">
        <v>45100</v>
      </c>
      <c r="F270" s="288">
        <f>ROUND(IF($A270="E",E270*(1+Assumptions!C$15),E270*(1+Assumptions!C$14)),-2)</f>
        <v>45800</v>
      </c>
      <c r="G270" s="288">
        <f>ROUND(IF($A270="E",F270*(1+Assumptions!D$15),F270*(1+Assumptions!D$14)),-2)</f>
        <v>46700</v>
      </c>
      <c r="H270" s="288">
        <f>ROUND(IF($A270="E",G270*(1+Assumptions!E$15),G270*(1+Assumptions!E$14)),-2)</f>
        <v>47600</v>
      </c>
      <c r="I270" s="288">
        <f>ROUND(IF($A270="E",H270*(1+Assumptions!F$15),H270*(1+Assumptions!F$14)),-2)</f>
        <v>48600</v>
      </c>
      <c r="J270" s="288">
        <f>ROUND(IF($A270="E",I270*(1+Assumptions!G$15),I270*(1+Assumptions!G$14)),-2)</f>
        <v>49600</v>
      </c>
      <c r="K270" s="288">
        <f>ROUND(IF($A270="E",J270*(1+Assumptions!H$15),J270*(1+Assumptions!H$14)),-2)</f>
        <v>50600</v>
      </c>
      <c r="L270" s="288">
        <f>ROUND(IF($A270="E",K270*(1+Assumptions!I$15),K270*(1+Assumptions!I$14)),-2)</f>
        <v>51900</v>
      </c>
      <c r="M270" s="288">
        <f>ROUND(IF($A270="E",L270*(1+Assumptions!J$15),L270*(1+Assumptions!J$14)),-2)</f>
        <v>53200</v>
      </c>
      <c r="N270" s="288">
        <f>ROUND(IF($A270="E",M270*(1+Assumptions!K$15),M270*(1+Assumptions!K$14)),-2)</f>
        <v>54500</v>
      </c>
    </row>
    <row r="271" spans="2:14" x14ac:dyDescent="0.25">
      <c r="B271" s="16" t="s">
        <v>43</v>
      </c>
      <c r="C271" s="16" t="s">
        <v>526</v>
      </c>
      <c r="D271" s="16" t="s">
        <v>527</v>
      </c>
      <c r="E271" s="289"/>
      <c r="F271" s="289"/>
      <c r="G271" s="289"/>
      <c r="H271" s="289"/>
      <c r="I271" s="289"/>
      <c r="J271" s="289"/>
      <c r="K271" s="289"/>
      <c r="L271" s="289"/>
      <c r="M271" s="289"/>
      <c r="N271" s="289"/>
    </row>
    <row r="272" spans="2:14" x14ac:dyDescent="0.25">
      <c r="B272" s="16" t="s">
        <v>43</v>
      </c>
      <c r="C272" s="16" t="s">
        <v>528</v>
      </c>
      <c r="D272" s="16" t="s">
        <v>529</v>
      </c>
      <c r="E272" s="288">
        <v>275000</v>
      </c>
      <c r="F272" s="288">
        <f>ROUND(IF($A272="E",E272*(1+Assumptions!C$15),E272*(1+Assumptions!C$14)),-2)</f>
        <v>279100</v>
      </c>
      <c r="G272" s="288">
        <f>ROUND(IF($A272="E",F272*(1+Assumptions!D$15),F272*(1+Assumptions!D$14)),-2)</f>
        <v>284700</v>
      </c>
      <c r="H272" s="288">
        <f>ROUND(IF($A272="E",G272*(1+Assumptions!E$15),G272*(1+Assumptions!E$14)),-2)</f>
        <v>290400</v>
      </c>
      <c r="I272" s="288">
        <f>ROUND(IF($A272="E",H272*(1+Assumptions!F$15),H272*(1+Assumptions!F$14)),-2)</f>
        <v>296200</v>
      </c>
      <c r="J272" s="288">
        <f>ROUND(IF($A272="E",I272*(1+Assumptions!G$15),I272*(1+Assumptions!G$14)),-2)</f>
        <v>302100</v>
      </c>
      <c r="K272" s="288">
        <f>ROUND(IF($A272="E",J272*(1+Assumptions!H$15),J272*(1+Assumptions!H$14)),-2)</f>
        <v>308100</v>
      </c>
      <c r="L272" s="288">
        <f>ROUND(IF($A272="E",K272*(1+Assumptions!I$15),K272*(1+Assumptions!I$14)),-2)</f>
        <v>315800</v>
      </c>
      <c r="M272" s="288">
        <f>ROUND(IF($A272="E",L272*(1+Assumptions!J$15),L272*(1+Assumptions!J$14)),-2)</f>
        <v>323700</v>
      </c>
      <c r="N272" s="288">
        <f>ROUND(IF($A272="E",M272*(1+Assumptions!K$15),M272*(1+Assumptions!K$14)),-2)</f>
        <v>331800</v>
      </c>
    </row>
    <row r="273" spans="2:14" x14ac:dyDescent="0.25">
      <c r="B273" s="16" t="s">
        <v>42</v>
      </c>
      <c r="C273" s="16" t="s">
        <v>530</v>
      </c>
      <c r="D273" s="16" t="s">
        <v>531</v>
      </c>
      <c r="E273" s="289"/>
      <c r="F273" s="289"/>
      <c r="G273" s="289"/>
      <c r="H273" s="289"/>
      <c r="I273" s="289"/>
      <c r="J273" s="289"/>
      <c r="K273" s="289"/>
      <c r="L273" s="289"/>
      <c r="M273" s="289"/>
      <c r="N273" s="289"/>
    </row>
    <row r="274" spans="2:14" x14ac:dyDescent="0.25">
      <c r="B274" s="16" t="s">
        <v>42</v>
      </c>
      <c r="C274" s="16" t="s">
        <v>532</v>
      </c>
      <c r="D274" s="16" t="s">
        <v>406</v>
      </c>
      <c r="E274" s="302">
        <v>17300</v>
      </c>
      <c r="F274" s="302">
        <f>ROUND(loans!U18,-2)</f>
        <v>13600</v>
      </c>
      <c r="G274" s="302">
        <f>ROUND(loans!Y16,-2)</f>
        <v>9700</v>
      </c>
      <c r="H274" s="302">
        <f>ROUND(loans!AC18,-2)</f>
        <v>5500</v>
      </c>
      <c r="I274" s="302">
        <v>0</v>
      </c>
      <c r="J274" s="302">
        <v>0</v>
      </c>
      <c r="K274" s="302">
        <v>0</v>
      </c>
      <c r="L274" s="302">
        <v>0</v>
      </c>
      <c r="M274" s="302">
        <v>0</v>
      </c>
      <c r="N274" s="302">
        <v>0</v>
      </c>
    </row>
    <row r="275" spans="2:14" x14ac:dyDescent="0.25">
      <c r="B275" s="16" t="s">
        <v>43</v>
      </c>
      <c r="C275" s="16" t="s">
        <v>533</v>
      </c>
      <c r="D275" s="16" t="s">
        <v>187</v>
      </c>
      <c r="E275" s="289"/>
      <c r="F275" s="289"/>
      <c r="G275" s="289"/>
      <c r="H275" s="289"/>
      <c r="I275" s="289"/>
      <c r="J275" s="289"/>
      <c r="K275" s="289"/>
      <c r="L275" s="289"/>
      <c r="M275" s="289"/>
      <c r="N275" s="289"/>
    </row>
    <row r="276" spans="2:14" x14ac:dyDescent="0.25">
      <c r="B276" s="16" t="s">
        <v>43</v>
      </c>
      <c r="C276" s="16" t="s">
        <v>534</v>
      </c>
      <c r="D276" s="16" t="s">
        <v>193</v>
      </c>
      <c r="E276" s="288">
        <v>48000</v>
      </c>
      <c r="F276" s="288">
        <f>ROUND(IF($A276="E",E276*(1+Assumptions!C$15),E276*(1+Assumptions!C$14)),-2)</f>
        <v>48700</v>
      </c>
      <c r="G276" s="288">
        <f>ROUND(IF($A276="E",F276*(1+Assumptions!D$15),F276*(1+Assumptions!D$14)),-2)</f>
        <v>49700</v>
      </c>
      <c r="H276" s="288">
        <f>ROUND(IF($A276="E",G276*(1+Assumptions!E$15),G276*(1+Assumptions!E$14)),-2)</f>
        <v>50700</v>
      </c>
      <c r="I276" s="288">
        <f>ROUND(IF($A276="E",H276*(1+Assumptions!F$15),H276*(1+Assumptions!F$14)),-2)</f>
        <v>51700</v>
      </c>
      <c r="J276" s="288">
        <f>ROUND(IF($A276="E",I276*(1+Assumptions!G$15),I276*(1+Assumptions!G$14)),-2)</f>
        <v>52700</v>
      </c>
      <c r="K276" s="288">
        <f>ROUND(IF($A276="E",J276*(1+Assumptions!H$15),J276*(1+Assumptions!H$14)),-2)</f>
        <v>53800</v>
      </c>
      <c r="L276" s="288">
        <f>ROUND(IF($A276="E",K276*(1+Assumptions!I$15),K276*(1+Assumptions!I$14)),-2)</f>
        <v>55100</v>
      </c>
      <c r="M276" s="288">
        <f>ROUND(IF($A276="E",L276*(1+Assumptions!J$15),L276*(1+Assumptions!J$14)),-2)</f>
        <v>56500</v>
      </c>
      <c r="N276" s="288">
        <f>ROUND(IF($A276="E",M276*(1+Assumptions!K$15),M276*(1+Assumptions!K$14)),-2)</f>
        <v>57900</v>
      </c>
    </row>
    <row r="277" spans="2:14" x14ac:dyDescent="0.25">
      <c r="B277" s="16" t="s">
        <v>43</v>
      </c>
      <c r="C277" s="16" t="s">
        <v>535</v>
      </c>
      <c r="D277" s="16" t="s">
        <v>195</v>
      </c>
      <c r="E277" s="288">
        <v>-3000000</v>
      </c>
      <c r="F277" s="288">
        <f>ROUND(IF($A277="E",E277*(1+Assumptions!C$15),E277*(1+Assumptions!C$14)),-2)</f>
        <v>-3045000</v>
      </c>
      <c r="G277" s="288">
        <f>ROUND(IF($A277="E",F277*(1+Assumptions!D$15),F277*(1+Assumptions!D$14)),-2)</f>
        <v>-3105900</v>
      </c>
      <c r="H277" s="288">
        <f>ROUND(IF($A277="E",G277*(1+Assumptions!E$15),G277*(1+Assumptions!E$14)),-2)</f>
        <v>-3168000</v>
      </c>
      <c r="I277" s="288">
        <f>ROUND(IF($A277="E",H277*(1+Assumptions!F$15),H277*(1+Assumptions!F$14)),-2)</f>
        <v>-3231400</v>
      </c>
      <c r="J277" s="288">
        <f>ROUND(IF($A277="E",I277*(1+Assumptions!G$15),I277*(1+Assumptions!G$14)),-2)</f>
        <v>-3296000</v>
      </c>
      <c r="K277" s="288">
        <f>ROUND(IF($A277="E",J277*(1+Assumptions!H$15),J277*(1+Assumptions!H$14)),-2)</f>
        <v>-3361900</v>
      </c>
      <c r="L277" s="288">
        <f>ROUND(IF($A277="E",K277*(1+Assumptions!I$15),K277*(1+Assumptions!I$14)),-2)</f>
        <v>-3445900</v>
      </c>
      <c r="M277" s="288">
        <f>ROUND(IF($A277="E",L277*(1+Assumptions!J$15),L277*(1+Assumptions!J$14)),-2)</f>
        <v>-3532000</v>
      </c>
      <c r="N277" s="288">
        <f>ROUND(IF($A277="E",M277*(1+Assumptions!K$15),M277*(1+Assumptions!K$14)),-2)</f>
        <v>-3620300</v>
      </c>
    </row>
    <row r="278" spans="2:14" ht="12.75" customHeight="1" x14ac:dyDescent="0.25">
      <c r="E278" s="288"/>
      <c r="F278" s="288"/>
      <c r="G278" s="288"/>
      <c r="H278" s="288"/>
      <c r="I278" s="288"/>
      <c r="J278" s="288"/>
      <c r="K278" s="288"/>
      <c r="L278" s="288"/>
      <c r="M278" s="288"/>
      <c r="N278" s="288"/>
    </row>
    <row r="279" spans="2:14" ht="12.75" customHeight="1" x14ac:dyDescent="0.25">
      <c r="D279" s="19" t="s">
        <v>3234</v>
      </c>
      <c r="E279" s="291">
        <f>SUM(E218:E278)</f>
        <v>26900</v>
      </c>
      <c r="F279" s="291">
        <f t="shared" ref="F279:N279" si="10">SUM(F218:F278)</f>
        <v>23400</v>
      </c>
      <c r="G279" s="291">
        <f t="shared" si="10"/>
        <v>19400</v>
      </c>
      <c r="H279" s="291">
        <f t="shared" si="10"/>
        <v>15000</v>
      </c>
      <c r="I279" s="291">
        <f t="shared" si="10"/>
        <v>9300</v>
      </c>
      <c r="J279" s="291">
        <f t="shared" si="10"/>
        <v>9200</v>
      </c>
      <c r="K279" s="291">
        <f t="shared" si="10"/>
        <v>9100</v>
      </c>
      <c r="L279" s="291">
        <f t="shared" si="10"/>
        <v>9400</v>
      </c>
      <c r="M279" s="291">
        <f t="shared" si="10"/>
        <v>9600</v>
      </c>
      <c r="N279" s="291">
        <f t="shared" si="10"/>
        <v>9600</v>
      </c>
    </row>
    <row r="280" spans="2:14" ht="12.75" customHeight="1" x14ac:dyDescent="0.25">
      <c r="E280" s="288"/>
      <c r="F280" s="288"/>
      <c r="G280" s="288"/>
      <c r="H280" s="288"/>
      <c r="I280" s="288"/>
      <c r="J280" s="288"/>
      <c r="K280" s="288"/>
      <c r="L280" s="288"/>
      <c r="M280" s="288"/>
      <c r="N280" s="288"/>
    </row>
    <row r="281" spans="2:14" x14ac:dyDescent="0.25">
      <c r="C281" s="16" t="s">
        <v>315</v>
      </c>
      <c r="E281" s="288"/>
      <c r="F281" s="288"/>
      <c r="G281" s="288"/>
      <c r="H281" s="288"/>
      <c r="I281" s="288"/>
      <c r="J281" s="288"/>
      <c r="K281" s="288"/>
      <c r="L281" s="288"/>
      <c r="M281" s="288"/>
      <c r="N281" s="288"/>
    </row>
    <row r="282" spans="2:14" x14ac:dyDescent="0.25">
      <c r="B282" s="16" t="s">
        <v>3228</v>
      </c>
      <c r="C282" s="16" t="s">
        <v>536</v>
      </c>
      <c r="D282" s="16" t="s">
        <v>537</v>
      </c>
      <c r="E282" s="289"/>
      <c r="F282" s="289"/>
      <c r="G282" s="289"/>
      <c r="H282" s="289"/>
      <c r="I282" s="289"/>
      <c r="J282" s="289"/>
      <c r="K282" s="289"/>
      <c r="L282" s="289"/>
      <c r="M282" s="289"/>
      <c r="N282" s="289"/>
    </row>
    <row r="283" spans="2:14" x14ac:dyDescent="0.25">
      <c r="B283" s="16" t="s">
        <v>3228</v>
      </c>
      <c r="C283" s="16" t="s">
        <v>538</v>
      </c>
      <c r="D283" s="16" t="s">
        <v>539</v>
      </c>
      <c r="E283" s="288">
        <v>-3100</v>
      </c>
      <c r="F283" s="288">
        <f>ROUND(E283+(E283*Assumptions!C$13),-2)</f>
        <v>-3200</v>
      </c>
      <c r="G283" s="288">
        <f>ROUND(F283+(F283*Assumptions!D$13),-2)</f>
        <v>-3300</v>
      </c>
      <c r="H283" s="288">
        <f>ROUND(G283+(G283*Assumptions!E$13),-2)</f>
        <v>-3400</v>
      </c>
      <c r="I283" s="288">
        <f>ROUND(H283+(H283*Assumptions!F$13),-2)</f>
        <v>-3500</v>
      </c>
      <c r="J283" s="288">
        <f>ROUND(I283+(I283*Assumptions!G$13),-2)</f>
        <v>-3600</v>
      </c>
      <c r="K283" s="288">
        <f>ROUND(J283+(J283*Assumptions!H$13),-2)</f>
        <v>-3700</v>
      </c>
      <c r="L283" s="288">
        <f>ROUND(K283+(K283*Assumptions!I$13),-2)</f>
        <v>-3800</v>
      </c>
      <c r="M283" s="288">
        <f>ROUND(L283+(L283*Assumptions!J$13),-2)</f>
        <v>-3900</v>
      </c>
      <c r="N283" s="288">
        <f>ROUND(M283+(M283*Assumptions!K$13),-2)</f>
        <v>-4000</v>
      </c>
    </row>
    <row r="284" spans="2:14" x14ac:dyDescent="0.25">
      <c r="B284" s="16" t="s">
        <v>3228</v>
      </c>
      <c r="C284" s="16" t="s">
        <v>540</v>
      </c>
      <c r="D284" s="16" t="s">
        <v>541</v>
      </c>
      <c r="E284" s="288">
        <v>-3700</v>
      </c>
      <c r="F284" s="288">
        <f>ROUND(E284+(E284*Assumptions!C$13),-2)</f>
        <v>-3800</v>
      </c>
      <c r="G284" s="288">
        <f>ROUND(F284+(F284*Assumptions!D$13),-2)</f>
        <v>-3900</v>
      </c>
      <c r="H284" s="288">
        <f>ROUND(G284+(G284*Assumptions!E$13),-2)</f>
        <v>-4000</v>
      </c>
      <c r="I284" s="288">
        <f>ROUND(H284+(H284*Assumptions!F$13),-2)</f>
        <v>-4100</v>
      </c>
      <c r="J284" s="288">
        <f>ROUND(I284+(I284*Assumptions!G$13),-2)</f>
        <v>-4200</v>
      </c>
      <c r="K284" s="288">
        <f>ROUND(J284+(J284*Assumptions!H$13),-2)</f>
        <v>-4300</v>
      </c>
      <c r="L284" s="288">
        <f>ROUND(K284+(K284*Assumptions!I$13),-2)</f>
        <v>-4400</v>
      </c>
      <c r="M284" s="288">
        <f>ROUND(L284+(L284*Assumptions!J$13),-2)</f>
        <v>-4500</v>
      </c>
      <c r="N284" s="288">
        <f>ROUND(M284+(M284*Assumptions!K$13),-2)</f>
        <v>-4600</v>
      </c>
    </row>
    <row r="285" spans="2:14" x14ac:dyDescent="0.25">
      <c r="B285" s="16" t="s">
        <v>3228</v>
      </c>
      <c r="C285" s="16" t="s">
        <v>542</v>
      </c>
      <c r="D285" s="16" t="s">
        <v>543</v>
      </c>
      <c r="E285" s="288">
        <v>-1200</v>
      </c>
      <c r="F285" s="288">
        <f>ROUND(E285+(E285*Assumptions!C$13),-2)</f>
        <v>-1200</v>
      </c>
      <c r="G285" s="288">
        <f>ROUND(F285+(F285*Assumptions!D$13),-2)</f>
        <v>-1200</v>
      </c>
      <c r="H285" s="288">
        <f>ROUND(G285+(G285*Assumptions!E$13),-2)</f>
        <v>-1200</v>
      </c>
      <c r="I285" s="288">
        <f>ROUND(H285+(H285*Assumptions!F$13),-2)</f>
        <v>-1200</v>
      </c>
      <c r="J285" s="288">
        <f>ROUND(I285+(I285*Assumptions!G$13),-2)</f>
        <v>-1200</v>
      </c>
      <c r="K285" s="288">
        <f>ROUND(J285+(J285*Assumptions!H$13),-2)</f>
        <v>-1200</v>
      </c>
      <c r="L285" s="288">
        <f>ROUND(K285+(K285*Assumptions!I$13),-2)</f>
        <v>-1200</v>
      </c>
      <c r="M285" s="288">
        <f>ROUND(L285+(L285*Assumptions!J$13),-2)</f>
        <v>-1200</v>
      </c>
      <c r="N285" s="288">
        <f>ROUND(M285+(M285*Assumptions!K$13),-2)</f>
        <v>-1200</v>
      </c>
    </row>
    <row r="286" spans="2:14" x14ac:dyDescent="0.25">
      <c r="B286" s="16" t="s">
        <v>3228</v>
      </c>
      <c r="C286" s="16" t="s">
        <v>544</v>
      </c>
      <c r="D286" s="16" t="s">
        <v>545</v>
      </c>
      <c r="E286" s="288">
        <v>-1600</v>
      </c>
      <c r="F286" s="288">
        <f>ROUND(E286+(E286*Assumptions!C$13),-2)</f>
        <v>-1600</v>
      </c>
      <c r="G286" s="288">
        <f>ROUND(F286+(F286*Assumptions!D$13),-2)</f>
        <v>-1600</v>
      </c>
      <c r="H286" s="288">
        <f>ROUND(G286+(G286*Assumptions!E$13),-2)</f>
        <v>-1600</v>
      </c>
      <c r="I286" s="288">
        <f>ROUND(H286+(H286*Assumptions!F$13),-2)</f>
        <v>-1600</v>
      </c>
      <c r="J286" s="288">
        <f>ROUND(I286+(I286*Assumptions!G$13),-2)</f>
        <v>-1600</v>
      </c>
      <c r="K286" s="288">
        <f>ROUND(J286+(J286*Assumptions!H$13),-2)</f>
        <v>-1600</v>
      </c>
      <c r="L286" s="288">
        <f>ROUND(K286+(K286*Assumptions!I$13),-2)</f>
        <v>-1600</v>
      </c>
      <c r="M286" s="288">
        <f>ROUND(L286+(L286*Assumptions!J$13),-2)</f>
        <v>-1600</v>
      </c>
      <c r="N286" s="288">
        <f>ROUND(M286+(M286*Assumptions!K$13),-2)</f>
        <v>-1600</v>
      </c>
    </row>
    <row r="287" spans="2:14" ht="12.75" customHeight="1" x14ac:dyDescent="0.25">
      <c r="E287" s="288"/>
      <c r="F287" s="288"/>
      <c r="G287" s="288"/>
      <c r="H287" s="288"/>
      <c r="I287" s="288"/>
      <c r="J287" s="288"/>
      <c r="K287" s="288"/>
      <c r="L287" s="288"/>
      <c r="M287" s="288"/>
      <c r="N287" s="288"/>
    </row>
    <row r="288" spans="2:14" ht="12.75" customHeight="1" x14ac:dyDescent="0.25">
      <c r="D288" s="19" t="s">
        <v>3234</v>
      </c>
      <c r="E288" s="291">
        <f>SUM(E282:E287)</f>
        <v>-9600</v>
      </c>
      <c r="F288" s="291">
        <f t="shared" ref="F288:N288" si="11">SUM(F282:F287)</f>
        <v>-9800</v>
      </c>
      <c r="G288" s="291">
        <f t="shared" si="11"/>
        <v>-10000</v>
      </c>
      <c r="H288" s="291">
        <f t="shared" si="11"/>
        <v>-10200</v>
      </c>
      <c r="I288" s="291">
        <f t="shared" si="11"/>
        <v>-10400</v>
      </c>
      <c r="J288" s="291">
        <f t="shared" si="11"/>
        <v>-10600</v>
      </c>
      <c r="K288" s="291">
        <f t="shared" si="11"/>
        <v>-10800</v>
      </c>
      <c r="L288" s="291">
        <f t="shared" si="11"/>
        <v>-11000</v>
      </c>
      <c r="M288" s="291">
        <f t="shared" si="11"/>
        <v>-11200</v>
      </c>
      <c r="N288" s="291">
        <f t="shared" si="11"/>
        <v>-11400</v>
      </c>
    </row>
    <row r="289" spans="2:14" ht="12.75" customHeight="1" x14ac:dyDescent="0.25">
      <c r="E289" s="288"/>
      <c r="F289" s="288"/>
      <c r="G289" s="288"/>
      <c r="H289" s="288"/>
      <c r="I289" s="288"/>
      <c r="J289" s="288"/>
      <c r="K289" s="288"/>
      <c r="L289" s="288"/>
      <c r="M289" s="288"/>
      <c r="N289" s="288"/>
    </row>
    <row r="290" spans="2:14" x14ac:dyDescent="0.25">
      <c r="C290" s="19" t="s">
        <v>546</v>
      </c>
      <c r="E290" s="288"/>
      <c r="F290" s="288"/>
      <c r="G290" s="288"/>
      <c r="H290" s="288"/>
      <c r="I290" s="288"/>
      <c r="J290" s="288"/>
      <c r="K290" s="288"/>
      <c r="L290" s="288"/>
      <c r="M290" s="288"/>
      <c r="N290" s="288"/>
    </row>
    <row r="291" spans="2:14" ht="12.75" customHeight="1" x14ac:dyDescent="0.25">
      <c r="E291" s="288"/>
      <c r="F291" s="288"/>
      <c r="G291" s="288"/>
      <c r="H291" s="288"/>
      <c r="I291" s="288"/>
      <c r="J291" s="288"/>
      <c r="K291" s="288"/>
      <c r="L291" s="288"/>
      <c r="M291" s="288"/>
      <c r="N291" s="288"/>
    </row>
    <row r="292" spans="2:14" x14ac:dyDescent="0.25">
      <c r="C292" s="16" t="s">
        <v>87</v>
      </c>
      <c r="E292" s="288"/>
      <c r="F292" s="288"/>
      <c r="G292" s="288"/>
      <c r="H292" s="288"/>
      <c r="I292" s="288"/>
      <c r="J292" s="288"/>
      <c r="K292" s="288"/>
      <c r="L292" s="288"/>
      <c r="M292" s="288"/>
      <c r="N292" s="288"/>
    </row>
    <row r="293" spans="2:14" x14ac:dyDescent="0.25">
      <c r="B293" s="16" t="s">
        <v>43</v>
      </c>
      <c r="C293" s="16" t="s">
        <v>547</v>
      </c>
      <c r="D293" s="16" t="s">
        <v>548</v>
      </c>
      <c r="E293" s="289"/>
      <c r="F293" s="289"/>
      <c r="G293" s="289"/>
      <c r="H293" s="289"/>
      <c r="I293" s="289"/>
      <c r="J293" s="289"/>
      <c r="K293" s="289"/>
      <c r="L293" s="289"/>
      <c r="M293" s="289"/>
      <c r="N293" s="289"/>
    </row>
    <row r="294" spans="2:14" x14ac:dyDescent="0.25">
      <c r="B294" s="16" t="s">
        <v>43</v>
      </c>
      <c r="C294" s="16" t="s">
        <v>549</v>
      </c>
      <c r="D294" s="16" t="s">
        <v>550</v>
      </c>
      <c r="E294" s="297">
        <v>1100</v>
      </c>
      <c r="F294" s="297">
        <f>ROUND(IF($A294="E",E294*(1+Assumptions!C$15),E294*(1+Assumptions!C$14)),-2)</f>
        <v>1100</v>
      </c>
      <c r="G294" s="297">
        <f>ROUND(IF($A294="E",F294*(1+Assumptions!D$15),F294*(1+Assumptions!D$14)),-2)</f>
        <v>1100</v>
      </c>
      <c r="H294" s="297">
        <f>ROUND(IF($A294="E",G294*(1+Assumptions!E$15),G294*(1+Assumptions!E$14)),-2)</f>
        <v>1100</v>
      </c>
      <c r="I294" s="297">
        <f>ROUND(IF($A294="E",H294*(1+Assumptions!F$15),H294*(1+Assumptions!F$14)),-2)</f>
        <v>1100</v>
      </c>
      <c r="J294" s="297">
        <f>ROUND(IF($A294="E",I294*(1+Assumptions!G$15),I294*(1+Assumptions!G$14)),-2)</f>
        <v>1100</v>
      </c>
      <c r="K294" s="297">
        <f>ROUND(IF($A294="E",J294*(1+Assumptions!H$15),J294*(1+Assumptions!H$14)),-2)</f>
        <v>1100</v>
      </c>
      <c r="L294" s="297">
        <f>ROUND(IF($A294="E",K294*(1+Assumptions!I$15),K294*(1+Assumptions!I$14)),-2)</f>
        <v>1100</v>
      </c>
      <c r="M294" s="297">
        <f>ROUND(IF($A294="E",L294*(1+Assumptions!J$15),L294*(1+Assumptions!J$14)),-2)</f>
        <v>1100</v>
      </c>
      <c r="N294" s="297">
        <f>ROUND(IF($A294="E",M294*(1+Assumptions!K$15),M294*(1+Assumptions!K$14)),-2)</f>
        <v>1100</v>
      </c>
    </row>
    <row r="295" spans="2:14" x14ac:dyDescent="0.25">
      <c r="B295" s="16" t="s">
        <v>43</v>
      </c>
      <c r="C295" s="16" t="s">
        <v>551</v>
      </c>
      <c r="D295" s="16" t="s">
        <v>552</v>
      </c>
      <c r="E295" s="289"/>
      <c r="F295" s="289"/>
      <c r="G295" s="289"/>
      <c r="H295" s="289"/>
      <c r="I295" s="289"/>
      <c r="J295" s="289"/>
      <c r="K295" s="289"/>
      <c r="L295" s="289"/>
      <c r="M295" s="289"/>
      <c r="N295" s="289"/>
    </row>
    <row r="296" spans="2:14" x14ac:dyDescent="0.25">
      <c r="B296" s="16" t="s">
        <v>43</v>
      </c>
      <c r="C296" s="16" t="s">
        <v>553</v>
      </c>
      <c r="D296" s="16" t="s">
        <v>554</v>
      </c>
      <c r="E296" s="288">
        <v>0</v>
      </c>
      <c r="F296" s="288">
        <f>ROUND(IF($A296="E",E296*(1+Assumptions!C$15),E296*(1+Assumptions!C$14)),-2)</f>
        <v>0</v>
      </c>
      <c r="G296" s="288">
        <f>ROUND(IF($A296="E",F296*(1+Assumptions!D$15),F296*(1+Assumptions!D$14)),-2)</f>
        <v>0</v>
      </c>
      <c r="H296" s="288">
        <f>ROUND(IF($A296="E",G296*(1+Assumptions!E$15),G296*(1+Assumptions!E$14)),-2)</f>
        <v>0</v>
      </c>
      <c r="I296" s="288">
        <f>ROUND(IF($A296="E",H296*(1+Assumptions!F$15),H296*(1+Assumptions!F$14)),-2)</f>
        <v>0</v>
      </c>
      <c r="J296" s="288">
        <f>ROUND(IF($A296="E",I296*(1+Assumptions!G$15),I296*(1+Assumptions!G$14)),-2)</f>
        <v>0</v>
      </c>
      <c r="K296" s="288">
        <f>ROUND(IF($A296="E",J296*(1+Assumptions!H$15),J296*(1+Assumptions!H$14)),-2)</f>
        <v>0</v>
      </c>
      <c r="L296" s="288">
        <f>ROUND(IF($A296="E",K296*(1+Assumptions!I$15),K296*(1+Assumptions!I$14)),-2)</f>
        <v>0</v>
      </c>
      <c r="M296" s="288">
        <f>ROUND(IF($A296="E",L296*(1+Assumptions!J$15),L296*(1+Assumptions!J$14)),-2)</f>
        <v>0</v>
      </c>
      <c r="N296" s="288">
        <f>ROUND(IF($A296="E",M296*(1+Assumptions!K$15),M296*(1+Assumptions!K$14)),-2)</f>
        <v>0</v>
      </c>
    </row>
    <row r="297" spans="2:14" x14ac:dyDescent="0.25">
      <c r="B297" s="16" t="s">
        <v>43</v>
      </c>
      <c r="C297" s="16" t="s">
        <v>555</v>
      </c>
      <c r="D297" s="16" t="s">
        <v>556</v>
      </c>
      <c r="E297" s="288"/>
      <c r="F297" s="288">
        <f>ROUND(IF($A297="E",E297*(1+Assumptions!C$15),E297*(1+Assumptions!C$14)),-2)</f>
        <v>0</v>
      </c>
      <c r="G297" s="288">
        <f>ROUND(IF($A297="E",F297*(1+Assumptions!D$15),F297*(1+Assumptions!D$14)),-2)</f>
        <v>0</v>
      </c>
      <c r="H297" s="288">
        <f>ROUND(IF($A297="E",G297*(1+Assumptions!E$15),G297*(1+Assumptions!E$14)),-2)</f>
        <v>0</v>
      </c>
      <c r="I297" s="288">
        <f>ROUND(IF($A297="E",H297*(1+Assumptions!F$15),H297*(1+Assumptions!F$14)),-2)</f>
        <v>0</v>
      </c>
      <c r="J297" s="288">
        <f>ROUND(IF($A297="E",I297*(1+Assumptions!G$15),I297*(1+Assumptions!G$14)),-2)</f>
        <v>0</v>
      </c>
      <c r="K297" s="288">
        <f>ROUND(IF($A297="E",J297*(1+Assumptions!H$15),J297*(1+Assumptions!H$14)),-2)</f>
        <v>0</v>
      </c>
      <c r="L297" s="288">
        <f>ROUND(IF($A297="E",K297*(1+Assumptions!I$15),K297*(1+Assumptions!I$14)),-2)</f>
        <v>0</v>
      </c>
      <c r="M297" s="288">
        <f>ROUND(IF($A297="E",L297*(1+Assumptions!J$15),L297*(1+Assumptions!J$14)),-2)</f>
        <v>0</v>
      </c>
      <c r="N297" s="288">
        <f>ROUND(IF($A297="E",M297*(1+Assumptions!K$15),M297*(1+Assumptions!K$14)),-2)</f>
        <v>0</v>
      </c>
    </row>
    <row r="298" spans="2:14" x14ac:dyDescent="0.25">
      <c r="B298" s="16" t="s">
        <v>43</v>
      </c>
      <c r="C298" s="16" t="s">
        <v>557</v>
      </c>
      <c r="D298" s="16" t="s">
        <v>558</v>
      </c>
      <c r="E298" s="288">
        <v>0</v>
      </c>
      <c r="F298" s="288">
        <f>ROUND(IF($A298="E",E298*(1+Assumptions!C$15),E298*(1+Assumptions!C$14)),-2)</f>
        <v>0</v>
      </c>
      <c r="G298" s="288">
        <f>ROUND(IF($A298="E",F298*(1+Assumptions!D$15),F298*(1+Assumptions!D$14)),-2)</f>
        <v>0</v>
      </c>
      <c r="H298" s="288">
        <f>ROUND(IF($A298="E",G298*(1+Assumptions!E$15),G298*(1+Assumptions!E$14)),-2)</f>
        <v>0</v>
      </c>
      <c r="I298" s="288">
        <f>ROUND(IF($A298="E",H298*(1+Assumptions!F$15),H298*(1+Assumptions!F$14)),-2)</f>
        <v>0</v>
      </c>
      <c r="J298" s="288">
        <f>ROUND(IF($A298="E",I298*(1+Assumptions!G$15),I298*(1+Assumptions!G$14)),-2)</f>
        <v>0</v>
      </c>
      <c r="K298" s="288">
        <f>ROUND(IF($A298="E",J298*(1+Assumptions!H$15),J298*(1+Assumptions!H$14)),-2)</f>
        <v>0</v>
      </c>
      <c r="L298" s="288">
        <f>ROUND(IF($A298="E",K298*(1+Assumptions!I$15),K298*(1+Assumptions!I$14)),-2)</f>
        <v>0</v>
      </c>
      <c r="M298" s="288">
        <f>ROUND(IF($A298="E",L298*(1+Assumptions!J$15),L298*(1+Assumptions!J$14)),-2)</f>
        <v>0</v>
      </c>
      <c r="N298" s="288">
        <f>ROUND(IF($A298="E",M298*(1+Assumptions!K$15),M298*(1+Assumptions!K$14)),-2)</f>
        <v>0</v>
      </c>
    </row>
    <row r="299" spans="2:14" x14ac:dyDescent="0.25">
      <c r="B299" s="16" t="s">
        <v>43</v>
      </c>
      <c r="C299" s="16" t="s">
        <v>559</v>
      </c>
      <c r="D299" s="16" t="s">
        <v>560</v>
      </c>
      <c r="E299" s="289"/>
      <c r="F299" s="289"/>
      <c r="G299" s="289"/>
      <c r="H299" s="289"/>
      <c r="I299" s="289"/>
      <c r="J299" s="289"/>
      <c r="K299" s="289"/>
      <c r="L299" s="289"/>
      <c r="M299" s="289"/>
      <c r="N299" s="289"/>
    </row>
    <row r="300" spans="2:14" x14ac:dyDescent="0.25">
      <c r="B300" s="16" t="s">
        <v>41</v>
      </c>
      <c r="C300" s="16" t="s">
        <v>561</v>
      </c>
      <c r="D300" s="16" t="s">
        <v>201</v>
      </c>
      <c r="E300" s="288">
        <v>274600</v>
      </c>
      <c r="F300" s="288">
        <f>ROUND(IF($A300="E",E300*(1+Assumptions!C$15),E300*(1+Assumptions!C$14)),-2)</f>
        <v>278700</v>
      </c>
      <c r="G300" s="288">
        <f>ROUND(IF($A300="E",F300*(1+Assumptions!D$15),F300*(1+Assumptions!D$14)),-2)</f>
        <v>284300</v>
      </c>
      <c r="H300" s="288">
        <f>ROUND(IF($A300="E",G300*(1+Assumptions!E$15),G300*(1+Assumptions!E$14)),-2)</f>
        <v>290000</v>
      </c>
      <c r="I300" s="288">
        <f>ROUND(IF($A300="E",H300*(1+Assumptions!F$15),H300*(1+Assumptions!F$14)),-2)</f>
        <v>295800</v>
      </c>
      <c r="J300" s="288">
        <f>ROUND(IF($A300="E",I300*(1+Assumptions!G$15),I300*(1+Assumptions!G$14)),-2)</f>
        <v>301700</v>
      </c>
      <c r="K300" s="288">
        <f>ROUND(IF($A300="E",J300*(1+Assumptions!H$15),J300*(1+Assumptions!H$14)),-2)</f>
        <v>307700</v>
      </c>
      <c r="L300" s="288">
        <f>ROUND(IF($A300="E",K300*(1+Assumptions!I$15),K300*(1+Assumptions!I$14)),-2)</f>
        <v>315400</v>
      </c>
      <c r="M300" s="288">
        <f>ROUND(IF($A300="E",L300*(1+Assumptions!J$15),L300*(1+Assumptions!J$14)),-2)</f>
        <v>323300</v>
      </c>
      <c r="N300" s="288">
        <f>ROUND(IF($A300="E",M300*(1+Assumptions!K$15),M300*(1+Assumptions!K$14)),-2)</f>
        <v>331400</v>
      </c>
    </row>
    <row r="301" spans="2:14" x14ac:dyDescent="0.25">
      <c r="B301" s="16" t="s">
        <v>45</v>
      </c>
      <c r="C301" s="16" t="s">
        <v>562</v>
      </c>
      <c r="D301" s="16" t="s">
        <v>563</v>
      </c>
      <c r="E301" s="288">
        <v>4300</v>
      </c>
      <c r="F301" s="288">
        <f>ROUND(IF($A301="E",E301*(1+Assumptions!C$15),E301*(1+Assumptions!C$14)),-2)</f>
        <v>4400</v>
      </c>
      <c r="G301" s="288">
        <f>ROUND(IF($A301="E",F301*(1+Assumptions!D$15),F301*(1+Assumptions!D$14)),-2)</f>
        <v>4500</v>
      </c>
      <c r="H301" s="288">
        <f>ROUND(IF($A301="E",G301*(1+Assumptions!E$15),G301*(1+Assumptions!E$14)),-2)</f>
        <v>4600</v>
      </c>
      <c r="I301" s="288">
        <f>ROUND(IF($A301="E",H301*(1+Assumptions!F$15),H301*(1+Assumptions!F$14)),-2)</f>
        <v>4700</v>
      </c>
      <c r="J301" s="288">
        <f>ROUND(IF($A301="E",I301*(1+Assumptions!G$15),I301*(1+Assumptions!G$14)),-2)</f>
        <v>4800</v>
      </c>
      <c r="K301" s="288">
        <f>ROUND(IF($A301="E",J301*(1+Assumptions!H$15),J301*(1+Assumptions!H$14)),-2)</f>
        <v>4900</v>
      </c>
      <c r="L301" s="288">
        <f>ROUND(IF($A301="E",K301*(1+Assumptions!I$15),K301*(1+Assumptions!I$14)),-2)</f>
        <v>5000</v>
      </c>
      <c r="M301" s="288">
        <f>ROUND(IF($A301="E",L301*(1+Assumptions!J$15),L301*(1+Assumptions!J$14)),-2)</f>
        <v>5100</v>
      </c>
      <c r="N301" s="288">
        <f>ROUND(IF($A301="E",M301*(1+Assumptions!K$15),M301*(1+Assumptions!K$14)),-2)</f>
        <v>5200</v>
      </c>
    </row>
    <row r="302" spans="2:14" x14ac:dyDescent="0.25">
      <c r="B302" s="16" t="s">
        <v>45</v>
      </c>
      <c r="C302" s="16" t="s">
        <v>564</v>
      </c>
      <c r="D302" s="16" t="s">
        <v>93</v>
      </c>
      <c r="E302" s="288">
        <v>5700</v>
      </c>
      <c r="F302" s="288">
        <f>ROUND(IF($A302="E",E302*(1+Assumptions!C$15),E302*(1+Assumptions!C$14)),-2)</f>
        <v>5800</v>
      </c>
      <c r="G302" s="288">
        <f>ROUND(IF($A302="E",F302*(1+Assumptions!D$15),F302*(1+Assumptions!D$14)),-2)</f>
        <v>5900</v>
      </c>
      <c r="H302" s="288">
        <f>ROUND(IF($A302="E",G302*(1+Assumptions!E$15),G302*(1+Assumptions!E$14)),-2)</f>
        <v>6000</v>
      </c>
      <c r="I302" s="288">
        <f>ROUND(IF($A302="E",H302*(1+Assumptions!F$15),H302*(1+Assumptions!F$14)),-2)</f>
        <v>6100</v>
      </c>
      <c r="J302" s="288">
        <f>ROUND(IF($A302="E",I302*(1+Assumptions!G$15),I302*(1+Assumptions!G$14)),-2)</f>
        <v>6200</v>
      </c>
      <c r="K302" s="288">
        <f>ROUND(IF($A302="E",J302*(1+Assumptions!H$15),J302*(1+Assumptions!H$14)),-2)</f>
        <v>6300</v>
      </c>
      <c r="L302" s="288">
        <f>ROUND(IF($A302="E",K302*(1+Assumptions!I$15),K302*(1+Assumptions!I$14)),-2)</f>
        <v>6500</v>
      </c>
      <c r="M302" s="288">
        <f>ROUND(IF($A302="E",L302*(1+Assumptions!J$15),L302*(1+Assumptions!J$14)),-2)</f>
        <v>6700</v>
      </c>
      <c r="N302" s="288">
        <f>ROUND(IF($A302="E",M302*(1+Assumptions!K$15),M302*(1+Assumptions!K$14)),-2)</f>
        <v>6900</v>
      </c>
    </row>
    <row r="303" spans="2:14" x14ac:dyDescent="0.25">
      <c r="B303" s="16" t="s">
        <v>45</v>
      </c>
      <c r="C303" s="16" t="s">
        <v>565</v>
      </c>
      <c r="D303" s="16" t="s">
        <v>566</v>
      </c>
      <c r="E303" s="288">
        <v>5000</v>
      </c>
      <c r="F303" s="288">
        <f>ROUND(IF($A303="E",E303*(1+Assumptions!C$15),E303*(1+Assumptions!C$14)),-2)</f>
        <v>5100</v>
      </c>
      <c r="G303" s="288">
        <f>ROUND(IF($A303="E",F303*(1+Assumptions!D$15),F303*(1+Assumptions!D$14)),-2)</f>
        <v>5200</v>
      </c>
      <c r="H303" s="288">
        <f>ROUND(IF($A303="E",G303*(1+Assumptions!E$15),G303*(1+Assumptions!E$14)),-2)</f>
        <v>5300</v>
      </c>
      <c r="I303" s="288">
        <f>ROUND(IF($A303="E",H303*(1+Assumptions!F$15),H303*(1+Assumptions!F$14)),-2)</f>
        <v>5400</v>
      </c>
      <c r="J303" s="288">
        <f>ROUND(IF($A303="E",I303*(1+Assumptions!G$15),I303*(1+Assumptions!G$14)),-2)</f>
        <v>5500</v>
      </c>
      <c r="K303" s="288">
        <f>ROUND(IF($A303="E",J303*(1+Assumptions!H$15),J303*(1+Assumptions!H$14)),-2)</f>
        <v>5600</v>
      </c>
      <c r="L303" s="288">
        <f>ROUND(IF($A303="E",K303*(1+Assumptions!I$15),K303*(1+Assumptions!I$14)),-2)</f>
        <v>5700</v>
      </c>
      <c r="M303" s="288">
        <f>ROUND(IF($A303="E",L303*(1+Assumptions!J$15),L303*(1+Assumptions!J$14)),-2)</f>
        <v>5800</v>
      </c>
      <c r="N303" s="288">
        <f>ROUND(IF($A303="E",M303*(1+Assumptions!K$15),M303*(1+Assumptions!K$14)),-2)</f>
        <v>5900</v>
      </c>
    </row>
    <row r="304" spans="2:14" x14ac:dyDescent="0.25">
      <c r="B304" s="16" t="s">
        <v>45</v>
      </c>
      <c r="C304" s="16" t="s">
        <v>567</v>
      </c>
      <c r="D304" s="16" t="s">
        <v>230</v>
      </c>
      <c r="E304" s="288">
        <v>1100</v>
      </c>
      <c r="F304" s="288">
        <f>ROUND(IF($A304="E",E304*(1+Assumptions!C$15),E304*(1+Assumptions!C$14)),-2)</f>
        <v>1100</v>
      </c>
      <c r="G304" s="288">
        <f>ROUND(IF($A304="E",F304*(1+Assumptions!D$15),F304*(1+Assumptions!D$14)),-2)</f>
        <v>1100</v>
      </c>
      <c r="H304" s="288">
        <f>ROUND(IF($A304="E",G304*(1+Assumptions!E$15),G304*(1+Assumptions!E$14)),-2)</f>
        <v>1100</v>
      </c>
      <c r="I304" s="288">
        <f>ROUND(IF($A304="E",H304*(1+Assumptions!F$15),H304*(1+Assumptions!F$14)),-2)</f>
        <v>1100</v>
      </c>
      <c r="J304" s="288">
        <f>ROUND(IF($A304="E",I304*(1+Assumptions!G$15),I304*(1+Assumptions!G$14)),-2)</f>
        <v>1100</v>
      </c>
      <c r="K304" s="288">
        <f>ROUND(IF($A304="E",J304*(1+Assumptions!H$15),J304*(1+Assumptions!H$14)),-2)</f>
        <v>1100</v>
      </c>
      <c r="L304" s="288">
        <f>ROUND(IF($A304="E",K304*(1+Assumptions!I$15),K304*(1+Assumptions!I$14)),-2)</f>
        <v>1100</v>
      </c>
      <c r="M304" s="288">
        <f>ROUND(IF($A304="E",L304*(1+Assumptions!J$15),L304*(1+Assumptions!J$14)),-2)</f>
        <v>1100</v>
      </c>
      <c r="N304" s="288">
        <f>ROUND(IF($A304="E",M304*(1+Assumptions!K$15),M304*(1+Assumptions!K$14)),-2)</f>
        <v>1100</v>
      </c>
    </row>
    <row r="305" spans="2:14" x14ac:dyDescent="0.25">
      <c r="B305" s="16" t="s">
        <v>43</v>
      </c>
      <c r="C305" s="16" t="s">
        <v>568</v>
      </c>
      <c r="D305" s="16" t="s">
        <v>569</v>
      </c>
      <c r="E305" s="288">
        <v>8300</v>
      </c>
      <c r="F305" s="288">
        <f>ROUND(IF($A305="E",E305*(1+Assumptions!C$15),E305*(1+Assumptions!C$14)),-2)</f>
        <v>8400</v>
      </c>
      <c r="G305" s="288">
        <f>ROUND(IF($A305="E",F305*(1+Assumptions!D$15),F305*(1+Assumptions!D$14)),-2)</f>
        <v>8600</v>
      </c>
      <c r="H305" s="288">
        <f>ROUND(IF($A305="E",G305*(1+Assumptions!E$15),G305*(1+Assumptions!E$14)),-2)</f>
        <v>8800</v>
      </c>
      <c r="I305" s="288">
        <f>ROUND(IF($A305="E",H305*(1+Assumptions!F$15),H305*(1+Assumptions!F$14)),-2)</f>
        <v>9000</v>
      </c>
      <c r="J305" s="288">
        <f>ROUND(IF($A305="E",I305*(1+Assumptions!G$15),I305*(1+Assumptions!G$14)),-2)</f>
        <v>9200</v>
      </c>
      <c r="K305" s="288">
        <f>ROUND(IF($A305="E",J305*(1+Assumptions!H$15),J305*(1+Assumptions!H$14)),-2)</f>
        <v>9400</v>
      </c>
      <c r="L305" s="288">
        <f>ROUND(IF($A305="E",K305*(1+Assumptions!I$15),K305*(1+Assumptions!I$14)),-2)</f>
        <v>9600</v>
      </c>
      <c r="M305" s="288">
        <f>ROUND(IF($A305="E",L305*(1+Assumptions!J$15),L305*(1+Assumptions!J$14)),-2)</f>
        <v>9800</v>
      </c>
      <c r="N305" s="288">
        <f>ROUND(IF($A305="E",M305*(1+Assumptions!K$15),M305*(1+Assumptions!K$14)),-2)</f>
        <v>10000</v>
      </c>
    </row>
    <row r="306" spans="2:14" x14ac:dyDescent="0.25">
      <c r="B306" s="16" t="s">
        <v>43</v>
      </c>
      <c r="C306" s="16" t="s">
        <v>570</v>
      </c>
      <c r="D306" s="16" t="s">
        <v>571</v>
      </c>
      <c r="E306" s="288">
        <v>400</v>
      </c>
      <c r="F306" s="288">
        <f>ROUND(IF($A306="E",E306*(1+Assumptions!C$15),E306*(1+Assumptions!C$14)),-2)</f>
        <v>400</v>
      </c>
      <c r="G306" s="288">
        <f>ROUND(IF($A306="E",F306*(1+Assumptions!D$15),F306*(1+Assumptions!D$14)),-2)</f>
        <v>400</v>
      </c>
      <c r="H306" s="288">
        <f>ROUND(IF($A306="E",G306*(1+Assumptions!E$15),G306*(1+Assumptions!E$14)),-2)</f>
        <v>400</v>
      </c>
      <c r="I306" s="288">
        <f>ROUND(IF($A306="E",H306*(1+Assumptions!F$15),H306*(1+Assumptions!F$14)),-2)</f>
        <v>400</v>
      </c>
      <c r="J306" s="288">
        <f>ROUND(IF($A306="E",I306*(1+Assumptions!G$15),I306*(1+Assumptions!G$14)),-2)</f>
        <v>400</v>
      </c>
      <c r="K306" s="288">
        <f>ROUND(IF($A306="E",J306*(1+Assumptions!H$15),J306*(1+Assumptions!H$14)),-2)</f>
        <v>400</v>
      </c>
      <c r="L306" s="288">
        <f>ROUND(IF($A306="E",K306*(1+Assumptions!I$15),K306*(1+Assumptions!I$14)),-2)</f>
        <v>400</v>
      </c>
      <c r="M306" s="288">
        <f>ROUND(IF($A306="E",L306*(1+Assumptions!J$15),L306*(1+Assumptions!J$14)),-2)</f>
        <v>400</v>
      </c>
      <c r="N306" s="288">
        <f>ROUND(IF($A306="E",M306*(1+Assumptions!K$15),M306*(1+Assumptions!K$14)),-2)</f>
        <v>400</v>
      </c>
    </row>
    <row r="307" spans="2:14" x14ac:dyDescent="0.25">
      <c r="B307" s="16" t="s">
        <v>43</v>
      </c>
      <c r="C307" s="16" t="s">
        <v>572</v>
      </c>
      <c r="D307" s="16" t="s">
        <v>573</v>
      </c>
      <c r="E307" s="288">
        <v>3300</v>
      </c>
      <c r="F307" s="288">
        <f>ROUND(IF($A307="E",E307*(1+Assumptions!C$15),E307*(1+Assumptions!C$14)),-2)</f>
        <v>3300</v>
      </c>
      <c r="G307" s="288">
        <f>ROUND(IF($A307="E",F307*(1+Assumptions!D$15),F307*(1+Assumptions!D$14)),-2)</f>
        <v>3400</v>
      </c>
      <c r="H307" s="288">
        <f>ROUND(IF($A307="E",G307*(1+Assumptions!E$15),G307*(1+Assumptions!E$14)),-2)</f>
        <v>3500</v>
      </c>
      <c r="I307" s="288">
        <f>ROUND(IF($A307="E",H307*(1+Assumptions!F$15),H307*(1+Assumptions!F$14)),-2)</f>
        <v>3600</v>
      </c>
      <c r="J307" s="288">
        <f>ROUND(IF($A307="E",I307*(1+Assumptions!G$15),I307*(1+Assumptions!G$14)),-2)</f>
        <v>3700</v>
      </c>
      <c r="K307" s="288">
        <f>ROUND(IF($A307="E",J307*(1+Assumptions!H$15),J307*(1+Assumptions!H$14)),-2)</f>
        <v>3800</v>
      </c>
      <c r="L307" s="288">
        <f>ROUND(IF($A307="E",K307*(1+Assumptions!I$15),K307*(1+Assumptions!I$14)),-2)</f>
        <v>3900</v>
      </c>
      <c r="M307" s="288">
        <f>ROUND(IF($A307="E",L307*(1+Assumptions!J$15),L307*(1+Assumptions!J$14)),-2)</f>
        <v>4000</v>
      </c>
      <c r="N307" s="288">
        <f>ROUND(IF($A307="E",M307*(1+Assumptions!K$15),M307*(1+Assumptions!K$14)),-2)</f>
        <v>4100</v>
      </c>
    </row>
    <row r="308" spans="2:14" x14ac:dyDescent="0.25">
      <c r="B308" s="16" t="s">
        <v>43</v>
      </c>
      <c r="C308" s="16" t="s">
        <v>574</v>
      </c>
      <c r="D308" s="16" t="s">
        <v>575</v>
      </c>
      <c r="E308" s="288">
        <v>4200</v>
      </c>
      <c r="F308" s="288">
        <f>ROUND(IF($A308="E",E308*(1+Assumptions!C$15),E308*(1+Assumptions!C$14)),-2)</f>
        <v>4300</v>
      </c>
      <c r="G308" s="288">
        <f>ROUND(IF($A308="E",F308*(1+Assumptions!D$15),F308*(1+Assumptions!D$14)),-2)</f>
        <v>4400</v>
      </c>
      <c r="H308" s="288">
        <f>ROUND(IF($A308="E",G308*(1+Assumptions!E$15),G308*(1+Assumptions!E$14)),-2)</f>
        <v>4500</v>
      </c>
      <c r="I308" s="288">
        <f>ROUND(IF($A308="E",H308*(1+Assumptions!F$15),H308*(1+Assumptions!F$14)),-2)</f>
        <v>4600</v>
      </c>
      <c r="J308" s="288">
        <f>ROUND(IF($A308="E",I308*(1+Assumptions!G$15),I308*(1+Assumptions!G$14)),-2)</f>
        <v>4700</v>
      </c>
      <c r="K308" s="288">
        <f>ROUND(IF($A308="E",J308*(1+Assumptions!H$15),J308*(1+Assumptions!H$14)),-2)</f>
        <v>4800</v>
      </c>
      <c r="L308" s="288">
        <f>ROUND(IF($A308="E",K308*(1+Assumptions!I$15),K308*(1+Assumptions!I$14)),-2)</f>
        <v>4900</v>
      </c>
      <c r="M308" s="288">
        <f>ROUND(IF($A308="E",L308*(1+Assumptions!J$15),L308*(1+Assumptions!J$14)),-2)</f>
        <v>5000</v>
      </c>
      <c r="N308" s="288">
        <f>ROUND(IF($A308="E",M308*(1+Assumptions!K$15),M308*(1+Assumptions!K$14)),-2)</f>
        <v>5100</v>
      </c>
    </row>
    <row r="309" spans="2:14" x14ac:dyDescent="0.25">
      <c r="B309" s="16" t="s">
        <v>43</v>
      </c>
      <c r="C309" s="16" t="s">
        <v>576</v>
      </c>
      <c r="D309" s="16" t="s">
        <v>577</v>
      </c>
      <c r="E309" s="288">
        <v>3100</v>
      </c>
      <c r="F309" s="288">
        <f>ROUND(IF($A309="E",E309*(1+Assumptions!C$15),E309*(1+Assumptions!C$14)),-2)</f>
        <v>3100</v>
      </c>
      <c r="G309" s="288">
        <f>ROUND(IF($A309="E",F309*(1+Assumptions!D$15),F309*(1+Assumptions!D$14)),-2)</f>
        <v>3200</v>
      </c>
      <c r="H309" s="288">
        <f>ROUND(IF($A309="E",G309*(1+Assumptions!E$15),G309*(1+Assumptions!E$14)),-2)</f>
        <v>3300</v>
      </c>
      <c r="I309" s="288">
        <f>ROUND(IF($A309="E",H309*(1+Assumptions!F$15),H309*(1+Assumptions!F$14)),-2)</f>
        <v>3400</v>
      </c>
      <c r="J309" s="288">
        <f>ROUND(IF($A309="E",I309*(1+Assumptions!G$15),I309*(1+Assumptions!G$14)),-2)</f>
        <v>3500</v>
      </c>
      <c r="K309" s="288">
        <f>ROUND(IF($A309="E",J309*(1+Assumptions!H$15),J309*(1+Assumptions!H$14)),-2)</f>
        <v>3600</v>
      </c>
      <c r="L309" s="288">
        <f>ROUND(IF($A309="E",K309*(1+Assumptions!I$15),K309*(1+Assumptions!I$14)),-2)</f>
        <v>3700</v>
      </c>
      <c r="M309" s="288">
        <f>ROUND(IF($A309="E",L309*(1+Assumptions!J$15),L309*(1+Assumptions!J$14)),-2)</f>
        <v>3800</v>
      </c>
      <c r="N309" s="288">
        <f>ROUND(IF($A309="E",M309*(1+Assumptions!K$15),M309*(1+Assumptions!K$14)),-2)</f>
        <v>3900</v>
      </c>
    </row>
    <row r="310" spans="2:14" x14ac:dyDescent="0.25">
      <c r="B310" s="16" t="s">
        <v>43</v>
      </c>
      <c r="C310" s="16" t="s">
        <v>578</v>
      </c>
      <c r="D310" s="16" t="s">
        <v>579</v>
      </c>
      <c r="E310" s="288">
        <v>3600</v>
      </c>
      <c r="F310" s="288">
        <f>ROUND(IF($A310="E",E310*(1+Assumptions!C$15),E310*(1+Assumptions!C$14)),-2)</f>
        <v>3700</v>
      </c>
      <c r="G310" s="288">
        <f>ROUND(IF($A310="E",F310*(1+Assumptions!D$15),F310*(1+Assumptions!D$14)),-2)</f>
        <v>3800</v>
      </c>
      <c r="H310" s="288">
        <f>ROUND(IF($A310="E",G310*(1+Assumptions!E$15),G310*(1+Assumptions!E$14)),-2)</f>
        <v>3900</v>
      </c>
      <c r="I310" s="288">
        <f>ROUND(IF($A310="E",H310*(1+Assumptions!F$15),H310*(1+Assumptions!F$14)),-2)</f>
        <v>4000</v>
      </c>
      <c r="J310" s="288">
        <f>ROUND(IF($A310="E",I310*(1+Assumptions!G$15),I310*(1+Assumptions!G$14)),-2)</f>
        <v>4100</v>
      </c>
      <c r="K310" s="288">
        <f>ROUND(IF($A310="E",J310*(1+Assumptions!H$15),J310*(1+Assumptions!H$14)),-2)</f>
        <v>4200</v>
      </c>
      <c r="L310" s="288">
        <f>ROUND(IF($A310="E",K310*(1+Assumptions!I$15),K310*(1+Assumptions!I$14)),-2)</f>
        <v>4300</v>
      </c>
      <c r="M310" s="288">
        <f>ROUND(IF($A310="E",L310*(1+Assumptions!J$15),L310*(1+Assumptions!J$14)),-2)</f>
        <v>4400</v>
      </c>
      <c r="N310" s="288">
        <f>ROUND(IF($A310="E",M310*(1+Assumptions!K$15),M310*(1+Assumptions!K$14)),-2)</f>
        <v>4500</v>
      </c>
    </row>
    <row r="311" spans="2:14" x14ac:dyDescent="0.25">
      <c r="B311" s="16" t="s">
        <v>43</v>
      </c>
      <c r="C311" s="16" t="s">
        <v>580</v>
      </c>
      <c r="D311" s="16" t="s">
        <v>581</v>
      </c>
      <c r="E311" s="288">
        <v>0</v>
      </c>
      <c r="F311" s="288">
        <f>ROUND(IF($A311="E",E311*(1+Assumptions!C$15),E311*(1+Assumptions!C$14)),-2)</f>
        <v>0</v>
      </c>
      <c r="G311" s="288">
        <f>ROUND(IF($A311="E",F311*(1+Assumptions!D$15),F311*(1+Assumptions!D$14)),-2)</f>
        <v>0</v>
      </c>
      <c r="H311" s="288">
        <f>ROUND(IF($A311="E",G311*(1+Assumptions!E$15),G311*(1+Assumptions!E$14)),-2)</f>
        <v>0</v>
      </c>
      <c r="I311" s="288">
        <f>ROUND(IF($A311="E",H311*(1+Assumptions!F$15),H311*(1+Assumptions!F$14)),-2)</f>
        <v>0</v>
      </c>
      <c r="J311" s="288">
        <f>ROUND(IF($A311="E",I311*(1+Assumptions!G$15),I311*(1+Assumptions!G$14)),-2)</f>
        <v>0</v>
      </c>
      <c r="K311" s="288">
        <f>ROUND(IF($A311="E",J311*(1+Assumptions!H$15),J311*(1+Assumptions!H$14)),-2)</f>
        <v>0</v>
      </c>
      <c r="L311" s="288">
        <f>ROUND(IF($A311="E",K311*(1+Assumptions!I$15),K311*(1+Assumptions!I$14)),-2)</f>
        <v>0</v>
      </c>
      <c r="M311" s="288">
        <f>ROUND(IF($A311="E",L311*(1+Assumptions!J$15),L311*(1+Assumptions!J$14)),-2)</f>
        <v>0</v>
      </c>
      <c r="N311" s="288">
        <f>ROUND(IF($A311="E",M311*(1+Assumptions!K$15),M311*(1+Assumptions!K$14)),-2)</f>
        <v>0</v>
      </c>
    </row>
    <row r="312" spans="2:14" x14ac:dyDescent="0.25">
      <c r="B312" s="16" t="s">
        <v>43</v>
      </c>
      <c r="C312" s="16" t="s">
        <v>582</v>
      </c>
      <c r="D312" s="16" t="s">
        <v>583</v>
      </c>
      <c r="E312" s="288">
        <v>0</v>
      </c>
      <c r="F312" s="288">
        <f>ROUND(IF($A312="E",E312*(1+Assumptions!C$15),E312*(1+Assumptions!C$14)),-2)</f>
        <v>0</v>
      </c>
      <c r="G312" s="288">
        <f>ROUND(IF($A312="E",F312*(1+Assumptions!D$15),F312*(1+Assumptions!D$14)),-2)</f>
        <v>0</v>
      </c>
      <c r="H312" s="288">
        <f>ROUND(IF($A312="E",G312*(1+Assumptions!E$15),G312*(1+Assumptions!E$14)),-2)</f>
        <v>0</v>
      </c>
      <c r="I312" s="288">
        <f>ROUND(IF($A312="E",H312*(1+Assumptions!F$15),H312*(1+Assumptions!F$14)),-2)</f>
        <v>0</v>
      </c>
      <c r="J312" s="288">
        <f>ROUND(IF($A312="E",I312*(1+Assumptions!G$15),I312*(1+Assumptions!G$14)),-2)</f>
        <v>0</v>
      </c>
      <c r="K312" s="288">
        <f>ROUND(IF($A312="E",J312*(1+Assumptions!H$15),J312*(1+Assumptions!H$14)),-2)</f>
        <v>0</v>
      </c>
      <c r="L312" s="288">
        <f>ROUND(IF($A312="E",K312*(1+Assumptions!I$15),K312*(1+Assumptions!I$14)),-2)</f>
        <v>0</v>
      </c>
      <c r="M312" s="288">
        <f>ROUND(IF($A312="E",L312*(1+Assumptions!J$15),L312*(1+Assumptions!J$14)),-2)</f>
        <v>0</v>
      </c>
      <c r="N312" s="288">
        <f>ROUND(IF($A312="E",M312*(1+Assumptions!K$15),M312*(1+Assumptions!K$14)),-2)</f>
        <v>0</v>
      </c>
    </row>
    <row r="313" spans="2:14" x14ac:dyDescent="0.25">
      <c r="B313" s="16" t="s">
        <v>43</v>
      </c>
      <c r="C313" s="16" t="s">
        <v>584</v>
      </c>
      <c r="D313" s="16" t="s">
        <v>585</v>
      </c>
      <c r="E313" s="288">
        <v>0</v>
      </c>
      <c r="F313" s="288">
        <f>ROUND(IF($A313="E",E313*(1+Assumptions!C$15),E313*(1+Assumptions!C$14)),-2)</f>
        <v>0</v>
      </c>
      <c r="G313" s="288">
        <f>ROUND(IF($A313="E",F313*(1+Assumptions!D$15),F313*(1+Assumptions!D$14)),-2)</f>
        <v>0</v>
      </c>
      <c r="H313" s="288">
        <f>ROUND(IF($A313="E",G313*(1+Assumptions!E$15),G313*(1+Assumptions!E$14)),-2)</f>
        <v>0</v>
      </c>
      <c r="I313" s="288">
        <f>ROUND(IF($A313="E",H313*(1+Assumptions!F$15),H313*(1+Assumptions!F$14)),-2)</f>
        <v>0</v>
      </c>
      <c r="J313" s="288">
        <f>ROUND(IF($A313="E",I313*(1+Assumptions!G$15),I313*(1+Assumptions!G$14)),-2)</f>
        <v>0</v>
      </c>
      <c r="K313" s="288">
        <f>ROUND(IF($A313="E",J313*(1+Assumptions!H$15),J313*(1+Assumptions!H$14)),-2)</f>
        <v>0</v>
      </c>
      <c r="L313" s="288">
        <f>ROUND(IF($A313="E",K313*(1+Assumptions!I$15),K313*(1+Assumptions!I$14)),-2)</f>
        <v>0</v>
      </c>
      <c r="M313" s="288">
        <f>ROUND(IF($A313="E",L313*(1+Assumptions!J$15),L313*(1+Assumptions!J$14)),-2)</f>
        <v>0</v>
      </c>
      <c r="N313" s="288">
        <f>ROUND(IF($A313="E",M313*(1+Assumptions!K$15),M313*(1+Assumptions!K$14)),-2)</f>
        <v>0</v>
      </c>
    </row>
    <row r="314" spans="2:14" x14ac:dyDescent="0.25">
      <c r="B314" s="16" t="s">
        <v>43</v>
      </c>
      <c r="C314" s="16" t="s">
        <v>586</v>
      </c>
      <c r="D314" s="16" t="s">
        <v>587</v>
      </c>
      <c r="E314" s="288">
        <v>0</v>
      </c>
      <c r="F314" s="288">
        <f>ROUND(IF($A314="E",E314*(1+Assumptions!C$15),E314*(1+Assumptions!C$14)),-2)</f>
        <v>0</v>
      </c>
      <c r="G314" s="288">
        <f>ROUND(IF($A314="E",F314*(1+Assumptions!D$15),F314*(1+Assumptions!D$14)),-2)</f>
        <v>0</v>
      </c>
      <c r="H314" s="288">
        <f>ROUND(IF($A314="E",G314*(1+Assumptions!E$15),G314*(1+Assumptions!E$14)),-2)</f>
        <v>0</v>
      </c>
      <c r="I314" s="288">
        <f>ROUND(IF($A314="E",H314*(1+Assumptions!F$15),H314*(1+Assumptions!F$14)),-2)</f>
        <v>0</v>
      </c>
      <c r="J314" s="288">
        <f>ROUND(IF($A314="E",I314*(1+Assumptions!G$15),I314*(1+Assumptions!G$14)),-2)</f>
        <v>0</v>
      </c>
      <c r="K314" s="288">
        <f>ROUND(IF($A314="E",J314*(1+Assumptions!H$15),J314*(1+Assumptions!H$14)),-2)</f>
        <v>0</v>
      </c>
      <c r="L314" s="288">
        <f>ROUND(IF($A314="E",K314*(1+Assumptions!I$15),K314*(1+Assumptions!I$14)),-2)</f>
        <v>0</v>
      </c>
      <c r="M314" s="288">
        <f>ROUND(IF($A314="E",L314*(1+Assumptions!J$15),L314*(1+Assumptions!J$14)),-2)</f>
        <v>0</v>
      </c>
      <c r="N314" s="288">
        <f>ROUND(IF($A314="E",M314*(1+Assumptions!K$15),M314*(1+Assumptions!K$14)),-2)</f>
        <v>0</v>
      </c>
    </row>
    <row r="315" spans="2:14" x14ac:dyDescent="0.25">
      <c r="B315" s="16" t="s">
        <v>43</v>
      </c>
      <c r="C315" s="16" t="s">
        <v>588</v>
      </c>
      <c r="D315" s="16" t="s">
        <v>589</v>
      </c>
      <c r="E315" s="288">
        <v>30000</v>
      </c>
      <c r="F315" s="288">
        <v>0</v>
      </c>
      <c r="G315" s="288">
        <f>ROUND(IF($A315="E",F315*(1+Assumptions!D$15),F315*(1+Assumptions!D$14)),-2)</f>
        <v>0</v>
      </c>
      <c r="H315" s="288">
        <f>ROUND(IF($A315="E",G315*(1+Assumptions!E$15),G315*(1+Assumptions!E$14)),-2)</f>
        <v>0</v>
      </c>
      <c r="I315" s="288">
        <f>ROUND(IF($A315="E",H315*(1+Assumptions!F$15),H315*(1+Assumptions!F$14)),-2)</f>
        <v>0</v>
      </c>
      <c r="J315" s="288">
        <f>ROUND(IF($A315="E",I315*(1+Assumptions!G$15),I315*(1+Assumptions!G$14)),-2)</f>
        <v>0</v>
      </c>
      <c r="K315" s="288">
        <f>ROUND(IF($A315="E",J315*(1+Assumptions!H$15),J315*(1+Assumptions!H$14)),-2)</f>
        <v>0</v>
      </c>
      <c r="L315" s="288">
        <f>ROUND(IF($A315="E",K315*(1+Assumptions!I$15),K315*(1+Assumptions!I$14)),-2)</f>
        <v>0</v>
      </c>
      <c r="M315" s="288">
        <f>ROUND(IF($A315="E",L315*(1+Assumptions!J$15),L315*(1+Assumptions!J$14)),-2)</f>
        <v>0</v>
      </c>
      <c r="N315" s="288">
        <f>ROUND(IF($A315="E",M315*(1+Assumptions!K$15),M315*(1+Assumptions!K$14)),-2)</f>
        <v>0</v>
      </c>
    </row>
    <row r="316" spans="2:14" x14ac:dyDescent="0.25">
      <c r="B316" s="16" t="s">
        <v>43</v>
      </c>
      <c r="C316" s="16" t="s">
        <v>590</v>
      </c>
      <c r="D316" s="16" t="s">
        <v>591</v>
      </c>
      <c r="E316" s="288">
        <v>5000</v>
      </c>
      <c r="F316" s="288">
        <f>ROUND(IF($A316="E",E316*(1+Assumptions!C$15),E316*(1+Assumptions!C$14)),-2)</f>
        <v>5100</v>
      </c>
      <c r="G316" s="288">
        <f>ROUND(IF($A316="E",F316*(1+Assumptions!D$15),F316*(1+Assumptions!D$14)),-2)</f>
        <v>5200</v>
      </c>
      <c r="H316" s="288">
        <f>ROUND(IF($A316="E",G316*(1+Assumptions!E$15),G316*(1+Assumptions!E$14)),-2)</f>
        <v>5300</v>
      </c>
      <c r="I316" s="288">
        <f>ROUND(IF($A316="E",H316*(1+Assumptions!F$15),H316*(1+Assumptions!F$14)),-2)</f>
        <v>5400</v>
      </c>
      <c r="J316" s="288">
        <f>ROUND(IF($A316="E",I316*(1+Assumptions!G$15),I316*(1+Assumptions!G$14)),-2)</f>
        <v>5500</v>
      </c>
      <c r="K316" s="288">
        <f>ROUND(IF($A316="E",J316*(1+Assumptions!H$15),J316*(1+Assumptions!H$14)),-2)</f>
        <v>5600</v>
      </c>
      <c r="L316" s="288">
        <f>ROUND(IF($A316="E",K316*(1+Assumptions!I$15),K316*(1+Assumptions!I$14)),-2)</f>
        <v>5700</v>
      </c>
      <c r="M316" s="288">
        <f>ROUND(IF($A316="E",L316*(1+Assumptions!J$15),L316*(1+Assumptions!J$14)),-2)</f>
        <v>5800</v>
      </c>
      <c r="N316" s="288">
        <f>ROUND(IF($A316="E",M316*(1+Assumptions!K$15),M316*(1+Assumptions!K$14)),-2)</f>
        <v>5900</v>
      </c>
    </row>
    <row r="317" spans="2:14" x14ac:dyDescent="0.25">
      <c r="B317" s="16" t="s">
        <v>43</v>
      </c>
      <c r="C317" s="16" t="s">
        <v>592</v>
      </c>
      <c r="D317" s="16" t="s">
        <v>97</v>
      </c>
      <c r="E317" s="288">
        <v>18000</v>
      </c>
      <c r="F317" s="288">
        <f>ROUND(IF($A317="E",E317*(1+Assumptions!C$15),E317*(1+Assumptions!C$14)),-2)</f>
        <v>18300</v>
      </c>
      <c r="G317" s="288">
        <f>ROUND(IF($A317="E",F317*(1+Assumptions!D$15),F317*(1+Assumptions!D$14)),-2)</f>
        <v>18700</v>
      </c>
      <c r="H317" s="288">
        <f>ROUND(IF($A317="E",G317*(1+Assumptions!E$15),G317*(1+Assumptions!E$14)),-2)</f>
        <v>19100</v>
      </c>
      <c r="I317" s="288">
        <f>ROUND(IF($A317="E",H317*(1+Assumptions!F$15),H317*(1+Assumptions!F$14)),-2)</f>
        <v>19500</v>
      </c>
      <c r="J317" s="288">
        <f>ROUND(IF($A317="E",I317*(1+Assumptions!G$15),I317*(1+Assumptions!G$14)),-2)</f>
        <v>19900</v>
      </c>
      <c r="K317" s="288">
        <f>ROUND(IF($A317="E",J317*(1+Assumptions!H$15),J317*(1+Assumptions!H$14)),-2)</f>
        <v>20300</v>
      </c>
      <c r="L317" s="288">
        <f>ROUND(IF($A317="E",K317*(1+Assumptions!I$15),K317*(1+Assumptions!I$14)),-2)</f>
        <v>20800</v>
      </c>
      <c r="M317" s="288">
        <f>ROUND(IF($A317="E",L317*(1+Assumptions!J$15),L317*(1+Assumptions!J$14)),-2)</f>
        <v>21300</v>
      </c>
      <c r="N317" s="288">
        <f>ROUND(IF($A317="E",M317*(1+Assumptions!K$15),M317*(1+Assumptions!K$14)),-2)</f>
        <v>21800</v>
      </c>
    </row>
    <row r="318" spans="2:14" x14ac:dyDescent="0.25">
      <c r="B318" s="16" t="s">
        <v>43</v>
      </c>
      <c r="C318" s="16" t="s">
        <v>593</v>
      </c>
      <c r="D318" s="16" t="s">
        <v>594</v>
      </c>
      <c r="E318" s="289"/>
      <c r="F318" s="289"/>
      <c r="G318" s="289"/>
      <c r="H318" s="289"/>
      <c r="I318" s="289"/>
      <c r="J318" s="289"/>
      <c r="K318" s="289"/>
      <c r="L318" s="289"/>
      <c r="M318" s="289"/>
      <c r="N318" s="289"/>
    </row>
    <row r="319" spans="2:14" x14ac:dyDescent="0.25">
      <c r="B319" s="16" t="s">
        <v>43</v>
      </c>
      <c r="C319" s="16" t="s">
        <v>595</v>
      </c>
      <c r="D319" s="16" t="s">
        <v>596</v>
      </c>
      <c r="E319" s="288">
        <v>3200</v>
      </c>
      <c r="F319" s="288">
        <f>ROUND(IF($A319="E",E319*(1+Assumptions!C$15),E319*(1+Assumptions!C$14)),-2)</f>
        <v>3200</v>
      </c>
      <c r="G319" s="288">
        <f>ROUND(IF($A319="E",F319*(1+Assumptions!D$15),F319*(1+Assumptions!D$14)),-2)</f>
        <v>3300</v>
      </c>
      <c r="H319" s="288">
        <f>ROUND(IF($A319="E",G319*(1+Assumptions!E$15),G319*(1+Assumptions!E$14)),-2)</f>
        <v>3400</v>
      </c>
      <c r="I319" s="288">
        <f>ROUND(IF($A319="E",H319*(1+Assumptions!F$15),H319*(1+Assumptions!F$14)),-2)</f>
        <v>3500</v>
      </c>
      <c r="J319" s="288">
        <f>ROUND(IF($A319="E",I319*(1+Assumptions!G$15),I319*(1+Assumptions!G$14)),-2)</f>
        <v>3600</v>
      </c>
      <c r="K319" s="288">
        <f>ROUND(IF($A319="E",J319*(1+Assumptions!H$15),J319*(1+Assumptions!H$14)),-2)</f>
        <v>3700</v>
      </c>
      <c r="L319" s="288">
        <f>ROUND(IF($A319="E",K319*(1+Assumptions!I$15),K319*(1+Assumptions!I$14)),-2)</f>
        <v>3800</v>
      </c>
      <c r="M319" s="288">
        <f>ROUND(IF($A319="E",L319*(1+Assumptions!J$15),L319*(1+Assumptions!J$14)),-2)</f>
        <v>3900</v>
      </c>
      <c r="N319" s="288">
        <f>ROUND(IF($A319="E",M319*(1+Assumptions!K$15),M319*(1+Assumptions!K$14)),-2)</f>
        <v>4000</v>
      </c>
    </row>
    <row r="320" spans="2:14" x14ac:dyDescent="0.25">
      <c r="B320" s="16" t="s">
        <v>43</v>
      </c>
      <c r="C320" s="16" t="s">
        <v>597</v>
      </c>
      <c r="D320" s="16" t="s">
        <v>598</v>
      </c>
      <c r="E320" s="289"/>
      <c r="F320" s="289"/>
      <c r="G320" s="289"/>
      <c r="H320" s="289"/>
      <c r="I320" s="289"/>
      <c r="J320" s="289"/>
      <c r="K320" s="289"/>
      <c r="L320" s="289"/>
      <c r="M320" s="289"/>
      <c r="N320" s="289"/>
    </row>
    <row r="321" spans="2:14" x14ac:dyDescent="0.25">
      <c r="B321" s="16" t="s">
        <v>43</v>
      </c>
      <c r="C321" s="16" t="s">
        <v>599</v>
      </c>
      <c r="D321" s="16" t="s">
        <v>600</v>
      </c>
      <c r="E321" s="288">
        <v>65000</v>
      </c>
      <c r="F321" s="288">
        <f>ROUND(IF($A321="E",E321*(1+Assumptions!C$15),E321*(1+Assumptions!C$14)),-2)</f>
        <v>66000</v>
      </c>
      <c r="G321" s="288">
        <f>ROUND(IF($A321="E",F321*(1+Assumptions!D$15),F321*(1+Assumptions!D$14)),-2)</f>
        <v>67300</v>
      </c>
      <c r="H321" s="288">
        <f>ROUND(IF($A321="E",G321*(1+Assumptions!E$15),G321*(1+Assumptions!E$14)),-2)</f>
        <v>68600</v>
      </c>
      <c r="I321" s="288">
        <f>ROUND(IF($A321="E",H321*(1+Assumptions!F$15),H321*(1+Assumptions!F$14)),-2)</f>
        <v>70000</v>
      </c>
      <c r="J321" s="288">
        <f>ROUND(IF($A321="E",I321*(1+Assumptions!G$15),I321*(1+Assumptions!G$14)),-2)</f>
        <v>71400</v>
      </c>
      <c r="K321" s="288">
        <f>ROUND(IF($A321="E",J321*(1+Assumptions!H$15),J321*(1+Assumptions!H$14)),-2)</f>
        <v>72800</v>
      </c>
      <c r="L321" s="288">
        <f>ROUND(IF($A321="E",K321*(1+Assumptions!I$15),K321*(1+Assumptions!I$14)),-2)</f>
        <v>74600</v>
      </c>
      <c r="M321" s="288">
        <f>ROUND(IF($A321="E",L321*(1+Assumptions!J$15),L321*(1+Assumptions!J$14)),-2)</f>
        <v>76500</v>
      </c>
      <c r="N321" s="288">
        <f>ROUND(IF($A321="E",M321*(1+Assumptions!K$15),M321*(1+Assumptions!K$14)),-2)</f>
        <v>78400</v>
      </c>
    </row>
    <row r="322" spans="2:14" x14ac:dyDescent="0.25">
      <c r="B322" s="16" t="s">
        <v>43</v>
      </c>
      <c r="C322" s="16" t="s">
        <v>601</v>
      </c>
      <c r="D322" s="16" t="s">
        <v>602</v>
      </c>
      <c r="E322" s="288">
        <v>0</v>
      </c>
      <c r="F322" s="288">
        <f>ROUND(IF($A322="E",E322*(1+Assumptions!C$15),E322*(1+Assumptions!C$14)),-2)</f>
        <v>0</v>
      </c>
      <c r="G322" s="288">
        <f>ROUND(IF($A322="E",F322*(1+Assumptions!D$15),F322*(1+Assumptions!D$14)),-2)</f>
        <v>0</v>
      </c>
      <c r="H322" s="288">
        <f>ROUND(IF($A322="E",G322*(1+Assumptions!E$15),G322*(1+Assumptions!E$14)),-2)</f>
        <v>0</v>
      </c>
      <c r="I322" s="288">
        <f>ROUND(IF($A322="E",H322*(1+Assumptions!F$15),H322*(1+Assumptions!F$14)),-2)</f>
        <v>0</v>
      </c>
      <c r="J322" s="288">
        <f>ROUND(IF($A322="E",I322*(1+Assumptions!G$15),I322*(1+Assumptions!G$14)),-2)</f>
        <v>0</v>
      </c>
      <c r="K322" s="288">
        <f>ROUND(IF($A322="E",J322*(1+Assumptions!H$15),J322*(1+Assumptions!H$14)),-2)</f>
        <v>0</v>
      </c>
      <c r="L322" s="288">
        <f>ROUND(IF($A322="E",K322*(1+Assumptions!I$15),K322*(1+Assumptions!I$14)),-2)</f>
        <v>0</v>
      </c>
      <c r="M322" s="288">
        <f>ROUND(IF($A322="E",L322*(1+Assumptions!J$15),L322*(1+Assumptions!J$14)),-2)</f>
        <v>0</v>
      </c>
      <c r="N322" s="288">
        <f>ROUND(IF($A322="E",M322*(1+Assumptions!K$15),M322*(1+Assumptions!K$14)),-2)</f>
        <v>0</v>
      </c>
    </row>
    <row r="323" spans="2:14" x14ac:dyDescent="0.25">
      <c r="B323" s="16" t="s">
        <v>43</v>
      </c>
      <c r="C323" s="16" t="s">
        <v>603</v>
      </c>
      <c r="D323" s="16" t="s">
        <v>604</v>
      </c>
      <c r="E323" s="288">
        <v>0</v>
      </c>
      <c r="F323" s="288">
        <f>ROUND(IF($A323="E",E323*(1+Assumptions!C$15),E323*(1+Assumptions!C$14)),-2)</f>
        <v>0</v>
      </c>
      <c r="G323" s="288">
        <f>ROUND(IF($A323="E",F323*(1+Assumptions!D$15),F323*(1+Assumptions!D$14)),-2)</f>
        <v>0</v>
      </c>
      <c r="H323" s="288">
        <f>ROUND(IF($A323="E",G323*(1+Assumptions!E$15),G323*(1+Assumptions!E$14)),-2)</f>
        <v>0</v>
      </c>
      <c r="I323" s="288">
        <f>ROUND(IF($A323="E",H323*(1+Assumptions!F$15),H323*(1+Assumptions!F$14)),-2)</f>
        <v>0</v>
      </c>
      <c r="J323" s="288">
        <f>ROUND(IF($A323="E",I323*(1+Assumptions!G$15),I323*(1+Assumptions!G$14)),-2)</f>
        <v>0</v>
      </c>
      <c r="K323" s="288">
        <f>ROUND(IF($A323="E",J323*(1+Assumptions!H$15),J323*(1+Assumptions!H$14)),-2)</f>
        <v>0</v>
      </c>
      <c r="L323" s="288">
        <f>ROUND(IF($A323="E",K323*(1+Assumptions!I$15),K323*(1+Assumptions!I$14)),-2)</f>
        <v>0</v>
      </c>
      <c r="M323" s="288">
        <f>ROUND(IF($A323="E",L323*(1+Assumptions!J$15),L323*(1+Assumptions!J$14)),-2)</f>
        <v>0</v>
      </c>
      <c r="N323" s="288">
        <f>ROUND(IF($A323="E",M323*(1+Assumptions!K$15),M323*(1+Assumptions!K$14)),-2)</f>
        <v>0</v>
      </c>
    </row>
    <row r="324" spans="2:14" x14ac:dyDescent="0.25">
      <c r="B324" s="16" t="s">
        <v>43</v>
      </c>
      <c r="C324" s="16" t="s">
        <v>605</v>
      </c>
      <c r="D324" s="16" t="s">
        <v>606</v>
      </c>
      <c r="E324" s="288">
        <v>0</v>
      </c>
      <c r="F324" s="288">
        <f>ROUND(IF($A324="E",E324*(1+Assumptions!C$15),E324*(1+Assumptions!C$14)),-2)</f>
        <v>0</v>
      </c>
      <c r="G324" s="288">
        <f>ROUND(IF($A324="E",F324*(1+Assumptions!D$15),F324*(1+Assumptions!D$14)),-2)</f>
        <v>0</v>
      </c>
      <c r="H324" s="288">
        <f>ROUND(IF($A324="E",G324*(1+Assumptions!E$15),G324*(1+Assumptions!E$14)),-2)</f>
        <v>0</v>
      </c>
      <c r="I324" s="288">
        <f>ROUND(IF($A324="E",H324*(1+Assumptions!F$15),H324*(1+Assumptions!F$14)),-2)</f>
        <v>0</v>
      </c>
      <c r="J324" s="288">
        <f>ROUND(IF($A324="E",I324*(1+Assumptions!G$15),I324*(1+Assumptions!G$14)),-2)</f>
        <v>0</v>
      </c>
      <c r="K324" s="288">
        <f>ROUND(IF($A324="E",J324*(1+Assumptions!H$15),J324*(1+Assumptions!H$14)),-2)</f>
        <v>0</v>
      </c>
      <c r="L324" s="288">
        <f>ROUND(IF($A324="E",K324*(1+Assumptions!I$15),K324*(1+Assumptions!I$14)),-2)</f>
        <v>0</v>
      </c>
      <c r="M324" s="288">
        <f>ROUND(IF($A324="E",L324*(1+Assumptions!J$15),L324*(1+Assumptions!J$14)),-2)</f>
        <v>0</v>
      </c>
      <c r="N324" s="288">
        <f>ROUND(IF($A324="E",M324*(1+Assumptions!K$15),M324*(1+Assumptions!K$14)),-2)</f>
        <v>0</v>
      </c>
    </row>
    <row r="325" spans="2:14" x14ac:dyDescent="0.25">
      <c r="B325" s="16" t="s">
        <v>43</v>
      </c>
      <c r="C325" s="16" t="s">
        <v>607</v>
      </c>
      <c r="D325" s="16" t="s">
        <v>608</v>
      </c>
      <c r="E325" s="289"/>
      <c r="F325" s="289"/>
      <c r="G325" s="289"/>
      <c r="H325" s="289"/>
      <c r="I325" s="289"/>
      <c r="J325" s="289"/>
      <c r="K325" s="289"/>
      <c r="L325" s="289"/>
      <c r="M325" s="289"/>
      <c r="N325" s="289"/>
    </row>
    <row r="326" spans="2:14" x14ac:dyDescent="0.25">
      <c r="B326" s="16" t="s">
        <v>43</v>
      </c>
      <c r="C326" s="16" t="s">
        <v>609</v>
      </c>
      <c r="D326" s="16" t="s">
        <v>604</v>
      </c>
      <c r="E326" s="288">
        <v>37200</v>
      </c>
      <c r="F326" s="288">
        <f>ROUND(IF($A326="E",E326*(1+Assumptions!C$15),E326*(1+Assumptions!C$14)),-2)</f>
        <v>37800</v>
      </c>
      <c r="G326" s="288">
        <f>ROUND(IF($A326="E",F326*(1+Assumptions!D$15),F326*(1+Assumptions!D$14)),-2)</f>
        <v>38600</v>
      </c>
      <c r="H326" s="288">
        <f>ROUND(IF($A326="E",G326*(1+Assumptions!E$15),G326*(1+Assumptions!E$14)),-2)</f>
        <v>39400</v>
      </c>
      <c r="I326" s="288">
        <f>ROUND(IF($A326="E",H326*(1+Assumptions!F$15),H326*(1+Assumptions!F$14)),-2)</f>
        <v>40200</v>
      </c>
      <c r="J326" s="288">
        <f>ROUND(IF($A326="E",I326*(1+Assumptions!G$15),I326*(1+Assumptions!G$14)),-2)</f>
        <v>41000</v>
      </c>
      <c r="K326" s="288">
        <f>ROUND(IF($A326="E",J326*(1+Assumptions!H$15),J326*(1+Assumptions!H$14)),-2)</f>
        <v>41800</v>
      </c>
      <c r="L326" s="288">
        <f>ROUND(IF($A326="E",K326*(1+Assumptions!I$15),K326*(1+Assumptions!I$14)),-2)</f>
        <v>42800</v>
      </c>
      <c r="M326" s="288">
        <f>ROUND(IF($A326="E",L326*(1+Assumptions!J$15),L326*(1+Assumptions!J$14)),-2)</f>
        <v>43900</v>
      </c>
      <c r="N326" s="288">
        <f>ROUND(IF($A326="E",M326*(1+Assumptions!K$15),M326*(1+Assumptions!K$14)),-2)</f>
        <v>45000</v>
      </c>
    </row>
    <row r="327" spans="2:14" x14ac:dyDescent="0.25">
      <c r="B327" s="16" t="s">
        <v>43</v>
      </c>
      <c r="C327" s="16" t="s">
        <v>610</v>
      </c>
      <c r="D327" s="16" t="s">
        <v>492</v>
      </c>
      <c r="E327" s="288">
        <v>0</v>
      </c>
      <c r="F327" s="288">
        <f>ROUND(IF($A327="E",E327*(1+Assumptions!C$15),E327*(1+Assumptions!C$14)),-2)</f>
        <v>0</v>
      </c>
      <c r="G327" s="288">
        <f>ROUND(IF($A327="E",F327*(1+Assumptions!D$15),F327*(1+Assumptions!D$14)),-2)</f>
        <v>0</v>
      </c>
      <c r="H327" s="288">
        <f>ROUND(IF($A327="E",G327*(1+Assumptions!E$15),G327*(1+Assumptions!E$14)),-2)</f>
        <v>0</v>
      </c>
      <c r="I327" s="288">
        <f>ROUND(IF($A327="E",H327*(1+Assumptions!F$15),H327*(1+Assumptions!F$14)),-2)</f>
        <v>0</v>
      </c>
      <c r="J327" s="288">
        <f>ROUND(IF($A327="E",I327*(1+Assumptions!G$15),I327*(1+Assumptions!G$14)),-2)</f>
        <v>0</v>
      </c>
      <c r="K327" s="288">
        <f>ROUND(IF($A327="E",J327*(1+Assumptions!H$15),J327*(1+Assumptions!H$14)),-2)</f>
        <v>0</v>
      </c>
      <c r="L327" s="288">
        <f>ROUND(IF($A327="E",K327*(1+Assumptions!I$15),K327*(1+Assumptions!I$14)),-2)</f>
        <v>0</v>
      </c>
      <c r="M327" s="288">
        <f>ROUND(IF($A327="E",L327*(1+Assumptions!J$15),L327*(1+Assumptions!J$14)),-2)</f>
        <v>0</v>
      </c>
      <c r="N327" s="288">
        <f>ROUND(IF($A327="E",M327*(1+Assumptions!K$15),M327*(1+Assumptions!K$14)),-2)</f>
        <v>0</v>
      </c>
    </row>
    <row r="328" spans="2:14" x14ac:dyDescent="0.25">
      <c r="B328" s="16" t="s">
        <v>43</v>
      </c>
      <c r="C328" s="16" t="s">
        <v>611</v>
      </c>
      <c r="D328" s="16" t="s">
        <v>612</v>
      </c>
      <c r="E328" s="288">
        <v>0</v>
      </c>
      <c r="F328" s="288">
        <f>ROUND(IF($A328="E",E328*(1+Assumptions!C$15),E328*(1+Assumptions!C$14)),-2)</f>
        <v>0</v>
      </c>
      <c r="G328" s="288">
        <f>ROUND(IF($A328="E",F328*(1+Assumptions!D$15),F328*(1+Assumptions!D$14)),-2)</f>
        <v>0</v>
      </c>
      <c r="H328" s="288">
        <f>ROUND(IF($A328="E",G328*(1+Assumptions!E$15),G328*(1+Assumptions!E$14)),-2)</f>
        <v>0</v>
      </c>
      <c r="I328" s="288">
        <f>ROUND(IF($A328="E",H328*(1+Assumptions!F$15),H328*(1+Assumptions!F$14)),-2)</f>
        <v>0</v>
      </c>
      <c r="J328" s="288">
        <f>ROUND(IF($A328="E",I328*(1+Assumptions!G$15),I328*(1+Assumptions!G$14)),-2)</f>
        <v>0</v>
      </c>
      <c r="K328" s="288">
        <f>ROUND(IF($A328="E",J328*(1+Assumptions!H$15),J328*(1+Assumptions!H$14)),-2)</f>
        <v>0</v>
      </c>
      <c r="L328" s="288">
        <f>ROUND(IF($A328="E",K328*(1+Assumptions!I$15),K328*(1+Assumptions!I$14)),-2)</f>
        <v>0</v>
      </c>
      <c r="M328" s="288">
        <f>ROUND(IF($A328="E",L328*(1+Assumptions!J$15),L328*(1+Assumptions!J$14)),-2)</f>
        <v>0</v>
      </c>
      <c r="N328" s="288">
        <f>ROUND(IF($A328="E",M328*(1+Assumptions!K$15),M328*(1+Assumptions!K$14)),-2)</f>
        <v>0</v>
      </c>
    </row>
    <row r="329" spans="2:14" x14ac:dyDescent="0.25">
      <c r="B329" s="16" t="s">
        <v>43</v>
      </c>
      <c r="C329" s="16" t="s">
        <v>613</v>
      </c>
      <c r="D329" s="16" t="s">
        <v>614</v>
      </c>
      <c r="E329" s="288">
        <v>0</v>
      </c>
      <c r="F329" s="288">
        <f>ROUND(IF($A329="E",E329*(1+Assumptions!C$15),E329*(1+Assumptions!C$14)),-2)</f>
        <v>0</v>
      </c>
      <c r="G329" s="288">
        <f>ROUND(IF($A329="E",F329*(1+Assumptions!D$15),F329*(1+Assumptions!D$14)),-2)</f>
        <v>0</v>
      </c>
      <c r="H329" s="288">
        <f>ROUND(IF($A329="E",G329*(1+Assumptions!E$15),G329*(1+Assumptions!E$14)),-2)</f>
        <v>0</v>
      </c>
      <c r="I329" s="288">
        <f>ROUND(IF($A329="E",H329*(1+Assumptions!F$15),H329*(1+Assumptions!F$14)),-2)</f>
        <v>0</v>
      </c>
      <c r="J329" s="288">
        <f>ROUND(IF($A329="E",I329*(1+Assumptions!G$15),I329*(1+Assumptions!G$14)),-2)</f>
        <v>0</v>
      </c>
      <c r="K329" s="288">
        <f>ROUND(IF($A329="E",J329*(1+Assumptions!H$15),J329*(1+Assumptions!H$14)),-2)</f>
        <v>0</v>
      </c>
      <c r="L329" s="288">
        <f>ROUND(IF($A329="E",K329*(1+Assumptions!I$15),K329*(1+Assumptions!I$14)),-2)</f>
        <v>0</v>
      </c>
      <c r="M329" s="288">
        <f>ROUND(IF($A329="E",L329*(1+Assumptions!J$15),L329*(1+Assumptions!J$14)),-2)</f>
        <v>0</v>
      </c>
      <c r="N329" s="288">
        <f>ROUND(IF($A329="E",M329*(1+Assumptions!K$15),M329*(1+Assumptions!K$14)),-2)</f>
        <v>0</v>
      </c>
    </row>
    <row r="330" spans="2:14" x14ac:dyDescent="0.25">
      <c r="B330" s="16" t="s">
        <v>43</v>
      </c>
      <c r="C330" s="16" t="s">
        <v>615</v>
      </c>
      <c r="D330" s="16" t="s">
        <v>616</v>
      </c>
      <c r="E330" s="289"/>
      <c r="F330" s="289"/>
      <c r="G330" s="289"/>
      <c r="H330" s="289"/>
      <c r="I330" s="289"/>
      <c r="J330" s="289"/>
      <c r="K330" s="289"/>
      <c r="L330" s="289"/>
      <c r="M330" s="289"/>
      <c r="N330" s="289"/>
    </row>
    <row r="331" spans="2:14" x14ac:dyDescent="0.25">
      <c r="B331" s="16" t="s">
        <v>43</v>
      </c>
      <c r="C331" s="16" t="s">
        <v>617</v>
      </c>
      <c r="D331" s="16" t="s">
        <v>618</v>
      </c>
      <c r="E331" s="288">
        <v>12800</v>
      </c>
      <c r="F331" s="288">
        <f>ROUND(IF($A331="E",E331*(1+Assumptions!C$15),E331*(1+Assumptions!C$14)),-2)</f>
        <v>13000</v>
      </c>
      <c r="G331" s="288">
        <f>ROUND(IF($A331="E",F331*(1+Assumptions!D$15),F331*(1+Assumptions!D$14)),-2)</f>
        <v>13300</v>
      </c>
      <c r="H331" s="288">
        <f>ROUND(IF($A331="E",G331*(1+Assumptions!E$15),G331*(1+Assumptions!E$14)),-2)</f>
        <v>13600</v>
      </c>
      <c r="I331" s="288">
        <f>ROUND(IF($A331="E",H331*(1+Assumptions!F$15),H331*(1+Assumptions!F$14)),-2)</f>
        <v>13900</v>
      </c>
      <c r="J331" s="288">
        <f>ROUND(IF($A331="E",I331*(1+Assumptions!G$15),I331*(1+Assumptions!G$14)),-2)</f>
        <v>14200</v>
      </c>
      <c r="K331" s="288">
        <f>ROUND(IF($A331="E",J331*(1+Assumptions!H$15),J331*(1+Assumptions!H$14)),-2)</f>
        <v>14500</v>
      </c>
      <c r="L331" s="288">
        <f>ROUND(IF($A331="E",K331*(1+Assumptions!I$15),K331*(1+Assumptions!I$14)),-2)</f>
        <v>14900</v>
      </c>
      <c r="M331" s="288">
        <f>ROUND(IF($A331="E",L331*(1+Assumptions!J$15),L331*(1+Assumptions!J$14)),-2)</f>
        <v>15300</v>
      </c>
      <c r="N331" s="288">
        <f>ROUND(IF($A331="E",M331*(1+Assumptions!K$15),M331*(1+Assumptions!K$14)),-2)</f>
        <v>15700</v>
      </c>
    </row>
    <row r="332" spans="2:14" x14ac:dyDescent="0.25">
      <c r="B332" s="16" t="s">
        <v>43</v>
      </c>
      <c r="C332" s="16" t="s">
        <v>619</v>
      </c>
      <c r="D332" s="16" t="s">
        <v>492</v>
      </c>
      <c r="E332" s="288">
        <v>0</v>
      </c>
      <c r="F332" s="288">
        <f>ROUND(IF($A332="E",E332*(1+Assumptions!C$15),E332*(1+Assumptions!C$14)),-2)</f>
        <v>0</v>
      </c>
      <c r="G332" s="288">
        <f>ROUND(IF($A332="E",F332*(1+Assumptions!D$15),F332*(1+Assumptions!D$14)),-2)</f>
        <v>0</v>
      </c>
      <c r="H332" s="288">
        <f>ROUND(IF($A332="E",G332*(1+Assumptions!E$15),G332*(1+Assumptions!E$14)),-2)</f>
        <v>0</v>
      </c>
      <c r="I332" s="288">
        <f>ROUND(IF($A332="E",H332*(1+Assumptions!F$15),H332*(1+Assumptions!F$14)),-2)</f>
        <v>0</v>
      </c>
      <c r="J332" s="288">
        <f>ROUND(IF($A332="E",I332*(1+Assumptions!G$15),I332*(1+Assumptions!G$14)),-2)</f>
        <v>0</v>
      </c>
      <c r="K332" s="288">
        <f>ROUND(IF($A332="E",J332*(1+Assumptions!H$15),J332*(1+Assumptions!H$14)),-2)</f>
        <v>0</v>
      </c>
      <c r="L332" s="288">
        <f>ROUND(IF($A332="E",K332*(1+Assumptions!I$15),K332*(1+Assumptions!I$14)),-2)</f>
        <v>0</v>
      </c>
      <c r="M332" s="288">
        <f>ROUND(IF($A332="E",L332*(1+Assumptions!J$15),L332*(1+Assumptions!J$14)),-2)</f>
        <v>0</v>
      </c>
      <c r="N332" s="288">
        <f>ROUND(IF($A332="E",M332*(1+Assumptions!K$15),M332*(1+Assumptions!K$14)),-2)</f>
        <v>0</v>
      </c>
    </row>
    <row r="333" spans="2:14" x14ac:dyDescent="0.25">
      <c r="B333" s="16" t="s">
        <v>43</v>
      </c>
      <c r="C333" s="16" t="s">
        <v>620</v>
      </c>
      <c r="D333" s="16" t="s">
        <v>621</v>
      </c>
      <c r="E333" s="289"/>
      <c r="F333" s="289"/>
      <c r="G333" s="289"/>
      <c r="H333" s="289"/>
      <c r="I333" s="289"/>
      <c r="J333" s="289"/>
      <c r="K333" s="289"/>
      <c r="L333" s="289"/>
      <c r="M333" s="289"/>
      <c r="N333" s="289"/>
    </row>
    <row r="334" spans="2:14" x14ac:dyDescent="0.25">
      <c r="B334" s="16" t="s">
        <v>43</v>
      </c>
      <c r="C334" s="16" t="s">
        <v>622</v>
      </c>
      <c r="D334" s="16" t="s">
        <v>623</v>
      </c>
      <c r="E334" s="288">
        <v>40000</v>
      </c>
      <c r="F334" s="288">
        <f>ROUND(IF($A334="E",E334*(1+Assumptions!C$15),E334*(1+Assumptions!C$14)),-2)</f>
        <v>40600</v>
      </c>
      <c r="G334" s="288">
        <f>ROUND(IF($A334="E",F334*(1+Assumptions!D$15),F334*(1+Assumptions!D$14)),-2)</f>
        <v>41400</v>
      </c>
      <c r="H334" s="288">
        <f>ROUND(IF($A334="E",G334*(1+Assumptions!E$15),G334*(1+Assumptions!E$14)),-2)</f>
        <v>42200</v>
      </c>
      <c r="I334" s="288">
        <f>ROUND(IF($A334="E",H334*(1+Assumptions!F$15),H334*(1+Assumptions!F$14)),-2)</f>
        <v>43000</v>
      </c>
      <c r="J334" s="288">
        <f>ROUND(IF($A334="E",I334*(1+Assumptions!G$15),I334*(1+Assumptions!G$14)),-2)</f>
        <v>43900</v>
      </c>
      <c r="K334" s="288">
        <f>ROUND(IF($A334="E",J334*(1+Assumptions!H$15),J334*(1+Assumptions!H$14)),-2)</f>
        <v>44800</v>
      </c>
      <c r="L334" s="288">
        <f>ROUND(IF($A334="E",K334*(1+Assumptions!I$15),K334*(1+Assumptions!I$14)),-2)</f>
        <v>45900</v>
      </c>
      <c r="M334" s="288">
        <f>ROUND(IF($A334="E",L334*(1+Assumptions!J$15),L334*(1+Assumptions!J$14)),-2)</f>
        <v>47000</v>
      </c>
      <c r="N334" s="288">
        <f>ROUND(IF($A334="E",M334*(1+Assumptions!K$15),M334*(1+Assumptions!K$14)),-2)</f>
        <v>48200</v>
      </c>
    </row>
    <row r="335" spans="2:14" x14ac:dyDescent="0.25">
      <c r="B335" s="16" t="s">
        <v>43</v>
      </c>
      <c r="C335" s="16" t="s">
        <v>624</v>
      </c>
      <c r="D335" s="16" t="s">
        <v>600</v>
      </c>
      <c r="E335" s="288">
        <v>0</v>
      </c>
      <c r="F335" s="288">
        <f>ROUND(IF($A335="E",E335*(1+Assumptions!C$15),E335*(1+Assumptions!C$14)),-2)</f>
        <v>0</v>
      </c>
      <c r="G335" s="288">
        <f>ROUND(IF($A335="E",F335*(1+Assumptions!D$15),F335*(1+Assumptions!D$14)),-2)</f>
        <v>0</v>
      </c>
      <c r="H335" s="288">
        <f>ROUND(IF($A335="E",G335*(1+Assumptions!E$15),G335*(1+Assumptions!E$14)),-2)</f>
        <v>0</v>
      </c>
      <c r="I335" s="288">
        <f>ROUND(IF($A335="E",H335*(1+Assumptions!F$15),H335*(1+Assumptions!F$14)),-2)</f>
        <v>0</v>
      </c>
      <c r="J335" s="288">
        <f>ROUND(IF($A335="E",I335*(1+Assumptions!G$15),I335*(1+Assumptions!G$14)),-2)</f>
        <v>0</v>
      </c>
      <c r="K335" s="288">
        <f>ROUND(IF($A335="E",J335*(1+Assumptions!H$15),J335*(1+Assumptions!H$14)),-2)</f>
        <v>0</v>
      </c>
      <c r="L335" s="288">
        <f>ROUND(IF($A335="E",K335*(1+Assumptions!I$15),K335*(1+Assumptions!I$14)),-2)</f>
        <v>0</v>
      </c>
      <c r="M335" s="288">
        <f>ROUND(IF($A335="E",L335*(1+Assumptions!J$15),L335*(1+Assumptions!J$14)),-2)</f>
        <v>0</v>
      </c>
      <c r="N335" s="288">
        <f>ROUND(IF($A335="E",M335*(1+Assumptions!K$15),M335*(1+Assumptions!K$14)),-2)</f>
        <v>0</v>
      </c>
    </row>
    <row r="336" spans="2:14" x14ac:dyDescent="0.25">
      <c r="B336" s="16" t="s">
        <v>43</v>
      </c>
      <c r="C336" s="16" t="s">
        <v>625</v>
      </c>
      <c r="D336" s="16" t="s">
        <v>626</v>
      </c>
      <c r="E336" s="288">
        <v>0</v>
      </c>
      <c r="F336" s="288">
        <f>ROUND(IF($A336="E",E336*(1+Assumptions!C$15),E336*(1+Assumptions!C$14)),-2)</f>
        <v>0</v>
      </c>
      <c r="G336" s="288">
        <f>ROUND(IF($A336="E",F336*(1+Assumptions!D$15),F336*(1+Assumptions!D$14)),-2)</f>
        <v>0</v>
      </c>
      <c r="H336" s="288">
        <f>ROUND(IF($A336="E",G336*(1+Assumptions!E$15),G336*(1+Assumptions!E$14)),-2)</f>
        <v>0</v>
      </c>
      <c r="I336" s="288">
        <f>ROUND(IF($A336="E",H336*(1+Assumptions!F$15),H336*(1+Assumptions!F$14)),-2)</f>
        <v>0</v>
      </c>
      <c r="J336" s="288">
        <f>ROUND(IF($A336="E",I336*(1+Assumptions!G$15),I336*(1+Assumptions!G$14)),-2)</f>
        <v>0</v>
      </c>
      <c r="K336" s="288">
        <f>ROUND(IF($A336="E",J336*(1+Assumptions!H$15),J336*(1+Assumptions!H$14)),-2)</f>
        <v>0</v>
      </c>
      <c r="L336" s="288">
        <f>ROUND(IF($A336="E",K336*(1+Assumptions!I$15),K336*(1+Assumptions!I$14)),-2)</f>
        <v>0</v>
      </c>
      <c r="M336" s="288">
        <f>ROUND(IF($A336="E",L336*(1+Assumptions!J$15),L336*(1+Assumptions!J$14)),-2)</f>
        <v>0</v>
      </c>
      <c r="N336" s="288">
        <f>ROUND(IF($A336="E",M336*(1+Assumptions!K$15),M336*(1+Assumptions!K$14)),-2)</f>
        <v>0</v>
      </c>
    </row>
    <row r="337" spans="2:14" x14ac:dyDescent="0.25">
      <c r="B337" s="16" t="s">
        <v>43</v>
      </c>
      <c r="C337" s="16" t="s">
        <v>627</v>
      </c>
      <c r="D337" s="16" t="s">
        <v>628</v>
      </c>
      <c r="E337" s="288">
        <v>0</v>
      </c>
      <c r="F337" s="288">
        <f>ROUND(IF($A337="E",E337*(1+Assumptions!C$15),E337*(1+Assumptions!C$14)),-2)</f>
        <v>0</v>
      </c>
      <c r="G337" s="288">
        <f>ROUND(IF($A337="E",F337*(1+Assumptions!D$15),F337*(1+Assumptions!D$14)),-2)</f>
        <v>0</v>
      </c>
      <c r="H337" s="288">
        <f>ROUND(IF($A337="E",G337*(1+Assumptions!E$15),G337*(1+Assumptions!E$14)),-2)</f>
        <v>0</v>
      </c>
      <c r="I337" s="288">
        <f>ROUND(IF($A337="E",H337*(1+Assumptions!F$15),H337*(1+Assumptions!F$14)),-2)</f>
        <v>0</v>
      </c>
      <c r="J337" s="288">
        <f>ROUND(IF($A337="E",I337*(1+Assumptions!G$15),I337*(1+Assumptions!G$14)),-2)</f>
        <v>0</v>
      </c>
      <c r="K337" s="288">
        <f>ROUND(IF($A337="E",J337*(1+Assumptions!H$15),J337*(1+Assumptions!H$14)),-2)</f>
        <v>0</v>
      </c>
      <c r="L337" s="288">
        <f>ROUND(IF($A337="E",K337*(1+Assumptions!I$15),K337*(1+Assumptions!I$14)),-2)</f>
        <v>0</v>
      </c>
      <c r="M337" s="288">
        <f>ROUND(IF($A337="E",L337*(1+Assumptions!J$15),L337*(1+Assumptions!J$14)),-2)</f>
        <v>0</v>
      </c>
      <c r="N337" s="288">
        <f>ROUND(IF($A337="E",M337*(1+Assumptions!K$15),M337*(1+Assumptions!K$14)),-2)</f>
        <v>0</v>
      </c>
    </row>
    <row r="338" spans="2:14" x14ac:dyDescent="0.25">
      <c r="B338" s="16" t="s">
        <v>43</v>
      </c>
      <c r="C338" s="16" t="s">
        <v>629</v>
      </c>
      <c r="D338" s="16" t="s">
        <v>492</v>
      </c>
      <c r="E338" s="288">
        <v>0</v>
      </c>
      <c r="F338" s="288">
        <f>ROUND(IF($A338="E",E338*(1+Assumptions!C$15),E338*(1+Assumptions!C$14)),-2)</f>
        <v>0</v>
      </c>
      <c r="G338" s="288">
        <f>ROUND(IF($A338="E",F338*(1+Assumptions!D$15),F338*(1+Assumptions!D$14)),-2)</f>
        <v>0</v>
      </c>
      <c r="H338" s="288">
        <f>ROUND(IF($A338="E",G338*(1+Assumptions!E$15),G338*(1+Assumptions!E$14)),-2)</f>
        <v>0</v>
      </c>
      <c r="I338" s="288">
        <f>ROUND(IF($A338="E",H338*(1+Assumptions!F$15),H338*(1+Assumptions!F$14)),-2)</f>
        <v>0</v>
      </c>
      <c r="J338" s="288">
        <f>ROUND(IF($A338="E",I338*(1+Assumptions!G$15),I338*(1+Assumptions!G$14)),-2)</f>
        <v>0</v>
      </c>
      <c r="K338" s="288">
        <f>ROUND(IF($A338="E",J338*(1+Assumptions!H$15),J338*(1+Assumptions!H$14)),-2)</f>
        <v>0</v>
      </c>
      <c r="L338" s="288">
        <f>ROUND(IF($A338="E",K338*(1+Assumptions!I$15),K338*(1+Assumptions!I$14)),-2)</f>
        <v>0</v>
      </c>
      <c r="M338" s="288">
        <f>ROUND(IF($A338="E",L338*(1+Assumptions!J$15),L338*(1+Assumptions!J$14)),-2)</f>
        <v>0</v>
      </c>
      <c r="N338" s="288">
        <f>ROUND(IF($A338="E",M338*(1+Assumptions!K$15),M338*(1+Assumptions!K$14)),-2)</f>
        <v>0</v>
      </c>
    </row>
    <row r="339" spans="2:14" x14ac:dyDescent="0.25">
      <c r="B339" s="16" t="s">
        <v>43</v>
      </c>
      <c r="C339" s="16" t="s">
        <v>630</v>
      </c>
      <c r="D339" s="16" t="s">
        <v>631</v>
      </c>
      <c r="E339" s="289"/>
      <c r="F339" s="289"/>
      <c r="G339" s="289"/>
      <c r="H339" s="289"/>
      <c r="I339" s="289"/>
      <c r="J339" s="289"/>
      <c r="K339" s="289"/>
      <c r="L339" s="289"/>
      <c r="M339" s="289"/>
      <c r="N339" s="289"/>
    </row>
    <row r="340" spans="2:14" x14ac:dyDescent="0.25">
      <c r="B340" s="16" t="s">
        <v>43</v>
      </c>
      <c r="C340" s="16" t="s">
        <v>632</v>
      </c>
      <c r="D340" s="16" t="s">
        <v>633</v>
      </c>
      <c r="E340" s="288">
        <v>15000</v>
      </c>
      <c r="F340" s="288">
        <f>ROUND(IF($A340="E",E340*(1+Assumptions!C$15),E340*(1+Assumptions!C$14)),-2)</f>
        <v>15200</v>
      </c>
      <c r="G340" s="288">
        <f>ROUND(IF($A340="E",F340*(1+Assumptions!D$15),F340*(1+Assumptions!D$14)),-2)</f>
        <v>15500</v>
      </c>
      <c r="H340" s="288">
        <f>ROUND(IF($A340="E",G340*(1+Assumptions!E$15),G340*(1+Assumptions!E$14)),-2)</f>
        <v>15800</v>
      </c>
      <c r="I340" s="288">
        <f>ROUND(IF($A340="E",H340*(1+Assumptions!F$15),H340*(1+Assumptions!F$14)),-2)</f>
        <v>16100</v>
      </c>
      <c r="J340" s="288">
        <f>ROUND(IF($A340="E",I340*(1+Assumptions!G$15),I340*(1+Assumptions!G$14)),-2)</f>
        <v>16400</v>
      </c>
      <c r="K340" s="288">
        <f>ROUND(IF($A340="E",J340*(1+Assumptions!H$15),J340*(1+Assumptions!H$14)),-2)</f>
        <v>16700</v>
      </c>
      <c r="L340" s="288">
        <f>ROUND(IF($A340="E",K340*(1+Assumptions!I$15),K340*(1+Assumptions!I$14)),-2)</f>
        <v>17100</v>
      </c>
      <c r="M340" s="288">
        <f>ROUND(IF($A340="E",L340*(1+Assumptions!J$15),L340*(1+Assumptions!J$14)),-2)</f>
        <v>17500</v>
      </c>
      <c r="N340" s="288">
        <f>ROUND(IF($A340="E",M340*(1+Assumptions!K$15),M340*(1+Assumptions!K$14)),-2)</f>
        <v>17900</v>
      </c>
    </row>
    <row r="341" spans="2:14" x14ac:dyDescent="0.25">
      <c r="B341" s="16" t="s">
        <v>43</v>
      </c>
      <c r="C341" s="16" t="s">
        <v>634</v>
      </c>
      <c r="D341" s="16" t="s">
        <v>600</v>
      </c>
      <c r="E341" s="288">
        <v>0</v>
      </c>
      <c r="F341" s="288">
        <f>ROUND(IF($A341="E",E341*(1+Assumptions!C$15),E341*(1+Assumptions!C$14)),-2)</f>
        <v>0</v>
      </c>
      <c r="G341" s="288">
        <f>ROUND(IF($A341="E",F341*(1+Assumptions!D$15),F341*(1+Assumptions!D$14)),-2)</f>
        <v>0</v>
      </c>
      <c r="H341" s="288">
        <f>ROUND(IF($A341="E",G341*(1+Assumptions!E$15),G341*(1+Assumptions!E$14)),-2)</f>
        <v>0</v>
      </c>
      <c r="I341" s="288">
        <f>ROUND(IF($A341="E",H341*(1+Assumptions!F$15),H341*(1+Assumptions!F$14)),-2)</f>
        <v>0</v>
      </c>
      <c r="J341" s="288">
        <f>ROUND(IF($A341="E",I341*(1+Assumptions!G$15),I341*(1+Assumptions!G$14)),-2)</f>
        <v>0</v>
      </c>
      <c r="K341" s="288">
        <f>ROUND(IF($A341="E",J341*(1+Assumptions!H$15),J341*(1+Assumptions!H$14)),-2)</f>
        <v>0</v>
      </c>
      <c r="L341" s="288">
        <f>ROUND(IF($A341="E",K341*(1+Assumptions!I$15),K341*(1+Assumptions!I$14)),-2)</f>
        <v>0</v>
      </c>
      <c r="M341" s="288">
        <f>ROUND(IF($A341="E",L341*(1+Assumptions!J$15),L341*(1+Assumptions!J$14)),-2)</f>
        <v>0</v>
      </c>
      <c r="N341" s="288">
        <f>ROUND(IF($A341="E",M341*(1+Assumptions!K$15),M341*(1+Assumptions!K$14)),-2)</f>
        <v>0</v>
      </c>
    </row>
    <row r="342" spans="2:14" x14ac:dyDescent="0.25">
      <c r="B342" s="16" t="s">
        <v>43</v>
      </c>
      <c r="C342" s="16" t="s">
        <v>635</v>
      </c>
      <c r="D342" s="16" t="s">
        <v>626</v>
      </c>
      <c r="E342" s="288">
        <v>0</v>
      </c>
      <c r="F342" s="288">
        <f>ROUND(IF($A342="E",E342*(1+Assumptions!C$15),E342*(1+Assumptions!C$14)),-2)</f>
        <v>0</v>
      </c>
      <c r="G342" s="288">
        <f>ROUND(IF($A342="E",F342*(1+Assumptions!D$15),F342*(1+Assumptions!D$14)),-2)</f>
        <v>0</v>
      </c>
      <c r="H342" s="288">
        <f>ROUND(IF($A342="E",G342*(1+Assumptions!E$15),G342*(1+Assumptions!E$14)),-2)</f>
        <v>0</v>
      </c>
      <c r="I342" s="288">
        <f>ROUND(IF($A342="E",H342*(1+Assumptions!F$15),H342*(1+Assumptions!F$14)),-2)</f>
        <v>0</v>
      </c>
      <c r="J342" s="288">
        <f>ROUND(IF($A342="E",I342*(1+Assumptions!G$15),I342*(1+Assumptions!G$14)),-2)</f>
        <v>0</v>
      </c>
      <c r="K342" s="288">
        <f>ROUND(IF($A342="E",J342*(1+Assumptions!H$15),J342*(1+Assumptions!H$14)),-2)</f>
        <v>0</v>
      </c>
      <c r="L342" s="288">
        <f>ROUND(IF($A342="E",K342*(1+Assumptions!I$15),K342*(1+Assumptions!I$14)),-2)</f>
        <v>0</v>
      </c>
      <c r="M342" s="288">
        <f>ROUND(IF($A342="E",L342*(1+Assumptions!J$15),L342*(1+Assumptions!J$14)),-2)</f>
        <v>0</v>
      </c>
      <c r="N342" s="288">
        <f>ROUND(IF($A342="E",M342*(1+Assumptions!K$15),M342*(1+Assumptions!K$14)),-2)</f>
        <v>0</v>
      </c>
    </row>
    <row r="343" spans="2:14" x14ac:dyDescent="0.25">
      <c r="B343" s="16" t="s">
        <v>43</v>
      </c>
      <c r="C343" s="16" t="s">
        <v>636</v>
      </c>
      <c r="D343" s="16" t="s">
        <v>492</v>
      </c>
      <c r="E343" s="288">
        <v>0</v>
      </c>
      <c r="F343" s="288">
        <f>ROUND(IF($A343="E",E343*(1+Assumptions!C$15),E343*(1+Assumptions!C$14)),-2)</f>
        <v>0</v>
      </c>
      <c r="G343" s="288">
        <f>ROUND(IF($A343="E",F343*(1+Assumptions!D$15),F343*(1+Assumptions!D$14)),-2)</f>
        <v>0</v>
      </c>
      <c r="H343" s="288">
        <f>ROUND(IF($A343="E",G343*(1+Assumptions!E$15),G343*(1+Assumptions!E$14)),-2)</f>
        <v>0</v>
      </c>
      <c r="I343" s="288">
        <f>ROUND(IF($A343="E",H343*(1+Assumptions!F$15),H343*(1+Assumptions!F$14)),-2)</f>
        <v>0</v>
      </c>
      <c r="J343" s="288">
        <f>ROUND(IF($A343="E",I343*(1+Assumptions!G$15),I343*(1+Assumptions!G$14)),-2)</f>
        <v>0</v>
      </c>
      <c r="K343" s="288">
        <f>ROUND(IF($A343="E",J343*(1+Assumptions!H$15),J343*(1+Assumptions!H$14)),-2)</f>
        <v>0</v>
      </c>
      <c r="L343" s="288">
        <f>ROUND(IF($A343="E",K343*(1+Assumptions!I$15),K343*(1+Assumptions!I$14)),-2)</f>
        <v>0</v>
      </c>
      <c r="M343" s="288">
        <f>ROUND(IF($A343="E",L343*(1+Assumptions!J$15),L343*(1+Assumptions!J$14)),-2)</f>
        <v>0</v>
      </c>
      <c r="N343" s="288">
        <f>ROUND(IF($A343="E",M343*(1+Assumptions!K$15),M343*(1+Assumptions!K$14)),-2)</f>
        <v>0</v>
      </c>
    </row>
    <row r="344" spans="2:14" x14ac:dyDescent="0.25">
      <c r="B344" s="16" t="s">
        <v>43</v>
      </c>
      <c r="C344" s="16" t="s">
        <v>637</v>
      </c>
      <c r="D344" s="16" t="s">
        <v>638</v>
      </c>
      <c r="E344" s="289"/>
      <c r="F344" s="289"/>
      <c r="G344" s="289"/>
      <c r="H344" s="289"/>
      <c r="I344" s="289"/>
      <c r="J344" s="289"/>
      <c r="K344" s="289"/>
      <c r="L344" s="289"/>
      <c r="M344" s="289"/>
      <c r="N344" s="289"/>
    </row>
    <row r="345" spans="2:14" x14ac:dyDescent="0.25">
      <c r="B345" s="16" t="s">
        <v>43</v>
      </c>
      <c r="C345" s="16" t="s">
        <v>639</v>
      </c>
      <c r="D345" s="16" t="s">
        <v>640</v>
      </c>
      <c r="E345" s="288">
        <v>11000</v>
      </c>
      <c r="F345" s="288">
        <f>ROUND(IF($A345="E",E345*(1+Assumptions!C$15),E345*(1+Assumptions!C$14)),-2)</f>
        <v>11200</v>
      </c>
      <c r="G345" s="288">
        <f>ROUND(IF($A345="E",F345*(1+Assumptions!D$15),F345*(1+Assumptions!D$14)),-2)</f>
        <v>11400</v>
      </c>
      <c r="H345" s="288">
        <f>ROUND(IF($A345="E",G345*(1+Assumptions!E$15),G345*(1+Assumptions!E$14)),-2)</f>
        <v>11600</v>
      </c>
      <c r="I345" s="288">
        <f>ROUND(IF($A345="E",H345*(1+Assumptions!F$15),H345*(1+Assumptions!F$14)),-2)</f>
        <v>11800</v>
      </c>
      <c r="J345" s="288">
        <f>ROUND(IF($A345="E",I345*(1+Assumptions!G$15),I345*(1+Assumptions!G$14)),-2)</f>
        <v>12000</v>
      </c>
      <c r="K345" s="288">
        <f>ROUND(IF($A345="E",J345*(1+Assumptions!H$15),J345*(1+Assumptions!H$14)),-2)</f>
        <v>12200</v>
      </c>
      <c r="L345" s="288">
        <f>ROUND(IF($A345="E",K345*(1+Assumptions!I$15),K345*(1+Assumptions!I$14)),-2)</f>
        <v>12500</v>
      </c>
      <c r="M345" s="288">
        <f>ROUND(IF($A345="E",L345*(1+Assumptions!J$15),L345*(1+Assumptions!J$14)),-2)</f>
        <v>12800</v>
      </c>
      <c r="N345" s="288">
        <f>ROUND(IF($A345="E",M345*(1+Assumptions!K$15),M345*(1+Assumptions!K$14)),-2)</f>
        <v>13100</v>
      </c>
    </row>
    <row r="346" spans="2:14" x14ac:dyDescent="0.25">
      <c r="B346" s="16" t="s">
        <v>43</v>
      </c>
      <c r="C346" s="16" t="s">
        <v>641</v>
      </c>
      <c r="D346" s="16" t="s">
        <v>600</v>
      </c>
      <c r="E346" s="288">
        <v>0</v>
      </c>
      <c r="F346" s="288">
        <f>ROUND(IF($A346="E",E346*(1+Assumptions!C$15),E346*(1+Assumptions!C$14)),-2)</f>
        <v>0</v>
      </c>
      <c r="G346" s="288">
        <f>ROUND(IF($A346="E",F346*(1+Assumptions!D$15),F346*(1+Assumptions!D$14)),-2)</f>
        <v>0</v>
      </c>
      <c r="H346" s="288">
        <f>ROUND(IF($A346="E",G346*(1+Assumptions!E$15),G346*(1+Assumptions!E$14)),-2)</f>
        <v>0</v>
      </c>
      <c r="I346" s="288">
        <f>ROUND(IF($A346="E",H346*(1+Assumptions!F$15),H346*(1+Assumptions!F$14)),-2)</f>
        <v>0</v>
      </c>
      <c r="J346" s="288">
        <f>ROUND(IF($A346="E",I346*(1+Assumptions!G$15),I346*(1+Assumptions!G$14)),-2)</f>
        <v>0</v>
      </c>
      <c r="K346" s="288">
        <f>ROUND(IF($A346="E",J346*(1+Assumptions!H$15),J346*(1+Assumptions!H$14)),-2)</f>
        <v>0</v>
      </c>
      <c r="L346" s="288">
        <f>ROUND(IF($A346="E",K346*(1+Assumptions!I$15),K346*(1+Assumptions!I$14)),-2)</f>
        <v>0</v>
      </c>
      <c r="M346" s="288">
        <f>ROUND(IF($A346="E",L346*(1+Assumptions!J$15),L346*(1+Assumptions!J$14)),-2)</f>
        <v>0</v>
      </c>
      <c r="N346" s="288">
        <f>ROUND(IF($A346="E",M346*(1+Assumptions!K$15),M346*(1+Assumptions!K$14)),-2)</f>
        <v>0</v>
      </c>
    </row>
    <row r="347" spans="2:14" x14ac:dyDescent="0.25">
      <c r="B347" s="16" t="s">
        <v>43</v>
      </c>
      <c r="C347" s="16" t="s">
        <v>642</v>
      </c>
      <c r="D347" s="16" t="s">
        <v>643</v>
      </c>
      <c r="E347" s="288">
        <v>0</v>
      </c>
      <c r="F347" s="288">
        <f>ROUND(IF($A347="E",E347*(1+Assumptions!C$15),E347*(1+Assumptions!C$14)),-2)</f>
        <v>0</v>
      </c>
      <c r="G347" s="288">
        <f>ROUND(IF($A347="E",F347*(1+Assumptions!D$15),F347*(1+Assumptions!D$14)),-2)</f>
        <v>0</v>
      </c>
      <c r="H347" s="288">
        <f>ROUND(IF($A347="E",G347*(1+Assumptions!E$15),G347*(1+Assumptions!E$14)),-2)</f>
        <v>0</v>
      </c>
      <c r="I347" s="288">
        <f>ROUND(IF($A347="E",H347*(1+Assumptions!F$15),H347*(1+Assumptions!F$14)),-2)</f>
        <v>0</v>
      </c>
      <c r="J347" s="288">
        <f>ROUND(IF($A347="E",I347*(1+Assumptions!G$15),I347*(1+Assumptions!G$14)),-2)</f>
        <v>0</v>
      </c>
      <c r="K347" s="288">
        <f>ROUND(IF($A347="E",J347*(1+Assumptions!H$15),J347*(1+Assumptions!H$14)),-2)</f>
        <v>0</v>
      </c>
      <c r="L347" s="288">
        <f>ROUND(IF($A347="E",K347*(1+Assumptions!I$15),K347*(1+Assumptions!I$14)),-2)</f>
        <v>0</v>
      </c>
      <c r="M347" s="288">
        <f>ROUND(IF($A347="E",L347*(1+Assumptions!J$15),L347*(1+Assumptions!J$14)),-2)</f>
        <v>0</v>
      </c>
      <c r="N347" s="288">
        <f>ROUND(IF($A347="E",M347*(1+Assumptions!K$15),M347*(1+Assumptions!K$14)),-2)</f>
        <v>0</v>
      </c>
    </row>
    <row r="348" spans="2:14" x14ac:dyDescent="0.25">
      <c r="B348" s="16" t="s">
        <v>45</v>
      </c>
      <c r="C348" s="16" t="s">
        <v>644</v>
      </c>
      <c r="D348" s="16" t="s">
        <v>645</v>
      </c>
      <c r="E348" s="289"/>
      <c r="F348" s="289"/>
      <c r="G348" s="289"/>
      <c r="H348" s="289"/>
      <c r="I348" s="289"/>
      <c r="J348" s="289"/>
      <c r="K348" s="289"/>
      <c r="L348" s="289"/>
      <c r="M348" s="289"/>
      <c r="N348" s="289"/>
    </row>
    <row r="349" spans="2:14" x14ac:dyDescent="0.25">
      <c r="B349" s="16" t="s">
        <v>45</v>
      </c>
      <c r="C349" s="16" t="s">
        <v>646</v>
      </c>
      <c r="D349" s="16" t="s">
        <v>647</v>
      </c>
      <c r="E349" s="288">
        <v>6000</v>
      </c>
      <c r="F349" s="288">
        <f>ROUND(IF($A349="E",E349*(1+Assumptions!C$15),E349*(1+Assumptions!C$14)),-2)</f>
        <v>6100</v>
      </c>
      <c r="G349" s="288">
        <f>ROUND(IF($A349="E",F349*(1+Assumptions!D$15),F349*(1+Assumptions!D$14)),-2)</f>
        <v>6200</v>
      </c>
      <c r="H349" s="288">
        <f>ROUND(IF($A349="E",G349*(1+Assumptions!E$15),G349*(1+Assumptions!E$14)),-2)</f>
        <v>6300</v>
      </c>
      <c r="I349" s="288">
        <f>ROUND(IF($A349="E",H349*(1+Assumptions!F$15),H349*(1+Assumptions!F$14)),-2)</f>
        <v>6400</v>
      </c>
      <c r="J349" s="288">
        <f>ROUND(IF($A349="E",I349*(1+Assumptions!G$15),I349*(1+Assumptions!G$14)),-2)</f>
        <v>6500</v>
      </c>
      <c r="K349" s="288">
        <f>ROUND(IF($A349="E",J349*(1+Assumptions!H$15),J349*(1+Assumptions!H$14)),-2)</f>
        <v>6600</v>
      </c>
      <c r="L349" s="288">
        <f>ROUND(IF($A349="E",K349*(1+Assumptions!I$15),K349*(1+Assumptions!I$14)),-2)</f>
        <v>6800</v>
      </c>
      <c r="M349" s="288">
        <f>ROUND(IF($A349="E",L349*(1+Assumptions!J$15),L349*(1+Assumptions!J$14)),-2)</f>
        <v>7000</v>
      </c>
      <c r="N349" s="288">
        <f>ROUND(IF($A349="E",M349*(1+Assumptions!K$15),M349*(1+Assumptions!K$14)),-2)</f>
        <v>7200</v>
      </c>
    </row>
    <row r="350" spans="2:14" x14ac:dyDescent="0.25">
      <c r="B350" s="16" t="s">
        <v>45</v>
      </c>
      <c r="C350" s="16" t="s">
        <v>648</v>
      </c>
      <c r="D350" s="16" t="s">
        <v>649</v>
      </c>
      <c r="E350" s="288">
        <v>5000</v>
      </c>
      <c r="F350" s="288">
        <f>ROUND(IF($A350="E",E350*(1+Assumptions!C$15),E350*(1+Assumptions!C$14)),-2)</f>
        <v>5100</v>
      </c>
      <c r="G350" s="288">
        <f>ROUND(IF($A350="E",F350*(1+Assumptions!D$15),F350*(1+Assumptions!D$14)),-2)</f>
        <v>5200</v>
      </c>
      <c r="H350" s="288">
        <f>ROUND(IF($A350="E",G350*(1+Assumptions!E$15),G350*(1+Assumptions!E$14)),-2)</f>
        <v>5300</v>
      </c>
      <c r="I350" s="288">
        <f>ROUND(IF($A350="E",H350*(1+Assumptions!F$15),H350*(1+Assumptions!F$14)),-2)</f>
        <v>5400</v>
      </c>
      <c r="J350" s="288">
        <f>ROUND(IF($A350="E",I350*(1+Assumptions!G$15),I350*(1+Assumptions!G$14)),-2)</f>
        <v>5500</v>
      </c>
      <c r="K350" s="288">
        <f>ROUND(IF($A350="E",J350*(1+Assumptions!H$15),J350*(1+Assumptions!H$14)),-2)</f>
        <v>5600</v>
      </c>
      <c r="L350" s="288">
        <f>ROUND(IF($A350="E",K350*(1+Assumptions!I$15),K350*(1+Assumptions!I$14)),-2)</f>
        <v>5700</v>
      </c>
      <c r="M350" s="288">
        <f>ROUND(IF($A350="E",L350*(1+Assumptions!J$15),L350*(1+Assumptions!J$14)),-2)</f>
        <v>5800</v>
      </c>
      <c r="N350" s="288">
        <f>ROUND(IF($A350="E",M350*(1+Assumptions!K$15),M350*(1+Assumptions!K$14)),-2)</f>
        <v>5900</v>
      </c>
    </row>
    <row r="351" spans="2:14" x14ac:dyDescent="0.25">
      <c r="B351" s="16" t="s">
        <v>45</v>
      </c>
      <c r="C351" s="16" t="s">
        <v>650</v>
      </c>
      <c r="D351" s="16" t="s">
        <v>651</v>
      </c>
      <c r="E351" s="288">
        <v>5000</v>
      </c>
      <c r="F351" s="288">
        <f>ROUND(IF($A351="E",E351*(1+Assumptions!C$15),E351*(1+Assumptions!C$14)),-2)</f>
        <v>5100</v>
      </c>
      <c r="G351" s="288">
        <f>ROUND(IF($A351="E",F351*(1+Assumptions!D$15),F351*(1+Assumptions!D$14)),-2)</f>
        <v>5200</v>
      </c>
      <c r="H351" s="288">
        <f>ROUND(IF($A351="E",G351*(1+Assumptions!E$15),G351*(1+Assumptions!E$14)),-2)</f>
        <v>5300</v>
      </c>
      <c r="I351" s="288">
        <f>ROUND(IF($A351="E",H351*(1+Assumptions!F$15),H351*(1+Assumptions!F$14)),-2)</f>
        <v>5400</v>
      </c>
      <c r="J351" s="288">
        <f>ROUND(IF($A351="E",I351*(1+Assumptions!G$15),I351*(1+Assumptions!G$14)),-2)</f>
        <v>5500</v>
      </c>
      <c r="K351" s="288">
        <f>ROUND(IF($A351="E",J351*(1+Assumptions!H$15),J351*(1+Assumptions!H$14)),-2)</f>
        <v>5600</v>
      </c>
      <c r="L351" s="288">
        <f>ROUND(IF($A351="E",K351*(1+Assumptions!I$15),K351*(1+Assumptions!I$14)),-2)</f>
        <v>5700</v>
      </c>
      <c r="M351" s="288">
        <f>ROUND(IF($A351="E",L351*(1+Assumptions!J$15),L351*(1+Assumptions!J$14)),-2)</f>
        <v>5800</v>
      </c>
      <c r="N351" s="288">
        <f>ROUND(IF($A351="E",M351*(1+Assumptions!K$15),M351*(1+Assumptions!K$14)),-2)</f>
        <v>5900</v>
      </c>
    </row>
    <row r="352" spans="2:14" x14ac:dyDescent="0.25">
      <c r="B352" s="16" t="s">
        <v>45</v>
      </c>
      <c r="C352" s="16" t="s">
        <v>652</v>
      </c>
      <c r="D352" s="16" t="s">
        <v>653</v>
      </c>
      <c r="E352" s="288">
        <v>2000</v>
      </c>
      <c r="F352" s="288">
        <f>ROUND(IF($A352="E",E352*(1+Assumptions!C$15),E352*(1+Assumptions!C$14)),-2)</f>
        <v>2000</v>
      </c>
      <c r="G352" s="288">
        <f>ROUND(IF($A352="E",F352*(1+Assumptions!D$15),F352*(1+Assumptions!D$14)),-2)</f>
        <v>2000</v>
      </c>
      <c r="H352" s="288">
        <f>ROUND(IF($A352="E",G352*(1+Assumptions!E$15),G352*(1+Assumptions!E$14)),-2)</f>
        <v>2000</v>
      </c>
      <c r="I352" s="288">
        <f>ROUND(IF($A352="E",H352*(1+Assumptions!F$15),H352*(1+Assumptions!F$14)),-2)</f>
        <v>2000</v>
      </c>
      <c r="J352" s="288">
        <f>ROUND(IF($A352="E",I352*(1+Assumptions!G$15),I352*(1+Assumptions!G$14)),-2)</f>
        <v>2000</v>
      </c>
      <c r="K352" s="288">
        <f>ROUND(IF($A352="E",J352*(1+Assumptions!H$15),J352*(1+Assumptions!H$14)),-2)</f>
        <v>2000</v>
      </c>
      <c r="L352" s="288">
        <f>ROUND(IF($A352="E",K352*(1+Assumptions!I$15),K352*(1+Assumptions!I$14)),-2)</f>
        <v>2100</v>
      </c>
      <c r="M352" s="288">
        <f>ROUND(IF($A352="E",L352*(1+Assumptions!J$15),L352*(1+Assumptions!J$14)),-2)</f>
        <v>2200</v>
      </c>
      <c r="N352" s="288">
        <f>ROUND(IF($A352="E",M352*(1+Assumptions!K$15),M352*(1+Assumptions!K$14)),-2)</f>
        <v>2300</v>
      </c>
    </row>
    <row r="353" spans="2:14" x14ac:dyDescent="0.25">
      <c r="B353" s="16" t="s">
        <v>45</v>
      </c>
      <c r="C353" s="16" t="s">
        <v>654</v>
      </c>
      <c r="D353" s="16" t="s">
        <v>655</v>
      </c>
      <c r="E353" s="288">
        <v>7000</v>
      </c>
      <c r="F353" s="288">
        <f>ROUND(IF($A353="E",E353*(1+Assumptions!C$15),E353*(1+Assumptions!C$14)),-2)</f>
        <v>7100</v>
      </c>
      <c r="G353" s="288">
        <f>ROUND(IF($A353="E",F353*(1+Assumptions!D$15),F353*(1+Assumptions!D$14)),-2)</f>
        <v>7200</v>
      </c>
      <c r="H353" s="288">
        <f>ROUND(IF($A353="E",G353*(1+Assumptions!E$15),G353*(1+Assumptions!E$14)),-2)</f>
        <v>7300</v>
      </c>
      <c r="I353" s="288">
        <f>ROUND(IF($A353="E",H353*(1+Assumptions!F$15),H353*(1+Assumptions!F$14)),-2)</f>
        <v>7400</v>
      </c>
      <c r="J353" s="288">
        <f>ROUND(IF($A353="E",I353*(1+Assumptions!G$15),I353*(1+Assumptions!G$14)),-2)</f>
        <v>7500</v>
      </c>
      <c r="K353" s="288">
        <f>ROUND(IF($A353="E",J353*(1+Assumptions!H$15),J353*(1+Assumptions!H$14)),-2)</f>
        <v>7700</v>
      </c>
      <c r="L353" s="288">
        <f>ROUND(IF($A353="E",K353*(1+Assumptions!I$15),K353*(1+Assumptions!I$14)),-2)</f>
        <v>7900</v>
      </c>
      <c r="M353" s="288">
        <f>ROUND(IF($A353="E",L353*(1+Assumptions!J$15),L353*(1+Assumptions!J$14)),-2)</f>
        <v>8100</v>
      </c>
      <c r="N353" s="288">
        <f>ROUND(IF($A353="E",M353*(1+Assumptions!K$15),M353*(1+Assumptions!K$14)),-2)</f>
        <v>8300</v>
      </c>
    </row>
    <row r="354" spans="2:14" x14ac:dyDescent="0.25">
      <c r="B354" s="16" t="s">
        <v>45</v>
      </c>
      <c r="C354" s="16" t="s">
        <v>656</v>
      </c>
      <c r="D354" s="16" t="s">
        <v>657</v>
      </c>
      <c r="E354" s="288">
        <v>1000</v>
      </c>
      <c r="F354" s="288">
        <f>ROUND(IF($A354="E",E354*(1+Assumptions!C$15),E354*(1+Assumptions!C$14)),-2)</f>
        <v>1000</v>
      </c>
      <c r="G354" s="288">
        <f>ROUND(IF($A354="E",F354*(1+Assumptions!D$15),F354*(1+Assumptions!D$14)),-2)</f>
        <v>1000</v>
      </c>
      <c r="H354" s="288">
        <f>ROUND(IF($A354="E",G354*(1+Assumptions!E$15),G354*(1+Assumptions!E$14)),-2)</f>
        <v>1000</v>
      </c>
      <c r="I354" s="288">
        <f>ROUND(IF($A354="E",H354*(1+Assumptions!F$15),H354*(1+Assumptions!F$14)),-2)</f>
        <v>1000</v>
      </c>
      <c r="J354" s="288">
        <f>ROUND(IF($A354="E",I354*(1+Assumptions!G$15),I354*(1+Assumptions!G$14)),-2)</f>
        <v>1000</v>
      </c>
      <c r="K354" s="288">
        <f>ROUND(IF($A354="E",J354*(1+Assumptions!H$15),J354*(1+Assumptions!H$14)),-2)</f>
        <v>1000</v>
      </c>
      <c r="L354" s="288">
        <f>ROUND(IF($A354="E",K354*(1+Assumptions!I$15),K354*(1+Assumptions!I$14)),-2)</f>
        <v>1000</v>
      </c>
      <c r="M354" s="288">
        <f>ROUND(IF($A354="E",L354*(1+Assumptions!J$15),L354*(1+Assumptions!J$14)),-2)</f>
        <v>1000</v>
      </c>
      <c r="N354" s="288">
        <f>ROUND(IF($A354="E",M354*(1+Assumptions!K$15),M354*(1+Assumptions!K$14)),-2)</f>
        <v>1000</v>
      </c>
    </row>
    <row r="355" spans="2:14" x14ac:dyDescent="0.25">
      <c r="B355" s="16" t="s">
        <v>45</v>
      </c>
      <c r="C355" s="16" t="s">
        <v>658</v>
      </c>
      <c r="D355" s="16" t="s">
        <v>659</v>
      </c>
      <c r="E355" s="288">
        <v>3800</v>
      </c>
      <c r="F355" s="288">
        <f>ROUND(IF($A355="E",E355*(1+Assumptions!C$15),E355*(1+Assumptions!C$14)),-2)</f>
        <v>3900</v>
      </c>
      <c r="G355" s="288">
        <f>ROUND(IF($A355="E",F355*(1+Assumptions!D$15),F355*(1+Assumptions!D$14)),-2)</f>
        <v>4000</v>
      </c>
      <c r="H355" s="288">
        <f>ROUND(IF($A355="E",G355*(1+Assumptions!E$15),G355*(1+Assumptions!E$14)),-2)</f>
        <v>4100</v>
      </c>
      <c r="I355" s="288">
        <f>ROUND(IF($A355="E",H355*(1+Assumptions!F$15),H355*(1+Assumptions!F$14)),-2)</f>
        <v>4200</v>
      </c>
      <c r="J355" s="288">
        <f>ROUND(IF($A355="E",I355*(1+Assumptions!G$15),I355*(1+Assumptions!G$14)),-2)</f>
        <v>4300</v>
      </c>
      <c r="K355" s="288">
        <f>ROUND(IF($A355="E",J355*(1+Assumptions!H$15),J355*(1+Assumptions!H$14)),-2)</f>
        <v>4400</v>
      </c>
      <c r="L355" s="288">
        <f>ROUND(IF($A355="E",K355*(1+Assumptions!I$15),K355*(1+Assumptions!I$14)),-2)</f>
        <v>4500</v>
      </c>
      <c r="M355" s="288">
        <f>ROUND(IF($A355="E",L355*(1+Assumptions!J$15),L355*(1+Assumptions!J$14)),-2)</f>
        <v>4600</v>
      </c>
      <c r="N355" s="288">
        <f>ROUND(IF($A355="E",M355*(1+Assumptions!K$15),M355*(1+Assumptions!K$14)),-2)</f>
        <v>4700</v>
      </c>
    </row>
    <row r="356" spans="2:14" x14ac:dyDescent="0.25">
      <c r="B356" s="16" t="s">
        <v>45</v>
      </c>
      <c r="C356" s="16" t="s">
        <v>660</v>
      </c>
      <c r="D356" s="16" t="s">
        <v>661</v>
      </c>
      <c r="E356" s="288">
        <v>46000</v>
      </c>
      <c r="F356" s="288">
        <f>ROUND(IF($A356="E",E356*(1+Assumptions!C$15),E356*(1+Assumptions!C$14)),-2)</f>
        <v>46700</v>
      </c>
      <c r="G356" s="288">
        <f>ROUND(IF($A356="E",F356*(1+Assumptions!D$15),F356*(1+Assumptions!D$14)),-2)</f>
        <v>47600</v>
      </c>
      <c r="H356" s="288">
        <f>ROUND(IF($A356="E",G356*(1+Assumptions!E$15),G356*(1+Assumptions!E$14)),-2)</f>
        <v>48600</v>
      </c>
      <c r="I356" s="288">
        <f>ROUND(IF($A356="E",H356*(1+Assumptions!F$15),H356*(1+Assumptions!F$14)),-2)</f>
        <v>49600</v>
      </c>
      <c r="J356" s="288">
        <f>ROUND(IF($A356="E",I356*(1+Assumptions!G$15),I356*(1+Assumptions!G$14)),-2)</f>
        <v>50600</v>
      </c>
      <c r="K356" s="288">
        <f>ROUND(IF($A356="E",J356*(1+Assumptions!H$15),J356*(1+Assumptions!H$14)),-2)</f>
        <v>51600</v>
      </c>
      <c r="L356" s="288">
        <f>ROUND(IF($A356="E",K356*(1+Assumptions!I$15),K356*(1+Assumptions!I$14)),-2)</f>
        <v>52900</v>
      </c>
      <c r="M356" s="288">
        <f>ROUND(IF($A356="E",L356*(1+Assumptions!J$15),L356*(1+Assumptions!J$14)),-2)</f>
        <v>54200</v>
      </c>
      <c r="N356" s="288">
        <f>ROUND(IF($A356="E",M356*(1+Assumptions!K$15),M356*(1+Assumptions!K$14)),-2)</f>
        <v>55600</v>
      </c>
    </row>
    <row r="357" spans="2:14" x14ac:dyDescent="0.25">
      <c r="B357" s="16" t="s">
        <v>45</v>
      </c>
      <c r="C357" s="16" t="s">
        <v>662</v>
      </c>
      <c r="D357" s="16" t="s">
        <v>663</v>
      </c>
      <c r="E357" s="288">
        <v>15500</v>
      </c>
      <c r="F357" s="288">
        <f>ROUND(IF($A357="E",E357*(1+Assumptions!C$15),E357*(1+Assumptions!C$14)),-2)</f>
        <v>15700</v>
      </c>
      <c r="G357" s="288">
        <f>ROUND(IF($A357="E",F357*(1+Assumptions!D$15),F357*(1+Assumptions!D$14)),-2)</f>
        <v>16000</v>
      </c>
      <c r="H357" s="288">
        <f>ROUND(IF($A357="E",G357*(1+Assumptions!E$15),G357*(1+Assumptions!E$14)),-2)</f>
        <v>16300</v>
      </c>
      <c r="I357" s="288">
        <f>ROUND(IF($A357="E",H357*(1+Assumptions!F$15),H357*(1+Assumptions!F$14)),-2)</f>
        <v>16600</v>
      </c>
      <c r="J357" s="288">
        <f>ROUND(IF($A357="E",I357*(1+Assumptions!G$15),I357*(1+Assumptions!G$14)),-2)</f>
        <v>16900</v>
      </c>
      <c r="K357" s="288">
        <f>ROUND(IF($A357="E",J357*(1+Assumptions!H$15),J357*(1+Assumptions!H$14)),-2)</f>
        <v>17200</v>
      </c>
      <c r="L357" s="288">
        <f>ROUND(IF($A357="E",K357*(1+Assumptions!I$15),K357*(1+Assumptions!I$14)),-2)</f>
        <v>17600</v>
      </c>
      <c r="M357" s="288">
        <f>ROUND(IF($A357="E",L357*(1+Assumptions!J$15),L357*(1+Assumptions!J$14)),-2)</f>
        <v>18000</v>
      </c>
      <c r="N357" s="288">
        <f>ROUND(IF($A357="E",M357*(1+Assumptions!K$15),M357*(1+Assumptions!K$14)),-2)</f>
        <v>18500</v>
      </c>
    </row>
    <row r="358" spans="2:14" x14ac:dyDescent="0.25">
      <c r="B358" s="16" t="s">
        <v>45</v>
      </c>
      <c r="C358" s="16" t="s">
        <v>664</v>
      </c>
      <c r="D358" s="16" t="s">
        <v>665</v>
      </c>
      <c r="E358" s="288">
        <v>61400</v>
      </c>
      <c r="F358" s="288">
        <f>ROUND(IF($A358="E",E358*(1+Assumptions!C$15),E358*(1+Assumptions!C$14)),-2)</f>
        <v>62300</v>
      </c>
      <c r="G358" s="288">
        <f>ROUND(IF($A358="E",F358*(1+Assumptions!D$15),F358*(1+Assumptions!D$14)),-2)</f>
        <v>63500</v>
      </c>
      <c r="H358" s="288">
        <f>ROUND(IF($A358="E",G358*(1+Assumptions!E$15),G358*(1+Assumptions!E$14)),-2)</f>
        <v>64800</v>
      </c>
      <c r="I358" s="288">
        <f>ROUND(IF($A358="E",H358*(1+Assumptions!F$15),H358*(1+Assumptions!F$14)),-2)</f>
        <v>66100</v>
      </c>
      <c r="J358" s="288">
        <f>ROUND(IF($A358="E",I358*(1+Assumptions!G$15),I358*(1+Assumptions!G$14)),-2)</f>
        <v>67400</v>
      </c>
      <c r="K358" s="288">
        <f>ROUND(IF($A358="E",J358*(1+Assumptions!H$15),J358*(1+Assumptions!H$14)),-2)</f>
        <v>68700</v>
      </c>
      <c r="L358" s="288">
        <f>ROUND(IF($A358="E",K358*(1+Assumptions!I$15),K358*(1+Assumptions!I$14)),-2)</f>
        <v>70400</v>
      </c>
      <c r="M358" s="288">
        <f>ROUND(IF($A358="E",L358*(1+Assumptions!J$15),L358*(1+Assumptions!J$14)),-2)</f>
        <v>72200</v>
      </c>
      <c r="N358" s="288">
        <f>ROUND(IF($A358="E",M358*(1+Assumptions!K$15),M358*(1+Assumptions!K$14)),-2)</f>
        <v>74000</v>
      </c>
    </row>
    <row r="359" spans="2:14" x14ac:dyDescent="0.25">
      <c r="B359" s="16" t="s">
        <v>45</v>
      </c>
      <c r="C359" s="16" t="s">
        <v>666</v>
      </c>
      <c r="D359" s="16" t="s">
        <v>667</v>
      </c>
      <c r="E359" s="288">
        <v>90400</v>
      </c>
      <c r="F359" s="288">
        <f>ROUND(IF($A359="E",E359*(1+Assumptions!C$15),E359*(1+Assumptions!C$14)),-2)</f>
        <v>91800</v>
      </c>
      <c r="G359" s="288">
        <f>ROUND(IF($A359="E",F359*(1+Assumptions!D$15),F359*(1+Assumptions!D$14)),-2)</f>
        <v>93600</v>
      </c>
      <c r="H359" s="288">
        <f>ROUND(IF($A359="E",G359*(1+Assumptions!E$15),G359*(1+Assumptions!E$14)),-2)</f>
        <v>95500</v>
      </c>
      <c r="I359" s="288">
        <f>ROUND(IF($A359="E",H359*(1+Assumptions!F$15),H359*(1+Assumptions!F$14)),-2)</f>
        <v>97400</v>
      </c>
      <c r="J359" s="288">
        <f>ROUND(IF($A359="E",I359*(1+Assumptions!G$15),I359*(1+Assumptions!G$14)),-2)</f>
        <v>99300</v>
      </c>
      <c r="K359" s="288">
        <f>ROUND(IF($A359="E",J359*(1+Assumptions!H$15),J359*(1+Assumptions!H$14)),-2)</f>
        <v>101300</v>
      </c>
      <c r="L359" s="288">
        <f>ROUND(IF($A359="E",K359*(1+Assumptions!I$15),K359*(1+Assumptions!I$14)),-2)</f>
        <v>103800</v>
      </c>
      <c r="M359" s="288">
        <f>ROUND(IF($A359="E",L359*(1+Assumptions!J$15),L359*(1+Assumptions!J$14)),-2)</f>
        <v>106400</v>
      </c>
      <c r="N359" s="288">
        <f>ROUND(IF($A359="E",M359*(1+Assumptions!K$15),M359*(1+Assumptions!K$14)),-2)</f>
        <v>109100</v>
      </c>
    </row>
    <row r="360" spans="2:14" x14ac:dyDescent="0.25">
      <c r="B360" s="16" t="s">
        <v>45</v>
      </c>
      <c r="C360" s="16" t="s">
        <v>668</v>
      </c>
      <c r="D360" s="16" t="s">
        <v>669</v>
      </c>
      <c r="E360" s="288">
        <v>5000</v>
      </c>
      <c r="F360" s="288">
        <f>ROUND(IF($A360="E",E360*(1+Assumptions!C$15),E360*(1+Assumptions!C$14)),-2)</f>
        <v>5100</v>
      </c>
      <c r="G360" s="288">
        <f>ROUND(IF($A360="E",F360*(1+Assumptions!D$15),F360*(1+Assumptions!D$14)),-2)</f>
        <v>5200</v>
      </c>
      <c r="H360" s="288">
        <f>ROUND(IF($A360="E",G360*(1+Assumptions!E$15),G360*(1+Assumptions!E$14)),-2)</f>
        <v>5300</v>
      </c>
      <c r="I360" s="288">
        <f>ROUND(IF($A360="E",H360*(1+Assumptions!F$15),H360*(1+Assumptions!F$14)),-2)</f>
        <v>5400</v>
      </c>
      <c r="J360" s="288">
        <f>ROUND(IF($A360="E",I360*(1+Assumptions!G$15),I360*(1+Assumptions!G$14)),-2)</f>
        <v>5500</v>
      </c>
      <c r="K360" s="288">
        <f>ROUND(IF($A360="E",J360*(1+Assumptions!H$15),J360*(1+Assumptions!H$14)),-2)</f>
        <v>5600</v>
      </c>
      <c r="L360" s="288">
        <f>ROUND(IF($A360="E",K360*(1+Assumptions!I$15),K360*(1+Assumptions!I$14)),-2)</f>
        <v>5700</v>
      </c>
      <c r="M360" s="288">
        <f>ROUND(IF($A360="E",L360*(1+Assumptions!J$15),L360*(1+Assumptions!J$14)),-2)</f>
        <v>5800</v>
      </c>
      <c r="N360" s="288">
        <f>ROUND(IF($A360="E",M360*(1+Assumptions!K$15),M360*(1+Assumptions!K$14)),-2)</f>
        <v>5900</v>
      </c>
    </row>
    <row r="361" spans="2:14" x14ac:dyDescent="0.25">
      <c r="B361" s="16" t="s">
        <v>45</v>
      </c>
      <c r="C361" s="16" t="s">
        <v>670</v>
      </c>
      <c r="D361" s="16" t="s">
        <v>671</v>
      </c>
      <c r="E361" s="288">
        <v>71100</v>
      </c>
      <c r="F361" s="288">
        <f>ROUND(IF($A361="E",E361*(1+Assumptions!C$15),E361*(1+Assumptions!C$14)),-2)</f>
        <v>72200</v>
      </c>
      <c r="G361" s="288">
        <f>ROUND(IF($A361="E",F361*(1+Assumptions!D$15),F361*(1+Assumptions!D$14)),-2)</f>
        <v>73600</v>
      </c>
      <c r="H361" s="288">
        <f>ROUND(IF($A361="E",G361*(1+Assumptions!E$15),G361*(1+Assumptions!E$14)),-2)</f>
        <v>75100</v>
      </c>
      <c r="I361" s="288">
        <f>ROUND(IF($A361="E",H361*(1+Assumptions!F$15),H361*(1+Assumptions!F$14)),-2)</f>
        <v>76600</v>
      </c>
      <c r="J361" s="288">
        <f>ROUND(IF($A361="E",I361*(1+Assumptions!G$15),I361*(1+Assumptions!G$14)),-2)</f>
        <v>78100</v>
      </c>
      <c r="K361" s="288">
        <f>ROUND(IF($A361="E",J361*(1+Assumptions!H$15),J361*(1+Assumptions!H$14)),-2)</f>
        <v>79700</v>
      </c>
      <c r="L361" s="288">
        <f>ROUND(IF($A361="E",K361*(1+Assumptions!I$15),K361*(1+Assumptions!I$14)),-2)</f>
        <v>81700</v>
      </c>
      <c r="M361" s="288">
        <f>ROUND(IF($A361="E",L361*(1+Assumptions!J$15),L361*(1+Assumptions!J$14)),-2)</f>
        <v>83700</v>
      </c>
      <c r="N361" s="288">
        <f>ROUND(IF($A361="E",M361*(1+Assumptions!K$15),M361*(1+Assumptions!K$14)),-2)</f>
        <v>85800</v>
      </c>
    </row>
    <row r="362" spans="2:14" x14ac:dyDescent="0.25">
      <c r="B362" s="16" t="s">
        <v>45</v>
      </c>
      <c r="C362" s="16" t="s">
        <v>672</v>
      </c>
      <c r="D362" s="16" t="s">
        <v>673</v>
      </c>
      <c r="E362" s="288">
        <v>37200</v>
      </c>
      <c r="F362" s="288">
        <f>ROUND(IF($A362="E",E362*(1+Assumptions!C$15),E362*(1+Assumptions!C$14)),-2)</f>
        <v>37800</v>
      </c>
      <c r="G362" s="288">
        <f>ROUND(IF($A362="E",F362*(1+Assumptions!D$15),F362*(1+Assumptions!D$14)),-2)</f>
        <v>38600</v>
      </c>
      <c r="H362" s="288">
        <f>ROUND(IF($A362="E",G362*(1+Assumptions!E$15),G362*(1+Assumptions!E$14)),-2)</f>
        <v>39400</v>
      </c>
      <c r="I362" s="288">
        <f>ROUND(IF($A362="E",H362*(1+Assumptions!F$15),H362*(1+Assumptions!F$14)),-2)</f>
        <v>40200</v>
      </c>
      <c r="J362" s="288">
        <f>ROUND(IF($A362="E",I362*(1+Assumptions!G$15),I362*(1+Assumptions!G$14)),-2)</f>
        <v>41000</v>
      </c>
      <c r="K362" s="288">
        <f>ROUND(IF($A362="E",J362*(1+Assumptions!H$15),J362*(1+Assumptions!H$14)),-2)</f>
        <v>41800</v>
      </c>
      <c r="L362" s="288">
        <f>ROUND(IF($A362="E",K362*(1+Assumptions!I$15),K362*(1+Assumptions!I$14)),-2)</f>
        <v>42800</v>
      </c>
      <c r="M362" s="288">
        <f>ROUND(IF($A362="E",L362*(1+Assumptions!J$15),L362*(1+Assumptions!J$14)),-2)</f>
        <v>43900</v>
      </c>
      <c r="N362" s="288">
        <f>ROUND(IF($A362="E",M362*(1+Assumptions!K$15),M362*(1+Assumptions!K$14)),-2)</f>
        <v>45000</v>
      </c>
    </row>
    <row r="363" spans="2:14" x14ac:dyDescent="0.25">
      <c r="B363" s="16" t="s">
        <v>45</v>
      </c>
      <c r="C363" s="16" t="s">
        <v>674</v>
      </c>
      <c r="D363" s="16" t="s">
        <v>675</v>
      </c>
      <c r="E363" s="288">
        <v>40200</v>
      </c>
      <c r="F363" s="288">
        <f>ROUND(IF($A363="E",E363*(1+Assumptions!C$15),E363*(1+Assumptions!C$14)),-2)</f>
        <v>40800</v>
      </c>
      <c r="G363" s="288">
        <f>ROUND(IF($A363="E",F363*(1+Assumptions!D$15),F363*(1+Assumptions!D$14)),-2)</f>
        <v>41600</v>
      </c>
      <c r="H363" s="288">
        <f>ROUND(IF($A363="E",G363*(1+Assumptions!E$15),G363*(1+Assumptions!E$14)),-2)</f>
        <v>42400</v>
      </c>
      <c r="I363" s="288">
        <f>ROUND(IF($A363="E",H363*(1+Assumptions!F$15),H363*(1+Assumptions!F$14)),-2)</f>
        <v>43200</v>
      </c>
      <c r="J363" s="288">
        <f>ROUND(IF($A363="E",I363*(1+Assumptions!G$15),I363*(1+Assumptions!G$14)),-2)</f>
        <v>44100</v>
      </c>
      <c r="K363" s="288">
        <f>ROUND(IF($A363="E",J363*(1+Assumptions!H$15),J363*(1+Assumptions!H$14)),-2)</f>
        <v>45000</v>
      </c>
      <c r="L363" s="288">
        <f>ROUND(IF($A363="E",K363*(1+Assumptions!I$15),K363*(1+Assumptions!I$14)),-2)</f>
        <v>46100</v>
      </c>
      <c r="M363" s="288">
        <f>ROUND(IF($A363="E",L363*(1+Assumptions!J$15),L363*(1+Assumptions!J$14)),-2)</f>
        <v>47300</v>
      </c>
      <c r="N363" s="288">
        <f>ROUND(IF($A363="E",M363*(1+Assumptions!K$15),M363*(1+Assumptions!K$14)),-2)</f>
        <v>48500</v>
      </c>
    </row>
    <row r="364" spans="2:14" x14ac:dyDescent="0.25">
      <c r="B364" s="16" t="s">
        <v>45</v>
      </c>
      <c r="C364" s="16" t="s">
        <v>676</v>
      </c>
      <c r="D364" s="16" t="s">
        <v>677</v>
      </c>
      <c r="E364" s="288">
        <v>3100</v>
      </c>
      <c r="F364" s="288">
        <f>ROUND(IF($A364="E",E364*(1+Assumptions!C$15),E364*(1+Assumptions!C$14)),-2)</f>
        <v>3100</v>
      </c>
      <c r="G364" s="288">
        <f>ROUND(IF($A364="E",F364*(1+Assumptions!D$15),F364*(1+Assumptions!D$14)),-2)</f>
        <v>3200</v>
      </c>
      <c r="H364" s="288">
        <f>ROUND(IF($A364="E",G364*(1+Assumptions!E$15),G364*(1+Assumptions!E$14)),-2)</f>
        <v>3300</v>
      </c>
      <c r="I364" s="288">
        <f>ROUND(IF($A364="E",H364*(1+Assumptions!F$15),H364*(1+Assumptions!F$14)),-2)</f>
        <v>3400</v>
      </c>
      <c r="J364" s="288">
        <f>ROUND(IF($A364="E",I364*(1+Assumptions!G$15),I364*(1+Assumptions!G$14)),-2)</f>
        <v>3500</v>
      </c>
      <c r="K364" s="288">
        <f>ROUND(IF($A364="E",J364*(1+Assumptions!H$15),J364*(1+Assumptions!H$14)),-2)</f>
        <v>3600</v>
      </c>
      <c r="L364" s="288">
        <f>ROUND(IF($A364="E",K364*(1+Assumptions!I$15),K364*(1+Assumptions!I$14)),-2)</f>
        <v>3700</v>
      </c>
      <c r="M364" s="288">
        <f>ROUND(IF($A364="E",L364*(1+Assumptions!J$15),L364*(1+Assumptions!J$14)),-2)</f>
        <v>3800</v>
      </c>
      <c r="N364" s="288">
        <f>ROUND(IF($A364="E",M364*(1+Assumptions!K$15),M364*(1+Assumptions!K$14)),-2)</f>
        <v>3900</v>
      </c>
    </row>
    <row r="365" spans="2:14" x14ac:dyDescent="0.25">
      <c r="B365" s="16" t="s">
        <v>45</v>
      </c>
      <c r="C365" s="16" t="s">
        <v>678</v>
      </c>
      <c r="D365" s="16" t="s">
        <v>309</v>
      </c>
      <c r="E365" s="288">
        <v>36000</v>
      </c>
      <c r="F365" s="288">
        <f>ROUND(IF($A365="E",E365*(1+Assumptions!C$15),E365*(1+Assumptions!C$14)),-2)</f>
        <v>36500</v>
      </c>
      <c r="G365" s="288">
        <f>ROUND(IF($A365="E",F365*(1+Assumptions!D$15),F365*(1+Assumptions!D$14)),-2)</f>
        <v>37200</v>
      </c>
      <c r="H365" s="288">
        <f>ROUND(IF($A365="E",G365*(1+Assumptions!E$15),G365*(1+Assumptions!E$14)),-2)</f>
        <v>37900</v>
      </c>
      <c r="I365" s="288">
        <f>ROUND(IF($A365="E",H365*(1+Assumptions!F$15),H365*(1+Assumptions!F$14)),-2)</f>
        <v>38700</v>
      </c>
      <c r="J365" s="288">
        <f>ROUND(IF($A365="E",I365*(1+Assumptions!G$15),I365*(1+Assumptions!G$14)),-2)</f>
        <v>39500</v>
      </c>
      <c r="K365" s="288">
        <f>ROUND(IF($A365="E",J365*(1+Assumptions!H$15),J365*(1+Assumptions!H$14)),-2)</f>
        <v>40300</v>
      </c>
      <c r="L365" s="288">
        <f>ROUND(IF($A365="E",K365*(1+Assumptions!I$15),K365*(1+Assumptions!I$14)),-2)</f>
        <v>41300</v>
      </c>
      <c r="M365" s="288">
        <f>ROUND(IF($A365="E",L365*(1+Assumptions!J$15),L365*(1+Assumptions!J$14)),-2)</f>
        <v>42300</v>
      </c>
      <c r="N365" s="288">
        <f>ROUND(IF($A365="E",M365*(1+Assumptions!K$15),M365*(1+Assumptions!K$14)),-2)</f>
        <v>43400</v>
      </c>
    </row>
    <row r="366" spans="2:14" x14ac:dyDescent="0.25">
      <c r="B366" s="16" t="s">
        <v>45</v>
      </c>
      <c r="C366" s="16" t="s">
        <v>679</v>
      </c>
      <c r="D366" s="16" t="s">
        <v>680</v>
      </c>
      <c r="E366" s="288">
        <v>34000</v>
      </c>
      <c r="F366" s="288">
        <f>ROUND(IF($A366="E",E366*(1+Assumptions!C$15),E366*(1+Assumptions!C$14)),-2)</f>
        <v>34500</v>
      </c>
      <c r="G366" s="288">
        <f>ROUND(IF($A366="E",F366*(1+Assumptions!D$15),F366*(1+Assumptions!D$14)),-2)</f>
        <v>35200</v>
      </c>
      <c r="H366" s="288">
        <f>ROUND(IF($A366="E",G366*(1+Assumptions!E$15),G366*(1+Assumptions!E$14)),-2)</f>
        <v>35900</v>
      </c>
      <c r="I366" s="288">
        <f>ROUND(IF($A366="E",H366*(1+Assumptions!F$15),H366*(1+Assumptions!F$14)),-2)</f>
        <v>36600</v>
      </c>
      <c r="J366" s="288">
        <f>ROUND(IF($A366="E",I366*(1+Assumptions!G$15),I366*(1+Assumptions!G$14)),-2)</f>
        <v>37300</v>
      </c>
      <c r="K366" s="288">
        <f>ROUND(IF($A366="E",J366*(1+Assumptions!H$15),J366*(1+Assumptions!H$14)),-2)</f>
        <v>38000</v>
      </c>
      <c r="L366" s="288">
        <f>ROUND(IF($A366="E",K366*(1+Assumptions!I$15),K366*(1+Assumptions!I$14)),-2)</f>
        <v>39000</v>
      </c>
      <c r="M366" s="288">
        <f>ROUND(IF($A366="E",L366*(1+Assumptions!J$15),L366*(1+Assumptions!J$14)),-2)</f>
        <v>40000</v>
      </c>
      <c r="N366" s="288">
        <f>ROUND(IF($A366="E",M366*(1+Assumptions!K$15),M366*(1+Assumptions!K$14)),-2)</f>
        <v>41000</v>
      </c>
    </row>
    <row r="367" spans="2:14" x14ac:dyDescent="0.25">
      <c r="B367" s="16" t="s">
        <v>43</v>
      </c>
      <c r="C367" s="16" t="s">
        <v>681</v>
      </c>
      <c r="D367" s="16" t="s">
        <v>682</v>
      </c>
      <c r="E367" s="289"/>
      <c r="F367" s="289"/>
      <c r="G367" s="289"/>
      <c r="H367" s="289"/>
      <c r="I367" s="289"/>
      <c r="J367" s="289"/>
      <c r="K367" s="289"/>
      <c r="L367" s="289"/>
      <c r="M367" s="289"/>
      <c r="N367" s="289"/>
    </row>
    <row r="368" spans="2:14" x14ac:dyDescent="0.25">
      <c r="B368" s="16" t="s">
        <v>43</v>
      </c>
      <c r="C368" s="16" t="s">
        <v>683</v>
      </c>
      <c r="D368" s="16" t="s">
        <v>684</v>
      </c>
      <c r="E368" s="288">
        <v>15100</v>
      </c>
      <c r="F368" s="288">
        <f>ROUND(IF($A368="E",E368*(1+Assumptions!C$15),E368*(1+Assumptions!C$14)),-2)</f>
        <v>15300</v>
      </c>
      <c r="G368" s="288">
        <f>ROUND(IF($A368="E",F368*(1+Assumptions!D$15),F368*(1+Assumptions!D$14)),-2)</f>
        <v>15600</v>
      </c>
      <c r="H368" s="288">
        <f>ROUND(IF($A368="E",G368*(1+Assumptions!E$15),G368*(1+Assumptions!E$14)),-2)</f>
        <v>15900</v>
      </c>
      <c r="I368" s="288">
        <f>ROUND(IF($A368="E",H368*(1+Assumptions!F$15),H368*(1+Assumptions!F$14)),-2)</f>
        <v>16200</v>
      </c>
      <c r="J368" s="288">
        <f>ROUND(IF($A368="E",I368*(1+Assumptions!G$15),I368*(1+Assumptions!G$14)),-2)</f>
        <v>16500</v>
      </c>
      <c r="K368" s="288">
        <f>ROUND(IF($A368="E",J368*(1+Assumptions!H$15),J368*(1+Assumptions!H$14)),-2)</f>
        <v>16800</v>
      </c>
      <c r="L368" s="288">
        <f>ROUND(IF($A368="E",K368*(1+Assumptions!I$15),K368*(1+Assumptions!I$14)),-2)</f>
        <v>17200</v>
      </c>
      <c r="M368" s="288">
        <f>ROUND(IF($A368="E",L368*(1+Assumptions!J$15),L368*(1+Assumptions!J$14)),-2)</f>
        <v>17600</v>
      </c>
      <c r="N368" s="288">
        <f>ROUND(IF($A368="E",M368*(1+Assumptions!K$15),M368*(1+Assumptions!K$14)),-2)</f>
        <v>18000</v>
      </c>
    </row>
    <row r="369" spans="2:14" x14ac:dyDescent="0.25">
      <c r="B369" s="16" t="s">
        <v>43</v>
      </c>
      <c r="C369" s="16" t="s">
        <v>685</v>
      </c>
      <c r="D369" s="16" t="s">
        <v>686</v>
      </c>
      <c r="E369" s="288">
        <v>5100</v>
      </c>
      <c r="F369" s="288">
        <f>ROUND(IF($A369="E",E369*(1+Assumptions!C$15),E369*(1+Assumptions!C$14)),-2)</f>
        <v>5200</v>
      </c>
      <c r="G369" s="288">
        <f>ROUND(IF($A369="E",F369*(1+Assumptions!D$15),F369*(1+Assumptions!D$14)),-2)</f>
        <v>5300</v>
      </c>
      <c r="H369" s="288">
        <f>ROUND(IF($A369="E",G369*(1+Assumptions!E$15),G369*(1+Assumptions!E$14)),-2)</f>
        <v>5400</v>
      </c>
      <c r="I369" s="288">
        <f>ROUND(IF($A369="E",H369*(1+Assumptions!F$15),H369*(1+Assumptions!F$14)),-2)</f>
        <v>5500</v>
      </c>
      <c r="J369" s="288">
        <f>ROUND(IF($A369="E",I369*(1+Assumptions!G$15),I369*(1+Assumptions!G$14)),-2)</f>
        <v>5600</v>
      </c>
      <c r="K369" s="288">
        <f>ROUND(IF($A369="E",J369*(1+Assumptions!H$15),J369*(1+Assumptions!H$14)),-2)</f>
        <v>5700</v>
      </c>
      <c r="L369" s="288">
        <f>ROUND(IF($A369="E",K369*(1+Assumptions!I$15),K369*(1+Assumptions!I$14)),-2)</f>
        <v>5800</v>
      </c>
      <c r="M369" s="288">
        <f>ROUND(IF($A369="E",L369*(1+Assumptions!J$15),L369*(1+Assumptions!J$14)),-2)</f>
        <v>5900</v>
      </c>
      <c r="N369" s="288">
        <f>ROUND(IF($A369="E",M369*(1+Assumptions!K$15),M369*(1+Assumptions!K$14)),-2)</f>
        <v>6000</v>
      </c>
    </row>
    <row r="370" spans="2:14" x14ac:dyDescent="0.25">
      <c r="B370" s="16" t="s">
        <v>41</v>
      </c>
      <c r="C370" s="16" t="s">
        <v>687</v>
      </c>
      <c r="D370" s="16" t="s">
        <v>688</v>
      </c>
      <c r="E370" s="289"/>
      <c r="F370" s="289"/>
      <c r="G370" s="289"/>
      <c r="H370" s="289"/>
      <c r="I370" s="289"/>
      <c r="J370" s="289"/>
      <c r="K370" s="289"/>
      <c r="L370" s="289"/>
      <c r="M370" s="289"/>
      <c r="N370" s="289"/>
    </row>
    <row r="371" spans="2:14" x14ac:dyDescent="0.25">
      <c r="B371" s="16" t="s">
        <v>41</v>
      </c>
      <c r="C371" s="16" t="s">
        <v>689</v>
      </c>
      <c r="D371" s="16" t="s">
        <v>201</v>
      </c>
      <c r="E371" s="288">
        <v>74100</v>
      </c>
      <c r="F371" s="288">
        <f>ROUND(IF($A371="E",E371*(1+Assumptions!C$15),E371*(1+Assumptions!C$14)),-2)</f>
        <v>75200</v>
      </c>
      <c r="G371" s="288">
        <f>ROUND(IF($A371="E",F371*(1+Assumptions!D$15),F371*(1+Assumptions!D$14)),-2)</f>
        <v>76700</v>
      </c>
      <c r="H371" s="288">
        <f>ROUND(IF($A371="E",G371*(1+Assumptions!E$15),G371*(1+Assumptions!E$14)),-2)</f>
        <v>78200</v>
      </c>
      <c r="I371" s="288">
        <f>ROUND(IF($A371="E",H371*(1+Assumptions!F$15),H371*(1+Assumptions!F$14)),-2)</f>
        <v>79800</v>
      </c>
      <c r="J371" s="288">
        <f>ROUND(IF($A371="E",I371*(1+Assumptions!G$15),I371*(1+Assumptions!G$14)),-2)</f>
        <v>81400</v>
      </c>
      <c r="K371" s="288">
        <f>ROUND(IF($A371="E",J371*(1+Assumptions!H$15),J371*(1+Assumptions!H$14)),-2)</f>
        <v>83000</v>
      </c>
      <c r="L371" s="288">
        <f>ROUND(IF($A371="E",K371*(1+Assumptions!I$15),K371*(1+Assumptions!I$14)),-2)</f>
        <v>85100</v>
      </c>
      <c r="M371" s="288">
        <f>ROUND(IF($A371="E",L371*(1+Assumptions!J$15),L371*(1+Assumptions!J$14)),-2)</f>
        <v>87200</v>
      </c>
      <c r="N371" s="288">
        <f>ROUND(IF($A371="E",M371*(1+Assumptions!K$15),M371*(1+Assumptions!K$14)),-2)</f>
        <v>89400</v>
      </c>
    </row>
    <row r="372" spans="2:14" x14ac:dyDescent="0.25">
      <c r="B372" s="16" t="s">
        <v>43</v>
      </c>
      <c r="C372" s="16" t="s">
        <v>690</v>
      </c>
      <c r="D372" s="16" t="s">
        <v>691</v>
      </c>
      <c r="E372" s="288">
        <v>10800</v>
      </c>
      <c r="F372" s="288">
        <f>ROUND(IF($A372="E",E372*(1+Assumptions!C$15),E372*(1+Assumptions!C$14)),-2)</f>
        <v>11000</v>
      </c>
      <c r="G372" s="288">
        <f>ROUND(IF($A372="E",F372*(1+Assumptions!D$15),F372*(1+Assumptions!D$14)),-2)</f>
        <v>11200</v>
      </c>
      <c r="H372" s="288">
        <f>ROUND(IF($A372="E",G372*(1+Assumptions!E$15),G372*(1+Assumptions!E$14)),-2)</f>
        <v>11400</v>
      </c>
      <c r="I372" s="288">
        <f>ROUND(IF($A372="E",H372*(1+Assumptions!F$15),H372*(1+Assumptions!F$14)),-2)</f>
        <v>11600</v>
      </c>
      <c r="J372" s="288">
        <f>ROUND(IF($A372="E",I372*(1+Assumptions!G$15),I372*(1+Assumptions!G$14)),-2)</f>
        <v>11800</v>
      </c>
      <c r="K372" s="288">
        <f>ROUND(IF($A372="E",J372*(1+Assumptions!H$15),J372*(1+Assumptions!H$14)),-2)</f>
        <v>12000</v>
      </c>
      <c r="L372" s="288">
        <f>ROUND(IF($A372="E",K372*(1+Assumptions!I$15),K372*(1+Assumptions!I$14)),-2)</f>
        <v>12300</v>
      </c>
      <c r="M372" s="288">
        <f>ROUND(IF($A372="E",L372*(1+Assumptions!J$15),L372*(1+Assumptions!J$14)),-2)</f>
        <v>12600</v>
      </c>
      <c r="N372" s="288">
        <f>ROUND(IF($A372="E",M372*(1+Assumptions!K$15),M372*(1+Assumptions!K$14)),-2)</f>
        <v>12900</v>
      </c>
    </row>
    <row r="373" spans="2:14" x14ac:dyDescent="0.25">
      <c r="B373" s="16" t="s">
        <v>43</v>
      </c>
      <c r="C373" s="16" t="s">
        <v>692</v>
      </c>
      <c r="D373" s="16" t="s">
        <v>693</v>
      </c>
      <c r="E373" s="297">
        <v>15000</v>
      </c>
      <c r="F373" s="297">
        <f>ROUND(IF($A373="E",E373*(1+Assumptions!C$15),E373*(1+Assumptions!C$14)),-2)</f>
        <v>15200</v>
      </c>
      <c r="G373" s="297">
        <f>ROUND(IF($A373="E",F373*(1+Assumptions!D$15),F373*(1+Assumptions!D$14)),-2)</f>
        <v>15500</v>
      </c>
      <c r="H373" s="297">
        <f>ROUND(IF($A373="E",G373*(1+Assumptions!E$15),G373*(1+Assumptions!E$14)),-2)</f>
        <v>15800</v>
      </c>
      <c r="I373" s="297">
        <f>ROUND(IF($A373="E",H373*(1+Assumptions!F$15),H373*(1+Assumptions!F$14)),-2)</f>
        <v>16100</v>
      </c>
      <c r="J373" s="297">
        <f>ROUND(IF($A373="E",I373*(1+Assumptions!G$15),I373*(1+Assumptions!G$14)),-2)</f>
        <v>16400</v>
      </c>
      <c r="K373" s="297">
        <f>ROUND(IF($A373="E",J373*(1+Assumptions!H$15),J373*(1+Assumptions!H$14)),-2)</f>
        <v>16700</v>
      </c>
      <c r="L373" s="297">
        <f>ROUND(IF($A373="E",K373*(1+Assumptions!I$15),K373*(1+Assumptions!I$14)),-2)</f>
        <v>17100</v>
      </c>
      <c r="M373" s="297">
        <f>ROUND(IF($A373="E",L373*(1+Assumptions!J$15),L373*(1+Assumptions!J$14)),-2)</f>
        <v>17500</v>
      </c>
      <c r="N373" s="297">
        <f>ROUND(IF($A373="E",M373*(1+Assumptions!K$15),M373*(1+Assumptions!K$14)),-2)</f>
        <v>17900</v>
      </c>
    </row>
    <row r="374" spans="2:14" x14ac:dyDescent="0.25">
      <c r="B374" s="16" t="s">
        <v>43</v>
      </c>
      <c r="C374" s="16" t="s">
        <v>694</v>
      </c>
      <c r="D374" s="16" t="s">
        <v>695</v>
      </c>
      <c r="E374" s="289"/>
      <c r="F374" s="289"/>
      <c r="G374" s="289"/>
      <c r="H374" s="289"/>
      <c r="I374" s="289"/>
      <c r="J374" s="289"/>
      <c r="K374" s="289"/>
      <c r="L374" s="289"/>
      <c r="M374" s="289"/>
      <c r="N374" s="289"/>
    </row>
    <row r="375" spans="2:14" x14ac:dyDescent="0.25">
      <c r="B375" s="16" t="s">
        <v>43</v>
      </c>
      <c r="C375" s="16" t="s">
        <v>696</v>
      </c>
      <c r="D375" s="16" t="s">
        <v>697</v>
      </c>
      <c r="E375" s="288">
        <v>14400</v>
      </c>
      <c r="F375" s="288">
        <f>ROUND(IF($A375="E",E375*(1+Assumptions!C$15),E375*(1+Assumptions!C$14)),-2)</f>
        <v>14600</v>
      </c>
      <c r="G375" s="288">
        <f>ROUND(IF($A375="E",F375*(1+Assumptions!D$15),F375*(1+Assumptions!D$14)),-2)</f>
        <v>14900</v>
      </c>
      <c r="H375" s="288">
        <f>ROUND(IF($A375="E",G375*(1+Assumptions!E$15),G375*(1+Assumptions!E$14)),-2)</f>
        <v>15200</v>
      </c>
      <c r="I375" s="288">
        <f>ROUND(IF($A375="E",H375*(1+Assumptions!F$15),H375*(1+Assumptions!F$14)),-2)</f>
        <v>15500</v>
      </c>
      <c r="J375" s="288">
        <f>ROUND(IF($A375="E",I375*(1+Assumptions!G$15),I375*(1+Assumptions!G$14)),-2)</f>
        <v>15800</v>
      </c>
      <c r="K375" s="288">
        <f>ROUND(IF($A375="E",J375*(1+Assumptions!H$15),J375*(1+Assumptions!H$14)),-2)</f>
        <v>16100</v>
      </c>
      <c r="L375" s="288">
        <f>ROUND(IF($A375="E",K375*(1+Assumptions!I$15),K375*(1+Assumptions!I$14)),-2)</f>
        <v>16500</v>
      </c>
      <c r="M375" s="288">
        <f>ROUND(IF($A375="E",L375*(1+Assumptions!J$15),L375*(1+Assumptions!J$14)),-2)</f>
        <v>16900</v>
      </c>
      <c r="N375" s="288">
        <f>ROUND(IF($A375="E",M375*(1+Assumptions!K$15),M375*(1+Assumptions!K$14)),-2)</f>
        <v>17300</v>
      </c>
    </row>
    <row r="376" spans="2:14" x14ac:dyDescent="0.25">
      <c r="B376" s="16" t="s">
        <v>43</v>
      </c>
      <c r="C376" s="16" t="s">
        <v>698</v>
      </c>
      <c r="D376" s="16" t="s">
        <v>699</v>
      </c>
      <c r="E376" s="288">
        <v>2400</v>
      </c>
      <c r="F376" s="288">
        <f>ROUND(IF($A376="E",E376*(1+Assumptions!C$15),E376*(1+Assumptions!C$14)),-2)</f>
        <v>2400</v>
      </c>
      <c r="G376" s="288">
        <f>ROUND(IF($A376="E",F376*(1+Assumptions!D$15),F376*(1+Assumptions!D$14)),-2)</f>
        <v>2400</v>
      </c>
      <c r="H376" s="288">
        <f>ROUND(IF($A376="E",G376*(1+Assumptions!E$15),G376*(1+Assumptions!E$14)),-2)</f>
        <v>2400</v>
      </c>
      <c r="I376" s="288">
        <f>ROUND(IF($A376="E",H376*(1+Assumptions!F$15),H376*(1+Assumptions!F$14)),-2)</f>
        <v>2400</v>
      </c>
      <c r="J376" s="288">
        <f>ROUND(IF($A376="E",I376*(1+Assumptions!G$15),I376*(1+Assumptions!G$14)),-2)</f>
        <v>2400</v>
      </c>
      <c r="K376" s="288">
        <f>ROUND(IF($A376="E",J376*(1+Assumptions!H$15),J376*(1+Assumptions!H$14)),-2)</f>
        <v>2400</v>
      </c>
      <c r="L376" s="288">
        <f>ROUND(IF($A376="E",K376*(1+Assumptions!I$15),K376*(1+Assumptions!I$14)),-2)</f>
        <v>2500</v>
      </c>
      <c r="M376" s="288">
        <f>ROUND(IF($A376="E",L376*(1+Assumptions!J$15),L376*(1+Assumptions!J$14)),-2)</f>
        <v>2600</v>
      </c>
      <c r="N376" s="288">
        <f>ROUND(IF($A376="E",M376*(1+Assumptions!K$15),M376*(1+Assumptions!K$14)),-2)</f>
        <v>2700</v>
      </c>
    </row>
    <row r="377" spans="2:14" x14ac:dyDescent="0.25">
      <c r="B377" s="16" t="s">
        <v>43</v>
      </c>
      <c r="C377" s="16" t="s">
        <v>700</v>
      </c>
      <c r="D377" s="16" t="s">
        <v>701</v>
      </c>
      <c r="E377" s="288">
        <v>2800</v>
      </c>
      <c r="F377" s="288">
        <f>ROUND(IF($A377="E",E377*(1+Assumptions!C$15),E377*(1+Assumptions!C$14)),-2)</f>
        <v>2800</v>
      </c>
      <c r="G377" s="288">
        <f>ROUND(IF($A377="E",F377*(1+Assumptions!D$15),F377*(1+Assumptions!D$14)),-2)</f>
        <v>2900</v>
      </c>
      <c r="H377" s="288">
        <f>ROUND(IF($A377="E",G377*(1+Assumptions!E$15),G377*(1+Assumptions!E$14)),-2)</f>
        <v>3000</v>
      </c>
      <c r="I377" s="288">
        <f>ROUND(IF($A377="E",H377*(1+Assumptions!F$15),H377*(1+Assumptions!F$14)),-2)</f>
        <v>3100</v>
      </c>
      <c r="J377" s="288">
        <f>ROUND(IF($A377="E",I377*(1+Assumptions!G$15),I377*(1+Assumptions!G$14)),-2)</f>
        <v>3200</v>
      </c>
      <c r="K377" s="288">
        <f>ROUND(IF($A377="E",J377*(1+Assumptions!H$15),J377*(1+Assumptions!H$14)),-2)</f>
        <v>3300</v>
      </c>
      <c r="L377" s="288">
        <f>ROUND(IF($A377="E",K377*(1+Assumptions!I$15),K377*(1+Assumptions!I$14)),-2)</f>
        <v>3400</v>
      </c>
      <c r="M377" s="288">
        <f>ROUND(IF($A377="E",L377*(1+Assumptions!J$15),L377*(1+Assumptions!J$14)),-2)</f>
        <v>3500</v>
      </c>
      <c r="N377" s="288">
        <f>ROUND(IF($A377="E",M377*(1+Assumptions!K$15),M377*(1+Assumptions!K$14)),-2)</f>
        <v>3600</v>
      </c>
    </row>
    <row r="378" spans="2:14" x14ac:dyDescent="0.25">
      <c r="B378" s="16" t="s">
        <v>43</v>
      </c>
      <c r="C378" s="16" t="s">
        <v>702</v>
      </c>
      <c r="D378" s="16" t="s">
        <v>703</v>
      </c>
      <c r="E378" s="288">
        <v>2800</v>
      </c>
      <c r="F378" s="288">
        <f>ROUND(IF($A378="E",E378*(1+Assumptions!C$15),E378*(1+Assumptions!C$14)),-2)</f>
        <v>2800</v>
      </c>
      <c r="G378" s="288">
        <f>ROUND(IF($A378="E",F378*(1+Assumptions!D$15),F378*(1+Assumptions!D$14)),-2)</f>
        <v>2900</v>
      </c>
      <c r="H378" s="288">
        <f>ROUND(IF($A378="E",G378*(1+Assumptions!E$15),G378*(1+Assumptions!E$14)),-2)</f>
        <v>3000</v>
      </c>
      <c r="I378" s="288">
        <f>ROUND(IF($A378="E",H378*(1+Assumptions!F$15),H378*(1+Assumptions!F$14)),-2)</f>
        <v>3100</v>
      </c>
      <c r="J378" s="288">
        <f>ROUND(IF($A378="E",I378*(1+Assumptions!G$15),I378*(1+Assumptions!G$14)),-2)</f>
        <v>3200</v>
      </c>
      <c r="K378" s="288">
        <f>ROUND(IF($A378="E",J378*(1+Assumptions!H$15),J378*(1+Assumptions!H$14)),-2)</f>
        <v>3300</v>
      </c>
      <c r="L378" s="288">
        <f>ROUND(IF($A378="E",K378*(1+Assumptions!I$15),K378*(1+Assumptions!I$14)),-2)</f>
        <v>3400</v>
      </c>
      <c r="M378" s="288">
        <f>ROUND(IF($A378="E",L378*(1+Assumptions!J$15),L378*(1+Assumptions!J$14)),-2)</f>
        <v>3500</v>
      </c>
      <c r="N378" s="288">
        <f>ROUND(IF($A378="E",M378*(1+Assumptions!K$15),M378*(1+Assumptions!K$14)),-2)</f>
        <v>3600</v>
      </c>
    </row>
    <row r="379" spans="2:14" x14ac:dyDescent="0.25">
      <c r="B379" s="16" t="s">
        <v>43</v>
      </c>
      <c r="C379" s="16" t="s">
        <v>704</v>
      </c>
      <c r="D379" s="16" t="s">
        <v>705</v>
      </c>
      <c r="E379" s="288">
        <v>5500</v>
      </c>
      <c r="F379" s="288">
        <f>ROUND(IF($A379="E",E379*(1+Assumptions!C$15),E379*(1+Assumptions!C$14)),-2)</f>
        <v>5600</v>
      </c>
      <c r="G379" s="288">
        <f>ROUND(IF($A379="E",F379*(1+Assumptions!D$15),F379*(1+Assumptions!D$14)),-2)</f>
        <v>5700</v>
      </c>
      <c r="H379" s="288">
        <f>ROUND(IF($A379="E",G379*(1+Assumptions!E$15),G379*(1+Assumptions!E$14)),-2)</f>
        <v>5800</v>
      </c>
      <c r="I379" s="288">
        <f>ROUND(IF($A379="E",H379*(1+Assumptions!F$15),H379*(1+Assumptions!F$14)),-2)</f>
        <v>5900</v>
      </c>
      <c r="J379" s="288">
        <f>ROUND(IF($A379="E",I379*(1+Assumptions!G$15),I379*(1+Assumptions!G$14)),-2)</f>
        <v>6000</v>
      </c>
      <c r="K379" s="288">
        <f>ROUND(IF($A379="E",J379*(1+Assumptions!H$15),J379*(1+Assumptions!H$14)),-2)</f>
        <v>6100</v>
      </c>
      <c r="L379" s="288">
        <f>ROUND(IF($A379="E",K379*(1+Assumptions!I$15),K379*(1+Assumptions!I$14)),-2)</f>
        <v>6300</v>
      </c>
      <c r="M379" s="288">
        <f>ROUND(IF($A379="E",L379*(1+Assumptions!J$15),L379*(1+Assumptions!J$14)),-2)</f>
        <v>6500</v>
      </c>
      <c r="N379" s="288">
        <f>ROUND(IF($A379="E",M379*(1+Assumptions!K$15),M379*(1+Assumptions!K$14)),-2)</f>
        <v>6700</v>
      </c>
    </row>
    <row r="380" spans="2:14" x14ac:dyDescent="0.25">
      <c r="B380" s="16" t="s">
        <v>45</v>
      </c>
      <c r="C380" s="16" t="s">
        <v>706</v>
      </c>
      <c r="D380" s="16" t="s">
        <v>707</v>
      </c>
      <c r="E380" s="289"/>
      <c r="F380" s="289"/>
      <c r="G380" s="289"/>
      <c r="H380" s="289"/>
      <c r="I380" s="289"/>
      <c r="J380" s="289"/>
      <c r="K380" s="289"/>
      <c r="L380" s="289"/>
      <c r="M380" s="289"/>
      <c r="N380" s="289"/>
    </row>
    <row r="381" spans="2:14" x14ac:dyDescent="0.25">
      <c r="B381" s="16" t="s">
        <v>45</v>
      </c>
      <c r="C381" s="16" t="s">
        <v>708</v>
      </c>
      <c r="D381" s="16" t="s">
        <v>709</v>
      </c>
      <c r="E381" s="288">
        <v>2300</v>
      </c>
      <c r="F381" s="288">
        <f>ROUND(IF($A381="E",E381*(1+Assumptions!C$15),E381*(1+Assumptions!C$14)),-2)</f>
        <v>2300</v>
      </c>
      <c r="G381" s="288">
        <f>ROUND(IF($A381="E",F381*(1+Assumptions!D$15),F381*(1+Assumptions!D$14)),-2)</f>
        <v>2300</v>
      </c>
      <c r="H381" s="288">
        <f>ROUND(IF($A381="E",G381*(1+Assumptions!E$15),G381*(1+Assumptions!E$14)),-2)</f>
        <v>2300</v>
      </c>
      <c r="I381" s="288">
        <f>ROUND(IF($A381="E",H381*(1+Assumptions!F$15),H381*(1+Assumptions!F$14)),-2)</f>
        <v>2300</v>
      </c>
      <c r="J381" s="288">
        <f>ROUND(IF($A381="E",I381*(1+Assumptions!G$15),I381*(1+Assumptions!G$14)),-2)</f>
        <v>2300</v>
      </c>
      <c r="K381" s="288">
        <f>ROUND(IF($A381="E",J381*(1+Assumptions!H$15),J381*(1+Assumptions!H$14)),-2)</f>
        <v>2300</v>
      </c>
      <c r="L381" s="288">
        <f>ROUND(IF($A381="E",K381*(1+Assumptions!I$15),K381*(1+Assumptions!I$14)),-2)</f>
        <v>2400</v>
      </c>
      <c r="M381" s="288">
        <f>ROUND(IF($A381="E",L381*(1+Assumptions!J$15),L381*(1+Assumptions!J$14)),-2)</f>
        <v>2500</v>
      </c>
      <c r="N381" s="288">
        <f>ROUND(IF($A381="E",M381*(1+Assumptions!K$15),M381*(1+Assumptions!K$14)),-2)</f>
        <v>2600</v>
      </c>
    </row>
    <row r="382" spans="2:14" x14ac:dyDescent="0.25">
      <c r="B382" s="16" t="s">
        <v>45</v>
      </c>
      <c r="C382" s="16" t="s">
        <v>710</v>
      </c>
      <c r="D382" s="16" t="s">
        <v>711</v>
      </c>
      <c r="E382" s="288">
        <v>5500</v>
      </c>
      <c r="F382" s="288">
        <f>ROUND(IF($A382="E",E382*(1+Assumptions!C$15),E382*(1+Assumptions!C$14)),-2)</f>
        <v>5600</v>
      </c>
      <c r="G382" s="288">
        <f>ROUND(IF($A382="E",F382*(1+Assumptions!D$15),F382*(1+Assumptions!D$14)),-2)</f>
        <v>5700</v>
      </c>
      <c r="H382" s="288">
        <f>ROUND(IF($A382="E",G382*(1+Assumptions!E$15),G382*(1+Assumptions!E$14)),-2)</f>
        <v>5800</v>
      </c>
      <c r="I382" s="288">
        <f>ROUND(IF($A382="E",H382*(1+Assumptions!F$15),H382*(1+Assumptions!F$14)),-2)</f>
        <v>5900</v>
      </c>
      <c r="J382" s="288">
        <f>ROUND(IF($A382="E",I382*(1+Assumptions!G$15),I382*(1+Assumptions!G$14)),-2)</f>
        <v>6000</v>
      </c>
      <c r="K382" s="288">
        <f>ROUND(IF($A382="E",J382*(1+Assumptions!H$15),J382*(1+Assumptions!H$14)),-2)</f>
        <v>6100</v>
      </c>
      <c r="L382" s="288">
        <f>ROUND(IF($A382="E",K382*(1+Assumptions!I$15),K382*(1+Assumptions!I$14)),-2)</f>
        <v>6300</v>
      </c>
      <c r="M382" s="288">
        <f>ROUND(IF($A382="E",L382*(1+Assumptions!J$15),L382*(1+Assumptions!J$14)),-2)</f>
        <v>6500</v>
      </c>
      <c r="N382" s="288">
        <f>ROUND(IF($A382="E",M382*(1+Assumptions!K$15),M382*(1+Assumptions!K$14)),-2)</f>
        <v>6700</v>
      </c>
    </row>
    <row r="383" spans="2:14" x14ac:dyDescent="0.25">
      <c r="B383" s="16" t="s">
        <v>45</v>
      </c>
      <c r="C383" s="16" t="s">
        <v>712</v>
      </c>
      <c r="D383" s="16" t="s">
        <v>713</v>
      </c>
      <c r="E383" s="289"/>
      <c r="F383" s="289"/>
      <c r="G383" s="289"/>
      <c r="H383" s="289"/>
      <c r="I383" s="289"/>
      <c r="J383" s="289"/>
      <c r="K383" s="289"/>
      <c r="L383" s="289"/>
      <c r="M383" s="289"/>
      <c r="N383" s="289"/>
    </row>
    <row r="384" spans="2:14" x14ac:dyDescent="0.25">
      <c r="B384" s="16" t="s">
        <v>45</v>
      </c>
      <c r="C384" s="16" t="s">
        <v>714</v>
      </c>
      <c r="D384" s="16" t="s">
        <v>715</v>
      </c>
      <c r="E384" s="288">
        <v>5400</v>
      </c>
      <c r="F384" s="288">
        <f>ROUND(IF($A384="E",E384*(1+Assumptions!C$15),E384*(1+Assumptions!C$14)),-2)</f>
        <v>5500</v>
      </c>
      <c r="G384" s="288">
        <f>ROUND(IF($A384="E",F384*(1+Assumptions!D$15),F384*(1+Assumptions!D$14)),-2)</f>
        <v>5600</v>
      </c>
      <c r="H384" s="288">
        <f>ROUND(IF($A384="E",G384*(1+Assumptions!E$15),G384*(1+Assumptions!E$14)),-2)</f>
        <v>5700</v>
      </c>
      <c r="I384" s="288">
        <f>ROUND(IF($A384="E",H384*(1+Assumptions!F$15),H384*(1+Assumptions!F$14)),-2)</f>
        <v>5800</v>
      </c>
      <c r="J384" s="288">
        <f>ROUND(IF($A384="E",I384*(1+Assumptions!G$15),I384*(1+Assumptions!G$14)),-2)</f>
        <v>5900</v>
      </c>
      <c r="K384" s="288">
        <f>ROUND(IF($A384="E",J384*(1+Assumptions!H$15),J384*(1+Assumptions!H$14)),-2)</f>
        <v>6000</v>
      </c>
      <c r="L384" s="288">
        <f>ROUND(IF($A384="E",K384*(1+Assumptions!I$15),K384*(1+Assumptions!I$14)),-2)</f>
        <v>6200</v>
      </c>
      <c r="M384" s="288">
        <f>ROUND(IF($A384="E",L384*(1+Assumptions!J$15),L384*(1+Assumptions!J$14)),-2)</f>
        <v>6400</v>
      </c>
      <c r="N384" s="288">
        <f>ROUND(IF($A384="E",M384*(1+Assumptions!K$15),M384*(1+Assumptions!K$14)),-2)</f>
        <v>6600</v>
      </c>
    </row>
    <row r="385" spans="2:14" x14ac:dyDescent="0.25">
      <c r="B385" s="16" t="s">
        <v>45</v>
      </c>
      <c r="C385" s="16" t="s">
        <v>716</v>
      </c>
      <c r="D385" s="16" t="s">
        <v>717</v>
      </c>
      <c r="E385" s="289"/>
      <c r="F385" s="289"/>
      <c r="G385" s="289"/>
      <c r="H385" s="289"/>
      <c r="I385" s="289"/>
      <c r="J385" s="289"/>
      <c r="K385" s="289"/>
      <c r="L385" s="289"/>
      <c r="M385" s="289"/>
      <c r="N385" s="289"/>
    </row>
    <row r="386" spans="2:14" x14ac:dyDescent="0.25">
      <c r="B386" s="16" t="s">
        <v>45</v>
      </c>
      <c r="C386" s="16" t="s">
        <v>718</v>
      </c>
      <c r="D386" s="16" t="s">
        <v>719</v>
      </c>
      <c r="E386" s="288">
        <v>1600</v>
      </c>
      <c r="F386" s="288">
        <f>ROUND(IF($A386="E",E386*(1+Assumptions!C$15),E386*(1+Assumptions!C$14)),-2)</f>
        <v>1600</v>
      </c>
      <c r="G386" s="288">
        <f>ROUND(IF($A386="E",F386*(1+Assumptions!D$15),F386*(1+Assumptions!D$14)),-2)</f>
        <v>1600</v>
      </c>
      <c r="H386" s="288">
        <f>ROUND(IF($A386="E",G386*(1+Assumptions!E$15),G386*(1+Assumptions!E$14)),-2)</f>
        <v>1600</v>
      </c>
      <c r="I386" s="288">
        <f>ROUND(IF($A386="E",H386*(1+Assumptions!F$15),H386*(1+Assumptions!F$14)),-2)</f>
        <v>1600</v>
      </c>
      <c r="J386" s="288">
        <f>ROUND(IF($A386="E",I386*(1+Assumptions!G$15),I386*(1+Assumptions!G$14)),-2)</f>
        <v>1600</v>
      </c>
      <c r="K386" s="288">
        <f>ROUND(IF($A386="E",J386*(1+Assumptions!H$15),J386*(1+Assumptions!H$14)),-2)</f>
        <v>1600</v>
      </c>
      <c r="L386" s="288">
        <f>ROUND(IF($A386="E",K386*(1+Assumptions!I$15),K386*(1+Assumptions!I$14)),-2)</f>
        <v>1600</v>
      </c>
      <c r="M386" s="288">
        <f>ROUND(IF($A386="E",L386*(1+Assumptions!J$15),L386*(1+Assumptions!J$14)),-2)</f>
        <v>1600</v>
      </c>
      <c r="N386" s="288">
        <f>ROUND(IF($A386="E",M386*(1+Assumptions!K$15),M386*(1+Assumptions!K$14)),-2)</f>
        <v>1600</v>
      </c>
    </row>
    <row r="387" spans="2:14" x14ac:dyDescent="0.25">
      <c r="B387" s="16" t="s">
        <v>43</v>
      </c>
      <c r="C387" s="16" t="s">
        <v>720</v>
      </c>
      <c r="D387" s="16" t="s">
        <v>721</v>
      </c>
      <c r="E387" s="288">
        <v>1100</v>
      </c>
      <c r="F387" s="288">
        <f>ROUND(IF($A387="E",E387*(1+Assumptions!C$15),E387*(1+Assumptions!C$14)),-2)</f>
        <v>1100</v>
      </c>
      <c r="G387" s="288">
        <f>ROUND(IF($A387="E",F387*(1+Assumptions!D$15),F387*(1+Assumptions!D$14)),-2)</f>
        <v>1100</v>
      </c>
      <c r="H387" s="288">
        <f>ROUND(IF($A387="E",G387*(1+Assumptions!E$15),G387*(1+Assumptions!E$14)),-2)</f>
        <v>1100</v>
      </c>
      <c r="I387" s="288">
        <f>ROUND(IF($A387="E",H387*(1+Assumptions!F$15),H387*(1+Assumptions!F$14)),-2)</f>
        <v>1100</v>
      </c>
      <c r="J387" s="288">
        <f>ROUND(IF($A387="E",I387*(1+Assumptions!G$15),I387*(1+Assumptions!G$14)),-2)</f>
        <v>1100</v>
      </c>
      <c r="K387" s="288">
        <f>ROUND(IF($A387="E",J387*(1+Assumptions!H$15),J387*(1+Assumptions!H$14)),-2)</f>
        <v>1100</v>
      </c>
      <c r="L387" s="288">
        <f>ROUND(IF($A387="E",K387*(1+Assumptions!I$15),K387*(1+Assumptions!I$14)),-2)</f>
        <v>1100</v>
      </c>
      <c r="M387" s="288">
        <f>ROUND(IF($A387="E",L387*(1+Assumptions!J$15),L387*(1+Assumptions!J$14)),-2)</f>
        <v>1100</v>
      </c>
      <c r="N387" s="288">
        <f>ROUND(IF($A387="E",M387*(1+Assumptions!K$15),M387*(1+Assumptions!K$14)),-2)</f>
        <v>1100</v>
      </c>
    </row>
    <row r="388" spans="2:14" x14ac:dyDescent="0.25">
      <c r="B388" s="16" t="s">
        <v>43</v>
      </c>
      <c r="C388" s="16" t="s">
        <v>722</v>
      </c>
      <c r="D388" s="16" t="s">
        <v>723</v>
      </c>
      <c r="E388" s="288">
        <v>4600</v>
      </c>
      <c r="F388" s="288">
        <f>ROUND(IF($A388="E",E388*(1+Assumptions!C$15),E388*(1+Assumptions!C$14)),-2)</f>
        <v>4700</v>
      </c>
      <c r="G388" s="288">
        <f>ROUND(IF($A388="E",F388*(1+Assumptions!D$15),F388*(1+Assumptions!D$14)),-2)</f>
        <v>4800</v>
      </c>
      <c r="H388" s="288">
        <f>ROUND(IF($A388="E",G388*(1+Assumptions!E$15),G388*(1+Assumptions!E$14)),-2)</f>
        <v>4900</v>
      </c>
      <c r="I388" s="288">
        <f>ROUND(IF($A388="E",H388*(1+Assumptions!F$15),H388*(1+Assumptions!F$14)),-2)</f>
        <v>5000</v>
      </c>
      <c r="J388" s="288">
        <f>ROUND(IF($A388="E",I388*(1+Assumptions!G$15),I388*(1+Assumptions!G$14)),-2)</f>
        <v>5100</v>
      </c>
      <c r="K388" s="288">
        <f>ROUND(IF($A388="E",J388*(1+Assumptions!H$15),J388*(1+Assumptions!H$14)),-2)</f>
        <v>5200</v>
      </c>
      <c r="L388" s="288">
        <f>ROUND(IF($A388="E",K388*(1+Assumptions!I$15),K388*(1+Assumptions!I$14)),-2)</f>
        <v>5300</v>
      </c>
      <c r="M388" s="288">
        <f>ROUND(IF($A388="E",L388*(1+Assumptions!J$15),L388*(1+Assumptions!J$14)),-2)</f>
        <v>5400</v>
      </c>
      <c r="N388" s="288">
        <f>ROUND(IF($A388="E",M388*(1+Assumptions!K$15),M388*(1+Assumptions!K$14)),-2)</f>
        <v>5500</v>
      </c>
    </row>
    <row r="389" spans="2:14" x14ac:dyDescent="0.25">
      <c r="B389" s="16" t="s">
        <v>43</v>
      </c>
      <c r="C389" s="16" t="s">
        <v>724</v>
      </c>
      <c r="D389" s="16" t="s">
        <v>725</v>
      </c>
      <c r="E389" s="288">
        <v>1600</v>
      </c>
      <c r="F389" s="288">
        <f>ROUND(IF($A389="E",E389*(1+Assumptions!C$15),E389*(1+Assumptions!C$14)),-2)</f>
        <v>1600</v>
      </c>
      <c r="G389" s="288">
        <f>ROUND(IF($A389="E",F389*(1+Assumptions!D$15),F389*(1+Assumptions!D$14)),-2)</f>
        <v>1600</v>
      </c>
      <c r="H389" s="288">
        <f>ROUND(IF($A389="E",G389*(1+Assumptions!E$15),G389*(1+Assumptions!E$14)),-2)</f>
        <v>1600</v>
      </c>
      <c r="I389" s="288">
        <f>ROUND(IF($A389="E",H389*(1+Assumptions!F$15),H389*(1+Assumptions!F$14)),-2)</f>
        <v>1600</v>
      </c>
      <c r="J389" s="288">
        <f>ROUND(IF($A389="E",I389*(1+Assumptions!G$15),I389*(1+Assumptions!G$14)),-2)</f>
        <v>1600</v>
      </c>
      <c r="K389" s="288">
        <f>ROUND(IF($A389="E",J389*(1+Assumptions!H$15),J389*(1+Assumptions!H$14)),-2)</f>
        <v>1600</v>
      </c>
      <c r="L389" s="288">
        <f>ROUND(IF($A389="E",K389*(1+Assumptions!I$15),K389*(1+Assumptions!I$14)),-2)</f>
        <v>1600</v>
      </c>
      <c r="M389" s="288">
        <f>ROUND(IF($A389="E",L389*(1+Assumptions!J$15),L389*(1+Assumptions!J$14)),-2)</f>
        <v>1600</v>
      </c>
      <c r="N389" s="288">
        <f>ROUND(IF($A389="E",M389*(1+Assumptions!K$15),M389*(1+Assumptions!K$14)),-2)</f>
        <v>1600</v>
      </c>
    </row>
    <row r="390" spans="2:14" x14ac:dyDescent="0.25">
      <c r="B390" s="16" t="s">
        <v>43</v>
      </c>
      <c r="C390" s="16" t="s">
        <v>726</v>
      </c>
      <c r="D390" s="16" t="s">
        <v>727</v>
      </c>
      <c r="E390" s="288">
        <v>10000</v>
      </c>
      <c r="F390" s="288">
        <f>ROUND(IF($A390="E",E390*(1+Assumptions!C$15),E390*(1+Assumptions!C$14)),-2)</f>
        <v>10200</v>
      </c>
      <c r="G390" s="288">
        <f>ROUND(IF($A390="E",F390*(1+Assumptions!D$15),F390*(1+Assumptions!D$14)),-2)</f>
        <v>10400</v>
      </c>
      <c r="H390" s="288">
        <f>ROUND(IF($A390="E",G390*(1+Assumptions!E$15),G390*(1+Assumptions!E$14)),-2)</f>
        <v>10600</v>
      </c>
      <c r="I390" s="288">
        <f>ROUND(IF($A390="E",H390*(1+Assumptions!F$15),H390*(1+Assumptions!F$14)),-2)</f>
        <v>10800</v>
      </c>
      <c r="J390" s="288">
        <f>ROUND(IF($A390="E",I390*(1+Assumptions!G$15),I390*(1+Assumptions!G$14)),-2)</f>
        <v>11000</v>
      </c>
      <c r="K390" s="288">
        <f>ROUND(IF($A390="E",J390*(1+Assumptions!H$15),J390*(1+Assumptions!H$14)),-2)</f>
        <v>11200</v>
      </c>
      <c r="L390" s="288">
        <f>ROUND(IF($A390="E",K390*(1+Assumptions!I$15),K390*(1+Assumptions!I$14)),-2)</f>
        <v>11500</v>
      </c>
      <c r="M390" s="288">
        <f>ROUND(IF($A390="E",L390*(1+Assumptions!J$15),L390*(1+Assumptions!J$14)),-2)</f>
        <v>11800</v>
      </c>
      <c r="N390" s="288">
        <f>ROUND(IF($A390="E",M390*(1+Assumptions!K$15),M390*(1+Assumptions!K$14)),-2)</f>
        <v>12100</v>
      </c>
    </row>
    <row r="391" spans="2:14" x14ac:dyDescent="0.25">
      <c r="B391" s="16" t="s">
        <v>43</v>
      </c>
      <c r="C391" s="16" t="s">
        <v>728</v>
      </c>
      <c r="D391" s="16" t="s">
        <v>729</v>
      </c>
      <c r="E391" s="289"/>
      <c r="F391" s="289"/>
      <c r="G391" s="289"/>
      <c r="H391" s="289"/>
      <c r="I391" s="289"/>
      <c r="J391" s="289"/>
      <c r="K391" s="289"/>
      <c r="L391" s="289"/>
      <c r="M391" s="289"/>
      <c r="N391" s="289"/>
    </row>
    <row r="392" spans="2:14" x14ac:dyDescent="0.25">
      <c r="B392" s="16" t="s">
        <v>43</v>
      </c>
      <c r="C392" s="16" t="s">
        <v>730</v>
      </c>
      <c r="D392" s="16" t="s">
        <v>731</v>
      </c>
      <c r="E392" s="288">
        <v>15100</v>
      </c>
      <c r="F392" s="288">
        <f>ROUND(IF($A392="E",E392*(1+Assumptions!C$15),E392*(1+Assumptions!C$14)),-2)</f>
        <v>15300</v>
      </c>
      <c r="G392" s="288">
        <f>ROUND(IF($A392="E",F392*(1+Assumptions!D$15),F392*(1+Assumptions!D$14)),-2)</f>
        <v>15600</v>
      </c>
      <c r="H392" s="288">
        <f>ROUND(IF($A392="E",G392*(1+Assumptions!E$15),G392*(1+Assumptions!E$14)),-2)</f>
        <v>15900</v>
      </c>
      <c r="I392" s="288">
        <f>ROUND(IF($A392="E",H392*(1+Assumptions!F$15),H392*(1+Assumptions!F$14)),-2)</f>
        <v>16200</v>
      </c>
      <c r="J392" s="288">
        <f>ROUND(IF($A392="E",I392*(1+Assumptions!G$15),I392*(1+Assumptions!G$14)),-2)</f>
        <v>16500</v>
      </c>
      <c r="K392" s="288">
        <f>ROUND(IF($A392="E",J392*(1+Assumptions!H$15),J392*(1+Assumptions!H$14)),-2)</f>
        <v>16800</v>
      </c>
      <c r="L392" s="288">
        <f>ROUND(IF($A392="E",K392*(1+Assumptions!I$15),K392*(1+Assumptions!I$14)),-2)</f>
        <v>17200</v>
      </c>
      <c r="M392" s="288">
        <f>ROUND(IF($A392="E",L392*(1+Assumptions!J$15),L392*(1+Assumptions!J$14)),-2)</f>
        <v>17600</v>
      </c>
      <c r="N392" s="288">
        <f>ROUND(IF($A392="E",M392*(1+Assumptions!K$15),M392*(1+Assumptions!K$14)),-2)</f>
        <v>18000</v>
      </c>
    </row>
    <row r="393" spans="2:14" x14ac:dyDescent="0.25">
      <c r="B393" s="16" t="s">
        <v>45</v>
      </c>
      <c r="C393" s="16" t="s">
        <v>732</v>
      </c>
      <c r="D393" s="16" t="s">
        <v>733</v>
      </c>
      <c r="E393" s="288">
        <v>1600</v>
      </c>
      <c r="F393" s="288">
        <f>ROUND(IF($A393="E",E393*(1+Assumptions!C$15),E393*(1+Assumptions!C$14)),-2)</f>
        <v>1600</v>
      </c>
      <c r="G393" s="288">
        <f>ROUND(IF($A393="E",F393*(1+Assumptions!D$15),F393*(1+Assumptions!D$14)),-2)</f>
        <v>1600</v>
      </c>
      <c r="H393" s="288">
        <f>ROUND(IF($A393="E",G393*(1+Assumptions!E$15),G393*(1+Assumptions!E$14)),-2)</f>
        <v>1600</v>
      </c>
      <c r="I393" s="288">
        <f>ROUND(IF($A393="E",H393*(1+Assumptions!F$15),H393*(1+Assumptions!F$14)),-2)</f>
        <v>1600</v>
      </c>
      <c r="J393" s="288">
        <f>ROUND(IF($A393="E",I393*(1+Assumptions!G$15),I393*(1+Assumptions!G$14)),-2)</f>
        <v>1600</v>
      </c>
      <c r="K393" s="288">
        <f>ROUND(IF($A393="E",J393*(1+Assumptions!H$15),J393*(1+Assumptions!H$14)),-2)</f>
        <v>1600</v>
      </c>
      <c r="L393" s="288">
        <f>ROUND(IF($A393="E",K393*(1+Assumptions!I$15),K393*(1+Assumptions!I$14)),-2)</f>
        <v>1600</v>
      </c>
      <c r="M393" s="288">
        <f>ROUND(IF($A393="E",L393*(1+Assumptions!J$15),L393*(1+Assumptions!J$14)),-2)</f>
        <v>1600</v>
      </c>
      <c r="N393" s="288">
        <f>ROUND(IF($A393="E",M393*(1+Assumptions!K$15),M393*(1+Assumptions!K$14)),-2)</f>
        <v>1600</v>
      </c>
    </row>
    <row r="394" spans="2:14" x14ac:dyDescent="0.25">
      <c r="B394" s="16" t="s">
        <v>43</v>
      </c>
      <c r="C394" s="16" t="s">
        <v>734</v>
      </c>
      <c r="D394" s="16" t="s">
        <v>735</v>
      </c>
      <c r="E394" s="289"/>
      <c r="F394" s="289"/>
      <c r="G394" s="289"/>
      <c r="H394" s="289"/>
      <c r="I394" s="289"/>
      <c r="J394" s="289"/>
      <c r="K394" s="289"/>
      <c r="L394" s="289"/>
      <c r="M394" s="289"/>
      <c r="N394" s="289"/>
    </row>
    <row r="395" spans="2:14" x14ac:dyDescent="0.25">
      <c r="B395" s="16" t="s">
        <v>43</v>
      </c>
      <c r="C395" s="16" t="s">
        <v>736</v>
      </c>
      <c r="D395" s="16" t="s">
        <v>737</v>
      </c>
      <c r="E395" s="288">
        <v>5500</v>
      </c>
      <c r="F395" s="288">
        <f>ROUND(IF($A395="E",E395*(1+Assumptions!C$15),E395*(1+Assumptions!C$14)),-2)</f>
        <v>5600</v>
      </c>
      <c r="G395" s="288">
        <f>ROUND(IF($A395="E",F395*(1+Assumptions!D$15),F395*(1+Assumptions!D$14)),-2)</f>
        <v>5700</v>
      </c>
      <c r="H395" s="288">
        <f>ROUND(IF($A395="E",G395*(1+Assumptions!E$15),G395*(1+Assumptions!E$14)),-2)</f>
        <v>5800</v>
      </c>
      <c r="I395" s="288">
        <f>ROUND(IF($A395="E",H395*(1+Assumptions!F$15),H395*(1+Assumptions!F$14)),-2)</f>
        <v>5900</v>
      </c>
      <c r="J395" s="288">
        <f>ROUND(IF($A395="E",I395*(1+Assumptions!G$15),I395*(1+Assumptions!G$14)),-2)</f>
        <v>6000</v>
      </c>
      <c r="K395" s="288">
        <f>ROUND(IF($A395="E",J395*(1+Assumptions!H$15),J395*(1+Assumptions!H$14)),-2)</f>
        <v>6100</v>
      </c>
      <c r="L395" s="288">
        <f>ROUND(IF($A395="E",K395*(1+Assumptions!I$15),K395*(1+Assumptions!I$14)),-2)</f>
        <v>6300</v>
      </c>
      <c r="M395" s="288">
        <f>ROUND(IF($A395="E",L395*(1+Assumptions!J$15),L395*(1+Assumptions!J$14)),-2)</f>
        <v>6500</v>
      </c>
      <c r="N395" s="288">
        <f>ROUND(IF($A395="E",M395*(1+Assumptions!K$15),M395*(1+Assumptions!K$14)),-2)</f>
        <v>6700</v>
      </c>
    </row>
    <row r="396" spans="2:14" x14ac:dyDescent="0.25">
      <c r="B396" s="16" t="s">
        <v>43</v>
      </c>
      <c r="C396" s="16" t="s">
        <v>738</v>
      </c>
      <c r="D396" s="16" t="s">
        <v>739</v>
      </c>
      <c r="E396" s="288">
        <v>5000</v>
      </c>
      <c r="F396" s="288">
        <f>ROUND(IF($A396="E",E396*(1+Assumptions!C$15),E396*(1+Assumptions!C$14)),-2)</f>
        <v>5100</v>
      </c>
      <c r="G396" s="288">
        <f>ROUND(IF($A396="E",F396*(1+Assumptions!D$15),F396*(1+Assumptions!D$14)),-2)</f>
        <v>5200</v>
      </c>
      <c r="H396" s="288">
        <f>ROUND(IF($A396="E",G396*(1+Assumptions!E$15),G396*(1+Assumptions!E$14)),-2)</f>
        <v>5300</v>
      </c>
      <c r="I396" s="288">
        <f>ROUND(IF($A396="E",H396*(1+Assumptions!F$15),H396*(1+Assumptions!F$14)),-2)</f>
        <v>5400</v>
      </c>
      <c r="J396" s="288">
        <f>ROUND(IF($A396="E",I396*(1+Assumptions!G$15),I396*(1+Assumptions!G$14)),-2)</f>
        <v>5500</v>
      </c>
      <c r="K396" s="288">
        <f>ROUND(IF($A396="E",J396*(1+Assumptions!H$15),J396*(1+Assumptions!H$14)),-2)</f>
        <v>5600</v>
      </c>
      <c r="L396" s="288">
        <f>ROUND(IF($A396="E",K396*(1+Assumptions!I$15),K396*(1+Assumptions!I$14)),-2)</f>
        <v>5700</v>
      </c>
      <c r="M396" s="288">
        <f>ROUND(IF($A396="E",L396*(1+Assumptions!J$15),L396*(1+Assumptions!J$14)),-2)</f>
        <v>5800</v>
      </c>
      <c r="N396" s="288">
        <f>ROUND(IF($A396="E",M396*(1+Assumptions!K$15),M396*(1+Assumptions!K$14)),-2)</f>
        <v>5900</v>
      </c>
    </row>
    <row r="397" spans="2:14" x14ac:dyDescent="0.25">
      <c r="B397" s="16" t="s">
        <v>45</v>
      </c>
      <c r="C397" s="16" t="s">
        <v>740</v>
      </c>
      <c r="D397" s="16" t="s">
        <v>273</v>
      </c>
      <c r="E397" s="289"/>
      <c r="F397" s="289"/>
      <c r="G397" s="289"/>
      <c r="H397" s="289"/>
      <c r="I397" s="289"/>
      <c r="J397" s="289"/>
      <c r="K397" s="289"/>
      <c r="L397" s="289"/>
      <c r="M397" s="289"/>
      <c r="N397" s="289"/>
    </row>
    <row r="398" spans="2:14" x14ac:dyDescent="0.25">
      <c r="B398" s="16" t="s">
        <v>45</v>
      </c>
      <c r="C398" s="16" t="s">
        <v>741</v>
      </c>
      <c r="D398" s="16" t="s">
        <v>742</v>
      </c>
      <c r="E398" s="288">
        <v>1200</v>
      </c>
      <c r="F398" s="288">
        <f>ROUND(IF($A398="E",E398*(1+Assumptions!C$15),E398*(1+Assumptions!C$14)),-2)</f>
        <v>1200</v>
      </c>
      <c r="G398" s="288">
        <f>ROUND(IF($A398="E",F398*(1+Assumptions!D$15),F398*(1+Assumptions!D$14)),-2)</f>
        <v>1200</v>
      </c>
      <c r="H398" s="288">
        <f>ROUND(IF($A398="E",G398*(1+Assumptions!E$15),G398*(1+Assumptions!E$14)),-2)</f>
        <v>1200</v>
      </c>
      <c r="I398" s="288">
        <f>ROUND(IF($A398="E",H398*(1+Assumptions!F$15),H398*(1+Assumptions!F$14)),-2)</f>
        <v>1200</v>
      </c>
      <c r="J398" s="288">
        <f>ROUND(IF($A398="E",I398*(1+Assumptions!G$15),I398*(1+Assumptions!G$14)),-2)</f>
        <v>1200</v>
      </c>
      <c r="K398" s="288">
        <f>ROUND(IF($A398="E",J398*(1+Assumptions!H$15),J398*(1+Assumptions!H$14)),-2)</f>
        <v>1200</v>
      </c>
      <c r="L398" s="288">
        <f>ROUND(IF($A398="E",K398*(1+Assumptions!I$15),K398*(1+Assumptions!I$14)),-2)</f>
        <v>1200</v>
      </c>
      <c r="M398" s="288">
        <f>ROUND(IF($A398="E",L398*(1+Assumptions!J$15),L398*(1+Assumptions!J$14)),-2)</f>
        <v>1200</v>
      </c>
      <c r="N398" s="288">
        <f>ROUND(IF($A398="E",M398*(1+Assumptions!K$15),M398*(1+Assumptions!K$14)),-2)</f>
        <v>1200</v>
      </c>
    </row>
    <row r="399" spans="2:14" x14ac:dyDescent="0.25">
      <c r="B399" s="16" t="s">
        <v>45</v>
      </c>
      <c r="C399" s="16" t="s">
        <v>743</v>
      </c>
      <c r="D399" s="16" t="s">
        <v>744</v>
      </c>
      <c r="E399" s="288">
        <v>13200</v>
      </c>
      <c r="F399" s="288">
        <f>ROUND(IF($A399="E",E399*(1+Assumptions!C$15),E399*(1+Assumptions!C$14)),-2)</f>
        <v>13400</v>
      </c>
      <c r="G399" s="288">
        <f>ROUND(IF($A399="E",F399*(1+Assumptions!D$15),F399*(1+Assumptions!D$14)),-2)</f>
        <v>13700</v>
      </c>
      <c r="H399" s="288">
        <f>ROUND(IF($A399="E",G399*(1+Assumptions!E$15),G399*(1+Assumptions!E$14)),-2)</f>
        <v>14000</v>
      </c>
      <c r="I399" s="288">
        <f>ROUND(IF($A399="E",H399*(1+Assumptions!F$15),H399*(1+Assumptions!F$14)),-2)</f>
        <v>14300</v>
      </c>
      <c r="J399" s="288">
        <f>ROUND(IF($A399="E",I399*(1+Assumptions!G$15),I399*(1+Assumptions!G$14)),-2)</f>
        <v>14600</v>
      </c>
      <c r="K399" s="288">
        <f>ROUND(IF($A399="E",J399*(1+Assumptions!H$15),J399*(1+Assumptions!H$14)),-2)</f>
        <v>14900</v>
      </c>
      <c r="L399" s="288">
        <f>ROUND(IF($A399="E",K399*(1+Assumptions!I$15),K399*(1+Assumptions!I$14)),-2)</f>
        <v>15300</v>
      </c>
      <c r="M399" s="288">
        <f>ROUND(IF($A399="E",L399*(1+Assumptions!J$15),L399*(1+Assumptions!J$14)),-2)</f>
        <v>15700</v>
      </c>
      <c r="N399" s="288">
        <f>ROUND(IF($A399="E",M399*(1+Assumptions!K$15),M399*(1+Assumptions!K$14)),-2)</f>
        <v>16100</v>
      </c>
    </row>
    <row r="400" spans="2:14" x14ac:dyDescent="0.25">
      <c r="B400" s="16" t="s">
        <v>43</v>
      </c>
      <c r="C400" s="16" t="s">
        <v>745</v>
      </c>
      <c r="D400" s="16" t="s">
        <v>187</v>
      </c>
      <c r="E400" s="289"/>
      <c r="F400" s="289"/>
      <c r="G400" s="289"/>
      <c r="H400" s="289"/>
      <c r="I400" s="289"/>
      <c r="J400" s="289"/>
      <c r="K400" s="289"/>
      <c r="L400" s="289"/>
      <c r="M400" s="289"/>
      <c r="N400" s="289"/>
    </row>
    <row r="401" spans="2:14" x14ac:dyDescent="0.25">
      <c r="B401" s="16" t="s">
        <v>43</v>
      </c>
      <c r="C401" s="16" t="s">
        <v>746</v>
      </c>
      <c r="D401" s="16" t="s">
        <v>193</v>
      </c>
      <c r="E401" s="288">
        <v>206700</v>
      </c>
      <c r="F401" s="288">
        <f>ROUND(IF($A401="E",E401*(1+Assumptions!C$15),E401*(1+Assumptions!C$14)),-2)</f>
        <v>209800</v>
      </c>
      <c r="G401" s="288">
        <f>ROUND(IF($A401="E",F401*(1+Assumptions!D$15),F401*(1+Assumptions!D$14)),-2)</f>
        <v>214000</v>
      </c>
      <c r="H401" s="288">
        <f>ROUND(IF($A401="E",G401*(1+Assumptions!E$15),G401*(1+Assumptions!E$14)),-2)</f>
        <v>218300</v>
      </c>
      <c r="I401" s="288">
        <f>ROUND(IF($A401="E",H401*(1+Assumptions!F$15),H401*(1+Assumptions!F$14)),-2)</f>
        <v>222700</v>
      </c>
      <c r="J401" s="288">
        <f>ROUND(IF($A401="E",I401*(1+Assumptions!G$15),I401*(1+Assumptions!G$14)),-2)</f>
        <v>227200</v>
      </c>
      <c r="K401" s="288">
        <f>ROUND(IF($A401="E",J401*(1+Assumptions!H$15),J401*(1+Assumptions!H$14)),-2)</f>
        <v>231700</v>
      </c>
      <c r="L401" s="288">
        <f>ROUND(IF($A401="E",K401*(1+Assumptions!I$15),K401*(1+Assumptions!I$14)),-2)</f>
        <v>237500</v>
      </c>
      <c r="M401" s="288">
        <f>ROUND(IF($A401="E",L401*(1+Assumptions!J$15),L401*(1+Assumptions!J$14)),-2)</f>
        <v>243400</v>
      </c>
      <c r="N401" s="288">
        <f>ROUND(IF($A401="E",M401*(1+Assumptions!K$15),M401*(1+Assumptions!K$14)),-2)</f>
        <v>249500</v>
      </c>
    </row>
    <row r="402" spans="2:14" ht="12.75" customHeight="1" x14ac:dyDescent="0.25">
      <c r="E402" s="288"/>
      <c r="F402" s="288"/>
      <c r="G402" s="288"/>
      <c r="H402" s="288"/>
      <c r="I402" s="288"/>
      <c r="J402" s="288"/>
      <c r="K402" s="288"/>
      <c r="L402" s="288"/>
      <c r="M402" s="288"/>
      <c r="N402" s="288"/>
    </row>
    <row r="403" spans="2:14" ht="12.75" customHeight="1" x14ac:dyDescent="0.25">
      <c r="D403" s="19" t="s">
        <v>3234</v>
      </c>
      <c r="E403" s="291">
        <f>SUM(E293:E402)</f>
        <v>1450000</v>
      </c>
      <c r="F403" s="291">
        <f t="shared" ref="F403:N403" si="12">SUM(F293:F402)</f>
        <v>1441300</v>
      </c>
      <c r="G403" s="291">
        <f t="shared" si="12"/>
        <v>1469900</v>
      </c>
      <c r="H403" s="291">
        <f t="shared" si="12"/>
        <v>1499100</v>
      </c>
      <c r="I403" s="291">
        <f t="shared" si="12"/>
        <v>1528800</v>
      </c>
      <c r="J403" s="291">
        <f t="shared" si="12"/>
        <v>1558900</v>
      </c>
      <c r="K403" s="291">
        <f t="shared" si="12"/>
        <v>1589400</v>
      </c>
      <c r="L403" s="291">
        <f t="shared" si="12"/>
        <v>1628800</v>
      </c>
      <c r="M403" s="291">
        <f t="shared" si="12"/>
        <v>1669100</v>
      </c>
      <c r="N403" s="291">
        <f t="shared" si="12"/>
        <v>1710500</v>
      </c>
    </row>
    <row r="404" spans="2:14" ht="12.75" customHeight="1" x14ac:dyDescent="0.25">
      <c r="E404" s="288"/>
      <c r="F404" s="288"/>
      <c r="G404" s="288"/>
      <c r="H404" s="288"/>
      <c r="I404" s="288"/>
      <c r="J404" s="288"/>
      <c r="K404" s="288"/>
      <c r="L404" s="288"/>
      <c r="M404" s="288"/>
      <c r="N404" s="288"/>
    </row>
    <row r="405" spans="2:14" x14ac:dyDescent="0.25">
      <c r="C405" s="16" t="s">
        <v>315</v>
      </c>
      <c r="E405" s="288"/>
      <c r="F405" s="288"/>
      <c r="G405" s="288"/>
      <c r="H405" s="288"/>
      <c r="I405" s="288"/>
      <c r="J405" s="288"/>
      <c r="K405" s="288"/>
      <c r="L405" s="288"/>
      <c r="M405" s="288"/>
      <c r="N405" s="288"/>
    </row>
    <row r="406" spans="2:14" x14ac:dyDescent="0.25">
      <c r="B406" s="16" t="s">
        <v>3229</v>
      </c>
      <c r="C406" s="16" t="s">
        <v>747</v>
      </c>
      <c r="D406" s="16" t="s">
        <v>748</v>
      </c>
      <c r="E406" s="289"/>
      <c r="F406" s="289"/>
      <c r="G406" s="289"/>
      <c r="H406" s="289"/>
      <c r="I406" s="289"/>
      <c r="J406" s="289"/>
      <c r="K406" s="289"/>
      <c r="L406" s="289"/>
      <c r="M406" s="289"/>
      <c r="N406" s="289"/>
    </row>
    <row r="407" spans="2:14" x14ac:dyDescent="0.25">
      <c r="B407" s="16" t="s">
        <v>3229</v>
      </c>
      <c r="C407" s="16" t="s">
        <v>749</v>
      </c>
      <c r="D407" s="16" t="s">
        <v>750</v>
      </c>
      <c r="E407" s="288">
        <v>-1300</v>
      </c>
      <c r="F407" s="288">
        <f>ROUND(E407+(E407*Assumptions!C$13),-2)</f>
        <v>-1300</v>
      </c>
      <c r="G407" s="288">
        <f>ROUND(F407+(F407*Assumptions!D$13),-2)</f>
        <v>-1300</v>
      </c>
      <c r="H407" s="288">
        <f>ROUND(G407+(G407*Assumptions!E$13),-2)</f>
        <v>-1300</v>
      </c>
      <c r="I407" s="288">
        <f>ROUND(H407+(H407*Assumptions!F$13),-2)</f>
        <v>-1300</v>
      </c>
      <c r="J407" s="288">
        <f>ROUND(I407+(I407*Assumptions!G$13),-2)</f>
        <v>-1300</v>
      </c>
      <c r="K407" s="288">
        <f>ROUND(J407+(J407*Assumptions!H$13),-2)</f>
        <v>-1300</v>
      </c>
      <c r="L407" s="288">
        <f>ROUND(K407+(K407*Assumptions!I$13),-2)</f>
        <v>-1300</v>
      </c>
      <c r="M407" s="288">
        <f>ROUND(L407+(L407*Assumptions!J$13),-2)</f>
        <v>-1300</v>
      </c>
      <c r="N407" s="288">
        <f>ROUND(M407+(M407*Assumptions!K$13),-2)</f>
        <v>-1300</v>
      </c>
    </row>
    <row r="408" spans="2:14" x14ac:dyDescent="0.25">
      <c r="B408" s="16" t="s">
        <v>3229</v>
      </c>
      <c r="C408" s="16" t="s">
        <v>751</v>
      </c>
      <c r="D408" s="16" t="s">
        <v>752</v>
      </c>
      <c r="E408" s="288">
        <v>-1000</v>
      </c>
      <c r="F408" s="288">
        <f>ROUND(E408+(E408*Assumptions!C$13),-2)</f>
        <v>-1000</v>
      </c>
      <c r="G408" s="288">
        <f>ROUND(F408+(F408*Assumptions!D$13),-2)</f>
        <v>-1000</v>
      </c>
      <c r="H408" s="288">
        <f>ROUND(G408+(G408*Assumptions!E$13),-2)</f>
        <v>-1000</v>
      </c>
      <c r="I408" s="288">
        <f>ROUND(H408+(H408*Assumptions!F$13),-2)</f>
        <v>-1000</v>
      </c>
      <c r="J408" s="288">
        <f>ROUND(I408+(I408*Assumptions!G$13),-2)</f>
        <v>-1000</v>
      </c>
      <c r="K408" s="288">
        <f>ROUND(J408+(J408*Assumptions!H$13),-2)</f>
        <v>-1000</v>
      </c>
      <c r="L408" s="288">
        <f>ROUND(K408+(K408*Assumptions!I$13),-2)</f>
        <v>-1000</v>
      </c>
      <c r="M408" s="288">
        <f>ROUND(L408+(L408*Assumptions!J$13),-2)</f>
        <v>-1000</v>
      </c>
      <c r="N408" s="288">
        <f>ROUND(M408+(M408*Assumptions!K$13),-2)</f>
        <v>-1000</v>
      </c>
    </row>
    <row r="409" spans="2:14" x14ac:dyDescent="0.25">
      <c r="B409" s="16" t="s">
        <v>3228</v>
      </c>
      <c r="C409" s="16" t="s">
        <v>753</v>
      </c>
      <c r="D409" s="16" t="s">
        <v>754</v>
      </c>
      <c r="E409" s="289"/>
      <c r="F409" s="289"/>
      <c r="G409" s="289"/>
      <c r="H409" s="289"/>
      <c r="I409" s="289"/>
      <c r="J409" s="289"/>
      <c r="K409" s="289"/>
      <c r="L409" s="289"/>
      <c r="M409" s="289"/>
      <c r="N409" s="289"/>
    </row>
    <row r="410" spans="2:14" x14ac:dyDescent="0.25">
      <c r="B410" s="16" t="s">
        <v>3228</v>
      </c>
      <c r="C410" s="16" t="s">
        <v>755</v>
      </c>
      <c r="D410" s="16" t="s">
        <v>756</v>
      </c>
      <c r="E410" s="288">
        <v>-37200</v>
      </c>
      <c r="F410" s="288">
        <f>ROUND(E410+(E410*Assumptions!C$13),-2)</f>
        <v>-37900</v>
      </c>
      <c r="G410" s="288">
        <f>ROUND(F410+(F410*Assumptions!D$13),-2)</f>
        <v>-38800</v>
      </c>
      <c r="H410" s="288">
        <f>ROUND(G410+(G410*Assumptions!E$13),-2)</f>
        <v>-39800</v>
      </c>
      <c r="I410" s="288">
        <f>ROUND(H410+(H410*Assumptions!F$13),-2)</f>
        <v>-40800</v>
      </c>
      <c r="J410" s="288">
        <f>ROUND(I410+(I410*Assumptions!G$13),-2)</f>
        <v>-41800</v>
      </c>
      <c r="K410" s="288">
        <f>ROUND(J410+(J410*Assumptions!H$13),-2)</f>
        <v>-42800</v>
      </c>
      <c r="L410" s="288">
        <f>ROUND(K410+(K410*Assumptions!I$13),-2)</f>
        <v>-43900</v>
      </c>
      <c r="M410" s="288">
        <f>ROUND(L410+(L410*Assumptions!J$13),-2)</f>
        <v>-45000</v>
      </c>
      <c r="N410" s="288">
        <f>ROUND(M410+(M410*Assumptions!K$13),-2)</f>
        <v>-46100</v>
      </c>
    </row>
    <row r="411" spans="2:14" x14ac:dyDescent="0.25">
      <c r="B411" s="16" t="s">
        <v>3228</v>
      </c>
      <c r="C411" s="16" t="s">
        <v>757</v>
      </c>
      <c r="D411" s="16" t="s">
        <v>758</v>
      </c>
      <c r="E411" s="289"/>
      <c r="F411" s="289"/>
      <c r="G411" s="289"/>
      <c r="H411" s="289"/>
      <c r="I411" s="289"/>
      <c r="J411" s="289"/>
      <c r="K411" s="289"/>
      <c r="L411" s="289"/>
      <c r="M411" s="289"/>
      <c r="N411" s="289"/>
    </row>
    <row r="412" spans="2:14" x14ac:dyDescent="0.25">
      <c r="B412" s="16" t="s">
        <v>3228</v>
      </c>
      <c r="C412" s="16" t="s">
        <v>759</v>
      </c>
      <c r="D412" s="16" t="s">
        <v>756</v>
      </c>
      <c r="E412" s="288">
        <v>-12800</v>
      </c>
      <c r="F412" s="288">
        <f>ROUND(E412+(E412*Assumptions!C$13),-2)</f>
        <v>-13100</v>
      </c>
      <c r="G412" s="288">
        <f>ROUND(F412+(F412*Assumptions!D$13),-2)</f>
        <v>-13400</v>
      </c>
      <c r="H412" s="288">
        <f>ROUND(G412+(G412*Assumptions!E$13),-2)</f>
        <v>-13700</v>
      </c>
      <c r="I412" s="288">
        <f>ROUND(H412+(H412*Assumptions!F$13),-2)</f>
        <v>-14000</v>
      </c>
      <c r="J412" s="288">
        <f>ROUND(I412+(I412*Assumptions!G$13),-2)</f>
        <v>-14400</v>
      </c>
      <c r="K412" s="288">
        <f>ROUND(J412+(J412*Assumptions!H$13),-2)</f>
        <v>-14800</v>
      </c>
      <c r="L412" s="288">
        <f>ROUND(K412+(K412*Assumptions!I$13),-2)</f>
        <v>-15200</v>
      </c>
      <c r="M412" s="288">
        <f>ROUND(L412+(L412*Assumptions!J$13),-2)</f>
        <v>-15600</v>
      </c>
      <c r="N412" s="288">
        <f>ROUND(M412+(M412*Assumptions!K$13),-2)</f>
        <v>-16000</v>
      </c>
    </row>
    <row r="413" spans="2:14" x14ac:dyDescent="0.25">
      <c r="B413" s="16" t="s">
        <v>3228</v>
      </c>
      <c r="C413" s="16" t="s">
        <v>760</v>
      </c>
      <c r="D413" s="16" t="s">
        <v>761</v>
      </c>
      <c r="E413" s="289"/>
      <c r="F413" s="289"/>
      <c r="G413" s="289"/>
      <c r="H413" s="289"/>
      <c r="I413" s="289"/>
      <c r="J413" s="289"/>
      <c r="K413" s="289"/>
      <c r="L413" s="289"/>
      <c r="M413" s="289"/>
      <c r="N413" s="289"/>
    </row>
    <row r="414" spans="2:14" x14ac:dyDescent="0.25">
      <c r="B414" s="16" t="s">
        <v>3228</v>
      </c>
      <c r="C414" s="16" t="s">
        <v>762</v>
      </c>
      <c r="D414" s="16" t="s">
        <v>756</v>
      </c>
      <c r="E414" s="288">
        <v>-40000</v>
      </c>
      <c r="F414" s="288">
        <f>ROUND(E414+(E414*Assumptions!C$13),-2)</f>
        <v>-40800</v>
      </c>
      <c r="G414" s="288">
        <f>ROUND(F414+(F414*Assumptions!D$13),-2)</f>
        <v>-41800</v>
      </c>
      <c r="H414" s="288">
        <f>ROUND(G414+(G414*Assumptions!E$13),-2)</f>
        <v>-42800</v>
      </c>
      <c r="I414" s="288">
        <f>ROUND(H414+(H414*Assumptions!F$13),-2)</f>
        <v>-43900</v>
      </c>
      <c r="J414" s="288">
        <f>ROUND(I414+(I414*Assumptions!G$13),-2)</f>
        <v>-45000</v>
      </c>
      <c r="K414" s="288">
        <f>ROUND(J414+(J414*Assumptions!H$13),-2)</f>
        <v>-46100</v>
      </c>
      <c r="L414" s="288">
        <f>ROUND(K414+(K414*Assumptions!I$13),-2)</f>
        <v>-47300</v>
      </c>
      <c r="M414" s="288">
        <f>ROUND(L414+(L414*Assumptions!J$13),-2)</f>
        <v>-48500</v>
      </c>
      <c r="N414" s="288">
        <f>ROUND(M414+(M414*Assumptions!K$13),-2)</f>
        <v>-49700</v>
      </c>
    </row>
    <row r="415" spans="2:14" x14ac:dyDescent="0.25">
      <c r="B415" s="16" t="s">
        <v>3228</v>
      </c>
      <c r="C415" s="16" t="s">
        <v>763</v>
      </c>
      <c r="D415" s="16" t="s">
        <v>764</v>
      </c>
      <c r="E415" s="288">
        <v>0</v>
      </c>
      <c r="F415" s="288">
        <f>ROUND(E415+(E415*Assumptions!C$13),-2)</f>
        <v>0</v>
      </c>
      <c r="G415" s="288">
        <f>ROUND(F415+(F415*Assumptions!D$13),-2)</f>
        <v>0</v>
      </c>
      <c r="H415" s="288">
        <f>ROUND(G415+(G415*Assumptions!E$13),-2)</f>
        <v>0</v>
      </c>
      <c r="I415" s="288">
        <f>ROUND(H415+(H415*Assumptions!F$13),-2)</f>
        <v>0</v>
      </c>
      <c r="J415" s="288">
        <f>ROUND(I415+(I415*Assumptions!G$13),-2)</f>
        <v>0</v>
      </c>
      <c r="K415" s="288">
        <f>ROUND(J415+(J415*Assumptions!H$13),-2)</f>
        <v>0</v>
      </c>
      <c r="L415" s="288">
        <f>ROUND(K415+(K415*Assumptions!I$13),-2)</f>
        <v>0</v>
      </c>
      <c r="M415" s="288">
        <f>ROUND(L415+(L415*Assumptions!J$13),-2)</f>
        <v>0</v>
      </c>
      <c r="N415" s="288">
        <f>ROUND(M415+(M415*Assumptions!K$13),-2)</f>
        <v>0</v>
      </c>
    </row>
    <row r="416" spans="2:14" x14ac:dyDescent="0.25">
      <c r="B416" s="16" t="s">
        <v>3228</v>
      </c>
      <c r="C416" s="16" t="s">
        <v>765</v>
      </c>
      <c r="D416" s="16" t="s">
        <v>766</v>
      </c>
      <c r="E416" s="288">
        <v>0</v>
      </c>
      <c r="F416" s="288">
        <f>ROUND(E416+(E416*Assumptions!C$13),-2)</f>
        <v>0</v>
      </c>
      <c r="G416" s="288">
        <f>ROUND(F416+(F416*Assumptions!D$13),-2)</f>
        <v>0</v>
      </c>
      <c r="H416" s="288">
        <f>ROUND(G416+(G416*Assumptions!E$13),-2)</f>
        <v>0</v>
      </c>
      <c r="I416" s="288">
        <f>ROUND(H416+(H416*Assumptions!F$13),-2)</f>
        <v>0</v>
      </c>
      <c r="J416" s="288">
        <f>ROUND(I416+(I416*Assumptions!G$13),-2)</f>
        <v>0</v>
      </c>
      <c r="K416" s="288">
        <f>ROUND(J416+(J416*Assumptions!H$13),-2)</f>
        <v>0</v>
      </c>
      <c r="L416" s="288">
        <f>ROUND(K416+(K416*Assumptions!I$13),-2)</f>
        <v>0</v>
      </c>
      <c r="M416" s="288">
        <f>ROUND(L416+(L416*Assumptions!J$13),-2)</f>
        <v>0</v>
      </c>
      <c r="N416" s="288">
        <f>ROUND(M416+(M416*Assumptions!K$13),-2)</f>
        <v>0</v>
      </c>
    </row>
    <row r="417" spans="2:14" x14ac:dyDescent="0.25">
      <c r="B417" s="16" t="s">
        <v>3228</v>
      </c>
      <c r="C417" s="16" t="s">
        <v>767</v>
      </c>
      <c r="D417" s="16" t="s">
        <v>768</v>
      </c>
      <c r="E417" s="289"/>
      <c r="F417" s="289"/>
      <c r="G417" s="289"/>
      <c r="H417" s="289"/>
      <c r="I417" s="289"/>
      <c r="J417" s="289"/>
      <c r="K417" s="289"/>
      <c r="L417" s="289"/>
      <c r="M417" s="289"/>
      <c r="N417" s="289"/>
    </row>
    <row r="418" spans="2:14" x14ac:dyDescent="0.25">
      <c r="B418" s="16" t="s">
        <v>3228</v>
      </c>
      <c r="C418" s="16" t="s">
        <v>769</v>
      </c>
      <c r="D418" s="16" t="s">
        <v>756</v>
      </c>
      <c r="E418" s="288">
        <v>-15000</v>
      </c>
      <c r="F418" s="288">
        <f>ROUND(E418+(E418*Assumptions!C$13),-2)</f>
        <v>-15300</v>
      </c>
      <c r="G418" s="288">
        <f>ROUND(F418+(F418*Assumptions!D$13),-2)</f>
        <v>-15700</v>
      </c>
      <c r="H418" s="288">
        <f>ROUND(G418+(G418*Assumptions!E$13),-2)</f>
        <v>-16100</v>
      </c>
      <c r="I418" s="288">
        <f>ROUND(H418+(H418*Assumptions!F$13),-2)</f>
        <v>-16500</v>
      </c>
      <c r="J418" s="288">
        <f>ROUND(I418+(I418*Assumptions!G$13),-2)</f>
        <v>-16900</v>
      </c>
      <c r="K418" s="288">
        <f>ROUND(J418+(J418*Assumptions!H$13),-2)</f>
        <v>-17300</v>
      </c>
      <c r="L418" s="288">
        <f>ROUND(K418+(K418*Assumptions!I$13),-2)</f>
        <v>-17700</v>
      </c>
      <c r="M418" s="288">
        <f>ROUND(L418+(L418*Assumptions!J$13),-2)</f>
        <v>-18100</v>
      </c>
      <c r="N418" s="288">
        <f>ROUND(M418+(M418*Assumptions!K$13),-2)</f>
        <v>-18600</v>
      </c>
    </row>
    <row r="419" spans="2:14" x14ac:dyDescent="0.25">
      <c r="B419" s="16" t="s">
        <v>3228</v>
      </c>
      <c r="C419" s="16" t="s">
        <v>770</v>
      </c>
      <c r="D419" s="16" t="s">
        <v>771</v>
      </c>
      <c r="E419" s="289"/>
      <c r="F419" s="289"/>
      <c r="G419" s="289"/>
      <c r="H419" s="289"/>
      <c r="I419" s="289"/>
      <c r="J419" s="289"/>
      <c r="K419" s="289"/>
      <c r="L419" s="289"/>
      <c r="M419" s="289"/>
      <c r="N419" s="289"/>
    </row>
    <row r="420" spans="2:14" x14ac:dyDescent="0.25">
      <c r="B420" s="16" t="s">
        <v>3228</v>
      </c>
      <c r="C420" s="16" t="s">
        <v>772</v>
      </c>
      <c r="D420" s="16" t="s">
        <v>756</v>
      </c>
      <c r="E420" s="288">
        <v>-11000</v>
      </c>
      <c r="F420" s="288">
        <f>ROUND(E420+(E420*Assumptions!C$13),-2)</f>
        <v>-11200</v>
      </c>
      <c r="G420" s="288">
        <f>ROUND(F420+(F420*Assumptions!D$13),-2)</f>
        <v>-11500</v>
      </c>
      <c r="H420" s="288">
        <f>ROUND(G420+(G420*Assumptions!E$13),-2)</f>
        <v>-11800</v>
      </c>
      <c r="I420" s="288">
        <f>ROUND(H420+(H420*Assumptions!F$13),-2)</f>
        <v>-12100</v>
      </c>
      <c r="J420" s="288">
        <f>ROUND(I420+(I420*Assumptions!G$13),-2)</f>
        <v>-12400</v>
      </c>
      <c r="K420" s="288">
        <f>ROUND(J420+(J420*Assumptions!H$13),-2)</f>
        <v>-12700</v>
      </c>
      <c r="L420" s="288">
        <f>ROUND(K420+(K420*Assumptions!I$13),-2)</f>
        <v>-13000</v>
      </c>
      <c r="M420" s="288">
        <f>ROUND(L420+(L420*Assumptions!J$13),-2)</f>
        <v>-13300</v>
      </c>
      <c r="N420" s="288">
        <f>ROUND(M420+(M420*Assumptions!K$13),-2)</f>
        <v>-13600</v>
      </c>
    </row>
    <row r="421" spans="2:14" x14ac:dyDescent="0.25">
      <c r="B421" s="16" t="s">
        <v>3228</v>
      </c>
      <c r="C421" s="16" t="s">
        <v>773</v>
      </c>
      <c r="D421" s="16" t="s">
        <v>552</v>
      </c>
      <c r="E421" s="289"/>
      <c r="F421" s="289"/>
      <c r="G421" s="289"/>
      <c r="H421" s="289"/>
      <c r="I421" s="289"/>
      <c r="J421" s="289"/>
      <c r="K421" s="289"/>
      <c r="L421" s="289"/>
      <c r="M421" s="289"/>
      <c r="N421" s="289"/>
    </row>
    <row r="422" spans="2:14" x14ac:dyDescent="0.25">
      <c r="B422" s="16" t="s">
        <v>3228</v>
      </c>
      <c r="C422" s="16" t="s">
        <v>774</v>
      </c>
      <c r="D422" s="16" t="s">
        <v>775</v>
      </c>
      <c r="E422" s="288">
        <v>0</v>
      </c>
      <c r="F422" s="288">
        <f>ROUND(E422+(E422*Assumptions!C$13),-2)</f>
        <v>0</v>
      </c>
      <c r="G422" s="288">
        <f>ROUND(F422+(F422*Assumptions!D$13),-2)</f>
        <v>0</v>
      </c>
      <c r="H422" s="288">
        <f>ROUND(G422+(G422*Assumptions!E$13),-2)</f>
        <v>0</v>
      </c>
      <c r="I422" s="288">
        <f>ROUND(H422+(H422*Assumptions!F$13),-2)</f>
        <v>0</v>
      </c>
      <c r="J422" s="288">
        <f>ROUND(I422+(I422*Assumptions!G$13),-2)</f>
        <v>0</v>
      </c>
      <c r="K422" s="288">
        <f>ROUND(J422+(J422*Assumptions!H$13),-2)</f>
        <v>0</v>
      </c>
      <c r="L422" s="288">
        <f>ROUND(K422+(K422*Assumptions!I$13),-2)</f>
        <v>0</v>
      </c>
      <c r="M422" s="288">
        <f>ROUND(L422+(L422*Assumptions!J$13),-2)</f>
        <v>0</v>
      </c>
      <c r="N422" s="288">
        <f>ROUND(M422+(M422*Assumptions!K$13),-2)</f>
        <v>0</v>
      </c>
    </row>
    <row r="423" spans="2:14" x14ac:dyDescent="0.25">
      <c r="B423" s="16" t="s">
        <v>3228</v>
      </c>
      <c r="C423" s="16" t="s">
        <v>776</v>
      </c>
      <c r="D423" s="16" t="s">
        <v>777</v>
      </c>
      <c r="E423" s="288">
        <v>0</v>
      </c>
      <c r="F423" s="288">
        <f>ROUND(E423+(E423*Assumptions!C$13),-2)</f>
        <v>0</v>
      </c>
      <c r="G423" s="288">
        <f>ROUND(F423+(F423*Assumptions!D$13),-2)</f>
        <v>0</v>
      </c>
      <c r="H423" s="288">
        <f>ROUND(G423+(G423*Assumptions!E$13),-2)</f>
        <v>0</v>
      </c>
      <c r="I423" s="288">
        <f>ROUND(H423+(H423*Assumptions!F$13),-2)</f>
        <v>0</v>
      </c>
      <c r="J423" s="288">
        <f>ROUND(I423+(I423*Assumptions!G$13),-2)</f>
        <v>0</v>
      </c>
      <c r="K423" s="288">
        <f>ROUND(J423+(J423*Assumptions!H$13),-2)</f>
        <v>0</v>
      </c>
      <c r="L423" s="288">
        <f>ROUND(K423+(K423*Assumptions!I$13),-2)</f>
        <v>0</v>
      </c>
      <c r="M423" s="288">
        <f>ROUND(L423+(L423*Assumptions!J$13),-2)</f>
        <v>0</v>
      </c>
      <c r="N423" s="288">
        <f>ROUND(M423+(M423*Assumptions!K$13),-2)</f>
        <v>0</v>
      </c>
    </row>
    <row r="424" spans="2:14" x14ac:dyDescent="0.25">
      <c r="B424" s="16" t="s">
        <v>3228</v>
      </c>
      <c r="C424" s="16" t="s">
        <v>778</v>
      </c>
      <c r="D424" s="16" t="s">
        <v>779</v>
      </c>
      <c r="E424" s="288">
        <v>0</v>
      </c>
      <c r="F424" s="288">
        <f>ROUND(E424+(E424*Assumptions!C$13),-2)</f>
        <v>0</v>
      </c>
      <c r="G424" s="288">
        <f>ROUND(F424+(F424*Assumptions!D$13),-2)</f>
        <v>0</v>
      </c>
      <c r="H424" s="288">
        <f>ROUND(G424+(G424*Assumptions!E$13),-2)</f>
        <v>0</v>
      </c>
      <c r="I424" s="288">
        <f>ROUND(H424+(H424*Assumptions!F$13),-2)</f>
        <v>0</v>
      </c>
      <c r="J424" s="288">
        <f>ROUND(I424+(I424*Assumptions!G$13),-2)</f>
        <v>0</v>
      </c>
      <c r="K424" s="288">
        <f>ROUND(J424+(J424*Assumptions!H$13),-2)</f>
        <v>0</v>
      </c>
      <c r="L424" s="288">
        <f>ROUND(K424+(K424*Assumptions!I$13),-2)</f>
        <v>0</v>
      </c>
      <c r="M424" s="288">
        <f>ROUND(L424+(L424*Assumptions!J$13),-2)</f>
        <v>0</v>
      </c>
      <c r="N424" s="288">
        <f>ROUND(M424+(M424*Assumptions!K$13),-2)</f>
        <v>0</v>
      </c>
    </row>
    <row r="425" spans="2:14" x14ac:dyDescent="0.25">
      <c r="B425" s="16" t="s">
        <v>3228</v>
      </c>
      <c r="C425" s="16" t="s">
        <v>780</v>
      </c>
      <c r="D425" s="16" t="s">
        <v>598</v>
      </c>
      <c r="E425" s="289"/>
      <c r="F425" s="289"/>
      <c r="G425" s="289"/>
      <c r="H425" s="289"/>
      <c r="I425" s="289"/>
      <c r="J425" s="289"/>
      <c r="K425" s="289"/>
      <c r="L425" s="289"/>
      <c r="M425" s="289"/>
      <c r="N425" s="289"/>
    </row>
    <row r="426" spans="2:14" x14ac:dyDescent="0.25">
      <c r="B426" s="16" t="s">
        <v>3228</v>
      </c>
      <c r="C426" s="16" t="s">
        <v>781</v>
      </c>
      <c r="D426" s="16" t="s">
        <v>756</v>
      </c>
      <c r="E426" s="288">
        <v>-11000</v>
      </c>
      <c r="F426" s="288">
        <f>ROUND(E426+(E426*Assumptions!C$13),-2)</f>
        <v>-11200</v>
      </c>
      <c r="G426" s="288">
        <f>ROUND(F426+(F426*Assumptions!D$13),-2)</f>
        <v>-11500</v>
      </c>
      <c r="H426" s="288">
        <f>ROUND(G426+(G426*Assumptions!E$13),-2)</f>
        <v>-11800</v>
      </c>
      <c r="I426" s="288">
        <f>ROUND(H426+(H426*Assumptions!F$13),-2)</f>
        <v>-12100</v>
      </c>
      <c r="J426" s="288">
        <f>ROUND(I426+(I426*Assumptions!G$13),-2)</f>
        <v>-12400</v>
      </c>
      <c r="K426" s="288">
        <f>ROUND(J426+(J426*Assumptions!H$13),-2)</f>
        <v>-12700</v>
      </c>
      <c r="L426" s="288">
        <f>ROUND(K426+(K426*Assumptions!I$13),-2)</f>
        <v>-13000</v>
      </c>
      <c r="M426" s="288">
        <f>ROUND(L426+(L426*Assumptions!J$13),-2)</f>
        <v>-13300</v>
      </c>
      <c r="N426" s="288">
        <f>ROUND(M426+(M426*Assumptions!K$13),-2)</f>
        <v>-13600</v>
      </c>
    </row>
    <row r="427" spans="2:14" x14ac:dyDescent="0.25">
      <c r="B427" s="16" t="s">
        <v>3228</v>
      </c>
      <c r="C427" s="16" t="s">
        <v>782</v>
      </c>
      <c r="D427" s="16" t="s">
        <v>783</v>
      </c>
      <c r="E427" s="288">
        <v>0</v>
      </c>
      <c r="F427" s="288">
        <f>ROUND(E427+(E427*Assumptions!C$13),-2)</f>
        <v>0</v>
      </c>
      <c r="G427" s="288">
        <f>ROUND(F427+(F427*Assumptions!D$13),-2)</f>
        <v>0</v>
      </c>
      <c r="H427" s="288">
        <f>ROUND(G427+(G427*Assumptions!E$13),-2)</f>
        <v>0</v>
      </c>
      <c r="I427" s="288">
        <f>ROUND(H427+(H427*Assumptions!F$13),-2)</f>
        <v>0</v>
      </c>
      <c r="J427" s="288">
        <f>ROUND(I427+(I427*Assumptions!G$13),-2)</f>
        <v>0</v>
      </c>
      <c r="K427" s="288">
        <f>ROUND(J427+(J427*Assumptions!H$13),-2)</f>
        <v>0</v>
      </c>
      <c r="L427" s="288">
        <f>ROUND(K427+(K427*Assumptions!I$13),-2)</f>
        <v>0</v>
      </c>
      <c r="M427" s="288">
        <f>ROUND(L427+(L427*Assumptions!J$13),-2)</f>
        <v>0</v>
      </c>
      <c r="N427" s="288">
        <f>ROUND(M427+(M427*Assumptions!K$13),-2)</f>
        <v>0</v>
      </c>
    </row>
    <row r="428" spans="2:14" x14ac:dyDescent="0.25">
      <c r="B428" s="16" t="s">
        <v>3228</v>
      </c>
      <c r="C428" s="16" t="s">
        <v>784</v>
      </c>
      <c r="D428" s="16" t="s">
        <v>785</v>
      </c>
      <c r="E428" s="288">
        <v>0</v>
      </c>
      <c r="F428" s="288">
        <f>ROUND(E428+(E428*Assumptions!C$13),-2)</f>
        <v>0</v>
      </c>
      <c r="G428" s="288">
        <f>ROUND(F428+(F428*Assumptions!D$13),-2)</f>
        <v>0</v>
      </c>
      <c r="H428" s="288">
        <f>ROUND(G428+(G428*Assumptions!E$13),-2)</f>
        <v>0</v>
      </c>
      <c r="I428" s="288">
        <f>ROUND(H428+(H428*Assumptions!F$13),-2)</f>
        <v>0</v>
      </c>
      <c r="J428" s="288">
        <f>ROUND(I428+(I428*Assumptions!G$13),-2)</f>
        <v>0</v>
      </c>
      <c r="K428" s="288">
        <f>ROUND(J428+(J428*Assumptions!H$13),-2)</f>
        <v>0</v>
      </c>
      <c r="L428" s="288">
        <f>ROUND(K428+(K428*Assumptions!I$13),-2)</f>
        <v>0</v>
      </c>
      <c r="M428" s="288">
        <f>ROUND(L428+(L428*Assumptions!J$13),-2)</f>
        <v>0</v>
      </c>
      <c r="N428" s="288">
        <f>ROUND(M428+(M428*Assumptions!K$13),-2)</f>
        <v>0</v>
      </c>
    </row>
    <row r="429" spans="2:14" x14ac:dyDescent="0.25">
      <c r="B429" s="16" t="s">
        <v>3228</v>
      </c>
      <c r="C429" s="16" t="s">
        <v>786</v>
      </c>
      <c r="D429" s="16" t="s">
        <v>787</v>
      </c>
      <c r="E429" s="288">
        <v>0</v>
      </c>
      <c r="F429" s="288">
        <f>ROUND(E429+(E429*Assumptions!C$13),-2)</f>
        <v>0</v>
      </c>
      <c r="G429" s="288">
        <f>ROUND(F429+(F429*Assumptions!D$13),-2)</f>
        <v>0</v>
      </c>
      <c r="H429" s="288">
        <f>ROUND(G429+(G429*Assumptions!E$13),-2)</f>
        <v>0</v>
      </c>
      <c r="I429" s="288">
        <f>ROUND(H429+(H429*Assumptions!F$13),-2)</f>
        <v>0</v>
      </c>
      <c r="J429" s="288">
        <f>ROUND(I429+(I429*Assumptions!G$13),-2)</f>
        <v>0</v>
      </c>
      <c r="K429" s="288">
        <f>ROUND(J429+(J429*Assumptions!H$13),-2)</f>
        <v>0</v>
      </c>
      <c r="L429" s="288">
        <f>ROUND(K429+(K429*Assumptions!I$13),-2)</f>
        <v>0</v>
      </c>
      <c r="M429" s="288">
        <f>ROUND(L429+(L429*Assumptions!J$13),-2)</f>
        <v>0</v>
      </c>
      <c r="N429" s="288">
        <f>ROUND(M429+(M429*Assumptions!K$13),-2)</f>
        <v>0</v>
      </c>
    </row>
    <row r="430" spans="2:14" x14ac:dyDescent="0.25">
      <c r="B430" s="16" t="s">
        <v>3228</v>
      </c>
      <c r="C430" s="16" t="s">
        <v>788</v>
      </c>
      <c r="D430" s="16" t="s">
        <v>594</v>
      </c>
      <c r="E430" s="289"/>
      <c r="F430" s="289"/>
      <c r="G430" s="289"/>
      <c r="H430" s="289"/>
      <c r="I430" s="289"/>
      <c r="J430" s="289"/>
      <c r="K430" s="289"/>
      <c r="L430" s="289"/>
      <c r="M430" s="289"/>
      <c r="N430" s="289"/>
    </row>
    <row r="431" spans="2:14" x14ac:dyDescent="0.25">
      <c r="B431" s="16" t="s">
        <v>3228</v>
      </c>
      <c r="C431" s="16" t="s">
        <v>789</v>
      </c>
      <c r="D431" s="16" t="s">
        <v>756</v>
      </c>
      <c r="E431" s="288">
        <v>-3200</v>
      </c>
      <c r="F431" s="288">
        <f>ROUND(E431+(E431*Assumptions!C$13),-2)</f>
        <v>-3300</v>
      </c>
      <c r="G431" s="288">
        <f>ROUND(F431+(F431*Assumptions!D$13),-2)</f>
        <v>-3400</v>
      </c>
      <c r="H431" s="288">
        <f>ROUND(G431+(G431*Assumptions!E$13),-2)</f>
        <v>-3500</v>
      </c>
      <c r="I431" s="288">
        <f>ROUND(H431+(H431*Assumptions!F$13),-2)</f>
        <v>-3600</v>
      </c>
      <c r="J431" s="288">
        <f>ROUND(I431+(I431*Assumptions!G$13),-2)</f>
        <v>-3700</v>
      </c>
      <c r="K431" s="288">
        <f>ROUND(J431+(J431*Assumptions!H$13),-2)</f>
        <v>-3800</v>
      </c>
      <c r="L431" s="288">
        <f>ROUND(K431+(K431*Assumptions!I$13),-2)</f>
        <v>-3900</v>
      </c>
      <c r="M431" s="288">
        <f>ROUND(L431+(L431*Assumptions!J$13),-2)</f>
        <v>-4000</v>
      </c>
      <c r="N431" s="288">
        <f>ROUND(M431+(M431*Assumptions!K$13),-2)</f>
        <v>-4100</v>
      </c>
    </row>
    <row r="432" spans="2:14" x14ac:dyDescent="0.25">
      <c r="B432" s="16" t="s">
        <v>3228</v>
      </c>
      <c r="C432" s="16" t="s">
        <v>790</v>
      </c>
      <c r="D432" s="16" t="s">
        <v>548</v>
      </c>
      <c r="E432" s="289"/>
      <c r="F432" s="289"/>
      <c r="G432" s="289"/>
      <c r="H432" s="289"/>
      <c r="I432" s="289"/>
      <c r="J432" s="289"/>
      <c r="K432" s="289"/>
      <c r="L432" s="289"/>
      <c r="M432" s="289"/>
      <c r="N432" s="289"/>
    </row>
    <row r="433" spans="2:14" x14ac:dyDescent="0.25">
      <c r="B433" s="16" t="s">
        <v>3228</v>
      </c>
      <c r="C433" s="16" t="s">
        <v>791</v>
      </c>
      <c r="D433" s="16" t="s">
        <v>792</v>
      </c>
      <c r="E433" s="288">
        <v>-1100</v>
      </c>
      <c r="F433" s="288">
        <f>ROUND(E433+(E433*Assumptions!C$13),-2)</f>
        <v>-1100</v>
      </c>
      <c r="G433" s="288">
        <f>ROUND(F433+(F433*Assumptions!D$13),-2)</f>
        <v>-1100</v>
      </c>
      <c r="H433" s="288">
        <f>ROUND(G433+(G433*Assumptions!E$13),-2)</f>
        <v>-1100</v>
      </c>
      <c r="I433" s="288">
        <f>ROUND(H433+(H433*Assumptions!F$13),-2)</f>
        <v>-1100</v>
      </c>
      <c r="J433" s="288">
        <f>ROUND(I433+(I433*Assumptions!G$13),-2)</f>
        <v>-1100</v>
      </c>
      <c r="K433" s="288">
        <f>ROUND(J433+(J433*Assumptions!H$13),-2)</f>
        <v>-1100</v>
      </c>
      <c r="L433" s="288">
        <f>ROUND(K433+(K433*Assumptions!I$13),-2)</f>
        <v>-1100</v>
      </c>
      <c r="M433" s="288">
        <f>ROUND(L433+(L433*Assumptions!J$13),-2)</f>
        <v>-1100</v>
      </c>
      <c r="N433" s="288">
        <f>ROUND(M433+(M433*Assumptions!K$13),-2)</f>
        <v>-1100</v>
      </c>
    </row>
    <row r="434" spans="2:14" ht="12.75" customHeight="1" x14ac:dyDescent="0.25">
      <c r="E434" s="288"/>
      <c r="F434" s="288"/>
      <c r="G434" s="288"/>
      <c r="H434" s="288"/>
      <c r="I434" s="288"/>
      <c r="J434" s="288"/>
      <c r="K434" s="288"/>
      <c r="L434" s="288"/>
      <c r="M434" s="288"/>
      <c r="N434" s="288"/>
    </row>
    <row r="435" spans="2:14" ht="12.75" customHeight="1" x14ac:dyDescent="0.25">
      <c r="D435" s="19" t="s">
        <v>3234</v>
      </c>
      <c r="E435" s="291">
        <f>SUM(E406:E434)</f>
        <v>-133600</v>
      </c>
      <c r="F435" s="291">
        <f t="shared" ref="F435:N435" si="13">SUM(F406:F434)</f>
        <v>-136200</v>
      </c>
      <c r="G435" s="291">
        <f t="shared" si="13"/>
        <v>-139500</v>
      </c>
      <c r="H435" s="291">
        <f t="shared" si="13"/>
        <v>-142900</v>
      </c>
      <c r="I435" s="291">
        <f t="shared" si="13"/>
        <v>-146400</v>
      </c>
      <c r="J435" s="291">
        <f t="shared" si="13"/>
        <v>-150000</v>
      </c>
      <c r="K435" s="291">
        <f t="shared" si="13"/>
        <v>-153600</v>
      </c>
      <c r="L435" s="291">
        <f t="shared" si="13"/>
        <v>-157400</v>
      </c>
      <c r="M435" s="291">
        <f t="shared" si="13"/>
        <v>-161200</v>
      </c>
      <c r="N435" s="291">
        <f t="shared" si="13"/>
        <v>-165100</v>
      </c>
    </row>
    <row r="436" spans="2:14" ht="12.75" customHeight="1" x14ac:dyDescent="0.25">
      <c r="E436" s="288"/>
      <c r="F436" s="288"/>
      <c r="G436" s="288"/>
      <c r="H436" s="288"/>
      <c r="I436" s="288"/>
      <c r="J436" s="288"/>
      <c r="K436" s="288"/>
      <c r="L436" s="288"/>
      <c r="M436" s="288"/>
      <c r="N436" s="288"/>
    </row>
    <row r="437" spans="2:14" x14ac:dyDescent="0.25">
      <c r="C437" s="19" t="s">
        <v>793</v>
      </c>
      <c r="E437" s="288"/>
      <c r="F437" s="288"/>
      <c r="G437" s="288"/>
      <c r="H437" s="288"/>
      <c r="I437" s="288"/>
      <c r="J437" s="288"/>
      <c r="K437" s="288"/>
      <c r="L437" s="288"/>
      <c r="M437" s="288"/>
      <c r="N437" s="288"/>
    </row>
    <row r="438" spans="2:14" ht="12.75" customHeight="1" x14ac:dyDescent="0.25">
      <c r="E438" s="288"/>
      <c r="F438" s="288"/>
      <c r="G438" s="288"/>
      <c r="H438" s="288"/>
      <c r="I438" s="288"/>
      <c r="J438" s="288"/>
      <c r="K438" s="288"/>
      <c r="L438" s="288"/>
      <c r="M438" s="288"/>
      <c r="N438" s="288"/>
    </row>
    <row r="439" spans="2:14" x14ac:dyDescent="0.25">
      <c r="C439" s="16" t="s">
        <v>87</v>
      </c>
      <c r="E439" s="288"/>
      <c r="F439" s="288"/>
      <c r="G439" s="288"/>
      <c r="H439" s="288"/>
      <c r="I439" s="288"/>
      <c r="J439" s="288"/>
      <c r="K439" s="288"/>
      <c r="L439" s="288"/>
      <c r="M439" s="288"/>
      <c r="N439" s="288"/>
    </row>
    <row r="440" spans="2:14" x14ac:dyDescent="0.25">
      <c r="B440" s="16" t="s">
        <v>41</v>
      </c>
      <c r="C440" s="16" t="s">
        <v>794</v>
      </c>
      <c r="D440" s="16" t="s">
        <v>795</v>
      </c>
      <c r="E440" s="289"/>
      <c r="F440" s="289"/>
      <c r="G440" s="289"/>
      <c r="H440" s="289"/>
      <c r="I440" s="289"/>
      <c r="J440" s="289"/>
      <c r="K440" s="289"/>
      <c r="L440" s="289"/>
      <c r="M440" s="289"/>
      <c r="N440" s="289"/>
    </row>
    <row r="441" spans="2:14" x14ac:dyDescent="0.25">
      <c r="B441" s="16" t="s">
        <v>41</v>
      </c>
      <c r="C441" s="16" t="s">
        <v>796</v>
      </c>
      <c r="D441" s="16" t="s">
        <v>797</v>
      </c>
      <c r="E441" s="288">
        <v>2000</v>
      </c>
      <c r="F441" s="288">
        <f>ROUND(IF($A441="E",E441*(1+Assumptions!C$15),E441*(1+Assumptions!C$14)),-2)</f>
        <v>2000</v>
      </c>
      <c r="G441" s="288">
        <f>ROUND(IF($A441="E",F441*(1+Assumptions!D$15),F441*(1+Assumptions!D$14)),-2)</f>
        <v>2000</v>
      </c>
      <c r="H441" s="288">
        <f>ROUND(IF($A441="E",G441*(1+Assumptions!E$15),G441*(1+Assumptions!E$14)),-2)</f>
        <v>2000</v>
      </c>
      <c r="I441" s="288">
        <f>ROUND(IF($A441="E",H441*(1+Assumptions!F$15),H441*(1+Assumptions!F$14)),-2)</f>
        <v>2000</v>
      </c>
      <c r="J441" s="288">
        <f>ROUND(IF($A441="E",I441*(1+Assumptions!G$15),I441*(1+Assumptions!G$14)),-2)</f>
        <v>2000</v>
      </c>
      <c r="K441" s="288">
        <f>ROUND(IF($A441="E",J441*(1+Assumptions!H$15),J441*(1+Assumptions!H$14)),-2)</f>
        <v>2000</v>
      </c>
      <c r="L441" s="288">
        <f>ROUND(IF($A441="E",K441*(1+Assumptions!I$15),K441*(1+Assumptions!I$14)),-2)</f>
        <v>2100</v>
      </c>
      <c r="M441" s="288">
        <f>ROUND(IF($A441="E",L441*(1+Assumptions!J$15),L441*(1+Assumptions!J$14)),-2)</f>
        <v>2200</v>
      </c>
      <c r="N441" s="288">
        <f>ROUND(IF($A441="E",M441*(1+Assumptions!K$15),M441*(1+Assumptions!K$14)),-2)</f>
        <v>2300</v>
      </c>
    </row>
    <row r="442" spans="2:14" x14ac:dyDescent="0.25">
      <c r="B442" s="16" t="s">
        <v>41</v>
      </c>
      <c r="C442" s="16" t="s">
        <v>798</v>
      </c>
      <c r="D442" s="16" t="s">
        <v>799</v>
      </c>
      <c r="E442" s="289"/>
      <c r="F442" s="289"/>
      <c r="G442" s="289"/>
      <c r="H442" s="289"/>
      <c r="I442" s="289"/>
      <c r="J442" s="289"/>
      <c r="K442" s="289"/>
      <c r="L442" s="289"/>
      <c r="M442" s="289"/>
      <c r="N442" s="289"/>
    </row>
    <row r="443" spans="2:14" x14ac:dyDescent="0.25">
      <c r="B443" s="16" t="s">
        <v>41</v>
      </c>
      <c r="C443" s="16" t="s">
        <v>800</v>
      </c>
      <c r="D443" s="16" t="s">
        <v>801</v>
      </c>
      <c r="E443" s="288">
        <v>53500</v>
      </c>
      <c r="F443" s="288">
        <f>ROUND(IF($A443="E",E443*(1+Assumptions!C$15),E443*(1+Assumptions!C$14)),-2)</f>
        <v>54300</v>
      </c>
      <c r="G443" s="288">
        <f>ROUND(IF($A443="E",F443*(1+Assumptions!D$15),F443*(1+Assumptions!D$14)),-2)</f>
        <v>55400</v>
      </c>
      <c r="H443" s="288">
        <f>ROUND(IF($A443="E",G443*(1+Assumptions!E$15),G443*(1+Assumptions!E$14)),-2)</f>
        <v>56500</v>
      </c>
      <c r="I443" s="288">
        <f>ROUND(IF($A443="E",H443*(1+Assumptions!F$15),H443*(1+Assumptions!F$14)),-2)</f>
        <v>57600</v>
      </c>
      <c r="J443" s="288">
        <f>ROUND(IF($A443="E",I443*(1+Assumptions!G$15),I443*(1+Assumptions!G$14)),-2)</f>
        <v>58800</v>
      </c>
      <c r="K443" s="288">
        <f>ROUND(IF($A443="E",J443*(1+Assumptions!H$15),J443*(1+Assumptions!H$14)),-2)</f>
        <v>60000</v>
      </c>
      <c r="L443" s="288">
        <f>ROUND(IF($A443="E",K443*(1+Assumptions!I$15),K443*(1+Assumptions!I$14)),-2)</f>
        <v>61500</v>
      </c>
      <c r="M443" s="288">
        <f>ROUND(IF($A443="E",L443*(1+Assumptions!J$15),L443*(1+Assumptions!J$14)),-2)</f>
        <v>63000</v>
      </c>
      <c r="N443" s="288">
        <f>ROUND(IF($A443="E",M443*(1+Assumptions!K$15),M443*(1+Assumptions!K$14)),-2)</f>
        <v>64600</v>
      </c>
    </row>
    <row r="444" spans="2:14" x14ac:dyDescent="0.25">
      <c r="B444" s="16" t="s">
        <v>41</v>
      </c>
      <c r="C444" s="16" t="s">
        <v>802</v>
      </c>
      <c r="D444" s="16" t="s">
        <v>803</v>
      </c>
      <c r="E444" s="288">
        <v>47700</v>
      </c>
      <c r="F444" s="288">
        <f>ROUND(IF($A444="E",E444*(1+Assumptions!C$15),E444*(1+Assumptions!C$14)),-2)</f>
        <v>48400</v>
      </c>
      <c r="G444" s="288">
        <f>ROUND(IF($A444="E",F444*(1+Assumptions!D$15),F444*(1+Assumptions!D$14)),-2)</f>
        <v>49400</v>
      </c>
      <c r="H444" s="288">
        <f>ROUND(IF($A444="E",G444*(1+Assumptions!E$15),G444*(1+Assumptions!E$14)),-2)</f>
        <v>50400</v>
      </c>
      <c r="I444" s="288">
        <f>ROUND(IF($A444="E",H444*(1+Assumptions!F$15),H444*(1+Assumptions!F$14)),-2)</f>
        <v>51400</v>
      </c>
      <c r="J444" s="288">
        <f>ROUND(IF($A444="E",I444*(1+Assumptions!G$15),I444*(1+Assumptions!G$14)),-2)</f>
        <v>52400</v>
      </c>
      <c r="K444" s="288">
        <f>ROUND(IF($A444="E",J444*(1+Assumptions!H$15),J444*(1+Assumptions!H$14)),-2)</f>
        <v>53400</v>
      </c>
      <c r="L444" s="288">
        <f>ROUND(IF($A444="E",K444*(1+Assumptions!I$15),K444*(1+Assumptions!I$14)),-2)</f>
        <v>54700</v>
      </c>
      <c r="M444" s="288">
        <f>ROUND(IF($A444="E",L444*(1+Assumptions!J$15),L444*(1+Assumptions!J$14)),-2)</f>
        <v>56100</v>
      </c>
      <c r="N444" s="288">
        <f>ROUND(IF($A444="E",M444*(1+Assumptions!K$15),M444*(1+Assumptions!K$14)),-2)</f>
        <v>57500</v>
      </c>
    </row>
    <row r="445" spans="2:14" x14ac:dyDescent="0.25">
      <c r="B445" s="16" t="s">
        <v>41</v>
      </c>
      <c r="C445" s="16" t="s">
        <v>804</v>
      </c>
      <c r="D445" s="16" t="s">
        <v>805</v>
      </c>
      <c r="E445" s="288">
        <v>174300</v>
      </c>
      <c r="F445" s="288">
        <f>ROUND(IF($A445="E",E445*(1+Assumptions!C$15),E445*(1+Assumptions!C$14)),-2)</f>
        <v>176900</v>
      </c>
      <c r="G445" s="288">
        <f>ROUND(IF($A445="E",F445*(1+Assumptions!D$15),F445*(1+Assumptions!D$14)),-2)</f>
        <v>180400</v>
      </c>
      <c r="H445" s="288">
        <f>ROUND(IF($A445="E",G445*(1+Assumptions!E$15),G445*(1+Assumptions!E$14)),-2)</f>
        <v>184000</v>
      </c>
      <c r="I445" s="288">
        <f>ROUND(IF($A445="E",H445*(1+Assumptions!F$15),H445*(1+Assumptions!F$14)),-2)</f>
        <v>187700</v>
      </c>
      <c r="J445" s="288">
        <f>ROUND(IF($A445="E",I445*(1+Assumptions!G$15),I445*(1+Assumptions!G$14)),-2)</f>
        <v>191500</v>
      </c>
      <c r="K445" s="288">
        <f>ROUND(IF($A445="E",J445*(1+Assumptions!H$15),J445*(1+Assumptions!H$14)),-2)</f>
        <v>195300</v>
      </c>
      <c r="L445" s="288">
        <f>ROUND(IF($A445="E",K445*(1+Assumptions!I$15),K445*(1+Assumptions!I$14)),-2)</f>
        <v>200200</v>
      </c>
      <c r="M445" s="288">
        <f>ROUND(IF($A445="E",L445*(1+Assumptions!J$15),L445*(1+Assumptions!J$14)),-2)</f>
        <v>205200</v>
      </c>
      <c r="N445" s="288">
        <f>ROUND(IF($A445="E",M445*(1+Assumptions!K$15),M445*(1+Assumptions!K$14)),-2)</f>
        <v>210300</v>
      </c>
    </row>
    <row r="446" spans="2:14" x14ac:dyDescent="0.25">
      <c r="B446" s="16" t="s">
        <v>41</v>
      </c>
      <c r="C446" s="16" t="s">
        <v>806</v>
      </c>
      <c r="D446" s="16" t="s">
        <v>807</v>
      </c>
      <c r="E446" s="288">
        <v>313600</v>
      </c>
      <c r="F446" s="288">
        <f>ROUND(IF($A446="E",E446*(1+Assumptions!C$15),E446*(1+Assumptions!C$14)),-2)</f>
        <v>318300</v>
      </c>
      <c r="G446" s="288">
        <f>ROUND(IF($A446="E",F446*(1+Assumptions!D$15),F446*(1+Assumptions!D$14)),-2)</f>
        <v>324700</v>
      </c>
      <c r="H446" s="288">
        <f>ROUND(IF($A446="E",G446*(1+Assumptions!E$15),G446*(1+Assumptions!E$14)),-2)</f>
        <v>331200</v>
      </c>
      <c r="I446" s="288">
        <f>ROUND(IF($A446="E",H446*(1+Assumptions!F$15),H446*(1+Assumptions!F$14)),-2)</f>
        <v>337800</v>
      </c>
      <c r="J446" s="288">
        <f>ROUND(IF($A446="E",I446*(1+Assumptions!G$15),I446*(1+Assumptions!G$14)),-2)</f>
        <v>344600</v>
      </c>
      <c r="K446" s="288">
        <f>ROUND(IF($A446="E",J446*(1+Assumptions!H$15),J446*(1+Assumptions!H$14)),-2)</f>
        <v>351500</v>
      </c>
      <c r="L446" s="288">
        <f>ROUND(IF($A446="E",K446*(1+Assumptions!I$15),K446*(1+Assumptions!I$14)),-2)</f>
        <v>360300</v>
      </c>
      <c r="M446" s="288">
        <f>ROUND(IF($A446="E",L446*(1+Assumptions!J$15),L446*(1+Assumptions!J$14)),-2)</f>
        <v>369300</v>
      </c>
      <c r="N446" s="288">
        <f>ROUND(IF($A446="E",M446*(1+Assumptions!K$15),M446*(1+Assumptions!K$14)),-2)</f>
        <v>378500</v>
      </c>
    </row>
    <row r="447" spans="2:14" x14ac:dyDescent="0.25">
      <c r="B447" s="16" t="s">
        <v>41</v>
      </c>
      <c r="C447" s="16" t="s">
        <v>808</v>
      </c>
      <c r="D447" s="16" t="s">
        <v>809</v>
      </c>
      <c r="E447" s="288">
        <v>295700</v>
      </c>
      <c r="F447" s="288">
        <f>ROUND(IF($A447="E",E447*(1+Assumptions!C$15),E447*(1+Assumptions!C$14)),-2)</f>
        <v>300100</v>
      </c>
      <c r="G447" s="288">
        <f>ROUND(IF($A447="E",F447*(1+Assumptions!D$15),F447*(1+Assumptions!D$14)),-2)</f>
        <v>306100</v>
      </c>
      <c r="H447" s="288">
        <f>ROUND(IF($A447="E",G447*(1+Assumptions!E$15),G447*(1+Assumptions!E$14)),-2)</f>
        <v>312200</v>
      </c>
      <c r="I447" s="288">
        <f>ROUND(IF($A447="E",H447*(1+Assumptions!F$15),H447*(1+Assumptions!F$14)),-2)</f>
        <v>318400</v>
      </c>
      <c r="J447" s="288">
        <f>ROUND(IF($A447="E",I447*(1+Assumptions!G$15),I447*(1+Assumptions!G$14)),-2)</f>
        <v>324800</v>
      </c>
      <c r="K447" s="288">
        <f>ROUND(IF($A447="E",J447*(1+Assumptions!H$15),J447*(1+Assumptions!H$14)),-2)</f>
        <v>331300</v>
      </c>
      <c r="L447" s="288">
        <f>ROUND(IF($A447="E",K447*(1+Assumptions!I$15),K447*(1+Assumptions!I$14)),-2)</f>
        <v>339600</v>
      </c>
      <c r="M447" s="288">
        <f>ROUND(IF($A447="E",L447*(1+Assumptions!J$15),L447*(1+Assumptions!J$14)),-2)</f>
        <v>348100</v>
      </c>
      <c r="N447" s="288">
        <f>ROUND(IF($A447="E",M447*(1+Assumptions!K$15),M447*(1+Assumptions!K$14)),-2)</f>
        <v>356800</v>
      </c>
    </row>
    <row r="448" spans="2:14" x14ac:dyDescent="0.25">
      <c r="B448" s="16" t="s">
        <v>41</v>
      </c>
      <c r="C448" s="16" t="s">
        <v>810</v>
      </c>
      <c r="D448" s="16" t="s">
        <v>811</v>
      </c>
      <c r="E448" s="288">
        <v>60000</v>
      </c>
      <c r="F448" s="288">
        <f>ROUND(IF($A448="E",E448*(1+Assumptions!C$15),E448*(1+Assumptions!C$14)),-2)</f>
        <v>60900</v>
      </c>
      <c r="G448" s="288">
        <f>ROUND(IF($A448="E",F448*(1+Assumptions!D$15),F448*(1+Assumptions!D$14)),-2)</f>
        <v>62100</v>
      </c>
      <c r="H448" s="288">
        <f>ROUND(IF($A448="E",G448*(1+Assumptions!E$15),G448*(1+Assumptions!E$14)),-2)</f>
        <v>63300</v>
      </c>
      <c r="I448" s="288">
        <f>ROUND(IF($A448="E",H448*(1+Assumptions!F$15),H448*(1+Assumptions!F$14)),-2)</f>
        <v>64600</v>
      </c>
      <c r="J448" s="288">
        <f>ROUND(IF($A448="E",I448*(1+Assumptions!G$15),I448*(1+Assumptions!G$14)),-2)</f>
        <v>65900</v>
      </c>
      <c r="K448" s="288">
        <f>ROUND(IF($A448="E",J448*(1+Assumptions!H$15),J448*(1+Assumptions!H$14)),-2)</f>
        <v>67200</v>
      </c>
      <c r="L448" s="288">
        <f>ROUND(IF($A448="E",K448*(1+Assumptions!I$15),K448*(1+Assumptions!I$14)),-2)</f>
        <v>68900</v>
      </c>
      <c r="M448" s="288">
        <f>ROUND(IF($A448="E",L448*(1+Assumptions!J$15),L448*(1+Assumptions!J$14)),-2)</f>
        <v>70600</v>
      </c>
      <c r="N448" s="288">
        <f>ROUND(IF($A448="E",M448*(1+Assumptions!K$15),M448*(1+Assumptions!K$14)),-2)</f>
        <v>72400</v>
      </c>
    </row>
    <row r="449" spans="2:14" x14ac:dyDescent="0.25">
      <c r="B449" s="16" t="s">
        <v>41</v>
      </c>
      <c r="C449" s="16" t="s">
        <v>812</v>
      </c>
      <c r="D449" s="16" t="s">
        <v>813</v>
      </c>
      <c r="E449" s="288">
        <v>99700</v>
      </c>
      <c r="F449" s="288">
        <f>ROUND(IF($A449="E",E449*(1+Assumptions!C$15),E449*(1+Assumptions!C$14)),-2)</f>
        <v>101200</v>
      </c>
      <c r="G449" s="288">
        <f>ROUND(IF($A449="E",F449*(1+Assumptions!D$15),F449*(1+Assumptions!D$14)),-2)</f>
        <v>103200</v>
      </c>
      <c r="H449" s="288">
        <f>ROUND(IF($A449="E",G449*(1+Assumptions!E$15),G449*(1+Assumptions!E$14)),-2)</f>
        <v>105300</v>
      </c>
      <c r="I449" s="288">
        <f>ROUND(IF($A449="E",H449*(1+Assumptions!F$15),H449*(1+Assumptions!F$14)),-2)</f>
        <v>107400</v>
      </c>
      <c r="J449" s="288">
        <f>ROUND(IF($A449="E",I449*(1+Assumptions!G$15),I449*(1+Assumptions!G$14)),-2)</f>
        <v>109500</v>
      </c>
      <c r="K449" s="288">
        <f>ROUND(IF($A449="E",J449*(1+Assumptions!H$15),J449*(1+Assumptions!H$14)),-2)</f>
        <v>111700</v>
      </c>
      <c r="L449" s="288">
        <f>ROUND(IF($A449="E",K449*(1+Assumptions!I$15),K449*(1+Assumptions!I$14)),-2)</f>
        <v>114500</v>
      </c>
      <c r="M449" s="288">
        <f>ROUND(IF($A449="E",L449*(1+Assumptions!J$15),L449*(1+Assumptions!J$14)),-2)</f>
        <v>117400</v>
      </c>
      <c r="N449" s="288">
        <f>ROUND(IF($A449="E",M449*(1+Assumptions!K$15),M449*(1+Assumptions!K$14)),-2)</f>
        <v>120300</v>
      </c>
    </row>
    <row r="450" spans="2:14" x14ac:dyDescent="0.25">
      <c r="B450" s="16" t="s">
        <v>45</v>
      </c>
      <c r="C450" s="16" t="s">
        <v>814</v>
      </c>
      <c r="D450" s="16" t="s">
        <v>815</v>
      </c>
      <c r="E450" s="288">
        <v>8900</v>
      </c>
      <c r="F450" s="288">
        <f>ROUND(IF($A450="E",E450*(1+Assumptions!C$15),E450*(1+Assumptions!C$14)),-2)</f>
        <v>9000</v>
      </c>
      <c r="G450" s="288">
        <f>ROUND(IF($A450="E",F450*(1+Assumptions!D$15),F450*(1+Assumptions!D$14)),-2)</f>
        <v>9200</v>
      </c>
      <c r="H450" s="288">
        <f>ROUND(IF($A450="E",G450*(1+Assumptions!E$15),G450*(1+Assumptions!E$14)),-2)</f>
        <v>9400</v>
      </c>
      <c r="I450" s="288">
        <f>ROUND(IF($A450="E",H450*(1+Assumptions!F$15),H450*(1+Assumptions!F$14)),-2)</f>
        <v>9600</v>
      </c>
      <c r="J450" s="288">
        <f>ROUND(IF($A450="E",I450*(1+Assumptions!G$15),I450*(1+Assumptions!G$14)),-2)</f>
        <v>9800</v>
      </c>
      <c r="K450" s="288">
        <f>ROUND(IF($A450="E",J450*(1+Assumptions!H$15),J450*(1+Assumptions!H$14)),-2)</f>
        <v>10000</v>
      </c>
      <c r="L450" s="288">
        <f>ROUND(IF($A450="E",K450*(1+Assumptions!I$15),K450*(1+Assumptions!I$14)),-2)</f>
        <v>10300</v>
      </c>
      <c r="M450" s="288">
        <f>ROUND(IF($A450="E",L450*(1+Assumptions!J$15),L450*(1+Assumptions!J$14)),-2)</f>
        <v>10600</v>
      </c>
      <c r="N450" s="288">
        <f>ROUND(IF($A450="E",M450*(1+Assumptions!K$15),M450*(1+Assumptions!K$14)),-2)</f>
        <v>10900</v>
      </c>
    </row>
    <row r="451" spans="2:14" x14ac:dyDescent="0.25">
      <c r="B451" s="16" t="s">
        <v>43</v>
      </c>
      <c r="C451" s="16" t="s">
        <v>816</v>
      </c>
      <c r="D451" s="16" t="s">
        <v>817</v>
      </c>
      <c r="E451" s="288">
        <v>1500</v>
      </c>
      <c r="F451" s="288">
        <f>ROUND(IF($A451="E",E451*(1+Assumptions!C$15),E451*(1+Assumptions!C$14)),-2)</f>
        <v>1500</v>
      </c>
      <c r="G451" s="288">
        <f>ROUND(IF($A451="E",F451*(1+Assumptions!D$15),F451*(1+Assumptions!D$14)),-2)</f>
        <v>1500</v>
      </c>
      <c r="H451" s="288">
        <f>ROUND(IF($A451="E",G451*(1+Assumptions!E$15),G451*(1+Assumptions!E$14)),-2)</f>
        <v>1500</v>
      </c>
      <c r="I451" s="288">
        <f>ROUND(IF($A451="E",H451*(1+Assumptions!F$15),H451*(1+Assumptions!F$14)),-2)</f>
        <v>1500</v>
      </c>
      <c r="J451" s="288">
        <f>ROUND(IF($A451="E",I451*(1+Assumptions!G$15),I451*(1+Assumptions!G$14)),-2)</f>
        <v>1500</v>
      </c>
      <c r="K451" s="288">
        <f>ROUND(IF($A451="E",J451*(1+Assumptions!H$15),J451*(1+Assumptions!H$14)),-2)</f>
        <v>1500</v>
      </c>
      <c r="L451" s="288">
        <f>ROUND(IF($A451="E",K451*(1+Assumptions!I$15),K451*(1+Assumptions!I$14)),-2)</f>
        <v>1500</v>
      </c>
      <c r="M451" s="288">
        <f>ROUND(IF($A451="E",L451*(1+Assumptions!J$15),L451*(1+Assumptions!J$14)),-2)</f>
        <v>1500</v>
      </c>
      <c r="N451" s="288">
        <f>ROUND(IF($A451="E",M451*(1+Assumptions!K$15),M451*(1+Assumptions!K$14)),-2)</f>
        <v>1500</v>
      </c>
    </row>
    <row r="452" spans="2:14" x14ac:dyDescent="0.25">
      <c r="B452" s="16" t="s">
        <v>43</v>
      </c>
      <c r="C452" s="16" t="s">
        <v>818</v>
      </c>
      <c r="D452" s="16" t="s">
        <v>519</v>
      </c>
      <c r="E452" s="288">
        <v>100</v>
      </c>
      <c r="F452" s="288">
        <f>ROUND(IF($A452="E",E452*(1+Assumptions!C$15),E452*(1+Assumptions!C$14)),-2)</f>
        <v>100</v>
      </c>
      <c r="G452" s="288">
        <f>ROUND(IF($A452="E",F452*(1+Assumptions!D$15),F452*(1+Assumptions!D$14)),-2)</f>
        <v>100</v>
      </c>
      <c r="H452" s="288">
        <f>ROUND(IF($A452="E",G452*(1+Assumptions!E$15),G452*(1+Assumptions!E$14)),-2)</f>
        <v>100</v>
      </c>
      <c r="I452" s="288">
        <f>ROUND(IF($A452="E",H452*(1+Assumptions!F$15),H452*(1+Assumptions!F$14)),-2)</f>
        <v>100</v>
      </c>
      <c r="J452" s="288">
        <f>ROUND(IF($A452="E",I452*(1+Assumptions!G$15),I452*(1+Assumptions!G$14)),-2)</f>
        <v>100</v>
      </c>
      <c r="K452" s="288">
        <f>ROUND(IF($A452="E",J452*(1+Assumptions!H$15),J452*(1+Assumptions!H$14)),-2)</f>
        <v>100</v>
      </c>
      <c r="L452" s="288">
        <f>ROUND(IF($A452="E",K452*(1+Assumptions!I$15),K452*(1+Assumptions!I$14)),-2)</f>
        <v>100</v>
      </c>
      <c r="M452" s="288">
        <f>ROUND(IF($A452="E",L452*(1+Assumptions!J$15),L452*(1+Assumptions!J$14)),-2)</f>
        <v>100</v>
      </c>
      <c r="N452" s="288">
        <f>ROUND(IF($A452="E",M452*(1+Assumptions!K$15),M452*(1+Assumptions!K$14)),-2)</f>
        <v>100</v>
      </c>
    </row>
    <row r="453" spans="2:14" x14ac:dyDescent="0.25">
      <c r="B453" s="16" t="s">
        <v>43</v>
      </c>
      <c r="C453" s="16" t="s">
        <v>819</v>
      </c>
      <c r="D453" s="16" t="s">
        <v>820</v>
      </c>
      <c r="E453" s="288">
        <v>16600</v>
      </c>
      <c r="F453" s="288">
        <f>ROUND(IF($A453="E",E453*(1+Assumptions!C$15),E453*(1+Assumptions!C$14)),-2)</f>
        <v>16800</v>
      </c>
      <c r="G453" s="288">
        <f>ROUND(IF($A453="E",F453*(1+Assumptions!D$15),F453*(1+Assumptions!D$14)),-2)</f>
        <v>17100</v>
      </c>
      <c r="H453" s="288">
        <f>ROUND(IF($A453="E",G453*(1+Assumptions!E$15),G453*(1+Assumptions!E$14)),-2)</f>
        <v>17400</v>
      </c>
      <c r="I453" s="288">
        <f>ROUND(IF($A453="E",H453*(1+Assumptions!F$15),H453*(1+Assumptions!F$14)),-2)</f>
        <v>17700</v>
      </c>
      <c r="J453" s="288">
        <f>ROUND(IF($A453="E",I453*(1+Assumptions!G$15),I453*(1+Assumptions!G$14)),-2)</f>
        <v>18100</v>
      </c>
      <c r="K453" s="288">
        <f>ROUND(IF($A453="E",J453*(1+Assumptions!H$15),J453*(1+Assumptions!H$14)),-2)</f>
        <v>18500</v>
      </c>
      <c r="L453" s="288">
        <f>ROUND(IF($A453="E",K453*(1+Assumptions!I$15),K453*(1+Assumptions!I$14)),-2)</f>
        <v>19000</v>
      </c>
      <c r="M453" s="288">
        <f>ROUND(IF($A453="E",L453*(1+Assumptions!J$15),L453*(1+Assumptions!J$14)),-2)</f>
        <v>19500</v>
      </c>
      <c r="N453" s="288">
        <f>ROUND(IF($A453="E",M453*(1+Assumptions!K$15),M453*(1+Assumptions!K$14)),-2)</f>
        <v>20000</v>
      </c>
    </row>
    <row r="454" spans="2:14" x14ac:dyDescent="0.25">
      <c r="B454" s="16" t="s">
        <v>43</v>
      </c>
      <c r="C454" s="16" t="s">
        <v>821</v>
      </c>
      <c r="D454" s="16" t="s">
        <v>822</v>
      </c>
      <c r="E454" s="288">
        <v>35300</v>
      </c>
      <c r="F454" s="288">
        <f>ROUND(IF($A454="E",E454*(1+Assumptions!C$15),E454*(1+Assumptions!C$14)),-2)</f>
        <v>35800</v>
      </c>
      <c r="G454" s="288">
        <f>ROUND(IF($A454="E",F454*(1+Assumptions!D$15),F454*(1+Assumptions!D$14)),-2)</f>
        <v>36500</v>
      </c>
      <c r="H454" s="288">
        <f>ROUND(IF($A454="E",G454*(1+Assumptions!E$15),G454*(1+Assumptions!E$14)),-2)</f>
        <v>37200</v>
      </c>
      <c r="I454" s="288">
        <f>ROUND(IF($A454="E",H454*(1+Assumptions!F$15),H454*(1+Assumptions!F$14)),-2)</f>
        <v>37900</v>
      </c>
      <c r="J454" s="288">
        <f>ROUND(IF($A454="E",I454*(1+Assumptions!G$15),I454*(1+Assumptions!G$14)),-2)</f>
        <v>38700</v>
      </c>
      <c r="K454" s="288">
        <f>ROUND(IF($A454="E",J454*(1+Assumptions!H$15),J454*(1+Assumptions!H$14)),-2)</f>
        <v>39500</v>
      </c>
      <c r="L454" s="288">
        <f>ROUND(IF($A454="E",K454*(1+Assumptions!I$15),K454*(1+Assumptions!I$14)),-2)</f>
        <v>40500</v>
      </c>
      <c r="M454" s="288">
        <f>ROUND(IF($A454="E",L454*(1+Assumptions!J$15),L454*(1+Assumptions!J$14)),-2)</f>
        <v>41500</v>
      </c>
      <c r="N454" s="288">
        <f>ROUND(IF($A454="E",M454*(1+Assumptions!K$15),M454*(1+Assumptions!K$14)),-2)</f>
        <v>42500</v>
      </c>
    </row>
    <row r="455" spans="2:14" x14ac:dyDescent="0.25">
      <c r="B455" s="16" t="s">
        <v>43</v>
      </c>
      <c r="C455" s="16" t="s">
        <v>823</v>
      </c>
      <c r="D455" s="16" t="s">
        <v>824</v>
      </c>
      <c r="E455" s="288">
        <v>2500</v>
      </c>
      <c r="F455" s="288">
        <f>ROUND(IF($A455="E",E455*(1+Assumptions!C$15),E455*(1+Assumptions!C$14)),-2)</f>
        <v>2500</v>
      </c>
      <c r="G455" s="288">
        <f>ROUND(IF($A455="E",F455*(1+Assumptions!D$15),F455*(1+Assumptions!D$14)),-2)</f>
        <v>2600</v>
      </c>
      <c r="H455" s="288">
        <f>ROUND(IF($A455="E",G455*(1+Assumptions!E$15),G455*(1+Assumptions!E$14)),-2)</f>
        <v>2700</v>
      </c>
      <c r="I455" s="288">
        <f>ROUND(IF($A455="E",H455*(1+Assumptions!F$15),H455*(1+Assumptions!F$14)),-2)</f>
        <v>2800</v>
      </c>
      <c r="J455" s="288">
        <f>ROUND(IF($A455="E",I455*(1+Assumptions!G$15),I455*(1+Assumptions!G$14)),-2)</f>
        <v>2900</v>
      </c>
      <c r="K455" s="288">
        <f>ROUND(IF($A455="E",J455*(1+Assumptions!H$15),J455*(1+Assumptions!H$14)),-2)</f>
        <v>3000</v>
      </c>
      <c r="L455" s="288">
        <f>ROUND(IF($A455="E",K455*(1+Assumptions!I$15),K455*(1+Assumptions!I$14)),-2)</f>
        <v>3100</v>
      </c>
      <c r="M455" s="288">
        <f>ROUND(IF($A455="E",L455*(1+Assumptions!J$15),L455*(1+Assumptions!J$14)),-2)</f>
        <v>3200</v>
      </c>
      <c r="N455" s="288">
        <f>ROUND(IF($A455="E",M455*(1+Assumptions!K$15),M455*(1+Assumptions!K$14)),-2)</f>
        <v>3300</v>
      </c>
    </row>
    <row r="456" spans="2:14" x14ac:dyDescent="0.25">
      <c r="B456" s="16" t="s">
        <v>43</v>
      </c>
      <c r="C456" s="16" t="s">
        <v>825</v>
      </c>
      <c r="D456" s="16" t="s">
        <v>826</v>
      </c>
      <c r="E456" s="288">
        <v>3200</v>
      </c>
      <c r="F456" s="288">
        <f>ROUND(IF($A456="E",E456*(1+Assumptions!C$15),E456*(1+Assumptions!C$14)),-2)</f>
        <v>3200</v>
      </c>
      <c r="G456" s="288">
        <f>ROUND(IF($A456="E",F456*(1+Assumptions!D$15),F456*(1+Assumptions!D$14)),-2)</f>
        <v>3300</v>
      </c>
      <c r="H456" s="288">
        <f>ROUND(IF($A456="E",G456*(1+Assumptions!E$15),G456*(1+Assumptions!E$14)),-2)</f>
        <v>3400</v>
      </c>
      <c r="I456" s="288">
        <f>ROUND(IF($A456="E",H456*(1+Assumptions!F$15),H456*(1+Assumptions!F$14)),-2)</f>
        <v>3500</v>
      </c>
      <c r="J456" s="288">
        <f>ROUND(IF($A456="E",I456*(1+Assumptions!G$15),I456*(1+Assumptions!G$14)),-2)</f>
        <v>3600</v>
      </c>
      <c r="K456" s="288">
        <f>ROUND(IF($A456="E",J456*(1+Assumptions!H$15),J456*(1+Assumptions!H$14)),-2)</f>
        <v>3700</v>
      </c>
      <c r="L456" s="288">
        <f>ROUND(IF($A456="E",K456*(1+Assumptions!I$15),K456*(1+Assumptions!I$14)),-2)</f>
        <v>3800</v>
      </c>
      <c r="M456" s="288">
        <f>ROUND(IF($A456="E",L456*(1+Assumptions!J$15),L456*(1+Assumptions!J$14)),-2)</f>
        <v>3900</v>
      </c>
      <c r="N456" s="288">
        <f>ROUND(IF($A456="E",M456*(1+Assumptions!K$15),M456*(1+Assumptions!K$14)),-2)</f>
        <v>4000</v>
      </c>
    </row>
    <row r="457" spans="2:14" x14ac:dyDescent="0.25">
      <c r="B457" s="16" t="s">
        <v>43</v>
      </c>
      <c r="C457" s="16" t="s">
        <v>827</v>
      </c>
      <c r="D457" s="16" t="s">
        <v>828</v>
      </c>
      <c r="E457" s="288">
        <v>39800</v>
      </c>
      <c r="F457" s="288">
        <f>ROUND(IF($A457="E",E457*(1+Assumptions!C$15),E457*(1+Assumptions!C$14)),-2)</f>
        <v>40400</v>
      </c>
      <c r="G457" s="288">
        <f>ROUND(IF($A457="E",F457*(1+Assumptions!D$15),F457*(1+Assumptions!D$14)),-2)</f>
        <v>41200</v>
      </c>
      <c r="H457" s="288">
        <f>ROUND(IF($A457="E",G457*(1+Assumptions!E$15),G457*(1+Assumptions!E$14)),-2)</f>
        <v>42000</v>
      </c>
      <c r="I457" s="288">
        <f>ROUND(IF($A457="E",H457*(1+Assumptions!F$15),H457*(1+Assumptions!F$14)),-2)</f>
        <v>42800</v>
      </c>
      <c r="J457" s="288">
        <f>ROUND(IF($A457="E",I457*(1+Assumptions!G$15),I457*(1+Assumptions!G$14)),-2)</f>
        <v>43700</v>
      </c>
      <c r="K457" s="288">
        <f>ROUND(IF($A457="E",J457*(1+Assumptions!H$15),J457*(1+Assumptions!H$14)),-2)</f>
        <v>44600</v>
      </c>
      <c r="L457" s="288">
        <f>ROUND(IF($A457="E",K457*(1+Assumptions!I$15),K457*(1+Assumptions!I$14)),-2)</f>
        <v>45700</v>
      </c>
      <c r="M457" s="288">
        <f>ROUND(IF($A457="E",L457*(1+Assumptions!J$15),L457*(1+Assumptions!J$14)),-2)</f>
        <v>46800</v>
      </c>
      <c r="N457" s="288">
        <f>ROUND(IF($A457="E",M457*(1+Assumptions!K$15),M457*(1+Assumptions!K$14)),-2)</f>
        <v>48000</v>
      </c>
    </row>
    <row r="458" spans="2:14" x14ac:dyDescent="0.25">
      <c r="B458" s="16" t="s">
        <v>43</v>
      </c>
      <c r="C458" s="16" t="s">
        <v>829</v>
      </c>
      <c r="D458" s="16" t="s">
        <v>830</v>
      </c>
      <c r="E458" s="288">
        <v>3600</v>
      </c>
      <c r="F458" s="288">
        <f>ROUND(IF($A458="E",E458*(1+Assumptions!C$15),E458*(1+Assumptions!C$14)),-2)</f>
        <v>3700</v>
      </c>
      <c r="G458" s="288">
        <f>ROUND(IF($A458="E",F458*(1+Assumptions!D$15),F458*(1+Assumptions!D$14)),-2)</f>
        <v>3800</v>
      </c>
      <c r="H458" s="288">
        <f>ROUND(IF($A458="E",G458*(1+Assumptions!E$15),G458*(1+Assumptions!E$14)),-2)</f>
        <v>3900</v>
      </c>
      <c r="I458" s="288">
        <f>ROUND(IF($A458="E",H458*(1+Assumptions!F$15),H458*(1+Assumptions!F$14)),-2)</f>
        <v>4000</v>
      </c>
      <c r="J458" s="288">
        <f>ROUND(IF($A458="E",I458*(1+Assumptions!G$15),I458*(1+Assumptions!G$14)),-2)</f>
        <v>4100</v>
      </c>
      <c r="K458" s="288">
        <f>ROUND(IF($A458="E",J458*(1+Assumptions!H$15),J458*(1+Assumptions!H$14)),-2)</f>
        <v>4200</v>
      </c>
      <c r="L458" s="288">
        <f>ROUND(IF($A458="E",K458*(1+Assumptions!I$15),K458*(1+Assumptions!I$14)),-2)</f>
        <v>4300</v>
      </c>
      <c r="M458" s="288">
        <f>ROUND(IF($A458="E",L458*(1+Assumptions!J$15),L458*(1+Assumptions!J$14)),-2)</f>
        <v>4400</v>
      </c>
      <c r="N458" s="288">
        <f>ROUND(IF($A458="E",M458*(1+Assumptions!K$15),M458*(1+Assumptions!K$14)),-2)</f>
        <v>4500</v>
      </c>
    </row>
    <row r="459" spans="2:14" x14ac:dyDescent="0.25">
      <c r="B459" s="16" t="s">
        <v>45</v>
      </c>
      <c r="C459" s="16" t="s">
        <v>831</v>
      </c>
      <c r="D459" s="16" t="s">
        <v>93</v>
      </c>
      <c r="E459" s="288">
        <v>1500</v>
      </c>
      <c r="F459" s="288">
        <f>ROUND(IF($A459="E",E459*(1+Assumptions!C$15),E459*(1+Assumptions!C$14)),-2)</f>
        <v>1500</v>
      </c>
      <c r="G459" s="288">
        <f>ROUND(IF($A459="E",F459*(1+Assumptions!D$15),F459*(1+Assumptions!D$14)),-2)</f>
        <v>1500</v>
      </c>
      <c r="H459" s="288">
        <f>ROUND(IF($A459="E",G459*(1+Assumptions!E$15),G459*(1+Assumptions!E$14)),-2)</f>
        <v>1500</v>
      </c>
      <c r="I459" s="288">
        <f>ROUND(IF($A459="E",H459*(1+Assumptions!F$15),H459*(1+Assumptions!F$14)),-2)</f>
        <v>1500</v>
      </c>
      <c r="J459" s="288">
        <f>ROUND(IF($A459="E",I459*(1+Assumptions!G$15),I459*(1+Assumptions!G$14)),-2)</f>
        <v>1500</v>
      </c>
      <c r="K459" s="288">
        <f>ROUND(IF($A459="E",J459*(1+Assumptions!H$15),J459*(1+Assumptions!H$14)),-2)</f>
        <v>1500</v>
      </c>
      <c r="L459" s="288">
        <f>ROUND(IF($A459="E",K459*(1+Assumptions!I$15),K459*(1+Assumptions!I$14)),-2)</f>
        <v>1500</v>
      </c>
      <c r="M459" s="288">
        <f>ROUND(IF($A459="E",L459*(1+Assumptions!J$15),L459*(1+Assumptions!J$14)),-2)</f>
        <v>1500</v>
      </c>
      <c r="N459" s="288">
        <f>ROUND(IF($A459="E",M459*(1+Assumptions!K$15),M459*(1+Assumptions!K$14)),-2)</f>
        <v>1500</v>
      </c>
    </row>
    <row r="460" spans="2:14" x14ac:dyDescent="0.25">
      <c r="B460" s="16" t="s">
        <v>45</v>
      </c>
      <c r="C460" s="16" t="s">
        <v>832</v>
      </c>
      <c r="D460" s="16" t="s">
        <v>833</v>
      </c>
      <c r="E460" s="288">
        <v>2500</v>
      </c>
      <c r="F460" s="288">
        <f>ROUND(IF($A460="E",E460*(1+Assumptions!C$15),E460*(1+Assumptions!C$14)),-2)</f>
        <v>2500</v>
      </c>
      <c r="G460" s="288">
        <f>ROUND(IF($A460="E",F460*(1+Assumptions!D$15),F460*(1+Assumptions!D$14)),-2)</f>
        <v>2600</v>
      </c>
      <c r="H460" s="288">
        <f>ROUND(IF($A460="E",G460*(1+Assumptions!E$15),G460*(1+Assumptions!E$14)),-2)</f>
        <v>2700</v>
      </c>
      <c r="I460" s="288">
        <f>ROUND(IF($A460="E",H460*(1+Assumptions!F$15),H460*(1+Assumptions!F$14)),-2)</f>
        <v>2800</v>
      </c>
      <c r="J460" s="288">
        <f>ROUND(IF($A460="E",I460*(1+Assumptions!G$15),I460*(1+Assumptions!G$14)),-2)</f>
        <v>2900</v>
      </c>
      <c r="K460" s="288">
        <f>ROUND(IF($A460="E",J460*(1+Assumptions!H$15),J460*(1+Assumptions!H$14)),-2)</f>
        <v>3000</v>
      </c>
      <c r="L460" s="288">
        <f>ROUND(IF($A460="E",K460*(1+Assumptions!I$15),K460*(1+Assumptions!I$14)),-2)</f>
        <v>3100</v>
      </c>
      <c r="M460" s="288">
        <f>ROUND(IF($A460="E",L460*(1+Assumptions!J$15),L460*(1+Assumptions!J$14)),-2)</f>
        <v>3200</v>
      </c>
      <c r="N460" s="288">
        <f>ROUND(IF($A460="E",M460*(1+Assumptions!K$15),M460*(1+Assumptions!K$14)),-2)</f>
        <v>3300</v>
      </c>
    </row>
    <row r="461" spans="2:14" x14ac:dyDescent="0.25">
      <c r="B461" s="16" t="s">
        <v>45</v>
      </c>
      <c r="C461" s="16" t="s">
        <v>834</v>
      </c>
      <c r="D461" s="16" t="s">
        <v>835</v>
      </c>
      <c r="E461" s="288">
        <v>5500</v>
      </c>
      <c r="F461" s="288">
        <f>ROUND(IF($A461="E",E461*(1+Assumptions!C$15),E461*(1+Assumptions!C$14)),-2)</f>
        <v>5600</v>
      </c>
      <c r="G461" s="288">
        <f>ROUND(IF($A461="E",F461*(1+Assumptions!D$15),F461*(1+Assumptions!D$14)),-2)</f>
        <v>5700</v>
      </c>
      <c r="H461" s="288">
        <f>ROUND(IF($A461="E",G461*(1+Assumptions!E$15),G461*(1+Assumptions!E$14)),-2)</f>
        <v>5800</v>
      </c>
      <c r="I461" s="288">
        <f>ROUND(IF($A461="E",H461*(1+Assumptions!F$15),H461*(1+Assumptions!F$14)),-2)</f>
        <v>5900</v>
      </c>
      <c r="J461" s="288">
        <f>ROUND(IF($A461="E",I461*(1+Assumptions!G$15),I461*(1+Assumptions!G$14)),-2)</f>
        <v>6000</v>
      </c>
      <c r="K461" s="288">
        <f>ROUND(IF($A461="E",J461*(1+Assumptions!H$15),J461*(1+Assumptions!H$14)),-2)</f>
        <v>6100</v>
      </c>
      <c r="L461" s="288">
        <f>ROUND(IF($A461="E",K461*(1+Assumptions!I$15),K461*(1+Assumptions!I$14)),-2)</f>
        <v>6300</v>
      </c>
      <c r="M461" s="288">
        <f>ROUND(IF($A461="E",L461*(1+Assumptions!J$15),L461*(1+Assumptions!J$14)),-2)</f>
        <v>6500</v>
      </c>
      <c r="N461" s="288">
        <f>ROUND(IF($A461="E",M461*(1+Assumptions!K$15),M461*(1+Assumptions!K$14)),-2)</f>
        <v>6700</v>
      </c>
    </row>
    <row r="462" spans="2:14" x14ac:dyDescent="0.25">
      <c r="B462" s="16" t="s">
        <v>43</v>
      </c>
      <c r="C462" s="16" t="s">
        <v>836</v>
      </c>
      <c r="D462" s="16" t="s">
        <v>837</v>
      </c>
      <c r="E462" s="288">
        <v>15100</v>
      </c>
      <c r="F462" s="288">
        <f>ROUND(IF($A462="E",E462*(1+Assumptions!C$15),E462*(1+Assumptions!C$14)),-2)</f>
        <v>15300</v>
      </c>
      <c r="G462" s="288">
        <f>ROUND(IF($A462="E",F462*(1+Assumptions!D$15),F462*(1+Assumptions!D$14)),-2)</f>
        <v>15600</v>
      </c>
      <c r="H462" s="288">
        <f>ROUND(IF($A462="E",G462*(1+Assumptions!E$15),G462*(1+Assumptions!E$14)),-2)</f>
        <v>15900</v>
      </c>
      <c r="I462" s="288">
        <f>ROUND(IF($A462="E",H462*(1+Assumptions!F$15),H462*(1+Assumptions!F$14)),-2)</f>
        <v>16200</v>
      </c>
      <c r="J462" s="288">
        <f>ROUND(IF($A462="E",I462*(1+Assumptions!G$15),I462*(1+Assumptions!G$14)),-2)</f>
        <v>16500</v>
      </c>
      <c r="K462" s="288">
        <f>ROUND(IF($A462="E",J462*(1+Assumptions!H$15),J462*(1+Assumptions!H$14)),-2)</f>
        <v>16800</v>
      </c>
      <c r="L462" s="288">
        <f>ROUND(IF($A462="E",K462*(1+Assumptions!I$15),K462*(1+Assumptions!I$14)),-2)</f>
        <v>17200</v>
      </c>
      <c r="M462" s="288">
        <f>ROUND(IF($A462="E",L462*(1+Assumptions!J$15),L462*(1+Assumptions!J$14)),-2)</f>
        <v>17600</v>
      </c>
      <c r="N462" s="288">
        <f>ROUND(IF($A462="E",M462*(1+Assumptions!K$15),M462*(1+Assumptions!K$14)),-2)</f>
        <v>18000</v>
      </c>
    </row>
    <row r="463" spans="2:14" x14ac:dyDescent="0.25">
      <c r="B463" s="16" t="s">
        <v>45</v>
      </c>
      <c r="C463" s="16" t="s">
        <v>838</v>
      </c>
      <c r="D463" s="16" t="s">
        <v>492</v>
      </c>
      <c r="E463" s="288">
        <v>1500</v>
      </c>
      <c r="F463" s="288">
        <f>ROUND(IF($A463="E",E463*(1+Assumptions!C$15),E463*(1+Assumptions!C$14)),-2)</f>
        <v>1500</v>
      </c>
      <c r="G463" s="288">
        <f>ROUND(IF($A463="E",F463*(1+Assumptions!D$15),F463*(1+Assumptions!D$14)),-2)</f>
        <v>1500</v>
      </c>
      <c r="H463" s="288">
        <f>ROUND(IF($A463="E",G463*(1+Assumptions!E$15),G463*(1+Assumptions!E$14)),-2)</f>
        <v>1500</v>
      </c>
      <c r="I463" s="288">
        <f>ROUND(IF($A463="E",H463*(1+Assumptions!F$15),H463*(1+Assumptions!F$14)),-2)</f>
        <v>1500</v>
      </c>
      <c r="J463" s="288">
        <f>ROUND(IF($A463="E",I463*(1+Assumptions!G$15),I463*(1+Assumptions!G$14)),-2)</f>
        <v>1500</v>
      </c>
      <c r="K463" s="288">
        <f>ROUND(IF($A463="E",J463*(1+Assumptions!H$15),J463*(1+Assumptions!H$14)),-2)</f>
        <v>1500</v>
      </c>
      <c r="L463" s="288">
        <f>ROUND(IF($A463="E",K463*(1+Assumptions!I$15),K463*(1+Assumptions!I$14)),-2)</f>
        <v>1500</v>
      </c>
      <c r="M463" s="288">
        <f>ROUND(IF($A463="E",L463*(1+Assumptions!J$15),L463*(1+Assumptions!J$14)),-2)</f>
        <v>1500</v>
      </c>
      <c r="N463" s="288">
        <f>ROUND(IF($A463="E",M463*(1+Assumptions!K$15),M463*(1+Assumptions!K$14)),-2)</f>
        <v>1500</v>
      </c>
    </row>
    <row r="464" spans="2:14" x14ac:dyDescent="0.25">
      <c r="B464" s="16" t="s">
        <v>41</v>
      </c>
      <c r="C464" s="16" t="s">
        <v>839</v>
      </c>
      <c r="D464" s="16" t="s">
        <v>840</v>
      </c>
      <c r="E464" s="288">
        <v>15100</v>
      </c>
      <c r="F464" s="288">
        <f>ROUND(IF($A464="E",E464*(1+Assumptions!C$15),E464*(1+Assumptions!C$14)),-2)</f>
        <v>15300</v>
      </c>
      <c r="G464" s="288">
        <f>ROUND(IF($A464="E",F464*(1+Assumptions!D$15),F464*(1+Assumptions!D$14)),-2)</f>
        <v>15600</v>
      </c>
      <c r="H464" s="288">
        <f>ROUND(IF($A464="E",G464*(1+Assumptions!E$15),G464*(1+Assumptions!E$14)),-2)</f>
        <v>15900</v>
      </c>
      <c r="I464" s="288">
        <f>ROUND(IF($A464="E",H464*(1+Assumptions!F$15),H464*(1+Assumptions!F$14)),-2)</f>
        <v>16200</v>
      </c>
      <c r="J464" s="288">
        <f>ROUND(IF($A464="E",I464*(1+Assumptions!G$15),I464*(1+Assumptions!G$14)),-2)</f>
        <v>16500</v>
      </c>
      <c r="K464" s="288">
        <f>ROUND(IF($A464="E",J464*(1+Assumptions!H$15),J464*(1+Assumptions!H$14)),-2)</f>
        <v>16800</v>
      </c>
      <c r="L464" s="288">
        <f>ROUND(IF($A464="E",K464*(1+Assumptions!I$15),K464*(1+Assumptions!I$14)),-2)</f>
        <v>17200</v>
      </c>
      <c r="M464" s="288">
        <f>ROUND(IF($A464="E",L464*(1+Assumptions!J$15),L464*(1+Assumptions!J$14)),-2)</f>
        <v>17600</v>
      </c>
      <c r="N464" s="288">
        <f>ROUND(IF($A464="E",M464*(1+Assumptions!K$15),M464*(1+Assumptions!K$14)),-2)</f>
        <v>18000</v>
      </c>
    </row>
    <row r="465" spans="1:14" x14ac:dyDescent="0.25">
      <c r="B465" s="16" t="s">
        <v>41</v>
      </c>
      <c r="C465" s="16" t="s">
        <v>841</v>
      </c>
      <c r="D465" s="16" t="s">
        <v>842</v>
      </c>
      <c r="E465" s="289"/>
      <c r="F465" s="289"/>
      <c r="G465" s="289"/>
      <c r="H465" s="289"/>
      <c r="I465" s="289"/>
      <c r="J465" s="289"/>
      <c r="K465" s="289"/>
      <c r="L465" s="289"/>
      <c r="M465" s="289"/>
      <c r="N465" s="289"/>
    </row>
    <row r="466" spans="1:14" x14ac:dyDescent="0.25">
      <c r="B466" s="16" t="s">
        <v>43</v>
      </c>
      <c r="C466" s="16" t="s">
        <v>843</v>
      </c>
      <c r="D466" s="16" t="s">
        <v>844</v>
      </c>
      <c r="E466" s="288">
        <v>7600</v>
      </c>
      <c r="F466" s="288">
        <f>ROUND(IF($A466="E",E466*(1+Assumptions!C$15),E466*(1+Assumptions!C$14)),-2)</f>
        <v>7700</v>
      </c>
      <c r="G466" s="288">
        <f>ROUND(IF($A466="E",F466*(1+Assumptions!D$15),F466*(1+Assumptions!D$14)),-2)</f>
        <v>7900</v>
      </c>
      <c r="H466" s="288">
        <f>ROUND(IF($A466="E",G466*(1+Assumptions!E$15),G466*(1+Assumptions!E$14)),-2)</f>
        <v>8100</v>
      </c>
      <c r="I466" s="288">
        <f>ROUND(IF($A466="E",H466*(1+Assumptions!F$15),H466*(1+Assumptions!F$14)),-2)</f>
        <v>8300</v>
      </c>
      <c r="J466" s="288">
        <f>ROUND(IF($A466="E",I466*(1+Assumptions!G$15),I466*(1+Assumptions!G$14)),-2)</f>
        <v>8500</v>
      </c>
      <c r="K466" s="288">
        <f>ROUND(IF($A466="E",J466*(1+Assumptions!H$15),J466*(1+Assumptions!H$14)),-2)</f>
        <v>8700</v>
      </c>
      <c r="L466" s="288">
        <f>ROUND(IF($A466="E",K466*(1+Assumptions!I$15),K466*(1+Assumptions!I$14)),-2)</f>
        <v>8900</v>
      </c>
      <c r="M466" s="288">
        <f>ROUND(IF($A466="E",L466*(1+Assumptions!J$15),L466*(1+Assumptions!J$14)),-2)</f>
        <v>9100</v>
      </c>
      <c r="N466" s="288">
        <f>ROUND(IF($A466="E",M466*(1+Assumptions!K$15),M466*(1+Assumptions!K$14)),-2)</f>
        <v>9300</v>
      </c>
    </row>
    <row r="467" spans="1:14" x14ac:dyDescent="0.25">
      <c r="B467" s="16" t="s">
        <v>43</v>
      </c>
      <c r="C467" s="16" t="s">
        <v>845</v>
      </c>
      <c r="D467" s="16" t="s">
        <v>187</v>
      </c>
      <c r="E467" s="289"/>
      <c r="F467" s="289"/>
      <c r="G467" s="289"/>
      <c r="H467" s="289"/>
      <c r="I467" s="289"/>
      <c r="J467" s="289"/>
      <c r="K467" s="289"/>
      <c r="L467" s="289"/>
      <c r="M467" s="289"/>
      <c r="N467" s="289"/>
    </row>
    <row r="468" spans="1:14" x14ac:dyDescent="0.25">
      <c r="B468" s="16" t="s">
        <v>43</v>
      </c>
      <c r="C468" s="16" t="s">
        <v>846</v>
      </c>
      <c r="D468" s="16" t="s">
        <v>193</v>
      </c>
      <c r="E468" s="288">
        <v>210900</v>
      </c>
      <c r="F468" s="288">
        <f>ROUND(IF($A468="E",E468*(1+Assumptions!C$15),E468*(1+Assumptions!C$14)),-2)</f>
        <v>214100</v>
      </c>
      <c r="G468" s="288">
        <f>ROUND(IF($A468="E",F468*(1+Assumptions!D$15),F468*(1+Assumptions!D$14)),-2)</f>
        <v>218400</v>
      </c>
      <c r="H468" s="288">
        <f>ROUND(IF($A468="E",G468*(1+Assumptions!E$15),G468*(1+Assumptions!E$14)),-2)</f>
        <v>222800</v>
      </c>
      <c r="I468" s="288">
        <f>ROUND(IF($A468="E",H468*(1+Assumptions!F$15),H468*(1+Assumptions!F$14)),-2)</f>
        <v>227300</v>
      </c>
      <c r="J468" s="288">
        <f>ROUND(IF($A468="E",I468*(1+Assumptions!G$15),I468*(1+Assumptions!G$14)),-2)</f>
        <v>231800</v>
      </c>
      <c r="K468" s="288">
        <f>ROUND(IF($A468="E",J468*(1+Assumptions!H$15),J468*(1+Assumptions!H$14)),-2)</f>
        <v>236400</v>
      </c>
      <c r="L468" s="288">
        <f>ROUND(IF($A468="E",K468*(1+Assumptions!I$15),K468*(1+Assumptions!I$14)),-2)</f>
        <v>242300</v>
      </c>
      <c r="M468" s="288">
        <f>ROUND(IF($A468="E",L468*(1+Assumptions!J$15),L468*(1+Assumptions!J$14)),-2)</f>
        <v>248400</v>
      </c>
      <c r="N468" s="288">
        <f>ROUND(IF($A468="E",M468*(1+Assumptions!K$15),M468*(1+Assumptions!K$14)),-2)</f>
        <v>254600</v>
      </c>
    </row>
    <row r="469" spans="1:14" x14ac:dyDescent="0.25">
      <c r="A469" s="16" t="s">
        <v>4591</v>
      </c>
      <c r="B469" s="397" t="s">
        <v>3231</v>
      </c>
      <c r="C469" s="43" t="s">
        <v>3235</v>
      </c>
      <c r="D469" s="16" t="s">
        <v>44</v>
      </c>
      <c r="E469" s="288">
        <v>58800</v>
      </c>
      <c r="F469" s="288">
        <f>ROUND(IF($A469="E",E469*(1+Assumptions!C$15),E469*(1+Assumptions!C$17)),-2)</f>
        <v>59400</v>
      </c>
      <c r="G469" s="288">
        <f>ROUND(IF($A469="E",F469*(1+Assumptions!D$15),F469*(1+Assumptions!D$17)),-2)</f>
        <v>60000</v>
      </c>
      <c r="H469" s="288">
        <f>ROUND(IF($A469="E",G469*(1+Assumptions!E$15),G469*(1+Assumptions!E$17)),-2)</f>
        <v>60600</v>
      </c>
      <c r="I469" s="288">
        <f>ROUND(IF($A469="E",H469*(1+Assumptions!F$15),H469*(1+Assumptions!F$17)),-2)</f>
        <v>61200</v>
      </c>
      <c r="J469" s="288">
        <f>ROUND(IF($A469="E",I469*(1+Assumptions!G$15),I469*(1+Assumptions!G$17)),-2)</f>
        <v>61800</v>
      </c>
      <c r="K469" s="288">
        <f>ROUND(IF($A469="E",J469*(1+Assumptions!H$15),J469*(1+Assumptions!H$17)),-2)</f>
        <v>62400</v>
      </c>
      <c r="L469" s="288">
        <f>ROUND(IF($A469="E",K469*(1+Assumptions!I$15),K469*(1+Assumptions!I$17)),-2)</f>
        <v>63000</v>
      </c>
      <c r="M469" s="288">
        <f>ROUND(IF($A469="E",L469*(1+Assumptions!J$15),L469*(1+Assumptions!J$17)),-2)</f>
        <v>63600</v>
      </c>
      <c r="N469" s="288">
        <f>ROUND(IF($A469="E",M469*(1+Assumptions!K$15),M469*(1+Assumptions!K$17)),-2)</f>
        <v>64200</v>
      </c>
    </row>
    <row r="470" spans="1:14" ht="12.75" customHeight="1" x14ac:dyDescent="0.25">
      <c r="E470" s="288"/>
      <c r="F470" s="288"/>
      <c r="G470" s="288"/>
      <c r="H470" s="288"/>
      <c r="I470" s="288"/>
      <c r="J470" s="288"/>
      <c r="K470" s="288"/>
      <c r="L470" s="288"/>
      <c r="M470" s="288"/>
      <c r="N470" s="288"/>
    </row>
    <row r="471" spans="1:14" ht="12.75" customHeight="1" x14ac:dyDescent="0.25">
      <c r="D471" s="19" t="s">
        <v>3234</v>
      </c>
      <c r="E471" s="291">
        <f>SUM(E440:E470)</f>
        <v>1476500</v>
      </c>
      <c r="F471" s="291">
        <f t="shared" ref="F471:N471" si="14">SUM(F440:F470)</f>
        <v>1498000</v>
      </c>
      <c r="G471" s="291">
        <f t="shared" si="14"/>
        <v>1527400</v>
      </c>
      <c r="H471" s="291">
        <f t="shared" si="14"/>
        <v>1557300</v>
      </c>
      <c r="I471" s="291">
        <f t="shared" si="14"/>
        <v>1587700</v>
      </c>
      <c r="J471" s="291">
        <f t="shared" si="14"/>
        <v>1619000</v>
      </c>
      <c r="K471" s="291">
        <f t="shared" si="14"/>
        <v>1650700</v>
      </c>
      <c r="L471" s="291">
        <f t="shared" si="14"/>
        <v>1691100</v>
      </c>
      <c r="M471" s="291">
        <f t="shared" si="14"/>
        <v>1732400</v>
      </c>
      <c r="N471" s="291">
        <f t="shared" si="14"/>
        <v>1774600</v>
      </c>
    </row>
    <row r="472" spans="1:14" ht="12.75" customHeight="1" x14ac:dyDescent="0.25">
      <c r="E472" s="288"/>
      <c r="F472" s="288"/>
      <c r="G472" s="288"/>
      <c r="H472" s="288"/>
      <c r="I472" s="288"/>
      <c r="J472" s="288"/>
      <c r="K472" s="288"/>
      <c r="L472" s="288"/>
      <c r="M472" s="288"/>
      <c r="N472" s="288"/>
    </row>
    <row r="473" spans="1:14" x14ac:dyDescent="0.25">
      <c r="C473" s="16" t="s">
        <v>315</v>
      </c>
      <c r="E473" s="288"/>
      <c r="F473" s="288"/>
      <c r="G473" s="288"/>
      <c r="H473" s="288"/>
      <c r="I473" s="288"/>
      <c r="J473" s="288"/>
      <c r="K473" s="288"/>
      <c r="L473" s="288"/>
      <c r="M473" s="288"/>
      <c r="N473" s="288"/>
    </row>
    <row r="474" spans="1:14" x14ac:dyDescent="0.25">
      <c r="B474" s="16" t="s">
        <v>3229</v>
      </c>
      <c r="C474" s="16" t="s">
        <v>847</v>
      </c>
      <c r="D474" s="16" t="s">
        <v>848</v>
      </c>
      <c r="E474" s="289"/>
      <c r="F474" s="289"/>
      <c r="G474" s="289"/>
      <c r="H474" s="289"/>
      <c r="I474" s="289"/>
      <c r="J474" s="289"/>
      <c r="K474" s="289"/>
      <c r="L474" s="289"/>
      <c r="M474" s="289"/>
      <c r="N474" s="289"/>
    </row>
    <row r="475" spans="1:14" x14ac:dyDescent="0.25">
      <c r="B475" s="16" t="s">
        <v>3229</v>
      </c>
      <c r="C475" s="16" t="s">
        <v>849</v>
      </c>
      <c r="D475" s="16" t="s">
        <v>850</v>
      </c>
      <c r="E475" s="288">
        <v>-59900</v>
      </c>
      <c r="F475" s="288">
        <f>ROUND(E475+(E475*Assumptions!C$13),-2)</f>
        <v>-61100</v>
      </c>
      <c r="G475" s="288">
        <f>ROUND(F475+(F475*Assumptions!D$13),-2)</f>
        <v>-62600</v>
      </c>
      <c r="H475" s="288">
        <f>ROUND(G475+(G475*Assumptions!E$13),-2)</f>
        <v>-64200</v>
      </c>
      <c r="I475" s="288">
        <f>ROUND(H475+(H475*Assumptions!F$13),-2)</f>
        <v>-65800</v>
      </c>
      <c r="J475" s="288">
        <f>ROUND(I475+(I475*Assumptions!G$13),-2)</f>
        <v>-67400</v>
      </c>
      <c r="K475" s="288">
        <f>ROUND(J475+(J475*Assumptions!H$13),-2)</f>
        <v>-69100</v>
      </c>
      <c r="L475" s="288">
        <f>ROUND(K475+(K475*Assumptions!I$13),-2)</f>
        <v>-70800</v>
      </c>
      <c r="M475" s="288">
        <f>ROUND(L475+(L475*Assumptions!J$13),-2)</f>
        <v>-72600</v>
      </c>
      <c r="N475" s="288">
        <f>ROUND(M475+(M475*Assumptions!K$13),-2)</f>
        <v>-74400</v>
      </c>
    </row>
    <row r="476" spans="1:14" x14ac:dyDescent="0.25">
      <c r="B476" s="16" t="s">
        <v>3229</v>
      </c>
      <c r="C476" s="16" t="s">
        <v>851</v>
      </c>
      <c r="D476" s="16" t="s">
        <v>852</v>
      </c>
      <c r="E476" s="288">
        <v>-592000</v>
      </c>
      <c r="F476" s="288">
        <f>ROUND(E476+(E476*Assumptions!C$13),-2)</f>
        <v>-603800</v>
      </c>
      <c r="G476" s="288">
        <f>ROUND(F476+(F476*Assumptions!D$13),-2)</f>
        <v>-618900</v>
      </c>
      <c r="H476" s="288">
        <f>ROUND(G476+(G476*Assumptions!E$13),-2)</f>
        <v>-634400</v>
      </c>
      <c r="I476" s="288">
        <f>ROUND(H476+(H476*Assumptions!F$13),-2)</f>
        <v>-650300</v>
      </c>
      <c r="J476" s="288">
        <f>ROUND(I476+(I476*Assumptions!G$13),-2)</f>
        <v>-666600</v>
      </c>
      <c r="K476" s="288">
        <f>ROUND(J476+(J476*Assumptions!H$13),-2)</f>
        <v>-683300</v>
      </c>
      <c r="L476" s="288">
        <f>ROUND(K476+(K476*Assumptions!I$13),-2)</f>
        <v>-700400</v>
      </c>
      <c r="M476" s="288">
        <f>ROUND(L476+(L476*Assumptions!J$13),-2)</f>
        <v>-717900</v>
      </c>
      <c r="N476" s="288">
        <f>ROUND(M476+(M476*Assumptions!K$13),-2)</f>
        <v>-735800</v>
      </c>
    </row>
    <row r="477" spans="1:14" x14ac:dyDescent="0.25">
      <c r="B477" s="16" t="s">
        <v>3229</v>
      </c>
      <c r="C477" s="16" t="s">
        <v>853</v>
      </c>
      <c r="D477" s="16" t="s">
        <v>854</v>
      </c>
      <c r="E477" s="288">
        <v>0</v>
      </c>
      <c r="F477" s="288">
        <f>ROUND(E477+(E477*Assumptions!C$13),-2)</f>
        <v>0</v>
      </c>
      <c r="G477" s="288">
        <f>ROUND(F477+(F477*Assumptions!D$13),-2)</f>
        <v>0</v>
      </c>
      <c r="H477" s="288">
        <f>ROUND(G477+(G477*Assumptions!E$13),-2)</f>
        <v>0</v>
      </c>
      <c r="I477" s="288">
        <f>ROUND(H477+(H477*Assumptions!F$13),-2)</f>
        <v>0</v>
      </c>
      <c r="J477" s="288">
        <f>ROUND(I477+(I477*Assumptions!G$13),-2)</f>
        <v>0</v>
      </c>
      <c r="K477" s="288">
        <f>ROUND(J477+(J477*Assumptions!H$13),-2)</f>
        <v>0</v>
      </c>
      <c r="L477" s="288">
        <f>ROUND(K477+(K477*Assumptions!I$13),-2)</f>
        <v>0</v>
      </c>
      <c r="M477" s="288">
        <f>ROUND(L477+(L477*Assumptions!J$13),-2)</f>
        <v>0</v>
      </c>
      <c r="N477" s="288">
        <f>ROUND(M477+(M477*Assumptions!K$13),-2)</f>
        <v>0</v>
      </c>
    </row>
    <row r="478" spans="1:14" x14ac:dyDescent="0.25">
      <c r="B478" s="16" t="s">
        <v>3229</v>
      </c>
      <c r="C478" s="16" t="s">
        <v>855</v>
      </c>
      <c r="D478" s="16" t="s">
        <v>856</v>
      </c>
      <c r="E478" s="288">
        <v>0</v>
      </c>
      <c r="F478" s="288">
        <f>ROUND(E478+(E478*Assumptions!C$13),-2)</f>
        <v>0</v>
      </c>
      <c r="G478" s="288">
        <f>ROUND(F478+(F478*Assumptions!D$13),-2)</f>
        <v>0</v>
      </c>
      <c r="H478" s="288">
        <f>ROUND(G478+(G478*Assumptions!E$13),-2)</f>
        <v>0</v>
      </c>
      <c r="I478" s="288">
        <f>ROUND(H478+(H478*Assumptions!F$13),-2)</f>
        <v>0</v>
      </c>
      <c r="J478" s="288">
        <f>ROUND(I478+(I478*Assumptions!G$13),-2)</f>
        <v>0</v>
      </c>
      <c r="K478" s="288">
        <f>ROUND(J478+(J478*Assumptions!H$13),-2)</f>
        <v>0</v>
      </c>
      <c r="L478" s="288">
        <f>ROUND(K478+(K478*Assumptions!I$13),-2)</f>
        <v>0</v>
      </c>
      <c r="M478" s="288">
        <f>ROUND(L478+(L478*Assumptions!J$13),-2)</f>
        <v>0</v>
      </c>
      <c r="N478" s="288">
        <f>ROUND(M478+(M478*Assumptions!K$13),-2)</f>
        <v>0</v>
      </c>
    </row>
    <row r="479" spans="1:14" x14ac:dyDescent="0.25">
      <c r="B479" s="16" t="s">
        <v>3229</v>
      </c>
      <c r="C479" s="16" t="s">
        <v>857</v>
      </c>
      <c r="D479" s="16" t="s">
        <v>858</v>
      </c>
      <c r="E479" s="288">
        <v>-9000</v>
      </c>
      <c r="F479" s="288">
        <f>ROUND(E479+(E479*Assumptions!C$13),-2)</f>
        <v>-9200</v>
      </c>
      <c r="G479" s="288">
        <f>ROUND(F479+(F479*Assumptions!D$13),-2)</f>
        <v>-9400</v>
      </c>
      <c r="H479" s="288">
        <f>ROUND(G479+(G479*Assumptions!E$13),-2)</f>
        <v>-9600</v>
      </c>
      <c r="I479" s="288">
        <f>ROUND(H479+(H479*Assumptions!F$13),-2)</f>
        <v>-9800</v>
      </c>
      <c r="J479" s="288">
        <f>ROUND(I479+(I479*Assumptions!G$13),-2)</f>
        <v>-10000</v>
      </c>
      <c r="K479" s="288">
        <f>ROUND(J479+(J479*Assumptions!H$13),-2)</f>
        <v>-10300</v>
      </c>
      <c r="L479" s="288">
        <f>ROUND(K479+(K479*Assumptions!I$13),-2)</f>
        <v>-10600</v>
      </c>
      <c r="M479" s="288">
        <f>ROUND(L479+(L479*Assumptions!J$13),-2)</f>
        <v>-10900</v>
      </c>
      <c r="N479" s="288">
        <f>ROUND(M479+(M479*Assumptions!K$13),-2)</f>
        <v>-11200</v>
      </c>
    </row>
    <row r="480" spans="1:14" x14ac:dyDescent="0.25">
      <c r="B480" s="16" t="s">
        <v>3229</v>
      </c>
      <c r="C480" s="16" t="s">
        <v>859</v>
      </c>
      <c r="D480" s="16" t="s">
        <v>860</v>
      </c>
      <c r="E480" s="297">
        <v>0</v>
      </c>
      <c r="F480" s="297">
        <f>ROUND(E480+(E480*Assumptions!C$13),-2)</f>
        <v>0</v>
      </c>
      <c r="G480" s="297">
        <f>ROUND(F480+(F480*Assumptions!D$13),-2)</f>
        <v>0</v>
      </c>
      <c r="H480" s="297">
        <f>ROUND(G480+(G480*Assumptions!E$13),-2)</f>
        <v>0</v>
      </c>
      <c r="I480" s="297">
        <f>ROUND(H480+(H480*Assumptions!F$13),-2)</f>
        <v>0</v>
      </c>
      <c r="J480" s="297">
        <f>ROUND(I480+(I480*Assumptions!G$13),-2)</f>
        <v>0</v>
      </c>
      <c r="K480" s="297">
        <f>ROUND(J480+(J480*Assumptions!H$13),-2)</f>
        <v>0</v>
      </c>
      <c r="L480" s="297">
        <f>ROUND(K480+(K480*Assumptions!I$13),-2)</f>
        <v>0</v>
      </c>
      <c r="M480" s="297">
        <f>ROUND(L480+(L480*Assumptions!J$13),-2)</f>
        <v>0</v>
      </c>
      <c r="N480" s="297">
        <f>ROUND(M480+(M480*Assumptions!K$13),-2)</f>
        <v>0</v>
      </c>
    </row>
    <row r="481" spans="2:14" x14ac:dyDescent="0.25">
      <c r="B481" s="16" t="s">
        <v>3229</v>
      </c>
      <c r="C481" s="16" t="s">
        <v>861</v>
      </c>
      <c r="D481" s="16" t="s">
        <v>862</v>
      </c>
      <c r="E481" s="288">
        <v>-15000</v>
      </c>
      <c r="F481" s="288">
        <f>ROUND(E481+(E481*Assumptions!C$13),-2)</f>
        <v>-15300</v>
      </c>
      <c r="G481" s="288">
        <f>ROUND(F481+(F481*Assumptions!D$13),-2)</f>
        <v>-15700</v>
      </c>
      <c r="H481" s="288">
        <f>ROUND(G481+(G481*Assumptions!E$13),-2)</f>
        <v>-16100</v>
      </c>
      <c r="I481" s="288">
        <f>ROUND(H481+(H481*Assumptions!F$13),-2)</f>
        <v>-16500</v>
      </c>
      <c r="J481" s="288">
        <f>ROUND(I481+(I481*Assumptions!G$13),-2)</f>
        <v>-16900</v>
      </c>
      <c r="K481" s="288">
        <f>ROUND(J481+(J481*Assumptions!H$13),-2)</f>
        <v>-17300</v>
      </c>
      <c r="L481" s="288">
        <f>ROUND(K481+(K481*Assumptions!I$13),-2)</f>
        <v>-17700</v>
      </c>
      <c r="M481" s="288">
        <f>ROUND(L481+(L481*Assumptions!J$13),-2)</f>
        <v>-18100</v>
      </c>
      <c r="N481" s="288">
        <f>ROUND(M481+(M481*Assumptions!K$13),-2)</f>
        <v>-18600</v>
      </c>
    </row>
    <row r="482" spans="2:14" x14ac:dyDescent="0.25">
      <c r="B482" s="16" t="s">
        <v>3228</v>
      </c>
      <c r="C482" s="16" t="s">
        <v>863</v>
      </c>
      <c r="D482" s="16" t="s">
        <v>864</v>
      </c>
      <c r="E482" s="289"/>
      <c r="F482" s="289"/>
      <c r="G482" s="289"/>
      <c r="H482" s="289"/>
      <c r="I482" s="289"/>
      <c r="J482" s="289"/>
      <c r="K482" s="289"/>
      <c r="L482" s="289"/>
      <c r="M482" s="289"/>
      <c r="N482" s="289"/>
    </row>
    <row r="483" spans="2:14" x14ac:dyDescent="0.25">
      <c r="B483" s="16" t="s">
        <v>3228</v>
      </c>
      <c r="C483" s="16" t="s">
        <v>865</v>
      </c>
      <c r="D483" s="16" t="s">
        <v>866</v>
      </c>
      <c r="E483" s="288">
        <v>-723600</v>
      </c>
      <c r="F483" s="288">
        <f>ROUND(E483+(E483*Assumptions!C$13),-2)</f>
        <v>-738100</v>
      </c>
      <c r="G483" s="288">
        <f>ROUND(F483+(F483*Assumptions!D$13),-2)</f>
        <v>-756600</v>
      </c>
      <c r="H483" s="288">
        <f>ROUND(G483+(G483*Assumptions!E$13),-2)</f>
        <v>-775500</v>
      </c>
      <c r="I483" s="288">
        <f>ROUND(H483+(H483*Assumptions!F$13),-2)</f>
        <v>-794900</v>
      </c>
      <c r="J483" s="288">
        <f>ROUND(I483+(I483*Assumptions!G$13),-2)</f>
        <v>-814800</v>
      </c>
      <c r="K483" s="288">
        <f>ROUND(J483+(J483*Assumptions!H$13),-2)</f>
        <v>-835200</v>
      </c>
      <c r="L483" s="288">
        <f>ROUND(K483+(K483*Assumptions!I$13),-2)</f>
        <v>-856100</v>
      </c>
      <c r="M483" s="288">
        <f>ROUND(L483+(L483*Assumptions!J$13),-2)</f>
        <v>-877500</v>
      </c>
      <c r="N483" s="288">
        <f>ROUND(M483+(M483*Assumptions!K$13),-2)</f>
        <v>-899400</v>
      </c>
    </row>
    <row r="484" spans="2:14" x14ac:dyDescent="0.25">
      <c r="B484" s="16" t="s">
        <v>3228</v>
      </c>
      <c r="C484" s="16" t="s">
        <v>867</v>
      </c>
      <c r="D484" s="16" t="s">
        <v>868</v>
      </c>
      <c r="E484" s="288">
        <v>-3000</v>
      </c>
      <c r="F484" s="288">
        <f>ROUND(E484+(E484*Assumptions!C$13),-2)</f>
        <v>-3100</v>
      </c>
      <c r="G484" s="288">
        <f>ROUND(F484+(F484*Assumptions!D$13),-2)</f>
        <v>-3200</v>
      </c>
      <c r="H484" s="288">
        <f>ROUND(G484+(G484*Assumptions!E$13),-2)</f>
        <v>-3300</v>
      </c>
      <c r="I484" s="288">
        <f>ROUND(H484+(H484*Assumptions!F$13),-2)</f>
        <v>-3400</v>
      </c>
      <c r="J484" s="288">
        <f>ROUND(I484+(I484*Assumptions!G$13),-2)</f>
        <v>-3500</v>
      </c>
      <c r="K484" s="288">
        <f>ROUND(J484+(J484*Assumptions!H$13),-2)</f>
        <v>-3600</v>
      </c>
      <c r="L484" s="288">
        <f>ROUND(K484+(K484*Assumptions!I$13),-2)</f>
        <v>-3700</v>
      </c>
      <c r="M484" s="288">
        <f>ROUND(L484+(L484*Assumptions!J$13),-2)</f>
        <v>-3800</v>
      </c>
      <c r="N484" s="288">
        <f>ROUND(M484+(M484*Assumptions!K$13),-2)</f>
        <v>-3900</v>
      </c>
    </row>
    <row r="485" spans="2:14" x14ac:dyDescent="0.25">
      <c r="B485" s="16" t="s">
        <v>3228</v>
      </c>
      <c r="C485" s="16" t="s">
        <v>869</v>
      </c>
      <c r="D485" s="16" t="s">
        <v>870</v>
      </c>
      <c r="E485" s="288">
        <v>-1000</v>
      </c>
      <c r="F485" s="288">
        <f>ROUND(E485+(E485*Assumptions!C$13),-2)</f>
        <v>-1000</v>
      </c>
      <c r="G485" s="288">
        <f>ROUND(F485+(F485*Assumptions!D$13),-2)</f>
        <v>-1000</v>
      </c>
      <c r="H485" s="288">
        <f>ROUND(G485+(G485*Assumptions!E$13),-2)</f>
        <v>-1000</v>
      </c>
      <c r="I485" s="288">
        <f>ROUND(H485+(H485*Assumptions!F$13),-2)</f>
        <v>-1000</v>
      </c>
      <c r="J485" s="288">
        <f>ROUND(I485+(I485*Assumptions!G$13),-2)</f>
        <v>-1000</v>
      </c>
      <c r="K485" s="288">
        <f>ROUND(J485+(J485*Assumptions!H$13),-2)</f>
        <v>-1000</v>
      </c>
      <c r="L485" s="288">
        <f>ROUND(K485+(K485*Assumptions!I$13),-2)</f>
        <v>-1000</v>
      </c>
      <c r="M485" s="288">
        <f>ROUND(L485+(L485*Assumptions!J$13),-2)</f>
        <v>-1000</v>
      </c>
      <c r="N485" s="288">
        <f>ROUND(M485+(M485*Assumptions!K$13),-2)</f>
        <v>-1000</v>
      </c>
    </row>
    <row r="486" spans="2:14" ht="12.75" customHeight="1" x14ac:dyDescent="0.25">
      <c r="E486" s="288"/>
      <c r="F486" s="288"/>
      <c r="G486" s="288"/>
      <c r="H486" s="288"/>
      <c r="I486" s="288"/>
      <c r="J486" s="288"/>
      <c r="K486" s="288"/>
      <c r="L486" s="288"/>
      <c r="M486" s="288"/>
      <c r="N486" s="288"/>
    </row>
    <row r="487" spans="2:14" ht="12.75" customHeight="1" x14ac:dyDescent="0.25">
      <c r="D487" s="19" t="s">
        <v>3234</v>
      </c>
      <c r="E487" s="291">
        <f>SUM(E474:E486)</f>
        <v>-1403500</v>
      </c>
      <c r="F487" s="291">
        <f t="shared" ref="F487:N487" si="15">SUM(F474:F486)</f>
        <v>-1431600</v>
      </c>
      <c r="G487" s="291">
        <f t="shared" si="15"/>
        <v>-1467400</v>
      </c>
      <c r="H487" s="291">
        <f t="shared" si="15"/>
        <v>-1504100</v>
      </c>
      <c r="I487" s="291">
        <f t="shared" si="15"/>
        <v>-1541700</v>
      </c>
      <c r="J487" s="291">
        <f t="shared" si="15"/>
        <v>-1580200</v>
      </c>
      <c r="K487" s="291">
        <f t="shared" si="15"/>
        <v>-1619800</v>
      </c>
      <c r="L487" s="291">
        <f t="shared" si="15"/>
        <v>-1660300</v>
      </c>
      <c r="M487" s="291">
        <f t="shared" si="15"/>
        <v>-1701800</v>
      </c>
      <c r="N487" s="291">
        <f t="shared" si="15"/>
        <v>-1744300</v>
      </c>
    </row>
    <row r="488" spans="2:14" ht="12.75" customHeight="1" x14ac:dyDescent="0.25">
      <c r="E488" s="288"/>
      <c r="F488" s="288"/>
      <c r="G488" s="288"/>
      <c r="H488" s="288"/>
      <c r="I488" s="288"/>
      <c r="J488" s="288"/>
      <c r="K488" s="288"/>
      <c r="L488" s="288"/>
      <c r="M488" s="288"/>
      <c r="N488" s="288"/>
    </row>
    <row r="489" spans="2:14" x14ac:dyDescent="0.25">
      <c r="C489" s="19" t="s">
        <v>871</v>
      </c>
      <c r="E489" s="288"/>
      <c r="F489" s="288"/>
      <c r="G489" s="288"/>
      <c r="H489" s="288"/>
      <c r="I489" s="288"/>
      <c r="J489" s="288"/>
      <c r="K489" s="288"/>
      <c r="L489" s="288"/>
      <c r="M489" s="288"/>
      <c r="N489" s="288"/>
    </row>
    <row r="490" spans="2:14" ht="12.75" customHeight="1" x14ac:dyDescent="0.25">
      <c r="E490" s="288"/>
      <c r="F490" s="288"/>
      <c r="G490" s="288"/>
      <c r="H490" s="288"/>
      <c r="I490" s="288"/>
      <c r="J490" s="288"/>
      <c r="K490" s="288"/>
      <c r="L490" s="288"/>
      <c r="M490" s="288"/>
      <c r="N490" s="288"/>
    </row>
    <row r="491" spans="2:14" x14ac:dyDescent="0.25">
      <c r="C491" s="16" t="s">
        <v>87</v>
      </c>
      <c r="E491" s="288"/>
      <c r="F491" s="288"/>
      <c r="G491" s="288"/>
      <c r="H491" s="288"/>
      <c r="I491" s="288"/>
      <c r="J491" s="288"/>
      <c r="K491" s="288"/>
      <c r="L491" s="288"/>
      <c r="M491" s="288"/>
      <c r="N491" s="288"/>
    </row>
    <row r="492" spans="2:14" x14ac:dyDescent="0.25">
      <c r="B492" s="16" t="s">
        <v>41</v>
      </c>
      <c r="C492" s="16" t="s">
        <v>872</v>
      </c>
      <c r="D492" s="16" t="s">
        <v>873</v>
      </c>
      <c r="E492" s="289"/>
      <c r="F492" s="289"/>
      <c r="G492" s="289"/>
      <c r="H492" s="289"/>
      <c r="I492" s="289"/>
      <c r="J492" s="289"/>
      <c r="K492" s="289"/>
      <c r="L492" s="289"/>
      <c r="M492" s="289"/>
      <c r="N492" s="289"/>
    </row>
    <row r="493" spans="2:14" x14ac:dyDescent="0.25">
      <c r="B493" s="16" t="s">
        <v>41</v>
      </c>
      <c r="C493" s="16" t="s">
        <v>874</v>
      </c>
      <c r="D493" s="16" t="s">
        <v>875</v>
      </c>
      <c r="E493" s="288">
        <v>44500</v>
      </c>
      <c r="F493" s="288">
        <f>ROUND(IF($A493="E",E493*(1+Assumptions!C$15),E493*(1+Assumptions!C$14)),-2)</f>
        <v>45200</v>
      </c>
      <c r="G493" s="288">
        <f>ROUND(IF($A493="E",F493*(1+Assumptions!D$15),F493*(1+Assumptions!D$14)),-2)</f>
        <v>46100</v>
      </c>
      <c r="H493" s="288">
        <f>ROUND(IF($A493="E",G493*(1+Assumptions!E$15),G493*(1+Assumptions!E$14)),-2)</f>
        <v>47000</v>
      </c>
      <c r="I493" s="288">
        <f>ROUND(IF($A493="E",H493*(1+Assumptions!F$15),H493*(1+Assumptions!F$14)),-2)</f>
        <v>47900</v>
      </c>
      <c r="J493" s="288">
        <f>ROUND(IF($A493="E",I493*(1+Assumptions!G$15),I493*(1+Assumptions!G$14)),-2)</f>
        <v>48900</v>
      </c>
      <c r="K493" s="288">
        <f>ROUND(IF($A493="E",J493*(1+Assumptions!H$15),J493*(1+Assumptions!H$14)),-2)</f>
        <v>49900</v>
      </c>
      <c r="L493" s="288">
        <f>ROUND(IF($A493="E",K493*(1+Assumptions!I$15),K493*(1+Assumptions!I$14)),-2)</f>
        <v>51100</v>
      </c>
      <c r="M493" s="288">
        <f>ROUND(IF($A493="E",L493*(1+Assumptions!J$15),L493*(1+Assumptions!J$14)),-2)</f>
        <v>52400</v>
      </c>
      <c r="N493" s="288">
        <f>ROUND(IF($A493="E",M493*(1+Assumptions!K$15),M493*(1+Assumptions!K$14)),-2)</f>
        <v>53700</v>
      </c>
    </row>
    <row r="494" spans="2:14" x14ac:dyDescent="0.25">
      <c r="B494" s="16" t="s">
        <v>41</v>
      </c>
      <c r="C494" s="16" t="s">
        <v>876</v>
      </c>
      <c r="D494" s="16" t="s">
        <v>877</v>
      </c>
      <c r="E494" s="289"/>
      <c r="F494" s="289"/>
      <c r="G494" s="289"/>
      <c r="H494" s="289"/>
      <c r="I494" s="289"/>
      <c r="J494" s="289"/>
      <c r="K494" s="289"/>
      <c r="L494" s="289"/>
      <c r="M494" s="289"/>
      <c r="N494" s="289"/>
    </row>
    <row r="495" spans="2:14" x14ac:dyDescent="0.25">
      <c r="B495" s="16" t="s">
        <v>41</v>
      </c>
      <c r="C495" s="16" t="s">
        <v>878</v>
      </c>
      <c r="D495" s="16" t="s">
        <v>201</v>
      </c>
      <c r="E495" s="288">
        <v>47700</v>
      </c>
      <c r="F495" s="288">
        <f>ROUND(IF($A495="E",E495*(1+Assumptions!C$15),E495*(1+Assumptions!C$14)),-2)</f>
        <v>48400</v>
      </c>
      <c r="G495" s="288">
        <f>ROUND(IF($A495="E",F495*(1+Assumptions!D$15),F495*(1+Assumptions!D$14)),-2)</f>
        <v>49400</v>
      </c>
      <c r="H495" s="288">
        <f>ROUND(IF($A495="E",G495*(1+Assumptions!E$15),G495*(1+Assumptions!E$14)),-2)</f>
        <v>50400</v>
      </c>
      <c r="I495" s="288">
        <f>ROUND(IF($A495="E",H495*(1+Assumptions!F$15),H495*(1+Assumptions!F$14)),-2)</f>
        <v>51400</v>
      </c>
      <c r="J495" s="288">
        <f>ROUND(IF($A495="E",I495*(1+Assumptions!G$15),I495*(1+Assumptions!G$14)),-2)</f>
        <v>52400</v>
      </c>
      <c r="K495" s="288">
        <f>ROUND(IF($A495="E",J495*(1+Assumptions!H$15),J495*(1+Assumptions!H$14)),-2)</f>
        <v>53400</v>
      </c>
      <c r="L495" s="288">
        <f>ROUND(IF($A495="E",K495*(1+Assumptions!I$15),K495*(1+Assumptions!I$14)),-2)</f>
        <v>54700</v>
      </c>
      <c r="M495" s="288">
        <f>ROUND(IF($A495="E",L495*(1+Assumptions!J$15),L495*(1+Assumptions!J$14)),-2)</f>
        <v>56100</v>
      </c>
      <c r="N495" s="288">
        <f>ROUND(IF($A495="E",M495*(1+Assumptions!K$15),M495*(1+Assumptions!K$14)),-2)</f>
        <v>57500</v>
      </c>
    </row>
    <row r="496" spans="2:14" x14ac:dyDescent="0.25">
      <c r="B496" s="16" t="s">
        <v>41</v>
      </c>
      <c r="C496" s="16" t="s">
        <v>879</v>
      </c>
      <c r="D496" s="16" t="s">
        <v>880</v>
      </c>
      <c r="E496" s="288">
        <v>2400</v>
      </c>
      <c r="F496" s="288">
        <f>ROUND(IF($A496="E",E496*(1+Assumptions!C$15),E496*(1+Assumptions!C$14)),-2)</f>
        <v>2400</v>
      </c>
      <c r="G496" s="288">
        <f>ROUND(IF($A496="E",F496*(1+Assumptions!D$15),F496*(1+Assumptions!D$14)),-2)</f>
        <v>2400</v>
      </c>
      <c r="H496" s="288">
        <f>ROUND(IF($A496="E",G496*(1+Assumptions!E$15),G496*(1+Assumptions!E$14)),-2)</f>
        <v>2400</v>
      </c>
      <c r="I496" s="288">
        <f>ROUND(IF($A496="E",H496*(1+Assumptions!F$15),H496*(1+Assumptions!F$14)),-2)</f>
        <v>2400</v>
      </c>
      <c r="J496" s="288">
        <f>ROUND(IF($A496="E",I496*(1+Assumptions!G$15),I496*(1+Assumptions!G$14)),-2)</f>
        <v>2400</v>
      </c>
      <c r="K496" s="288">
        <f>ROUND(IF($A496="E",J496*(1+Assumptions!H$15),J496*(1+Assumptions!H$14)),-2)</f>
        <v>2400</v>
      </c>
      <c r="L496" s="288">
        <f>ROUND(IF($A496="E",K496*(1+Assumptions!I$15),K496*(1+Assumptions!I$14)),-2)</f>
        <v>2500</v>
      </c>
      <c r="M496" s="288">
        <f>ROUND(IF($A496="E",L496*(1+Assumptions!J$15),L496*(1+Assumptions!J$14)),-2)</f>
        <v>2600</v>
      </c>
      <c r="N496" s="288">
        <f>ROUND(IF($A496="E",M496*(1+Assumptions!K$15),M496*(1+Assumptions!K$14)),-2)</f>
        <v>2700</v>
      </c>
    </row>
    <row r="497" spans="2:14" x14ac:dyDescent="0.25">
      <c r="B497" s="16" t="s">
        <v>45</v>
      </c>
      <c r="C497" s="16" t="s">
        <v>881</v>
      </c>
      <c r="D497" s="16" t="s">
        <v>882</v>
      </c>
      <c r="E497" s="288">
        <v>1500</v>
      </c>
      <c r="F497" s="288">
        <f>ROUND(IF($A497="E",E497*(1+Assumptions!C$15),E497*(1+Assumptions!C$14)),-2)</f>
        <v>1500</v>
      </c>
      <c r="G497" s="288">
        <f>ROUND(IF($A497="E",F497*(1+Assumptions!D$15),F497*(1+Assumptions!D$14)),-2)</f>
        <v>1500</v>
      </c>
      <c r="H497" s="288">
        <f>ROUND(IF($A497="E",G497*(1+Assumptions!E$15),G497*(1+Assumptions!E$14)),-2)</f>
        <v>1500</v>
      </c>
      <c r="I497" s="288">
        <f>ROUND(IF($A497="E",H497*(1+Assumptions!F$15),H497*(1+Assumptions!F$14)),-2)</f>
        <v>1500</v>
      </c>
      <c r="J497" s="288">
        <f>ROUND(IF($A497="E",I497*(1+Assumptions!G$15),I497*(1+Assumptions!G$14)),-2)</f>
        <v>1500</v>
      </c>
      <c r="K497" s="288">
        <f>ROUND(IF($A497="E",J497*(1+Assumptions!H$15),J497*(1+Assumptions!H$14)),-2)</f>
        <v>1500</v>
      </c>
      <c r="L497" s="288">
        <f>ROUND(IF($A497="E",K497*(1+Assumptions!I$15),K497*(1+Assumptions!I$14)),-2)</f>
        <v>1500</v>
      </c>
      <c r="M497" s="288">
        <f>ROUND(IF($A497="E",L497*(1+Assumptions!J$15),L497*(1+Assumptions!J$14)),-2)</f>
        <v>1500</v>
      </c>
      <c r="N497" s="288">
        <f>ROUND(IF($A497="E",M497*(1+Assumptions!K$15),M497*(1+Assumptions!K$14)),-2)</f>
        <v>1500</v>
      </c>
    </row>
    <row r="498" spans="2:14" x14ac:dyDescent="0.25">
      <c r="B498" s="16" t="s">
        <v>45</v>
      </c>
      <c r="C498" s="16" t="s">
        <v>883</v>
      </c>
      <c r="D498" s="16" t="s">
        <v>884</v>
      </c>
      <c r="E498" s="288">
        <v>6300</v>
      </c>
      <c r="F498" s="288">
        <f>ROUND(IF($A498="E",E498*(1+Assumptions!C$15),E498*(1+Assumptions!C$14)),-2)</f>
        <v>6400</v>
      </c>
      <c r="G498" s="288">
        <f>ROUND(IF($A498="E",F498*(1+Assumptions!D$15),F498*(1+Assumptions!D$14)),-2)</f>
        <v>6500</v>
      </c>
      <c r="H498" s="288">
        <f>ROUND(IF($A498="E",G498*(1+Assumptions!E$15),G498*(1+Assumptions!E$14)),-2)</f>
        <v>6600</v>
      </c>
      <c r="I498" s="288">
        <f>ROUND(IF($A498="E",H498*(1+Assumptions!F$15),H498*(1+Assumptions!F$14)),-2)</f>
        <v>6700</v>
      </c>
      <c r="J498" s="288">
        <f>ROUND(IF($A498="E",I498*(1+Assumptions!G$15),I498*(1+Assumptions!G$14)),-2)</f>
        <v>6800</v>
      </c>
      <c r="K498" s="288">
        <f>ROUND(IF($A498="E",J498*(1+Assumptions!H$15),J498*(1+Assumptions!H$14)),-2)</f>
        <v>6900</v>
      </c>
      <c r="L498" s="288">
        <f>ROUND(IF($A498="E",K498*(1+Assumptions!I$15),K498*(1+Assumptions!I$14)),-2)</f>
        <v>7100</v>
      </c>
      <c r="M498" s="288">
        <f>ROUND(IF($A498="E",L498*(1+Assumptions!J$15),L498*(1+Assumptions!J$14)),-2)</f>
        <v>7300</v>
      </c>
      <c r="N498" s="288">
        <f>ROUND(IF($A498="E",M498*(1+Assumptions!K$15),M498*(1+Assumptions!K$14)),-2)</f>
        <v>7500</v>
      </c>
    </row>
    <row r="499" spans="2:14" x14ac:dyDescent="0.25">
      <c r="B499" s="16" t="s">
        <v>41</v>
      </c>
      <c r="C499" s="16" t="s">
        <v>885</v>
      </c>
      <c r="D499" s="16" t="s">
        <v>886</v>
      </c>
      <c r="E499" s="289"/>
      <c r="F499" s="289"/>
      <c r="G499" s="289"/>
      <c r="H499" s="289"/>
      <c r="I499" s="289"/>
      <c r="J499" s="289"/>
      <c r="K499" s="289"/>
      <c r="L499" s="289"/>
      <c r="M499" s="289"/>
      <c r="N499" s="289"/>
    </row>
    <row r="500" spans="2:14" x14ac:dyDescent="0.25">
      <c r="B500" s="16" t="s">
        <v>41</v>
      </c>
      <c r="C500" s="16" t="s">
        <v>887</v>
      </c>
      <c r="D500" s="16" t="s">
        <v>201</v>
      </c>
      <c r="E500" s="288">
        <v>47700</v>
      </c>
      <c r="F500" s="288">
        <f>ROUND(IF($A500="E",E500*(1+Assumptions!C$15),E500*(1+Assumptions!C$14)),-2)</f>
        <v>48400</v>
      </c>
      <c r="G500" s="288">
        <f>ROUND(IF($A500="E",F500*(1+Assumptions!D$15),F500*(1+Assumptions!D$14)),-2)</f>
        <v>49400</v>
      </c>
      <c r="H500" s="288">
        <f>ROUND(IF($A500="E",G500*(1+Assumptions!E$15),G500*(1+Assumptions!E$14)),-2)</f>
        <v>50400</v>
      </c>
      <c r="I500" s="288">
        <f>ROUND(IF($A500="E",H500*(1+Assumptions!F$15),H500*(1+Assumptions!F$14)),-2)</f>
        <v>51400</v>
      </c>
      <c r="J500" s="288">
        <f>ROUND(IF($A500="E",I500*(1+Assumptions!G$15),I500*(1+Assumptions!G$14)),-2)</f>
        <v>52400</v>
      </c>
      <c r="K500" s="288">
        <f>ROUND(IF($A500="E",J500*(1+Assumptions!H$15),J500*(1+Assumptions!H$14)),-2)</f>
        <v>53400</v>
      </c>
      <c r="L500" s="288">
        <f>ROUND(IF($A500="E",K500*(1+Assumptions!I$15),K500*(1+Assumptions!I$14)),-2)</f>
        <v>54700</v>
      </c>
      <c r="M500" s="288">
        <f>ROUND(IF($A500="E",L500*(1+Assumptions!J$15),L500*(1+Assumptions!J$14)),-2)</f>
        <v>56100</v>
      </c>
      <c r="N500" s="288">
        <f>ROUND(IF($A500="E",M500*(1+Assumptions!K$15),M500*(1+Assumptions!K$14)),-2)</f>
        <v>57500</v>
      </c>
    </row>
    <row r="501" spans="2:14" x14ac:dyDescent="0.25">
      <c r="B501" s="16" t="s">
        <v>41</v>
      </c>
      <c r="C501" s="16" t="s">
        <v>888</v>
      </c>
      <c r="D501" s="16" t="s">
        <v>880</v>
      </c>
      <c r="E501" s="288">
        <v>6400</v>
      </c>
      <c r="F501" s="288">
        <f>ROUND(IF($A501="E",E501*(1+Assumptions!C$15),E501*(1+Assumptions!C$14)),-2)</f>
        <v>6500</v>
      </c>
      <c r="G501" s="288">
        <f>ROUND(IF($A501="E",F501*(1+Assumptions!D$15),F501*(1+Assumptions!D$14)),-2)</f>
        <v>6600</v>
      </c>
      <c r="H501" s="288">
        <f>ROUND(IF($A501="E",G501*(1+Assumptions!E$15),G501*(1+Assumptions!E$14)),-2)</f>
        <v>6700</v>
      </c>
      <c r="I501" s="288">
        <f>ROUND(IF($A501="E",H501*(1+Assumptions!F$15),H501*(1+Assumptions!F$14)),-2)</f>
        <v>6800</v>
      </c>
      <c r="J501" s="288">
        <f>ROUND(IF($A501="E",I501*(1+Assumptions!G$15),I501*(1+Assumptions!G$14)),-2)</f>
        <v>6900</v>
      </c>
      <c r="K501" s="288">
        <f>ROUND(IF($A501="E",J501*(1+Assumptions!H$15),J501*(1+Assumptions!H$14)),-2)</f>
        <v>7000</v>
      </c>
      <c r="L501" s="288">
        <f>ROUND(IF($A501="E",K501*(1+Assumptions!I$15),K501*(1+Assumptions!I$14)),-2)</f>
        <v>7200</v>
      </c>
      <c r="M501" s="288">
        <f>ROUND(IF($A501="E",L501*(1+Assumptions!J$15),L501*(1+Assumptions!J$14)),-2)</f>
        <v>7400</v>
      </c>
      <c r="N501" s="288">
        <f>ROUND(IF($A501="E",M501*(1+Assumptions!K$15),M501*(1+Assumptions!K$14)),-2)</f>
        <v>7600</v>
      </c>
    </row>
    <row r="502" spans="2:14" x14ac:dyDescent="0.25">
      <c r="B502" s="16" t="s">
        <v>45</v>
      </c>
      <c r="C502" s="16" t="s">
        <v>889</v>
      </c>
      <c r="D502" s="16" t="s">
        <v>882</v>
      </c>
      <c r="E502" s="288">
        <v>1700</v>
      </c>
      <c r="F502" s="288">
        <f>ROUND(IF($A502="E",E502*(1+Assumptions!C$15),E502*(1+Assumptions!C$14)),-2)</f>
        <v>1700</v>
      </c>
      <c r="G502" s="288">
        <f>ROUND(IF($A502="E",F502*(1+Assumptions!D$15),F502*(1+Assumptions!D$14)),-2)</f>
        <v>1700</v>
      </c>
      <c r="H502" s="288">
        <f>ROUND(IF($A502="E",G502*(1+Assumptions!E$15),G502*(1+Assumptions!E$14)),-2)</f>
        <v>1700</v>
      </c>
      <c r="I502" s="288">
        <f>ROUND(IF($A502="E",H502*(1+Assumptions!F$15),H502*(1+Assumptions!F$14)),-2)</f>
        <v>1700</v>
      </c>
      <c r="J502" s="288">
        <f>ROUND(IF($A502="E",I502*(1+Assumptions!G$15),I502*(1+Assumptions!G$14)),-2)</f>
        <v>1700</v>
      </c>
      <c r="K502" s="288">
        <f>ROUND(IF($A502="E",J502*(1+Assumptions!H$15),J502*(1+Assumptions!H$14)),-2)</f>
        <v>1700</v>
      </c>
      <c r="L502" s="288">
        <f>ROUND(IF($A502="E",K502*(1+Assumptions!I$15),K502*(1+Assumptions!I$14)),-2)</f>
        <v>1700</v>
      </c>
      <c r="M502" s="288">
        <f>ROUND(IF($A502="E",L502*(1+Assumptions!J$15),L502*(1+Assumptions!J$14)),-2)</f>
        <v>1700</v>
      </c>
      <c r="N502" s="288">
        <f>ROUND(IF($A502="E",M502*(1+Assumptions!K$15),M502*(1+Assumptions!K$14)),-2)</f>
        <v>1700</v>
      </c>
    </row>
    <row r="503" spans="2:14" x14ac:dyDescent="0.25">
      <c r="B503" s="16" t="s">
        <v>45</v>
      </c>
      <c r="C503" s="16" t="s">
        <v>890</v>
      </c>
      <c r="D503" s="16" t="s">
        <v>884</v>
      </c>
      <c r="E503" s="288">
        <v>4300</v>
      </c>
      <c r="F503" s="288">
        <f>ROUND(IF($A503="E",E503*(1+Assumptions!C$15),E503*(1+Assumptions!C$14)),-2)</f>
        <v>4400</v>
      </c>
      <c r="G503" s="288">
        <f>ROUND(IF($A503="E",F503*(1+Assumptions!D$15),F503*(1+Assumptions!D$14)),-2)</f>
        <v>4500</v>
      </c>
      <c r="H503" s="288">
        <f>ROUND(IF($A503="E",G503*(1+Assumptions!E$15),G503*(1+Assumptions!E$14)),-2)</f>
        <v>4600</v>
      </c>
      <c r="I503" s="288">
        <f>ROUND(IF($A503="E",H503*(1+Assumptions!F$15),H503*(1+Assumptions!F$14)),-2)</f>
        <v>4700</v>
      </c>
      <c r="J503" s="288">
        <f>ROUND(IF($A503="E",I503*(1+Assumptions!G$15),I503*(1+Assumptions!G$14)),-2)</f>
        <v>4800</v>
      </c>
      <c r="K503" s="288">
        <f>ROUND(IF($A503="E",J503*(1+Assumptions!H$15),J503*(1+Assumptions!H$14)),-2)</f>
        <v>4900</v>
      </c>
      <c r="L503" s="288">
        <f>ROUND(IF($A503="E",K503*(1+Assumptions!I$15),K503*(1+Assumptions!I$14)),-2)</f>
        <v>5000</v>
      </c>
      <c r="M503" s="288">
        <f>ROUND(IF($A503="E",L503*(1+Assumptions!J$15),L503*(1+Assumptions!J$14)),-2)</f>
        <v>5100</v>
      </c>
      <c r="N503" s="288">
        <f>ROUND(IF($A503="E",M503*(1+Assumptions!K$15),M503*(1+Assumptions!K$14)),-2)</f>
        <v>5200</v>
      </c>
    </row>
    <row r="504" spans="2:14" x14ac:dyDescent="0.25">
      <c r="B504" s="16" t="s">
        <v>41</v>
      </c>
      <c r="C504" s="16" t="s">
        <v>891</v>
      </c>
      <c r="D504" s="16" t="s">
        <v>892</v>
      </c>
      <c r="E504" s="289"/>
      <c r="F504" s="289"/>
      <c r="G504" s="289"/>
      <c r="H504" s="289"/>
      <c r="I504" s="289"/>
      <c r="J504" s="289"/>
      <c r="K504" s="289"/>
      <c r="L504" s="289"/>
      <c r="M504" s="289"/>
      <c r="N504" s="289"/>
    </row>
    <row r="505" spans="2:14" x14ac:dyDescent="0.25">
      <c r="B505" s="16" t="s">
        <v>41</v>
      </c>
      <c r="C505" s="16" t="s">
        <v>893</v>
      </c>
      <c r="D505" s="16" t="s">
        <v>201</v>
      </c>
      <c r="E505" s="288">
        <v>28600</v>
      </c>
      <c r="F505" s="288">
        <f>ROUND(IF($A505="E",E505*(1+Assumptions!C$15),E505*(1+Assumptions!C$14)),-2)</f>
        <v>29000</v>
      </c>
      <c r="G505" s="288">
        <f>ROUND(IF($A505="E",F505*(1+Assumptions!D$15),F505*(1+Assumptions!D$14)),-2)</f>
        <v>29600</v>
      </c>
      <c r="H505" s="288">
        <f>ROUND(IF($A505="E",G505*(1+Assumptions!E$15),G505*(1+Assumptions!E$14)),-2)</f>
        <v>30200</v>
      </c>
      <c r="I505" s="288">
        <f>ROUND(IF($A505="E",H505*(1+Assumptions!F$15),H505*(1+Assumptions!F$14)),-2)</f>
        <v>30800</v>
      </c>
      <c r="J505" s="288">
        <f>ROUND(IF($A505="E",I505*(1+Assumptions!G$15),I505*(1+Assumptions!G$14)),-2)</f>
        <v>31400</v>
      </c>
      <c r="K505" s="288">
        <f>ROUND(IF($A505="E",J505*(1+Assumptions!H$15),J505*(1+Assumptions!H$14)),-2)</f>
        <v>32000</v>
      </c>
      <c r="L505" s="288">
        <f>ROUND(IF($A505="E",K505*(1+Assumptions!I$15),K505*(1+Assumptions!I$14)),-2)</f>
        <v>32800</v>
      </c>
      <c r="M505" s="288">
        <f>ROUND(IF($A505="E",L505*(1+Assumptions!J$15),L505*(1+Assumptions!J$14)),-2)</f>
        <v>33600</v>
      </c>
      <c r="N505" s="288">
        <f>ROUND(IF($A505="E",M505*(1+Assumptions!K$15),M505*(1+Assumptions!K$14)),-2)</f>
        <v>34400</v>
      </c>
    </row>
    <row r="506" spans="2:14" x14ac:dyDescent="0.25">
      <c r="B506" s="16" t="s">
        <v>45</v>
      </c>
      <c r="C506" s="16" t="s">
        <v>894</v>
      </c>
      <c r="D506" s="16" t="s">
        <v>882</v>
      </c>
      <c r="E506" s="288">
        <v>1000</v>
      </c>
      <c r="F506" s="288">
        <f>ROUND(IF($A506="E",E506*(1+Assumptions!C$15),E506*(1+Assumptions!C$14)),-2)</f>
        <v>1000</v>
      </c>
      <c r="G506" s="288">
        <f>ROUND(IF($A506="E",F506*(1+Assumptions!D$15),F506*(1+Assumptions!D$14)),-2)</f>
        <v>1000</v>
      </c>
      <c r="H506" s="288">
        <f>ROUND(IF($A506="E",G506*(1+Assumptions!E$15),G506*(1+Assumptions!E$14)),-2)</f>
        <v>1000</v>
      </c>
      <c r="I506" s="288">
        <f>ROUND(IF($A506="E",H506*(1+Assumptions!F$15),H506*(1+Assumptions!F$14)),-2)</f>
        <v>1000</v>
      </c>
      <c r="J506" s="288">
        <f>ROUND(IF($A506="E",I506*(1+Assumptions!G$15),I506*(1+Assumptions!G$14)),-2)</f>
        <v>1000</v>
      </c>
      <c r="K506" s="288">
        <f>ROUND(IF($A506="E",J506*(1+Assumptions!H$15),J506*(1+Assumptions!H$14)),-2)</f>
        <v>1000</v>
      </c>
      <c r="L506" s="288">
        <f>ROUND(IF($A506="E",K506*(1+Assumptions!I$15),K506*(1+Assumptions!I$14)),-2)</f>
        <v>1000</v>
      </c>
      <c r="M506" s="288">
        <f>ROUND(IF($A506="E",L506*(1+Assumptions!J$15),L506*(1+Assumptions!J$14)),-2)</f>
        <v>1000</v>
      </c>
      <c r="N506" s="288">
        <f>ROUND(IF($A506="E",M506*(1+Assumptions!K$15),M506*(1+Assumptions!K$14)),-2)</f>
        <v>1000</v>
      </c>
    </row>
    <row r="507" spans="2:14" x14ac:dyDescent="0.25">
      <c r="B507" s="16" t="s">
        <v>45</v>
      </c>
      <c r="C507" s="16" t="s">
        <v>895</v>
      </c>
      <c r="D507" s="16" t="s">
        <v>884</v>
      </c>
      <c r="E507" s="288">
        <v>2900</v>
      </c>
      <c r="F507" s="288">
        <f>ROUND(IF($A507="E",E507*(1+Assumptions!C$15),E507*(1+Assumptions!C$14)),-2)</f>
        <v>2900</v>
      </c>
      <c r="G507" s="288">
        <f>ROUND(IF($A507="E",F507*(1+Assumptions!D$15),F507*(1+Assumptions!D$14)),-2)</f>
        <v>3000</v>
      </c>
      <c r="H507" s="288">
        <f>ROUND(IF($A507="E",G507*(1+Assumptions!E$15),G507*(1+Assumptions!E$14)),-2)</f>
        <v>3100</v>
      </c>
      <c r="I507" s="288">
        <f>ROUND(IF($A507="E",H507*(1+Assumptions!F$15),H507*(1+Assumptions!F$14)),-2)</f>
        <v>3200</v>
      </c>
      <c r="J507" s="288">
        <f>ROUND(IF($A507="E",I507*(1+Assumptions!G$15),I507*(1+Assumptions!G$14)),-2)</f>
        <v>3300</v>
      </c>
      <c r="K507" s="288">
        <f>ROUND(IF($A507="E",J507*(1+Assumptions!H$15),J507*(1+Assumptions!H$14)),-2)</f>
        <v>3400</v>
      </c>
      <c r="L507" s="288">
        <f>ROUND(IF($A507="E",K507*(1+Assumptions!I$15),K507*(1+Assumptions!I$14)),-2)</f>
        <v>3500</v>
      </c>
      <c r="M507" s="288">
        <f>ROUND(IF($A507="E",L507*(1+Assumptions!J$15),L507*(1+Assumptions!J$14)),-2)</f>
        <v>3600</v>
      </c>
      <c r="N507" s="288">
        <f>ROUND(IF($A507="E",M507*(1+Assumptions!K$15),M507*(1+Assumptions!K$14)),-2)</f>
        <v>3700</v>
      </c>
    </row>
    <row r="508" spans="2:14" x14ac:dyDescent="0.25">
      <c r="B508" s="16" t="s">
        <v>41</v>
      </c>
      <c r="C508" s="16" t="s">
        <v>896</v>
      </c>
      <c r="D508" s="16" t="s">
        <v>897</v>
      </c>
      <c r="E508" s="289"/>
      <c r="F508" s="289"/>
      <c r="G508" s="289"/>
      <c r="H508" s="289"/>
      <c r="I508" s="289"/>
      <c r="J508" s="289"/>
      <c r="K508" s="289"/>
      <c r="L508" s="289"/>
      <c r="M508" s="289"/>
      <c r="N508" s="289"/>
    </row>
    <row r="509" spans="2:14" x14ac:dyDescent="0.25">
      <c r="B509" s="16" t="s">
        <v>41</v>
      </c>
      <c r="C509" s="16" t="s">
        <v>898</v>
      </c>
      <c r="D509" s="16" t="s">
        <v>201</v>
      </c>
      <c r="E509" s="288">
        <v>30400</v>
      </c>
      <c r="F509" s="288">
        <f>ROUND(IF($A509="E",E509*(1+Assumptions!C$15),E509*(1+Assumptions!C$14)),-2)</f>
        <v>30900</v>
      </c>
      <c r="G509" s="288">
        <f>ROUND(IF($A509="E",F509*(1+Assumptions!D$15),F509*(1+Assumptions!D$14)),-2)</f>
        <v>31500</v>
      </c>
      <c r="H509" s="288">
        <f>ROUND(IF($A509="E",G509*(1+Assumptions!E$15),G509*(1+Assumptions!E$14)),-2)</f>
        <v>32100</v>
      </c>
      <c r="I509" s="288">
        <f>ROUND(IF($A509="E",H509*(1+Assumptions!F$15),H509*(1+Assumptions!F$14)),-2)</f>
        <v>32700</v>
      </c>
      <c r="J509" s="288">
        <f>ROUND(IF($A509="E",I509*(1+Assumptions!G$15),I509*(1+Assumptions!G$14)),-2)</f>
        <v>33400</v>
      </c>
      <c r="K509" s="288">
        <f>ROUND(IF($A509="E",J509*(1+Assumptions!H$15),J509*(1+Assumptions!H$14)),-2)</f>
        <v>34100</v>
      </c>
      <c r="L509" s="288">
        <f>ROUND(IF($A509="E",K509*(1+Assumptions!I$15),K509*(1+Assumptions!I$14)),-2)</f>
        <v>35000</v>
      </c>
      <c r="M509" s="288">
        <f>ROUND(IF($A509="E",L509*(1+Assumptions!J$15),L509*(1+Assumptions!J$14)),-2)</f>
        <v>35900</v>
      </c>
      <c r="N509" s="288">
        <f>ROUND(IF($A509="E",M509*(1+Assumptions!K$15),M509*(1+Assumptions!K$14)),-2)</f>
        <v>36800</v>
      </c>
    </row>
    <row r="510" spans="2:14" x14ac:dyDescent="0.25">
      <c r="B510" s="16" t="s">
        <v>41</v>
      </c>
      <c r="C510" s="16" t="s">
        <v>899</v>
      </c>
      <c r="D510" s="16" t="s">
        <v>880</v>
      </c>
      <c r="E510" s="288">
        <v>12100</v>
      </c>
      <c r="F510" s="288">
        <f>ROUND(IF($A510="E",E510*(1+Assumptions!C$15),E510*(1+Assumptions!C$14)),-2)</f>
        <v>12300</v>
      </c>
      <c r="G510" s="288">
        <f>ROUND(IF($A510="E",F510*(1+Assumptions!D$15),F510*(1+Assumptions!D$14)),-2)</f>
        <v>12500</v>
      </c>
      <c r="H510" s="288">
        <f>ROUND(IF($A510="E",G510*(1+Assumptions!E$15),G510*(1+Assumptions!E$14)),-2)</f>
        <v>12800</v>
      </c>
      <c r="I510" s="288">
        <f>ROUND(IF($A510="E",H510*(1+Assumptions!F$15),H510*(1+Assumptions!F$14)),-2)</f>
        <v>13100</v>
      </c>
      <c r="J510" s="288">
        <f>ROUND(IF($A510="E",I510*(1+Assumptions!G$15),I510*(1+Assumptions!G$14)),-2)</f>
        <v>13400</v>
      </c>
      <c r="K510" s="288">
        <f>ROUND(IF($A510="E",J510*(1+Assumptions!H$15),J510*(1+Assumptions!H$14)),-2)</f>
        <v>13700</v>
      </c>
      <c r="L510" s="288">
        <f>ROUND(IF($A510="E",K510*(1+Assumptions!I$15),K510*(1+Assumptions!I$14)),-2)</f>
        <v>14000</v>
      </c>
      <c r="M510" s="288">
        <f>ROUND(IF($A510="E",L510*(1+Assumptions!J$15),L510*(1+Assumptions!J$14)),-2)</f>
        <v>14400</v>
      </c>
      <c r="N510" s="288">
        <f>ROUND(IF($A510="E",M510*(1+Assumptions!K$15),M510*(1+Assumptions!K$14)),-2)</f>
        <v>14800</v>
      </c>
    </row>
    <row r="511" spans="2:14" x14ac:dyDescent="0.25">
      <c r="B511" s="16" t="s">
        <v>45</v>
      </c>
      <c r="C511" s="16" t="s">
        <v>900</v>
      </c>
      <c r="D511" s="16" t="s">
        <v>882</v>
      </c>
      <c r="E511" s="288">
        <v>3000</v>
      </c>
      <c r="F511" s="288">
        <f>ROUND(IF($A511="E",E511*(1+Assumptions!C$15),E511*(1+Assumptions!C$14)),-2)</f>
        <v>3000</v>
      </c>
      <c r="G511" s="288">
        <f>ROUND(IF($A511="E",F511*(1+Assumptions!D$15),F511*(1+Assumptions!D$14)),-2)</f>
        <v>3100</v>
      </c>
      <c r="H511" s="288">
        <f>ROUND(IF($A511="E",G511*(1+Assumptions!E$15),G511*(1+Assumptions!E$14)),-2)</f>
        <v>3200</v>
      </c>
      <c r="I511" s="288">
        <f>ROUND(IF($A511="E",H511*(1+Assumptions!F$15),H511*(1+Assumptions!F$14)),-2)</f>
        <v>3300</v>
      </c>
      <c r="J511" s="288">
        <f>ROUND(IF($A511="E",I511*(1+Assumptions!G$15),I511*(1+Assumptions!G$14)),-2)</f>
        <v>3400</v>
      </c>
      <c r="K511" s="288">
        <f>ROUND(IF($A511="E",J511*(1+Assumptions!H$15),J511*(1+Assumptions!H$14)),-2)</f>
        <v>3500</v>
      </c>
      <c r="L511" s="288">
        <f>ROUND(IF($A511="E",K511*(1+Assumptions!I$15),K511*(1+Assumptions!I$14)),-2)</f>
        <v>3600</v>
      </c>
      <c r="M511" s="288">
        <f>ROUND(IF($A511="E",L511*(1+Assumptions!J$15),L511*(1+Assumptions!J$14)),-2)</f>
        <v>3700</v>
      </c>
      <c r="N511" s="288">
        <f>ROUND(IF($A511="E",M511*(1+Assumptions!K$15),M511*(1+Assumptions!K$14)),-2)</f>
        <v>3800</v>
      </c>
    </row>
    <row r="512" spans="2:14" x14ac:dyDescent="0.25">
      <c r="B512" s="16" t="s">
        <v>45</v>
      </c>
      <c r="C512" s="16" t="s">
        <v>901</v>
      </c>
      <c r="D512" s="16" t="s">
        <v>902</v>
      </c>
      <c r="E512" s="288">
        <v>7500</v>
      </c>
      <c r="F512" s="288">
        <f>ROUND(IF($A512="E",E512*(1+Assumptions!C$15),E512*(1+Assumptions!C$14)),-2)</f>
        <v>7600</v>
      </c>
      <c r="G512" s="288">
        <f>ROUND(IF($A512="E",F512*(1+Assumptions!D$15),F512*(1+Assumptions!D$14)),-2)</f>
        <v>7800</v>
      </c>
      <c r="H512" s="288">
        <f>ROUND(IF($A512="E",G512*(1+Assumptions!E$15),G512*(1+Assumptions!E$14)),-2)</f>
        <v>8000</v>
      </c>
      <c r="I512" s="288">
        <f>ROUND(IF($A512="E",H512*(1+Assumptions!F$15),H512*(1+Assumptions!F$14)),-2)</f>
        <v>8200</v>
      </c>
      <c r="J512" s="288">
        <f>ROUND(IF($A512="E",I512*(1+Assumptions!G$15),I512*(1+Assumptions!G$14)),-2)</f>
        <v>8400</v>
      </c>
      <c r="K512" s="288">
        <f>ROUND(IF($A512="E",J512*(1+Assumptions!H$15),J512*(1+Assumptions!H$14)),-2)</f>
        <v>8600</v>
      </c>
      <c r="L512" s="288">
        <f>ROUND(IF($A512="E",K512*(1+Assumptions!I$15),K512*(1+Assumptions!I$14)),-2)</f>
        <v>8800</v>
      </c>
      <c r="M512" s="288">
        <f>ROUND(IF($A512="E",L512*(1+Assumptions!J$15),L512*(1+Assumptions!J$14)),-2)</f>
        <v>9000</v>
      </c>
      <c r="N512" s="288">
        <f>ROUND(IF($A512="E",M512*(1+Assumptions!K$15),M512*(1+Assumptions!K$14)),-2)</f>
        <v>9200</v>
      </c>
    </row>
    <row r="513" spans="2:14" x14ac:dyDescent="0.25">
      <c r="B513" s="16" t="s">
        <v>45</v>
      </c>
      <c r="C513" s="16" t="s">
        <v>903</v>
      </c>
      <c r="D513" s="16" t="s">
        <v>884</v>
      </c>
      <c r="E513" s="288">
        <v>3400</v>
      </c>
      <c r="F513" s="288">
        <f>ROUND(IF($A513="E",E513*(1+Assumptions!C$15),E513*(1+Assumptions!C$14)),-2)</f>
        <v>3500</v>
      </c>
      <c r="G513" s="288">
        <f>ROUND(IF($A513="E",F513*(1+Assumptions!D$15),F513*(1+Assumptions!D$14)),-2)</f>
        <v>3600</v>
      </c>
      <c r="H513" s="288">
        <f>ROUND(IF($A513="E",G513*(1+Assumptions!E$15),G513*(1+Assumptions!E$14)),-2)</f>
        <v>3700</v>
      </c>
      <c r="I513" s="288">
        <f>ROUND(IF($A513="E",H513*(1+Assumptions!F$15),H513*(1+Assumptions!F$14)),-2)</f>
        <v>3800</v>
      </c>
      <c r="J513" s="288">
        <f>ROUND(IF($A513="E",I513*(1+Assumptions!G$15),I513*(1+Assumptions!G$14)),-2)</f>
        <v>3900</v>
      </c>
      <c r="K513" s="288">
        <f>ROUND(IF($A513="E",J513*(1+Assumptions!H$15),J513*(1+Assumptions!H$14)),-2)</f>
        <v>4000</v>
      </c>
      <c r="L513" s="288">
        <f>ROUND(IF($A513="E",K513*(1+Assumptions!I$15),K513*(1+Assumptions!I$14)),-2)</f>
        <v>4100</v>
      </c>
      <c r="M513" s="288">
        <f>ROUND(IF($A513="E",L513*(1+Assumptions!J$15),L513*(1+Assumptions!J$14)),-2)</f>
        <v>4200</v>
      </c>
      <c r="N513" s="288">
        <f>ROUND(IF($A513="E",M513*(1+Assumptions!K$15),M513*(1+Assumptions!K$14)),-2)</f>
        <v>4300</v>
      </c>
    </row>
    <row r="514" spans="2:14" x14ac:dyDescent="0.25">
      <c r="B514" s="16" t="s">
        <v>41</v>
      </c>
      <c r="C514" s="16" t="s">
        <v>904</v>
      </c>
      <c r="D514" s="16" t="s">
        <v>905</v>
      </c>
      <c r="E514" s="289"/>
      <c r="F514" s="289"/>
      <c r="G514" s="289"/>
      <c r="H514" s="289"/>
      <c r="I514" s="289"/>
      <c r="J514" s="289"/>
      <c r="K514" s="289"/>
      <c r="L514" s="289"/>
      <c r="M514" s="289"/>
      <c r="N514" s="289"/>
    </row>
    <row r="515" spans="2:14" x14ac:dyDescent="0.25">
      <c r="B515" s="16" t="s">
        <v>41</v>
      </c>
      <c r="C515" s="16" t="s">
        <v>906</v>
      </c>
      <c r="D515" s="16" t="s">
        <v>201</v>
      </c>
      <c r="E515" s="288">
        <v>40500</v>
      </c>
      <c r="F515" s="288">
        <f>ROUND(IF($A515="E",E515*(1+Assumptions!C$15),E515*(1+Assumptions!C$14)),-2)</f>
        <v>41100</v>
      </c>
      <c r="G515" s="288">
        <f>ROUND(IF($A515="E",F515*(1+Assumptions!D$15),F515*(1+Assumptions!D$14)),-2)</f>
        <v>41900</v>
      </c>
      <c r="H515" s="288">
        <f>ROUND(IF($A515="E",G515*(1+Assumptions!E$15),G515*(1+Assumptions!E$14)),-2)</f>
        <v>42700</v>
      </c>
      <c r="I515" s="288">
        <f>ROUND(IF($A515="E",H515*(1+Assumptions!F$15),H515*(1+Assumptions!F$14)),-2)</f>
        <v>43600</v>
      </c>
      <c r="J515" s="288">
        <f>ROUND(IF($A515="E",I515*(1+Assumptions!G$15),I515*(1+Assumptions!G$14)),-2)</f>
        <v>44500</v>
      </c>
      <c r="K515" s="288">
        <f>ROUND(IF($A515="E",J515*(1+Assumptions!H$15),J515*(1+Assumptions!H$14)),-2)</f>
        <v>45400</v>
      </c>
      <c r="L515" s="288">
        <f>ROUND(IF($A515="E",K515*(1+Assumptions!I$15),K515*(1+Assumptions!I$14)),-2)</f>
        <v>46500</v>
      </c>
      <c r="M515" s="288">
        <f>ROUND(IF($A515="E",L515*(1+Assumptions!J$15),L515*(1+Assumptions!J$14)),-2)</f>
        <v>47700</v>
      </c>
      <c r="N515" s="288">
        <f>ROUND(IF($A515="E",M515*(1+Assumptions!K$15),M515*(1+Assumptions!K$14)),-2)</f>
        <v>48900</v>
      </c>
    </row>
    <row r="516" spans="2:14" x14ac:dyDescent="0.25">
      <c r="B516" s="16" t="s">
        <v>41</v>
      </c>
      <c r="C516" s="16" t="s">
        <v>907</v>
      </c>
      <c r="D516" s="16" t="s">
        <v>880</v>
      </c>
      <c r="E516" s="288">
        <v>23800</v>
      </c>
      <c r="F516" s="288">
        <f>ROUND(IF($A516="E",E516*(1+Assumptions!C$15),E516*(1+Assumptions!C$14)),-2)</f>
        <v>24200</v>
      </c>
      <c r="G516" s="288">
        <f>ROUND(IF($A516="E",F516*(1+Assumptions!D$15),F516*(1+Assumptions!D$14)),-2)</f>
        <v>24700</v>
      </c>
      <c r="H516" s="288">
        <f>ROUND(IF($A516="E",G516*(1+Assumptions!E$15),G516*(1+Assumptions!E$14)),-2)</f>
        <v>25200</v>
      </c>
      <c r="I516" s="288">
        <f>ROUND(IF($A516="E",H516*(1+Assumptions!F$15),H516*(1+Assumptions!F$14)),-2)</f>
        <v>25700</v>
      </c>
      <c r="J516" s="288">
        <f>ROUND(IF($A516="E",I516*(1+Assumptions!G$15),I516*(1+Assumptions!G$14)),-2)</f>
        <v>26200</v>
      </c>
      <c r="K516" s="288">
        <f>ROUND(IF($A516="E",J516*(1+Assumptions!H$15),J516*(1+Assumptions!H$14)),-2)</f>
        <v>26700</v>
      </c>
      <c r="L516" s="288">
        <f>ROUND(IF($A516="E",K516*(1+Assumptions!I$15),K516*(1+Assumptions!I$14)),-2)</f>
        <v>27400</v>
      </c>
      <c r="M516" s="288">
        <f>ROUND(IF($A516="E",L516*(1+Assumptions!J$15),L516*(1+Assumptions!J$14)),-2)</f>
        <v>28100</v>
      </c>
      <c r="N516" s="288">
        <f>ROUND(IF($A516="E",M516*(1+Assumptions!K$15),M516*(1+Assumptions!K$14)),-2)</f>
        <v>28800</v>
      </c>
    </row>
    <row r="517" spans="2:14" x14ac:dyDescent="0.25">
      <c r="B517" s="16" t="s">
        <v>45</v>
      </c>
      <c r="C517" s="16" t="s">
        <v>908</v>
      </c>
      <c r="D517" s="16" t="s">
        <v>882</v>
      </c>
      <c r="E517" s="288">
        <v>3400</v>
      </c>
      <c r="F517" s="288">
        <f>ROUND(IF($A517="E",E517*(1+Assumptions!C$15),E517*(1+Assumptions!C$14)),-2)</f>
        <v>3500</v>
      </c>
      <c r="G517" s="288">
        <f>ROUND(IF($A517="E",F517*(1+Assumptions!D$15),F517*(1+Assumptions!D$14)),-2)</f>
        <v>3600</v>
      </c>
      <c r="H517" s="288">
        <f>ROUND(IF($A517="E",G517*(1+Assumptions!E$15),G517*(1+Assumptions!E$14)),-2)</f>
        <v>3700</v>
      </c>
      <c r="I517" s="288">
        <f>ROUND(IF($A517="E",H517*(1+Assumptions!F$15),H517*(1+Assumptions!F$14)),-2)</f>
        <v>3800</v>
      </c>
      <c r="J517" s="288">
        <f>ROUND(IF($A517="E",I517*(1+Assumptions!G$15),I517*(1+Assumptions!G$14)),-2)</f>
        <v>3900</v>
      </c>
      <c r="K517" s="288">
        <f>ROUND(IF($A517="E",J517*(1+Assumptions!H$15),J517*(1+Assumptions!H$14)),-2)</f>
        <v>4000</v>
      </c>
      <c r="L517" s="288">
        <f>ROUND(IF($A517="E",K517*(1+Assumptions!I$15),K517*(1+Assumptions!I$14)),-2)</f>
        <v>4100</v>
      </c>
      <c r="M517" s="288">
        <f>ROUND(IF($A517="E",L517*(1+Assumptions!J$15),L517*(1+Assumptions!J$14)),-2)</f>
        <v>4200</v>
      </c>
      <c r="N517" s="288">
        <f>ROUND(IF($A517="E",M517*(1+Assumptions!K$15),M517*(1+Assumptions!K$14)),-2)</f>
        <v>4300</v>
      </c>
    </row>
    <row r="518" spans="2:14" x14ac:dyDescent="0.25">
      <c r="B518" s="16" t="s">
        <v>45</v>
      </c>
      <c r="C518" s="16" t="s">
        <v>909</v>
      </c>
      <c r="D518" s="16" t="s">
        <v>902</v>
      </c>
      <c r="E518" s="288">
        <v>2000</v>
      </c>
      <c r="F518" s="288">
        <f>ROUND(IF($A518="E",E518*(1+Assumptions!C$15),E518*(1+Assumptions!C$14)),-2)</f>
        <v>2000</v>
      </c>
      <c r="G518" s="288">
        <f>ROUND(IF($A518="E",F518*(1+Assumptions!D$15),F518*(1+Assumptions!D$14)),-2)</f>
        <v>2000</v>
      </c>
      <c r="H518" s="288">
        <f>ROUND(IF($A518="E",G518*(1+Assumptions!E$15),G518*(1+Assumptions!E$14)),-2)</f>
        <v>2000</v>
      </c>
      <c r="I518" s="288">
        <f>ROUND(IF($A518="E",H518*(1+Assumptions!F$15),H518*(1+Assumptions!F$14)),-2)</f>
        <v>2000</v>
      </c>
      <c r="J518" s="288">
        <f>ROUND(IF($A518="E",I518*(1+Assumptions!G$15),I518*(1+Assumptions!G$14)),-2)</f>
        <v>2000</v>
      </c>
      <c r="K518" s="288">
        <f>ROUND(IF($A518="E",J518*(1+Assumptions!H$15),J518*(1+Assumptions!H$14)),-2)</f>
        <v>2000</v>
      </c>
      <c r="L518" s="288">
        <f>ROUND(IF($A518="E",K518*(1+Assumptions!I$15),K518*(1+Assumptions!I$14)),-2)</f>
        <v>2100</v>
      </c>
      <c r="M518" s="288">
        <f>ROUND(IF($A518="E",L518*(1+Assumptions!J$15),L518*(1+Assumptions!J$14)),-2)</f>
        <v>2200</v>
      </c>
      <c r="N518" s="288">
        <f>ROUND(IF($A518="E",M518*(1+Assumptions!K$15),M518*(1+Assumptions!K$14)),-2)</f>
        <v>2300</v>
      </c>
    </row>
    <row r="519" spans="2:14" x14ac:dyDescent="0.25">
      <c r="B519" s="16" t="s">
        <v>45</v>
      </c>
      <c r="C519" s="16" t="s">
        <v>910</v>
      </c>
      <c r="D519" s="16" t="s">
        <v>884</v>
      </c>
      <c r="E519" s="288">
        <v>3000</v>
      </c>
      <c r="F519" s="288">
        <f>ROUND(IF($A519="E",E519*(1+Assumptions!C$15),E519*(1+Assumptions!C$14)),-2)</f>
        <v>3000</v>
      </c>
      <c r="G519" s="288">
        <f>ROUND(IF($A519="E",F519*(1+Assumptions!D$15),F519*(1+Assumptions!D$14)),-2)</f>
        <v>3100</v>
      </c>
      <c r="H519" s="288">
        <f>ROUND(IF($A519="E",G519*(1+Assumptions!E$15),G519*(1+Assumptions!E$14)),-2)</f>
        <v>3200</v>
      </c>
      <c r="I519" s="288">
        <f>ROUND(IF($A519="E",H519*(1+Assumptions!F$15),H519*(1+Assumptions!F$14)),-2)</f>
        <v>3300</v>
      </c>
      <c r="J519" s="288">
        <f>ROUND(IF($A519="E",I519*(1+Assumptions!G$15),I519*(1+Assumptions!G$14)),-2)</f>
        <v>3400</v>
      </c>
      <c r="K519" s="288">
        <f>ROUND(IF($A519="E",J519*(1+Assumptions!H$15),J519*(1+Assumptions!H$14)),-2)</f>
        <v>3500</v>
      </c>
      <c r="L519" s="288">
        <f>ROUND(IF($A519="E",K519*(1+Assumptions!I$15),K519*(1+Assumptions!I$14)),-2)</f>
        <v>3600</v>
      </c>
      <c r="M519" s="288">
        <f>ROUND(IF($A519="E",L519*(1+Assumptions!J$15),L519*(1+Assumptions!J$14)),-2)</f>
        <v>3700</v>
      </c>
      <c r="N519" s="288">
        <f>ROUND(IF($A519="E",M519*(1+Assumptions!K$15),M519*(1+Assumptions!K$14)),-2)</f>
        <v>3800</v>
      </c>
    </row>
    <row r="520" spans="2:14" x14ac:dyDescent="0.25">
      <c r="B520" s="16" t="s">
        <v>41</v>
      </c>
      <c r="C520" s="16" t="s">
        <v>911</v>
      </c>
      <c r="D520" s="16" t="s">
        <v>912</v>
      </c>
      <c r="E520" s="289"/>
      <c r="F520" s="289"/>
      <c r="G520" s="289"/>
      <c r="H520" s="289"/>
      <c r="I520" s="289"/>
      <c r="J520" s="289"/>
      <c r="K520" s="289"/>
      <c r="L520" s="289"/>
      <c r="M520" s="289"/>
      <c r="N520" s="289"/>
    </row>
    <row r="521" spans="2:14" x14ac:dyDescent="0.25">
      <c r="B521" s="16" t="s">
        <v>41</v>
      </c>
      <c r="C521" s="16" t="s">
        <v>913</v>
      </c>
      <c r="D521" s="16" t="s">
        <v>201</v>
      </c>
      <c r="E521" s="288">
        <v>30400</v>
      </c>
      <c r="F521" s="288">
        <f>ROUND(IF($A521="E",E521*(1+Assumptions!C$15),E521*(1+Assumptions!C$14)),-2)</f>
        <v>30900</v>
      </c>
      <c r="G521" s="288">
        <f>ROUND(IF($A521="E",F521*(1+Assumptions!D$15),F521*(1+Assumptions!D$14)),-2)</f>
        <v>31500</v>
      </c>
      <c r="H521" s="288">
        <f>ROUND(IF($A521="E",G521*(1+Assumptions!E$15),G521*(1+Assumptions!E$14)),-2)</f>
        <v>32100</v>
      </c>
      <c r="I521" s="288">
        <f>ROUND(IF($A521="E",H521*(1+Assumptions!F$15),H521*(1+Assumptions!F$14)),-2)</f>
        <v>32700</v>
      </c>
      <c r="J521" s="288">
        <f>ROUND(IF($A521="E",I521*(1+Assumptions!G$15),I521*(1+Assumptions!G$14)),-2)</f>
        <v>33400</v>
      </c>
      <c r="K521" s="288">
        <f>ROUND(IF($A521="E",J521*(1+Assumptions!H$15),J521*(1+Assumptions!H$14)),-2)</f>
        <v>34100</v>
      </c>
      <c r="L521" s="288">
        <f>ROUND(IF($A521="E",K521*(1+Assumptions!I$15),K521*(1+Assumptions!I$14)),-2)</f>
        <v>35000</v>
      </c>
      <c r="M521" s="288">
        <f>ROUND(IF($A521="E",L521*(1+Assumptions!J$15),L521*(1+Assumptions!J$14)),-2)</f>
        <v>35900</v>
      </c>
      <c r="N521" s="288">
        <f>ROUND(IF($A521="E",M521*(1+Assumptions!K$15),M521*(1+Assumptions!K$14)),-2)</f>
        <v>36800</v>
      </c>
    </row>
    <row r="522" spans="2:14" x14ac:dyDescent="0.25">
      <c r="B522" s="16" t="s">
        <v>41</v>
      </c>
      <c r="C522" s="16" t="s">
        <v>914</v>
      </c>
      <c r="D522" s="16" t="s">
        <v>880</v>
      </c>
      <c r="E522" s="288">
        <v>6700</v>
      </c>
      <c r="F522" s="288">
        <f>ROUND(IF($A522="E",E522*(1+Assumptions!C$15),E522*(1+Assumptions!C$14)),-2)</f>
        <v>6800</v>
      </c>
      <c r="G522" s="288">
        <f>ROUND(IF($A522="E",F522*(1+Assumptions!D$15),F522*(1+Assumptions!D$14)),-2)</f>
        <v>6900</v>
      </c>
      <c r="H522" s="288">
        <f>ROUND(IF($A522="E",G522*(1+Assumptions!E$15),G522*(1+Assumptions!E$14)),-2)</f>
        <v>7000</v>
      </c>
      <c r="I522" s="288">
        <f>ROUND(IF($A522="E",H522*(1+Assumptions!F$15),H522*(1+Assumptions!F$14)),-2)</f>
        <v>7100</v>
      </c>
      <c r="J522" s="288">
        <f>ROUND(IF($A522="E",I522*(1+Assumptions!G$15),I522*(1+Assumptions!G$14)),-2)</f>
        <v>7200</v>
      </c>
      <c r="K522" s="288">
        <f>ROUND(IF($A522="E",J522*(1+Assumptions!H$15),J522*(1+Assumptions!H$14)),-2)</f>
        <v>7300</v>
      </c>
      <c r="L522" s="288">
        <f>ROUND(IF($A522="E",K522*(1+Assumptions!I$15),K522*(1+Assumptions!I$14)),-2)</f>
        <v>7500</v>
      </c>
      <c r="M522" s="288">
        <f>ROUND(IF($A522="E",L522*(1+Assumptions!J$15),L522*(1+Assumptions!J$14)),-2)</f>
        <v>7700</v>
      </c>
      <c r="N522" s="288">
        <f>ROUND(IF($A522="E",M522*(1+Assumptions!K$15),M522*(1+Assumptions!K$14)),-2)</f>
        <v>7900</v>
      </c>
    </row>
    <row r="523" spans="2:14" x14ac:dyDescent="0.25">
      <c r="B523" s="16" t="s">
        <v>45</v>
      </c>
      <c r="C523" s="16" t="s">
        <v>915</v>
      </c>
      <c r="D523" s="16" t="s">
        <v>882</v>
      </c>
      <c r="E523" s="288">
        <v>2000</v>
      </c>
      <c r="F523" s="288">
        <f>ROUND(IF($A523="E",E523*(1+Assumptions!C$15),E523*(1+Assumptions!C$14)),-2)</f>
        <v>2000</v>
      </c>
      <c r="G523" s="288">
        <f>ROUND(IF($A523="E",F523*(1+Assumptions!D$15),F523*(1+Assumptions!D$14)),-2)</f>
        <v>2000</v>
      </c>
      <c r="H523" s="288">
        <f>ROUND(IF($A523="E",G523*(1+Assumptions!E$15),G523*(1+Assumptions!E$14)),-2)</f>
        <v>2000</v>
      </c>
      <c r="I523" s="288">
        <f>ROUND(IF($A523="E",H523*(1+Assumptions!F$15),H523*(1+Assumptions!F$14)),-2)</f>
        <v>2000</v>
      </c>
      <c r="J523" s="288">
        <f>ROUND(IF($A523="E",I523*(1+Assumptions!G$15),I523*(1+Assumptions!G$14)),-2)</f>
        <v>2000</v>
      </c>
      <c r="K523" s="288">
        <f>ROUND(IF($A523="E",J523*(1+Assumptions!H$15),J523*(1+Assumptions!H$14)),-2)</f>
        <v>2000</v>
      </c>
      <c r="L523" s="288">
        <f>ROUND(IF($A523="E",K523*(1+Assumptions!I$15),K523*(1+Assumptions!I$14)),-2)</f>
        <v>2100</v>
      </c>
      <c r="M523" s="288">
        <f>ROUND(IF($A523="E",L523*(1+Assumptions!J$15),L523*(1+Assumptions!J$14)),-2)</f>
        <v>2200</v>
      </c>
      <c r="N523" s="288">
        <f>ROUND(IF($A523="E",M523*(1+Assumptions!K$15),M523*(1+Assumptions!K$14)),-2)</f>
        <v>2300</v>
      </c>
    </row>
    <row r="524" spans="2:14" x14ac:dyDescent="0.25">
      <c r="B524" s="16" t="s">
        <v>45</v>
      </c>
      <c r="C524" s="16" t="s">
        <v>916</v>
      </c>
      <c r="D524" s="16" t="s">
        <v>902</v>
      </c>
      <c r="E524" s="288">
        <v>5000</v>
      </c>
      <c r="F524" s="288">
        <f>ROUND(IF($A524="E",E524*(1+Assumptions!C$15),E524*(1+Assumptions!C$14)),-2)</f>
        <v>5100</v>
      </c>
      <c r="G524" s="288">
        <f>ROUND(IF($A524="E",F524*(1+Assumptions!D$15),F524*(1+Assumptions!D$14)),-2)</f>
        <v>5200</v>
      </c>
      <c r="H524" s="288">
        <f>ROUND(IF($A524="E",G524*(1+Assumptions!E$15),G524*(1+Assumptions!E$14)),-2)</f>
        <v>5300</v>
      </c>
      <c r="I524" s="288">
        <f>ROUND(IF($A524="E",H524*(1+Assumptions!F$15),H524*(1+Assumptions!F$14)),-2)</f>
        <v>5400</v>
      </c>
      <c r="J524" s="288">
        <f>ROUND(IF($A524="E",I524*(1+Assumptions!G$15),I524*(1+Assumptions!G$14)),-2)</f>
        <v>5500</v>
      </c>
      <c r="K524" s="288">
        <f>ROUND(IF($A524="E",J524*(1+Assumptions!H$15),J524*(1+Assumptions!H$14)),-2)</f>
        <v>5600</v>
      </c>
      <c r="L524" s="288">
        <f>ROUND(IF($A524="E",K524*(1+Assumptions!I$15),K524*(1+Assumptions!I$14)),-2)</f>
        <v>5700</v>
      </c>
      <c r="M524" s="288">
        <f>ROUND(IF($A524="E",L524*(1+Assumptions!J$15),L524*(1+Assumptions!J$14)),-2)</f>
        <v>5800</v>
      </c>
      <c r="N524" s="288">
        <f>ROUND(IF($A524="E",M524*(1+Assumptions!K$15),M524*(1+Assumptions!K$14)),-2)</f>
        <v>5900</v>
      </c>
    </row>
    <row r="525" spans="2:14" x14ac:dyDescent="0.25">
      <c r="B525" s="16" t="s">
        <v>45</v>
      </c>
      <c r="C525" s="16" t="s">
        <v>917</v>
      </c>
      <c r="D525" s="16" t="s">
        <v>884</v>
      </c>
      <c r="E525" s="288">
        <v>2100</v>
      </c>
      <c r="F525" s="288">
        <f>ROUND(IF($A525="E",E525*(1+Assumptions!C$15),E525*(1+Assumptions!C$14)),-2)</f>
        <v>2100</v>
      </c>
      <c r="G525" s="288">
        <f>ROUND(IF($A525="E",F525*(1+Assumptions!D$15),F525*(1+Assumptions!D$14)),-2)</f>
        <v>2100</v>
      </c>
      <c r="H525" s="288">
        <f>ROUND(IF($A525="E",G525*(1+Assumptions!E$15),G525*(1+Assumptions!E$14)),-2)</f>
        <v>2100</v>
      </c>
      <c r="I525" s="288">
        <f>ROUND(IF($A525="E",H525*(1+Assumptions!F$15),H525*(1+Assumptions!F$14)),-2)</f>
        <v>2100</v>
      </c>
      <c r="J525" s="288">
        <f>ROUND(IF($A525="E",I525*(1+Assumptions!G$15),I525*(1+Assumptions!G$14)),-2)</f>
        <v>2100</v>
      </c>
      <c r="K525" s="288">
        <f>ROUND(IF($A525="E",J525*(1+Assumptions!H$15),J525*(1+Assumptions!H$14)),-2)</f>
        <v>2100</v>
      </c>
      <c r="L525" s="288">
        <f>ROUND(IF($A525="E",K525*(1+Assumptions!I$15),K525*(1+Assumptions!I$14)),-2)</f>
        <v>2200</v>
      </c>
      <c r="M525" s="288">
        <f>ROUND(IF($A525="E",L525*(1+Assumptions!J$15),L525*(1+Assumptions!J$14)),-2)</f>
        <v>2300</v>
      </c>
      <c r="N525" s="288">
        <f>ROUND(IF($A525="E",M525*(1+Assumptions!K$15),M525*(1+Assumptions!K$14)),-2)</f>
        <v>2400</v>
      </c>
    </row>
    <row r="526" spans="2:14" x14ac:dyDescent="0.25">
      <c r="B526" s="16" t="s">
        <v>43</v>
      </c>
      <c r="C526" s="16" t="s">
        <v>918</v>
      </c>
      <c r="D526" s="16" t="s">
        <v>187</v>
      </c>
      <c r="E526" s="289"/>
      <c r="F526" s="289"/>
      <c r="G526" s="289"/>
      <c r="H526" s="289"/>
      <c r="I526" s="289"/>
      <c r="J526" s="289"/>
      <c r="K526" s="289"/>
      <c r="L526" s="289"/>
      <c r="M526" s="289"/>
      <c r="N526" s="289"/>
    </row>
    <row r="527" spans="2:14" x14ac:dyDescent="0.25">
      <c r="B527" s="16" t="s">
        <v>43</v>
      </c>
      <c r="C527" s="16" t="s">
        <v>919</v>
      </c>
      <c r="D527" s="16" t="s">
        <v>150</v>
      </c>
      <c r="E527" s="288">
        <v>0</v>
      </c>
      <c r="F527" s="288">
        <f>ROUND(IF($A527="E",E527*(1+Assumptions!C$15),E527*(1+Assumptions!C$14)),-2)</f>
        <v>0</v>
      </c>
      <c r="G527" s="288">
        <f>ROUND(IF($A527="E",F527*(1+Assumptions!D$15),F527*(1+Assumptions!D$14)),-2)</f>
        <v>0</v>
      </c>
      <c r="H527" s="288">
        <f>ROUND(IF($A527="E",G527*(1+Assumptions!E$15),G527*(1+Assumptions!E$14)),-2)</f>
        <v>0</v>
      </c>
      <c r="I527" s="288">
        <f>ROUND(IF($A527="E",H527*(1+Assumptions!F$15),H527*(1+Assumptions!F$14)),-2)</f>
        <v>0</v>
      </c>
      <c r="J527" s="288">
        <f>ROUND(IF($A527="E",I527*(1+Assumptions!G$15),I527*(1+Assumptions!G$14)),-2)</f>
        <v>0</v>
      </c>
      <c r="K527" s="288">
        <f>ROUND(IF($A527="E",J527*(1+Assumptions!H$15),J527*(1+Assumptions!H$14)),-2)</f>
        <v>0</v>
      </c>
      <c r="L527" s="288">
        <f>ROUND(IF($A527="E",K527*(1+Assumptions!I$15),K527*(1+Assumptions!I$14)),-2)</f>
        <v>0</v>
      </c>
      <c r="M527" s="288">
        <f>ROUND(IF($A527="E",L527*(1+Assumptions!J$15),L527*(1+Assumptions!J$14)),-2)</f>
        <v>0</v>
      </c>
      <c r="N527" s="288">
        <f>ROUND(IF($A527="E",M527*(1+Assumptions!K$15),M527*(1+Assumptions!K$14)),-2)</f>
        <v>0</v>
      </c>
    </row>
    <row r="528" spans="2:14" x14ac:dyDescent="0.25">
      <c r="B528" s="16" t="s">
        <v>43</v>
      </c>
      <c r="C528" s="16" t="s">
        <v>920</v>
      </c>
      <c r="D528" s="16" t="s">
        <v>187</v>
      </c>
      <c r="E528" s="289"/>
      <c r="F528" s="289"/>
      <c r="G528" s="289"/>
      <c r="H528" s="289"/>
      <c r="I528" s="289"/>
      <c r="J528" s="289"/>
      <c r="K528" s="289"/>
      <c r="L528" s="289"/>
      <c r="M528" s="289"/>
      <c r="N528" s="289"/>
    </row>
    <row r="529" spans="2:14" x14ac:dyDescent="0.25">
      <c r="B529" s="16" t="s">
        <v>43</v>
      </c>
      <c r="C529" s="16" t="s">
        <v>921</v>
      </c>
      <c r="D529" s="16" t="s">
        <v>193</v>
      </c>
      <c r="E529" s="288">
        <v>57900</v>
      </c>
      <c r="F529" s="288">
        <f>ROUND(IF($A529="E",E529*(1+Assumptions!C$15),E529*(1+Assumptions!C$14)),-2)</f>
        <v>58800</v>
      </c>
      <c r="G529" s="288">
        <f>ROUND(IF($A529="E",F529*(1+Assumptions!D$15),F529*(1+Assumptions!D$14)),-2)</f>
        <v>60000</v>
      </c>
      <c r="H529" s="288">
        <f>ROUND(IF($A529="E",G529*(1+Assumptions!E$15),G529*(1+Assumptions!E$14)),-2)</f>
        <v>61200</v>
      </c>
      <c r="I529" s="288">
        <f>ROUND(IF($A529="E",H529*(1+Assumptions!F$15),H529*(1+Assumptions!F$14)),-2)</f>
        <v>62400</v>
      </c>
      <c r="J529" s="288">
        <f>ROUND(IF($A529="E",I529*(1+Assumptions!G$15),I529*(1+Assumptions!G$14)),-2)</f>
        <v>63600</v>
      </c>
      <c r="K529" s="288">
        <f>ROUND(IF($A529="E",J529*(1+Assumptions!H$15),J529*(1+Assumptions!H$14)),-2)</f>
        <v>64900</v>
      </c>
      <c r="L529" s="288">
        <f>ROUND(IF($A529="E",K529*(1+Assumptions!I$15),K529*(1+Assumptions!I$14)),-2)</f>
        <v>66500</v>
      </c>
      <c r="M529" s="288">
        <f>ROUND(IF($A529="E",L529*(1+Assumptions!J$15),L529*(1+Assumptions!J$14)),-2)</f>
        <v>68200</v>
      </c>
      <c r="N529" s="288">
        <f>ROUND(IF($A529="E",M529*(1+Assumptions!K$15),M529*(1+Assumptions!K$14)),-2)</f>
        <v>69900</v>
      </c>
    </row>
    <row r="530" spans="2:14" ht="12.75" customHeight="1" x14ac:dyDescent="0.25">
      <c r="E530" s="288"/>
      <c r="F530" s="288"/>
      <c r="G530" s="288"/>
      <c r="H530" s="288"/>
      <c r="I530" s="288"/>
      <c r="J530" s="288"/>
      <c r="K530" s="288"/>
      <c r="L530" s="288"/>
      <c r="M530" s="288"/>
      <c r="N530" s="288"/>
    </row>
    <row r="531" spans="2:14" ht="12.75" customHeight="1" x14ac:dyDescent="0.25">
      <c r="D531" s="19" t="s">
        <v>3234</v>
      </c>
      <c r="E531" s="291">
        <f>SUM(E492:E530)</f>
        <v>428200</v>
      </c>
      <c r="F531" s="291">
        <f t="shared" ref="F531:N531" si="16">SUM(F492:F530)</f>
        <v>434600</v>
      </c>
      <c r="G531" s="291">
        <f t="shared" si="16"/>
        <v>443200</v>
      </c>
      <c r="H531" s="291">
        <f t="shared" si="16"/>
        <v>451900</v>
      </c>
      <c r="I531" s="291">
        <f t="shared" si="16"/>
        <v>460700</v>
      </c>
      <c r="J531" s="291">
        <f t="shared" si="16"/>
        <v>469800</v>
      </c>
      <c r="K531" s="291">
        <f t="shared" si="16"/>
        <v>479000</v>
      </c>
      <c r="L531" s="291">
        <f t="shared" si="16"/>
        <v>491000</v>
      </c>
      <c r="M531" s="291">
        <f t="shared" si="16"/>
        <v>503600</v>
      </c>
      <c r="N531" s="291">
        <f t="shared" si="16"/>
        <v>516200</v>
      </c>
    </row>
    <row r="532" spans="2:14" ht="12.75" customHeight="1" x14ac:dyDescent="0.25">
      <c r="E532" s="288"/>
      <c r="F532" s="288"/>
      <c r="G532" s="288"/>
      <c r="H532" s="288"/>
      <c r="I532" s="288"/>
      <c r="J532" s="288"/>
      <c r="K532" s="288"/>
      <c r="L532" s="288"/>
      <c r="M532" s="288"/>
      <c r="N532" s="288"/>
    </row>
    <row r="533" spans="2:14" x14ac:dyDescent="0.25">
      <c r="C533" s="16" t="s">
        <v>315</v>
      </c>
      <c r="E533" s="288"/>
      <c r="F533" s="288"/>
      <c r="G533" s="288"/>
      <c r="H533" s="288"/>
      <c r="I533" s="288"/>
      <c r="J533" s="288"/>
      <c r="K533" s="288"/>
      <c r="L533" s="288"/>
      <c r="M533" s="288"/>
      <c r="N533" s="288"/>
    </row>
    <row r="534" spans="2:14" x14ac:dyDescent="0.25">
      <c r="B534" s="16" t="s">
        <v>3229</v>
      </c>
      <c r="C534" s="16" t="s">
        <v>922</v>
      </c>
      <c r="D534" s="16" t="s">
        <v>923</v>
      </c>
      <c r="E534" s="289"/>
      <c r="F534" s="289"/>
      <c r="G534" s="289"/>
      <c r="H534" s="289"/>
      <c r="I534" s="289"/>
      <c r="J534" s="289"/>
      <c r="K534" s="289"/>
      <c r="L534" s="289"/>
      <c r="M534" s="289"/>
      <c r="N534" s="289"/>
    </row>
    <row r="535" spans="2:14" x14ac:dyDescent="0.25">
      <c r="B535" s="16" t="s">
        <v>3229</v>
      </c>
      <c r="C535" s="16" t="s">
        <v>924</v>
      </c>
      <c r="D535" s="16" t="s">
        <v>925</v>
      </c>
      <c r="E535" s="288">
        <v>-7000</v>
      </c>
      <c r="F535" s="288">
        <f>ROUND(E535+(E535*Assumptions!C$13),-2)</f>
        <v>-7100</v>
      </c>
      <c r="G535" s="288">
        <f>ROUND(F535+(F535*Assumptions!D$13),-2)</f>
        <v>-7300</v>
      </c>
      <c r="H535" s="288">
        <f>ROUND(G535+(G535*Assumptions!E$13),-2)</f>
        <v>-7500</v>
      </c>
      <c r="I535" s="288">
        <f>ROUND(H535+(H535*Assumptions!F$13),-2)</f>
        <v>-7700</v>
      </c>
      <c r="J535" s="288">
        <f>ROUND(I535+(I535*Assumptions!G$13),-2)</f>
        <v>-7900</v>
      </c>
      <c r="K535" s="288">
        <f>ROUND(J535+(J535*Assumptions!H$13),-2)</f>
        <v>-8100</v>
      </c>
      <c r="L535" s="288">
        <f>ROUND(K535+(K535*Assumptions!I$13),-2)</f>
        <v>-8300</v>
      </c>
      <c r="M535" s="288">
        <f>ROUND(L535+(L535*Assumptions!J$13),-2)</f>
        <v>-8500</v>
      </c>
      <c r="N535" s="288">
        <f>ROUND(M535+(M535*Assumptions!K$13),-2)</f>
        <v>-8700</v>
      </c>
    </row>
    <row r="536" spans="2:14" x14ac:dyDescent="0.25">
      <c r="B536" s="16" t="s">
        <v>3229</v>
      </c>
      <c r="C536" s="16" t="s">
        <v>926</v>
      </c>
      <c r="D536" s="16" t="s">
        <v>927</v>
      </c>
      <c r="E536" s="288">
        <v>-3000</v>
      </c>
      <c r="F536" s="288">
        <f>ROUND(E536+(E536*Assumptions!C$13),-2)</f>
        <v>-3100</v>
      </c>
      <c r="G536" s="288">
        <f>ROUND(F536+(F536*Assumptions!D$13),-2)</f>
        <v>-3200</v>
      </c>
      <c r="H536" s="288">
        <f>ROUND(G536+(G536*Assumptions!E$13),-2)</f>
        <v>-3300</v>
      </c>
      <c r="I536" s="288">
        <f>ROUND(H536+(H536*Assumptions!F$13),-2)</f>
        <v>-3400</v>
      </c>
      <c r="J536" s="288">
        <f>ROUND(I536+(I536*Assumptions!G$13),-2)</f>
        <v>-3500</v>
      </c>
      <c r="K536" s="288">
        <f>ROUND(J536+(J536*Assumptions!H$13),-2)</f>
        <v>-3600</v>
      </c>
      <c r="L536" s="288">
        <f>ROUND(K536+(K536*Assumptions!I$13),-2)</f>
        <v>-3700</v>
      </c>
      <c r="M536" s="288">
        <f>ROUND(L536+(L536*Assumptions!J$13),-2)</f>
        <v>-3800</v>
      </c>
      <c r="N536" s="288">
        <f>ROUND(M536+(M536*Assumptions!K$13),-2)</f>
        <v>-3900</v>
      </c>
    </row>
    <row r="537" spans="2:14" x14ac:dyDescent="0.25">
      <c r="B537" s="16" t="s">
        <v>3229</v>
      </c>
      <c r="C537" s="16" t="s">
        <v>928</v>
      </c>
      <c r="D537" s="16" t="s">
        <v>929</v>
      </c>
      <c r="E537" s="288">
        <v>-71600</v>
      </c>
      <c r="F537" s="288">
        <f>ROUND(E537+(E537*Assumptions!C$13),-2)</f>
        <v>-73000</v>
      </c>
      <c r="G537" s="288">
        <f>ROUND(F537+(F537*Assumptions!D$13),-2)</f>
        <v>-74800</v>
      </c>
      <c r="H537" s="288">
        <f>ROUND(G537+(G537*Assumptions!E$13),-2)</f>
        <v>-76700</v>
      </c>
      <c r="I537" s="288">
        <f>ROUND(H537+(H537*Assumptions!F$13),-2)</f>
        <v>-78600</v>
      </c>
      <c r="J537" s="288">
        <f>ROUND(I537+(I537*Assumptions!G$13),-2)</f>
        <v>-80600</v>
      </c>
      <c r="K537" s="288">
        <f>ROUND(J537+(J537*Assumptions!H$13),-2)</f>
        <v>-82600</v>
      </c>
      <c r="L537" s="288">
        <f>ROUND(K537+(K537*Assumptions!I$13),-2)</f>
        <v>-84700</v>
      </c>
      <c r="M537" s="288">
        <f>ROUND(L537+(L537*Assumptions!J$13),-2)</f>
        <v>-86800</v>
      </c>
      <c r="N537" s="288">
        <f>ROUND(M537+(M537*Assumptions!K$13),-2)</f>
        <v>-89000</v>
      </c>
    </row>
    <row r="538" spans="2:14" x14ac:dyDescent="0.25">
      <c r="B538" s="16" t="s">
        <v>3229</v>
      </c>
      <c r="C538" s="16" t="s">
        <v>930</v>
      </c>
      <c r="D538" s="16" t="s">
        <v>931</v>
      </c>
      <c r="E538" s="289"/>
      <c r="F538" s="289"/>
      <c r="G538" s="289"/>
      <c r="H538" s="289"/>
      <c r="I538" s="289"/>
      <c r="J538" s="289"/>
      <c r="K538" s="289"/>
      <c r="L538" s="289"/>
      <c r="M538" s="289"/>
      <c r="N538" s="289"/>
    </row>
    <row r="539" spans="2:14" x14ac:dyDescent="0.25">
      <c r="B539" s="16" t="s">
        <v>3229</v>
      </c>
      <c r="C539" s="16" t="s">
        <v>932</v>
      </c>
      <c r="D539" s="16" t="s">
        <v>925</v>
      </c>
      <c r="E539" s="288">
        <v>-9800</v>
      </c>
      <c r="F539" s="288">
        <f>ROUND(E539+(E539*Assumptions!C$13),-2)</f>
        <v>-10000</v>
      </c>
      <c r="G539" s="288">
        <f>ROUND(F539+(F539*Assumptions!D$13),-2)</f>
        <v>-10300</v>
      </c>
      <c r="H539" s="288">
        <f>ROUND(G539+(G539*Assumptions!E$13),-2)</f>
        <v>-10600</v>
      </c>
      <c r="I539" s="288">
        <f>ROUND(H539+(H539*Assumptions!F$13),-2)</f>
        <v>-10900</v>
      </c>
      <c r="J539" s="288">
        <f>ROUND(I539+(I539*Assumptions!G$13),-2)</f>
        <v>-11200</v>
      </c>
      <c r="K539" s="288">
        <f>ROUND(J539+(J539*Assumptions!H$13),-2)</f>
        <v>-11500</v>
      </c>
      <c r="L539" s="288">
        <f>ROUND(K539+(K539*Assumptions!I$13),-2)</f>
        <v>-11800</v>
      </c>
      <c r="M539" s="288">
        <f>ROUND(L539+(L539*Assumptions!J$13),-2)</f>
        <v>-12100</v>
      </c>
      <c r="N539" s="288">
        <f>ROUND(M539+(M539*Assumptions!K$13),-2)</f>
        <v>-12400</v>
      </c>
    </row>
    <row r="540" spans="2:14" x14ac:dyDescent="0.25">
      <c r="B540" s="16" t="s">
        <v>3229</v>
      </c>
      <c r="C540" s="16" t="s">
        <v>933</v>
      </c>
      <c r="D540" s="16" t="s">
        <v>927</v>
      </c>
      <c r="E540" s="288">
        <v>-2000</v>
      </c>
      <c r="F540" s="288">
        <f>ROUND(E540+(E540*Assumptions!C$13),-2)</f>
        <v>-2000</v>
      </c>
      <c r="G540" s="288">
        <f>ROUND(F540+(F540*Assumptions!D$13),-2)</f>
        <v>-2100</v>
      </c>
      <c r="H540" s="288">
        <f>ROUND(G540+(G540*Assumptions!E$13),-2)</f>
        <v>-2200</v>
      </c>
      <c r="I540" s="288">
        <f>ROUND(H540+(H540*Assumptions!F$13),-2)</f>
        <v>-2300</v>
      </c>
      <c r="J540" s="288">
        <f>ROUND(I540+(I540*Assumptions!G$13),-2)</f>
        <v>-2400</v>
      </c>
      <c r="K540" s="288">
        <f>ROUND(J540+(J540*Assumptions!H$13),-2)</f>
        <v>-2500</v>
      </c>
      <c r="L540" s="288">
        <f>ROUND(K540+(K540*Assumptions!I$13),-2)</f>
        <v>-2600</v>
      </c>
      <c r="M540" s="288">
        <f>ROUND(L540+(L540*Assumptions!J$13),-2)</f>
        <v>-2700</v>
      </c>
      <c r="N540" s="288">
        <f>ROUND(M540+(M540*Assumptions!K$13),-2)</f>
        <v>-2800</v>
      </c>
    </row>
    <row r="541" spans="2:14" x14ac:dyDescent="0.25">
      <c r="B541" s="16" t="s">
        <v>3229</v>
      </c>
      <c r="C541" s="16" t="s">
        <v>934</v>
      </c>
      <c r="D541" s="16" t="s">
        <v>929</v>
      </c>
      <c r="E541" s="288">
        <v>-38700</v>
      </c>
      <c r="F541" s="288">
        <f>ROUND(E541+(E541*Assumptions!C$13),-2)</f>
        <v>-39500</v>
      </c>
      <c r="G541" s="288">
        <f>ROUND(F541+(F541*Assumptions!D$13),-2)</f>
        <v>-40500</v>
      </c>
      <c r="H541" s="288">
        <f>ROUND(G541+(G541*Assumptions!E$13),-2)</f>
        <v>-41500</v>
      </c>
      <c r="I541" s="288">
        <f>ROUND(H541+(H541*Assumptions!F$13),-2)</f>
        <v>-42500</v>
      </c>
      <c r="J541" s="288">
        <f>ROUND(I541+(I541*Assumptions!G$13),-2)</f>
        <v>-43600</v>
      </c>
      <c r="K541" s="288">
        <f>ROUND(J541+(J541*Assumptions!H$13),-2)</f>
        <v>-44700</v>
      </c>
      <c r="L541" s="288">
        <f>ROUND(K541+(K541*Assumptions!I$13),-2)</f>
        <v>-45800</v>
      </c>
      <c r="M541" s="288">
        <f>ROUND(L541+(L541*Assumptions!J$13),-2)</f>
        <v>-46900</v>
      </c>
      <c r="N541" s="288">
        <f>ROUND(M541+(M541*Assumptions!K$13),-2)</f>
        <v>-48100</v>
      </c>
    </row>
    <row r="542" spans="2:14" x14ac:dyDescent="0.25">
      <c r="B542" s="16" t="s">
        <v>3229</v>
      </c>
      <c r="C542" s="16" t="s">
        <v>935</v>
      </c>
      <c r="D542" s="16" t="s">
        <v>936</v>
      </c>
      <c r="E542" s="289"/>
      <c r="F542" s="289"/>
      <c r="G542" s="289"/>
      <c r="H542" s="289"/>
      <c r="I542" s="289"/>
      <c r="J542" s="289"/>
      <c r="K542" s="289"/>
      <c r="L542" s="289"/>
      <c r="M542" s="289"/>
      <c r="N542" s="289"/>
    </row>
    <row r="543" spans="2:14" x14ac:dyDescent="0.25">
      <c r="B543" s="16" t="s">
        <v>3229</v>
      </c>
      <c r="C543" s="16" t="s">
        <v>937</v>
      </c>
      <c r="D543" s="16" t="s">
        <v>929</v>
      </c>
      <c r="E543" s="288">
        <v>-25200</v>
      </c>
      <c r="F543" s="288">
        <f>ROUND(E543+(E543*Assumptions!C$13),-2)</f>
        <v>-25700</v>
      </c>
      <c r="G543" s="288">
        <f>ROUND(F543+(F543*Assumptions!D$13),-2)</f>
        <v>-26300</v>
      </c>
      <c r="H543" s="288">
        <f>ROUND(G543+(G543*Assumptions!E$13),-2)</f>
        <v>-27000</v>
      </c>
      <c r="I543" s="288">
        <f>ROUND(H543+(H543*Assumptions!F$13),-2)</f>
        <v>-27700</v>
      </c>
      <c r="J543" s="288">
        <f>ROUND(I543+(I543*Assumptions!G$13),-2)</f>
        <v>-28400</v>
      </c>
      <c r="K543" s="288">
        <f>ROUND(J543+(J543*Assumptions!H$13),-2)</f>
        <v>-29100</v>
      </c>
      <c r="L543" s="288">
        <f>ROUND(K543+(K543*Assumptions!I$13),-2)</f>
        <v>-29800</v>
      </c>
      <c r="M543" s="288">
        <f>ROUND(L543+(L543*Assumptions!J$13),-2)</f>
        <v>-30500</v>
      </c>
      <c r="N543" s="288">
        <f>ROUND(M543+(M543*Assumptions!K$13),-2)</f>
        <v>-31300</v>
      </c>
    </row>
    <row r="544" spans="2:14" x14ac:dyDescent="0.25">
      <c r="B544" s="16" t="s">
        <v>3229</v>
      </c>
      <c r="C544" s="16" t="s">
        <v>938</v>
      </c>
      <c r="D544" s="16" t="s">
        <v>939</v>
      </c>
      <c r="E544" s="288">
        <v>-2000</v>
      </c>
      <c r="F544" s="288">
        <f>ROUND(E544+(E544*Assumptions!C$13),-2)</f>
        <v>-2000</v>
      </c>
      <c r="G544" s="288">
        <f>ROUND(F544+(F544*Assumptions!D$13),-2)</f>
        <v>-2100</v>
      </c>
      <c r="H544" s="288">
        <f>ROUND(G544+(G544*Assumptions!E$13),-2)</f>
        <v>-2200</v>
      </c>
      <c r="I544" s="288">
        <f>ROUND(H544+(H544*Assumptions!F$13),-2)</f>
        <v>-2300</v>
      </c>
      <c r="J544" s="288">
        <f>ROUND(I544+(I544*Assumptions!G$13),-2)</f>
        <v>-2400</v>
      </c>
      <c r="K544" s="288">
        <f>ROUND(J544+(J544*Assumptions!H$13),-2)</f>
        <v>-2500</v>
      </c>
      <c r="L544" s="288">
        <f>ROUND(K544+(K544*Assumptions!I$13),-2)</f>
        <v>-2600</v>
      </c>
      <c r="M544" s="288">
        <f>ROUND(L544+(L544*Assumptions!J$13),-2)</f>
        <v>-2700</v>
      </c>
      <c r="N544" s="288">
        <f>ROUND(M544+(M544*Assumptions!K$13),-2)</f>
        <v>-2800</v>
      </c>
    </row>
    <row r="545" spans="2:14" x14ac:dyDescent="0.25">
      <c r="B545" s="16" t="s">
        <v>3229</v>
      </c>
      <c r="C545" s="16" t="s">
        <v>940</v>
      </c>
      <c r="D545" s="16" t="s">
        <v>941</v>
      </c>
      <c r="E545" s="289"/>
      <c r="F545" s="289"/>
      <c r="G545" s="289"/>
      <c r="H545" s="289"/>
      <c r="I545" s="289"/>
      <c r="J545" s="289"/>
      <c r="K545" s="289"/>
      <c r="L545" s="289"/>
      <c r="M545" s="289"/>
      <c r="N545" s="289"/>
    </row>
    <row r="546" spans="2:14" x14ac:dyDescent="0.25">
      <c r="B546" s="16" t="s">
        <v>3229</v>
      </c>
      <c r="C546" s="16" t="s">
        <v>942</v>
      </c>
      <c r="D546" s="16" t="s">
        <v>943</v>
      </c>
      <c r="E546" s="288">
        <v>-10000</v>
      </c>
      <c r="F546" s="288">
        <f>ROUND(E546+(E546*Assumptions!C$13),-2)</f>
        <v>-10200</v>
      </c>
      <c r="G546" s="288">
        <f>ROUND(F546+(F546*Assumptions!D$13),-2)</f>
        <v>-10500</v>
      </c>
      <c r="H546" s="288">
        <f>ROUND(G546+(G546*Assumptions!E$13),-2)</f>
        <v>-10800</v>
      </c>
      <c r="I546" s="288">
        <f>ROUND(H546+(H546*Assumptions!F$13),-2)</f>
        <v>-11100</v>
      </c>
      <c r="J546" s="288">
        <f>ROUND(I546+(I546*Assumptions!G$13),-2)</f>
        <v>-11400</v>
      </c>
      <c r="K546" s="288">
        <f>ROUND(J546+(J546*Assumptions!H$13),-2)</f>
        <v>-11700</v>
      </c>
      <c r="L546" s="288">
        <f>ROUND(K546+(K546*Assumptions!I$13),-2)</f>
        <v>-12000</v>
      </c>
      <c r="M546" s="288">
        <f>ROUND(L546+(L546*Assumptions!J$13),-2)</f>
        <v>-12300</v>
      </c>
      <c r="N546" s="288">
        <f>ROUND(M546+(M546*Assumptions!K$13),-2)</f>
        <v>-12600</v>
      </c>
    </row>
    <row r="547" spans="2:14" x14ac:dyDescent="0.25">
      <c r="B547" s="16" t="s">
        <v>3229</v>
      </c>
      <c r="C547" s="16" t="s">
        <v>944</v>
      </c>
      <c r="D547" s="16" t="s">
        <v>927</v>
      </c>
      <c r="E547" s="288">
        <v>-1500</v>
      </c>
      <c r="F547" s="288">
        <f>ROUND(E547+(E547*Assumptions!C$13),-2)</f>
        <v>-1500</v>
      </c>
      <c r="G547" s="288">
        <f>ROUND(F547+(F547*Assumptions!D$13),-2)</f>
        <v>-1500</v>
      </c>
      <c r="H547" s="288">
        <f>ROUND(G547+(G547*Assumptions!E$13),-2)</f>
        <v>-1500</v>
      </c>
      <c r="I547" s="288">
        <f>ROUND(H547+(H547*Assumptions!F$13),-2)</f>
        <v>-1500</v>
      </c>
      <c r="J547" s="288">
        <f>ROUND(I547+(I547*Assumptions!G$13),-2)</f>
        <v>-1500</v>
      </c>
      <c r="K547" s="288">
        <f>ROUND(J547+(J547*Assumptions!H$13),-2)</f>
        <v>-1500</v>
      </c>
      <c r="L547" s="288">
        <f>ROUND(K547+(K547*Assumptions!I$13),-2)</f>
        <v>-1500</v>
      </c>
      <c r="M547" s="288">
        <f>ROUND(L547+(L547*Assumptions!J$13),-2)</f>
        <v>-1500</v>
      </c>
      <c r="N547" s="288">
        <f>ROUND(M547+(M547*Assumptions!K$13),-2)</f>
        <v>-1500</v>
      </c>
    </row>
    <row r="548" spans="2:14" x14ac:dyDescent="0.25">
      <c r="B548" s="16" t="s">
        <v>3229</v>
      </c>
      <c r="C548" s="16" t="s">
        <v>945</v>
      </c>
      <c r="D548" s="16" t="s">
        <v>929</v>
      </c>
      <c r="E548" s="288">
        <v>-26200</v>
      </c>
      <c r="F548" s="288">
        <f>ROUND(E548+(E548*Assumptions!C$13),-2)</f>
        <v>-26700</v>
      </c>
      <c r="G548" s="288">
        <f>ROUND(F548+(F548*Assumptions!D$13),-2)</f>
        <v>-27400</v>
      </c>
      <c r="H548" s="288">
        <f>ROUND(G548+(G548*Assumptions!E$13),-2)</f>
        <v>-28100</v>
      </c>
      <c r="I548" s="288">
        <f>ROUND(H548+(H548*Assumptions!F$13),-2)</f>
        <v>-28800</v>
      </c>
      <c r="J548" s="288">
        <f>ROUND(I548+(I548*Assumptions!G$13),-2)</f>
        <v>-29500</v>
      </c>
      <c r="K548" s="288">
        <f>ROUND(J548+(J548*Assumptions!H$13),-2)</f>
        <v>-30200</v>
      </c>
      <c r="L548" s="288">
        <f>ROUND(K548+(K548*Assumptions!I$13),-2)</f>
        <v>-31000</v>
      </c>
      <c r="M548" s="288">
        <f>ROUND(L548+(L548*Assumptions!J$13),-2)</f>
        <v>-31800</v>
      </c>
      <c r="N548" s="288">
        <f>ROUND(M548+(M548*Assumptions!K$13),-2)</f>
        <v>-32600</v>
      </c>
    </row>
    <row r="549" spans="2:14" x14ac:dyDescent="0.25">
      <c r="B549" s="16" t="s">
        <v>3229</v>
      </c>
      <c r="C549" s="16" t="s">
        <v>946</v>
      </c>
      <c r="D549" s="16" t="s">
        <v>947</v>
      </c>
      <c r="E549" s="289"/>
      <c r="F549" s="289"/>
      <c r="G549" s="289"/>
      <c r="H549" s="289"/>
      <c r="I549" s="289"/>
      <c r="J549" s="289"/>
      <c r="K549" s="289"/>
      <c r="L549" s="289"/>
      <c r="M549" s="289"/>
      <c r="N549" s="289"/>
    </row>
    <row r="550" spans="2:14" x14ac:dyDescent="0.25">
      <c r="B550" s="16" t="s">
        <v>3229</v>
      </c>
      <c r="C550" s="16" t="s">
        <v>948</v>
      </c>
      <c r="D550" s="16" t="s">
        <v>943</v>
      </c>
      <c r="E550" s="288">
        <v>-10000</v>
      </c>
      <c r="F550" s="288">
        <f>ROUND(E550+(E550*Assumptions!C$13),-2)</f>
        <v>-10200</v>
      </c>
      <c r="G550" s="288">
        <f>ROUND(F550+(F550*Assumptions!D$13),-2)</f>
        <v>-10500</v>
      </c>
      <c r="H550" s="288">
        <f>ROUND(G550+(G550*Assumptions!E$13),-2)</f>
        <v>-10800</v>
      </c>
      <c r="I550" s="288">
        <f>ROUND(H550+(H550*Assumptions!F$13),-2)</f>
        <v>-11100</v>
      </c>
      <c r="J550" s="288">
        <f>ROUND(I550+(I550*Assumptions!G$13),-2)</f>
        <v>-11400</v>
      </c>
      <c r="K550" s="288">
        <f>ROUND(J550+(J550*Assumptions!H$13),-2)</f>
        <v>-11700</v>
      </c>
      <c r="L550" s="288">
        <f>ROUND(K550+(K550*Assumptions!I$13),-2)</f>
        <v>-12000</v>
      </c>
      <c r="M550" s="288">
        <f>ROUND(L550+(L550*Assumptions!J$13),-2)</f>
        <v>-12300</v>
      </c>
      <c r="N550" s="288">
        <f>ROUND(M550+(M550*Assumptions!K$13),-2)</f>
        <v>-12600</v>
      </c>
    </row>
    <row r="551" spans="2:14" x14ac:dyDescent="0.25">
      <c r="B551" s="16" t="s">
        <v>3229</v>
      </c>
      <c r="C551" s="16" t="s">
        <v>949</v>
      </c>
      <c r="D551" s="16" t="s">
        <v>927</v>
      </c>
      <c r="E551" s="288">
        <v>-4000</v>
      </c>
      <c r="F551" s="288">
        <f>ROUND(E551+(E551*Assumptions!C$13),-2)</f>
        <v>-4100</v>
      </c>
      <c r="G551" s="288">
        <f>ROUND(F551+(F551*Assumptions!D$13),-2)</f>
        <v>-4200</v>
      </c>
      <c r="H551" s="288">
        <f>ROUND(G551+(G551*Assumptions!E$13),-2)</f>
        <v>-4300</v>
      </c>
      <c r="I551" s="288">
        <f>ROUND(H551+(H551*Assumptions!F$13),-2)</f>
        <v>-4400</v>
      </c>
      <c r="J551" s="288">
        <f>ROUND(I551+(I551*Assumptions!G$13),-2)</f>
        <v>-4500</v>
      </c>
      <c r="K551" s="288">
        <f>ROUND(J551+(J551*Assumptions!H$13),-2)</f>
        <v>-4600</v>
      </c>
      <c r="L551" s="288">
        <f>ROUND(K551+(K551*Assumptions!I$13),-2)</f>
        <v>-4700</v>
      </c>
      <c r="M551" s="288">
        <f>ROUND(L551+(L551*Assumptions!J$13),-2)</f>
        <v>-4800</v>
      </c>
      <c r="N551" s="288">
        <f>ROUND(M551+(M551*Assumptions!K$13),-2)</f>
        <v>-4900</v>
      </c>
    </row>
    <row r="552" spans="2:14" x14ac:dyDescent="0.25">
      <c r="B552" s="16" t="s">
        <v>3229</v>
      </c>
      <c r="C552" s="16" t="s">
        <v>950</v>
      </c>
      <c r="D552" s="16" t="s">
        <v>929</v>
      </c>
      <c r="E552" s="288">
        <v>-21600</v>
      </c>
      <c r="F552" s="288">
        <f>ROUND(E552+(E552*Assumptions!C$13),-2)</f>
        <v>-22000</v>
      </c>
      <c r="G552" s="288">
        <f>ROUND(F552+(F552*Assumptions!D$13),-2)</f>
        <v>-22600</v>
      </c>
      <c r="H552" s="288">
        <f>ROUND(G552+(G552*Assumptions!E$13),-2)</f>
        <v>-23200</v>
      </c>
      <c r="I552" s="288">
        <f>ROUND(H552+(H552*Assumptions!F$13),-2)</f>
        <v>-23800</v>
      </c>
      <c r="J552" s="288">
        <f>ROUND(I552+(I552*Assumptions!G$13),-2)</f>
        <v>-24400</v>
      </c>
      <c r="K552" s="288">
        <f>ROUND(J552+(J552*Assumptions!H$13),-2)</f>
        <v>-25000</v>
      </c>
      <c r="L552" s="288">
        <f>ROUND(K552+(K552*Assumptions!I$13),-2)</f>
        <v>-25600</v>
      </c>
      <c r="M552" s="288">
        <f>ROUND(L552+(L552*Assumptions!J$13),-2)</f>
        <v>-26200</v>
      </c>
      <c r="N552" s="288">
        <f>ROUND(M552+(M552*Assumptions!K$13),-2)</f>
        <v>-26900</v>
      </c>
    </row>
    <row r="553" spans="2:14" x14ac:dyDescent="0.25">
      <c r="B553" s="16" t="s">
        <v>3229</v>
      </c>
      <c r="C553" s="16" t="s">
        <v>951</v>
      </c>
      <c r="D553" s="16" t="s">
        <v>952</v>
      </c>
      <c r="E553" s="289"/>
      <c r="F553" s="289"/>
      <c r="G553" s="289"/>
      <c r="H553" s="289"/>
      <c r="I553" s="289"/>
      <c r="J553" s="289"/>
      <c r="K553" s="289"/>
      <c r="L553" s="289"/>
      <c r="M553" s="289"/>
      <c r="N553" s="289"/>
    </row>
    <row r="554" spans="2:14" x14ac:dyDescent="0.25">
      <c r="B554" s="16" t="s">
        <v>3229</v>
      </c>
      <c r="C554" s="16" t="s">
        <v>953</v>
      </c>
      <c r="D554" s="16" t="s">
        <v>943</v>
      </c>
      <c r="E554" s="288">
        <v>-10000</v>
      </c>
      <c r="F554" s="288">
        <f>ROUND(E554+(E554*Assumptions!C$13),-2)</f>
        <v>-10200</v>
      </c>
      <c r="G554" s="288">
        <f>ROUND(F554+(F554*Assumptions!D$13),-2)</f>
        <v>-10500</v>
      </c>
      <c r="H554" s="288">
        <f>ROUND(G554+(G554*Assumptions!E$13),-2)</f>
        <v>-10800</v>
      </c>
      <c r="I554" s="288">
        <f>ROUND(H554+(H554*Assumptions!F$13),-2)</f>
        <v>-11100</v>
      </c>
      <c r="J554" s="288">
        <f>ROUND(I554+(I554*Assumptions!G$13),-2)</f>
        <v>-11400</v>
      </c>
      <c r="K554" s="288">
        <f>ROUND(J554+(J554*Assumptions!H$13),-2)</f>
        <v>-11700</v>
      </c>
      <c r="L554" s="288">
        <f>ROUND(K554+(K554*Assumptions!I$13),-2)</f>
        <v>-12000</v>
      </c>
      <c r="M554" s="288">
        <f>ROUND(L554+(L554*Assumptions!J$13),-2)</f>
        <v>-12300</v>
      </c>
      <c r="N554" s="288">
        <f>ROUND(M554+(M554*Assumptions!K$13),-2)</f>
        <v>-12600</v>
      </c>
    </row>
    <row r="555" spans="2:14" x14ac:dyDescent="0.25">
      <c r="B555" s="16" t="s">
        <v>3229</v>
      </c>
      <c r="C555" s="16" t="s">
        <v>954</v>
      </c>
      <c r="D555" s="16" t="s">
        <v>929</v>
      </c>
      <c r="E555" s="288">
        <v>-13800</v>
      </c>
      <c r="F555" s="288">
        <f>ROUND(E555+(E555*Assumptions!C$13),-2)</f>
        <v>-14100</v>
      </c>
      <c r="G555" s="288">
        <f>ROUND(F555+(F555*Assumptions!D$13),-2)</f>
        <v>-14500</v>
      </c>
      <c r="H555" s="288">
        <f>ROUND(G555+(G555*Assumptions!E$13),-2)</f>
        <v>-14900</v>
      </c>
      <c r="I555" s="288">
        <f>ROUND(H555+(H555*Assumptions!F$13),-2)</f>
        <v>-15300</v>
      </c>
      <c r="J555" s="288">
        <f>ROUND(I555+(I555*Assumptions!G$13),-2)</f>
        <v>-15700</v>
      </c>
      <c r="K555" s="288">
        <f>ROUND(J555+(J555*Assumptions!H$13),-2)</f>
        <v>-16100</v>
      </c>
      <c r="L555" s="288">
        <f>ROUND(K555+(K555*Assumptions!I$13),-2)</f>
        <v>-16500</v>
      </c>
      <c r="M555" s="288">
        <f>ROUND(L555+(L555*Assumptions!J$13),-2)</f>
        <v>-16900</v>
      </c>
      <c r="N555" s="288">
        <f>ROUND(M555+(M555*Assumptions!K$13),-2)</f>
        <v>-17300</v>
      </c>
    </row>
    <row r="556" spans="2:14" x14ac:dyDescent="0.25">
      <c r="B556" s="16" t="s">
        <v>3228</v>
      </c>
      <c r="C556" s="16" t="s">
        <v>955</v>
      </c>
      <c r="D556" s="16" t="s">
        <v>956</v>
      </c>
      <c r="E556" s="289"/>
      <c r="F556" s="289"/>
      <c r="G556" s="289"/>
      <c r="H556" s="289"/>
      <c r="I556" s="289"/>
      <c r="J556" s="289"/>
      <c r="K556" s="289"/>
      <c r="L556" s="289"/>
      <c r="M556" s="289"/>
      <c r="N556" s="289"/>
    </row>
    <row r="557" spans="2:14" x14ac:dyDescent="0.25">
      <c r="B557" s="16" t="s">
        <v>3228</v>
      </c>
      <c r="C557" s="16" t="s">
        <v>957</v>
      </c>
      <c r="D557" s="16" t="s">
        <v>958</v>
      </c>
      <c r="E557" s="288">
        <v>-55200</v>
      </c>
      <c r="F557" s="288">
        <f>ROUND(E557+(E557*Assumptions!C$13),-2)</f>
        <v>-56300</v>
      </c>
      <c r="G557" s="288">
        <f>ROUND(F557+(F557*Assumptions!D$13),-2)</f>
        <v>-57700</v>
      </c>
      <c r="H557" s="288">
        <f>ROUND(G557+(G557*Assumptions!E$13),-2)</f>
        <v>-59100</v>
      </c>
      <c r="I557" s="288">
        <f>ROUND(H557+(H557*Assumptions!F$13),-2)</f>
        <v>-60600</v>
      </c>
      <c r="J557" s="288">
        <f>ROUND(I557+(I557*Assumptions!G$13),-2)</f>
        <v>-62100</v>
      </c>
      <c r="K557" s="288">
        <f>ROUND(J557+(J557*Assumptions!H$13),-2)</f>
        <v>-63700</v>
      </c>
      <c r="L557" s="288">
        <f>ROUND(K557+(K557*Assumptions!I$13),-2)</f>
        <v>-65300</v>
      </c>
      <c r="M557" s="288">
        <f>ROUND(L557+(L557*Assumptions!J$13),-2)</f>
        <v>-66900</v>
      </c>
      <c r="N557" s="288">
        <f>ROUND(M557+(M557*Assumptions!K$13),-2)</f>
        <v>-68600</v>
      </c>
    </row>
    <row r="558" spans="2:14" x14ac:dyDescent="0.25">
      <c r="B558" s="16" t="s">
        <v>3228</v>
      </c>
      <c r="C558" s="16" t="s">
        <v>959</v>
      </c>
      <c r="D558" s="16" t="s">
        <v>960</v>
      </c>
      <c r="E558" s="288">
        <v>-24100</v>
      </c>
      <c r="F558" s="288">
        <f>ROUND(E558+(E558*Assumptions!C$13),-2)</f>
        <v>-24600</v>
      </c>
      <c r="G558" s="288">
        <f>ROUND(F558+(F558*Assumptions!D$13),-2)</f>
        <v>-25200</v>
      </c>
      <c r="H558" s="288">
        <f>ROUND(G558+(G558*Assumptions!E$13),-2)</f>
        <v>-25800</v>
      </c>
      <c r="I558" s="288">
        <f>ROUND(H558+(H558*Assumptions!F$13),-2)</f>
        <v>-26400</v>
      </c>
      <c r="J558" s="288">
        <f>ROUND(I558+(I558*Assumptions!G$13),-2)</f>
        <v>-27100</v>
      </c>
      <c r="K558" s="288">
        <f>ROUND(J558+(J558*Assumptions!H$13),-2)</f>
        <v>-27800</v>
      </c>
      <c r="L558" s="288">
        <f>ROUND(K558+(K558*Assumptions!I$13),-2)</f>
        <v>-28500</v>
      </c>
      <c r="M558" s="288">
        <f>ROUND(L558+(L558*Assumptions!J$13),-2)</f>
        <v>-29200</v>
      </c>
      <c r="N558" s="288">
        <f>ROUND(M558+(M558*Assumptions!K$13),-2)</f>
        <v>-29900</v>
      </c>
    </row>
    <row r="559" spans="2:14" x14ac:dyDescent="0.25">
      <c r="B559" s="16" t="s">
        <v>3228</v>
      </c>
      <c r="C559" s="16" t="s">
        <v>961</v>
      </c>
      <c r="D559" s="16" t="s">
        <v>962</v>
      </c>
      <c r="E559" s="288">
        <v>-15800</v>
      </c>
      <c r="F559" s="288">
        <f>ROUND(E559+(E559*Assumptions!C$13),-2)</f>
        <v>-16100</v>
      </c>
      <c r="G559" s="288">
        <f>ROUND(F559+(F559*Assumptions!D$13),-2)</f>
        <v>-16500</v>
      </c>
      <c r="H559" s="288">
        <f>ROUND(G559+(G559*Assumptions!E$13),-2)</f>
        <v>-16900</v>
      </c>
      <c r="I559" s="288">
        <f>ROUND(H559+(H559*Assumptions!F$13),-2)</f>
        <v>-17300</v>
      </c>
      <c r="J559" s="288">
        <f>ROUND(I559+(I559*Assumptions!G$13),-2)</f>
        <v>-17700</v>
      </c>
      <c r="K559" s="288">
        <f>ROUND(J559+(J559*Assumptions!H$13),-2)</f>
        <v>-18100</v>
      </c>
      <c r="L559" s="288">
        <f>ROUND(K559+(K559*Assumptions!I$13),-2)</f>
        <v>-18600</v>
      </c>
      <c r="M559" s="288">
        <f>ROUND(L559+(L559*Assumptions!J$13),-2)</f>
        <v>-19100</v>
      </c>
      <c r="N559" s="288">
        <f>ROUND(M559+(M559*Assumptions!K$13),-2)</f>
        <v>-19600</v>
      </c>
    </row>
    <row r="560" spans="2:14" x14ac:dyDescent="0.25">
      <c r="B560" s="16" t="s">
        <v>3228</v>
      </c>
      <c r="C560" s="16" t="s">
        <v>963</v>
      </c>
      <c r="D560" s="16" t="s">
        <v>964</v>
      </c>
      <c r="E560" s="289"/>
      <c r="F560" s="289"/>
      <c r="G560" s="289"/>
      <c r="H560" s="289"/>
      <c r="I560" s="289"/>
      <c r="J560" s="289"/>
      <c r="K560" s="289"/>
      <c r="L560" s="289"/>
      <c r="M560" s="289"/>
      <c r="N560" s="289"/>
    </row>
    <row r="561" spans="2:14" x14ac:dyDescent="0.25">
      <c r="B561" s="16" t="s">
        <v>3228</v>
      </c>
      <c r="C561" s="16" t="s">
        <v>965</v>
      </c>
      <c r="D561" s="16" t="s">
        <v>958</v>
      </c>
      <c r="E561" s="288">
        <v>-39200</v>
      </c>
      <c r="F561" s="288">
        <f>ROUND(E561+(E561*Assumptions!C$13),-2)</f>
        <v>-40000</v>
      </c>
      <c r="G561" s="288">
        <f>ROUND(F561+(F561*Assumptions!D$13),-2)</f>
        <v>-41000</v>
      </c>
      <c r="H561" s="288">
        <f>ROUND(G561+(G561*Assumptions!E$13),-2)</f>
        <v>-42000</v>
      </c>
      <c r="I561" s="288">
        <f>ROUND(H561+(H561*Assumptions!F$13),-2)</f>
        <v>-43100</v>
      </c>
      <c r="J561" s="288">
        <f>ROUND(I561+(I561*Assumptions!G$13),-2)</f>
        <v>-44200</v>
      </c>
      <c r="K561" s="288">
        <f>ROUND(J561+(J561*Assumptions!H$13),-2)</f>
        <v>-45300</v>
      </c>
      <c r="L561" s="288">
        <f>ROUND(K561+(K561*Assumptions!I$13),-2)</f>
        <v>-46400</v>
      </c>
      <c r="M561" s="288">
        <f>ROUND(L561+(L561*Assumptions!J$13),-2)</f>
        <v>-47600</v>
      </c>
      <c r="N561" s="288">
        <f>ROUND(M561+(M561*Assumptions!K$13),-2)</f>
        <v>-48800</v>
      </c>
    </row>
    <row r="562" spans="2:14" x14ac:dyDescent="0.25">
      <c r="B562" s="16" t="s">
        <v>3228</v>
      </c>
      <c r="C562" s="16" t="s">
        <v>966</v>
      </c>
      <c r="D562" s="16" t="s">
        <v>960</v>
      </c>
      <c r="E562" s="288">
        <v>-21600</v>
      </c>
      <c r="F562" s="288">
        <f>ROUND(E562+(E562*Assumptions!C$13),-2)</f>
        <v>-22000</v>
      </c>
      <c r="G562" s="288">
        <f>ROUND(F562+(F562*Assumptions!D$13),-2)</f>
        <v>-22600</v>
      </c>
      <c r="H562" s="288">
        <f>ROUND(G562+(G562*Assumptions!E$13),-2)</f>
        <v>-23200</v>
      </c>
      <c r="I562" s="288">
        <f>ROUND(H562+(H562*Assumptions!F$13),-2)</f>
        <v>-23800</v>
      </c>
      <c r="J562" s="288">
        <f>ROUND(I562+(I562*Assumptions!G$13),-2)</f>
        <v>-24400</v>
      </c>
      <c r="K562" s="288">
        <f>ROUND(J562+(J562*Assumptions!H$13),-2)</f>
        <v>-25000</v>
      </c>
      <c r="L562" s="288">
        <f>ROUND(K562+(K562*Assumptions!I$13),-2)</f>
        <v>-25600</v>
      </c>
      <c r="M562" s="288">
        <f>ROUND(L562+(L562*Assumptions!J$13),-2)</f>
        <v>-26200</v>
      </c>
      <c r="N562" s="288">
        <f>ROUND(M562+(M562*Assumptions!K$13),-2)</f>
        <v>-26900</v>
      </c>
    </row>
    <row r="563" spans="2:14" x14ac:dyDescent="0.25">
      <c r="B563" s="16" t="s">
        <v>3228</v>
      </c>
      <c r="C563" s="16" t="s">
        <v>967</v>
      </c>
      <c r="D563" s="16" t="s">
        <v>962</v>
      </c>
      <c r="E563" s="288">
        <v>-13800</v>
      </c>
      <c r="F563" s="288">
        <f>ROUND(E563+(E563*Assumptions!C$13),-2)</f>
        <v>-14100</v>
      </c>
      <c r="G563" s="288">
        <f>ROUND(F563+(F563*Assumptions!D$13),-2)</f>
        <v>-14500</v>
      </c>
      <c r="H563" s="288">
        <f>ROUND(G563+(G563*Assumptions!E$13),-2)</f>
        <v>-14900</v>
      </c>
      <c r="I563" s="288">
        <f>ROUND(H563+(H563*Assumptions!F$13),-2)</f>
        <v>-15300</v>
      </c>
      <c r="J563" s="288">
        <f>ROUND(I563+(I563*Assumptions!G$13),-2)</f>
        <v>-15700</v>
      </c>
      <c r="K563" s="288">
        <f>ROUND(J563+(J563*Assumptions!H$13),-2)</f>
        <v>-16100</v>
      </c>
      <c r="L563" s="288">
        <f>ROUND(K563+(K563*Assumptions!I$13),-2)</f>
        <v>-16500</v>
      </c>
      <c r="M563" s="288">
        <f>ROUND(L563+(L563*Assumptions!J$13),-2)</f>
        <v>-16900</v>
      </c>
      <c r="N563" s="288">
        <f>ROUND(M563+(M563*Assumptions!K$13),-2)</f>
        <v>-17300</v>
      </c>
    </row>
    <row r="564" spans="2:14" ht="12.75" customHeight="1" x14ac:dyDescent="0.25">
      <c r="E564" s="288"/>
      <c r="F564" s="288"/>
      <c r="G564" s="288"/>
      <c r="H564" s="288"/>
      <c r="I564" s="288"/>
      <c r="J564" s="288"/>
      <c r="K564" s="288"/>
      <c r="L564" s="288"/>
      <c r="M564" s="288"/>
      <c r="N564" s="288"/>
    </row>
    <row r="565" spans="2:14" ht="12.75" customHeight="1" x14ac:dyDescent="0.25">
      <c r="D565" s="19" t="s">
        <v>3234</v>
      </c>
      <c r="E565" s="291">
        <f>SUM(E534:E564)</f>
        <v>-426100</v>
      </c>
      <c r="F565" s="291">
        <f t="shared" ref="F565:N565" si="17">SUM(F534:F564)</f>
        <v>-434500</v>
      </c>
      <c r="G565" s="291">
        <f t="shared" si="17"/>
        <v>-445800</v>
      </c>
      <c r="H565" s="291">
        <f t="shared" si="17"/>
        <v>-457300</v>
      </c>
      <c r="I565" s="291">
        <f t="shared" si="17"/>
        <v>-469000</v>
      </c>
      <c r="J565" s="291">
        <f t="shared" si="17"/>
        <v>-481000</v>
      </c>
      <c r="K565" s="291">
        <f t="shared" si="17"/>
        <v>-493100</v>
      </c>
      <c r="L565" s="291">
        <f t="shared" si="17"/>
        <v>-505500</v>
      </c>
      <c r="M565" s="291">
        <f t="shared" si="17"/>
        <v>-518000</v>
      </c>
      <c r="N565" s="291">
        <f t="shared" si="17"/>
        <v>-531100</v>
      </c>
    </row>
    <row r="566" spans="2:14" ht="12.75" customHeight="1" x14ac:dyDescent="0.25">
      <c r="E566" s="288"/>
      <c r="F566" s="288"/>
      <c r="G566" s="288"/>
      <c r="H566" s="288"/>
      <c r="I566" s="288"/>
      <c r="J566" s="288"/>
      <c r="K566" s="288"/>
      <c r="L566" s="288"/>
      <c r="M566" s="288"/>
      <c r="N566" s="288"/>
    </row>
    <row r="567" spans="2:14" x14ac:dyDescent="0.25">
      <c r="C567" s="19" t="s">
        <v>968</v>
      </c>
      <c r="E567" s="288"/>
      <c r="F567" s="288"/>
      <c r="G567" s="288"/>
      <c r="H567" s="288"/>
      <c r="I567" s="288"/>
      <c r="J567" s="288"/>
      <c r="K567" s="288"/>
      <c r="L567" s="288"/>
      <c r="M567" s="288"/>
      <c r="N567" s="288"/>
    </row>
    <row r="568" spans="2:14" ht="12.75" customHeight="1" x14ac:dyDescent="0.25">
      <c r="E568" s="288"/>
      <c r="F568" s="288"/>
      <c r="G568" s="288"/>
      <c r="H568" s="288"/>
      <c r="I568" s="288"/>
      <c r="J568" s="288"/>
      <c r="K568" s="288"/>
      <c r="L568" s="288"/>
      <c r="M568" s="288"/>
      <c r="N568" s="288"/>
    </row>
    <row r="569" spans="2:14" x14ac:dyDescent="0.25">
      <c r="C569" s="16" t="s">
        <v>87</v>
      </c>
      <c r="E569" s="288"/>
      <c r="F569" s="288"/>
      <c r="G569" s="288"/>
      <c r="H569" s="288"/>
      <c r="I569" s="288"/>
      <c r="J569" s="288"/>
      <c r="K569" s="288"/>
      <c r="L569" s="288"/>
      <c r="M569" s="288"/>
      <c r="N569" s="288"/>
    </row>
    <row r="570" spans="2:14" x14ac:dyDescent="0.25">
      <c r="C570" s="16" t="s">
        <v>969</v>
      </c>
      <c r="D570" s="16" t="s">
        <v>970</v>
      </c>
      <c r="E570" s="289"/>
      <c r="F570" s="289"/>
      <c r="G570" s="289"/>
      <c r="H570" s="289"/>
      <c r="I570" s="289"/>
      <c r="J570" s="289"/>
      <c r="K570" s="289"/>
      <c r="L570" s="289"/>
      <c r="M570" s="289"/>
      <c r="N570" s="289"/>
    </row>
    <row r="571" spans="2:14" x14ac:dyDescent="0.25">
      <c r="B571" s="16" t="s">
        <v>43</v>
      </c>
      <c r="C571" s="16" t="s">
        <v>971</v>
      </c>
      <c r="D571" s="16" t="s">
        <v>972</v>
      </c>
      <c r="E571" s="288">
        <v>1254400</v>
      </c>
      <c r="F571" s="288">
        <f>ROUND(IF($A571="E",E571*(1+Assumptions!C$15),E571*(1+Assumptions!C$14)),-2)</f>
        <v>1273200</v>
      </c>
      <c r="G571" s="288">
        <f>ROUND(IF($A571="E",F571*(1+Assumptions!D$15),F571*(1+Assumptions!D$14)),-2)</f>
        <v>1298700</v>
      </c>
      <c r="H571" s="288">
        <f>ROUND(IF($A571="E",G571*(1+Assumptions!E$15),G571*(1+Assumptions!E$14)),-2)</f>
        <v>1324700</v>
      </c>
      <c r="I571" s="288">
        <f>ROUND(IF($A571="E",H571*(1+Assumptions!F$15),H571*(1+Assumptions!F$14)),-2)</f>
        <v>1351200</v>
      </c>
      <c r="J571" s="288">
        <f>ROUND(IF($A571="E",I571*(1+Assumptions!G$15),I571*(1+Assumptions!G$14)),-2)</f>
        <v>1378200</v>
      </c>
      <c r="K571" s="288">
        <f>ROUND(IF($A571="E",J571*(1+Assumptions!H$15),J571*(1+Assumptions!H$14)),-2)</f>
        <v>1405800</v>
      </c>
      <c r="L571" s="288">
        <f>ROUND(IF($A571="E",K571*(1+Assumptions!I$15),K571*(1+Assumptions!I$14)),-2)</f>
        <v>1440900</v>
      </c>
      <c r="M571" s="288">
        <f>ROUND(IF($A571="E",L571*(1+Assumptions!J$15),L571*(1+Assumptions!J$14)),-2)</f>
        <v>1476900</v>
      </c>
      <c r="N571" s="288">
        <f>ROUND(IF($A571="E",M571*(1+Assumptions!K$15),M571*(1+Assumptions!K$14)),-2)</f>
        <v>1513800</v>
      </c>
    </row>
    <row r="572" spans="2:14" x14ac:dyDescent="0.25">
      <c r="C572" s="16" t="s">
        <v>973</v>
      </c>
      <c r="D572" s="16" t="s">
        <v>974</v>
      </c>
      <c r="E572" s="289"/>
      <c r="F572" s="289"/>
      <c r="G572" s="289"/>
      <c r="H572" s="289"/>
      <c r="I572" s="289"/>
      <c r="J572" s="289"/>
      <c r="K572" s="289"/>
      <c r="L572" s="289"/>
      <c r="M572" s="289"/>
      <c r="N572" s="289"/>
    </row>
    <row r="573" spans="2:14" x14ac:dyDescent="0.25">
      <c r="B573" s="16" t="s">
        <v>45</v>
      </c>
      <c r="C573" s="16" t="s">
        <v>975</v>
      </c>
      <c r="D573" s="16" t="s">
        <v>976</v>
      </c>
      <c r="E573" s="288">
        <v>42900</v>
      </c>
      <c r="F573" s="288">
        <f>ROUND(IF($A573="E",E573*(1+Assumptions!C$15),E573*(1+Assumptions!C$14)),-2)</f>
        <v>43500</v>
      </c>
      <c r="G573" s="288">
        <f>ROUND(IF($A573="E",F573*(1+Assumptions!D$15),F573*(1+Assumptions!D$14)),-2)</f>
        <v>44400</v>
      </c>
      <c r="H573" s="288">
        <f>ROUND(IF($A573="E",G573*(1+Assumptions!E$15),G573*(1+Assumptions!E$14)),-2)</f>
        <v>45300</v>
      </c>
      <c r="I573" s="288">
        <f>ROUND(IF($A573="E",H573*(1+Assumptions!F$15),H573*(1+Assumptions!F$14)),-2)</f>
        <v>46200</v>
      </c>
      <c r="J573" s="288">
        <f>ROUND(IF($A573="E",I573*(1+Assumptions!G$15),I573*(1+Assumptions!G$14)),-2)</f>
        <v>47100</v>
      </c>
      <c r="K573" s="288">
        <f>ROUND(IF($A573="E",J573*(1+Assumptions!H$15),J573*(1+Assumptions!H$14)),-2)</f>
        <v>48000</v>
      </c>
      <c r="L573" s="288">
        <f>ROUND(IF($A573="E",K573*(1+Assumptions!I$15),K573*(1+Assumptions!I$14)),-2)</f>
        <v>49200</v>
      </c>
      <c r="M573" s="288">
        <f>ROUND(IF($A573="E",L573*(1+Assumptions!J$15),L573*(1+Assumptions!J$14)),-2)</f>
        <v>50400</v>
      </c>
      <c r="N573" s="288">
        <f>ROUND(IF($A573="E",M573*(1+Assumptions!K$15),M573*(1+Assumptions!K$14)),-2)</f>
        <v>51700</v>
      </c>
    </row>
    <row r="574" spans="2:14" x14ac:dyDescent="0.25">
      <c r="B574" s="16" t="s">
        <v>45</v>
      </c>
      <c r="C574" s="16" t="s">
        <v>977</v>
      </c>
      <c r="D574" s="16" t="s">
        <v>978</v>
      </c>
      <c r="E574" s="288">
        <v>41600</v>
      </c>
      <c r="F574" s="288">
        <f>ROUND(IF($A574="E",E574*(1+Assumptions!C$15),E574*(1+Assumptions!C$14)),-2)</f>
        <v>42200</v>
      </c>
      <c r="G574" s="288">
        <f>ROUND(IF($A574="E",F574*(1+Assumptions!D$15),F574*(1+Assumptions!D$14)),-2)</f>
        <v>43000</v>
      </c>
      <c r="H574" s="288">
        <f>ROUND(IF($A574="E",G574*(1+Assumptions!E$15),G574*(1+Assumptions!E$14)),-2)</f>
        <v>43900</v>
      </c>
      <c r="I574" s="288">
        <f>ROUND(IF($A574="E",H574*(1+Assumptions!F$15),H574*(1+Assumptions!F$14)),-2)</f>
        <v>44800</v>
      </c>
      <c r="J574" s="288">
        <f>ROUND(IF($A574="E",I574*(1+Assumptions!G$15),I574*(1+Assumptions!G$14)),-2)</f>
        <v>45700</v>
      </c>
      <c r="K574" s="288">
        <f>ROUND(IF($A574="E",J574*(1+Assumptions!H$15),J574*(1+Assumptions!H$14)),-2)</f>
        <v>46600</v>
      </c>
      <c r="L574" s="288">
        <f>ROUND(IF($A574="E",K574*(1+Assumptions!I$15),K574*(1+Assumptions!I$14)),-2)</f>
        <v>47800</v>
      </c>
      <c r="M574" s="288">
        <f>ROUND(IF($A574="E",L574*(1+Assumptions!J$15),L574*(1+Assumptions!J$14)),-2)</f>
        <v>49000</v>
      </c>
      <c r="N574" s="288">
        <f>ROUND(IF($A574="E",M574*(1+Assumptions!K$15),M574*(1+Assumptions!K$14)),-2)</f>
        <v>50200</v>
      </c>
    </row>
    <row r="575" spans="2:14" x14ac:dyDescent="0.25">
      <c r="B575" s="16" t="s">
        <v>43</v>
      </c>
      <c r="C575" s="16" t="s">
        <v>979</v>
      </c>
      <c r="D575" s="16" t="s">
        <v>980</v>
      </c>
      <c r="E575" s="288">
        <v>53400</v>
      </c>
      <c r="F575" s="288">
        <f>ROUND(IF($A575="E",E575*(1+Assumptions!C$15),E575*(1+Assumptions!C$14)),-2)</f>
        <v>54200</v>
      </c>
      <c r="G575" s="288">
        <f>ROUND(IF($A575="E",F575*(1+Assumptions!D$15),F575*(1+Assumptions!D$14)),-2)</f>
        <v>55300</v>
      </c>
      <c r="H575" s="288">
        <f>ROUND(IF($A575="E",G575*(1+Assumptions!E$15),G575*(1+Assumptions!E$14)),-2)</f>
        <v>56400</v>
      </c>
      <c r="I575" s="288">
        <f>ROUND(IF($A575="E",H575*(1+Assumptions!F$15),H575*(1+Assumptions!F$14)),-2)</f>
        <v>57500</v>
      </c>
      <c r="J575" s="288">
        <f>ROUND(IF($A575="E",I575*(1+Assumptions!G$15),I575*(1+Assumptions!G$14)),-2)</f>
        <v>58700</v>
      </c>
      <c r="K575" s="288">
        <f>ROUND(IF($A575="E",J575*(1+Assumptions!H$15),J575*(1+Assumptions!H$14)),-2)</f>
        <v>59900</v>
      </c>
      <c r="L575" s="288">
        <f>ROUND(IF($A575="E",K575*(1+Assumptions!I$15),K575*(1+Assumptions!I$14)),-2)</f>
        <v>61400</v>
      </c>
      <c r="M575" s="288">
        <f>ROUND(IF($A575="E",L575*(1+Assumptions!J$15),L575*(1+Assumptions!J$14)),-2)</f>
        <v>62900</v>
      </c>
      <c r="N575" s="288">
        <f>ROUND(IF($A575="E",M575*(1+Assumptions!K$15),M575*(1+Assumptions!K$14)),-2)</f>
        <v>64500</v>
      </c>
    </row>
    <row r="576" spans="2:14" x14ac:dyDescent="0.25">
      <c r="B576" s="16" t="s">
        <v>43</v>
      </c>
      <c r="C576" s="16" t="s">
        <v>981</v>
      </c>
      <c r="D576" s="16" t="s">
        <v>830</v>
      </c>
      <c r="E576" s="288">
        <v>10500</v>
      </c>
      <c r="F576" s="288">
        <f>ROUND(IF($A576="E",E576*(1+Assumptions!C$15),E576*(1+Assumptions!C$14)),-2)</f>
        <v>10700</v>
      </c>
      <c r="G576" s="288">
        <f>ROUND(IF($A576="E",F576*(1+Assumptions!D$15),F576*(1+Assumptions!D$14)),-2)</f>
        <v>10900</v>
      </c>
      <c r="H576" s="288">
        <f>ROUND(IF($A576="E",G576*(1+Assumptions!E$15),G576*(1+Assumptions!E$14)),-2)</f>
        <v>11100</v>
      </c>
      <c r="I576" s="288">
        <f>ROUND(IF($A576="E",H576*(1+Assumptions!F$15),H576*(1+Assumptions!F$14)),-2)</f>
        <v>11300</v>
      </c>
      <c r="J576" s="288">
        <f>ROUND(IF($A576="E",I576*(1+Assumptions!G$15),I576*(1+Assumptions!G$14)),-2)</f>
        <v>11500</v>
      </c>
      <c r="K576" s="288">
        <f>ROUND(IF($A576="E",J576*(1+Assumptions!H$15),J576*(1+Assumptions!H$14)),-2)</f>
        <v>11700</v>
      </c>
      <c r="L576" s="288">
        <f>ROUND(IF($A576="E",K576*(1+Assumptions!I$15),K576*(1+Assumptions!I$14)),-2)</f>
        <v>12000</v>
      </c>
      <c r="M576" s="288">
        <f>ROUND(IF($A576="E",L576*(1+Assumptions!J$15),L576*(1+Assumptions!J$14)),-2)</f>
        <v>12300</v>
      </c>
      <c r="N576" s="288">
        <f>ROUND(IF($A576="E",M576*(1+Assumptions!K$15),M576*(1+Assumptions!K$14)),-2)</f>
        <v>12600</v>
      </c>
    </row>
    <row r="577" spans="1:14" x14ac:dyDescent="0.25">
      <c r="B577" s="16" t="s">
        <v>45</v>
      </c>
      <c r="C577" s="16" t="s">
        <v>982</v>
      </c>
      <c r="D577" s="16" t="s">
        <v>983</v>
      </c>
      <c r="E577" s="288">
        <v>2900</v>
      </c>
      <c r="F577" s="288">
        <f>ROUND(IF($A577="E",E577*(1+Assumptions!C$15),E577*(1+Assumptions!C$14)),-2)</f>
        <v>2900</v>
      </c>
      <c r="G577" s="288">
        <f>ROUND(IF($A577="E",F577*(1+Assumptions!D$15),F577*(1+Assumptions!D$14)),-2)</f>
        <v>3000</v>
      </c>
      <c r="H577" s="288">
        <f>ROUND(IF($A577="E",G577*(1+Assumptions!E$15),G577*(1+Assumptions!E$14)),-2)</f>
        <v>3100</v>
      </c>
      <c r="I577" s="288">
        <f>ROUND(IF($A577="E",H577*(1+Assumptions!F$15),H577*(1+Assumptions!F$14)),-2)</f>
        <v>3200</v>
      </c>
      <c r="J577" s="288">
        <f>ROUND(IF($A577="E",I577*(1+Assumptions!G$15),I577*(1+Assumptions!G$14)),-2)</f>
        <v>3300</v>
      </c>
      <c r="K577" s="288">
        <f>ROUND(IF($A577="E",J577*(1+Assumptions!H$15),J577*(1+Assumptions!H$14)),-2)</f>
        <v>3400</v>
      </c>
      <c r="L577" s="288">
        <f>ROUND(IF($A577="E",K577*(1+Assumptions!I$15),K577*(1+Assumptions!I$14)),-2)</f>
        <v>3500</v>
      </c>
      <c r="M577" s="288">
        <f>ROUND(IF($A577="E",L577*(1+Assumptions!J$15),L577*(1+Assumptions!J$14)),-2)</f>
        <v>3600</v>
      </c>
      <c r="N577" s="288">
        <f>ROUND(IF($A577="E",M577*(1+Assumptions!K$15),M577*(1+Assumptions!K$14)),-2)</f>
        <v>3700</v>
      </c>
    </row>
    <row r="578" spans="1:14" x14ac:dyDescent="0.25">
      <c r="B578" s="16" t="s">
        <v>45</v>
      </c>
      <c r="C578" s="16" t="s">
        <v>984</v>
      </c>
      <c r="D578" s="16" t="s">
        <v>985</v>
      </c>
      <c r="E578" s="288">
        <v>5000</v>
      </c>
      <c r="F578" s="288">
        <v>0</v>
      </c>
      <c r="G578" s="288">
        <v>0</v>
      </c>
      <c r="H578" s="288">
        <v>0</v>
      </c>
      <c r="I578" s="288">
        <v>0</v>
      </c>
      <c r="J578" s="288">
        <v>0</v>
      </c>
      <c r="K578" s="288">
        <v>0</v>
      </c>
      <c r="L578" s="288">
        <v>0</v>
      </c>
      <c r="M578" s="288">
        <v>0</v>
      </c>
      <c r="N578" s="288">
        <v>0</v>
      </c>
    </row>
    <row r="579" spans="1:14" x14ac:dyDescent="0.25">
      <c r="B579" s="16" t="s">
        <v>43</v>
      </c>
      <c r="C579" s="16" t="s">
        <v>986</v>
      </c>
      <c r="D579" s="16" t="s">
        <v>844</v>
      </c>
      <c r="E579" s="288">
        <v>26000</v>
      </c>
      <c r="F579" s="288">
        <f>ROUND(IF($A579="E",E579*(1+Assumptions!C$15),E579*(1+Assumptions!C$14)),-2)</f>
        <v>26400</v>
      </c>
      <c r="G579" s="288">
        <f>ROUND(IF($A579="E",F579*(1+Assumptions!D$15),F579*(1+Assumptions!D$14)),-2)</f>
        <v>26900</v>
      </c>
      <c r="H579" s="288">
        <f>ROUND(IF($A579="E",G579*(1+Assumptions!E$15),G579*(1+Assumptions!E$14)),-2)</f>
        <v>27400</v>
      </c>
      <c r="I579" s="288">
        <f>ROUND(IF($A579="E",H579*(1+Assumptions!F$15),H579*(1+Assumptions!F$14)),-2)</f>
        <v>27900</v>
      </c>
      <c r="J579" s="288">
        <f>ROUND(IF($A579="E",I579*(1+Assumptions!G$15),I579*(1+Assumptions!G$14)),-2)</f>
        <v>28500</v>
      </c>
      <c r="K579" s="288">
        <f>ROUND(IF($A579="E",J579*(1+Assumptions!H$15),J579*(1+Assumptions!H$14)),-2)</f>
        <v>29100</v>
      </c>
      <c r="L579" s="288">
        <f>ROUND(IF($A579="E",K579*(1+Assumptions!I$15),K579*(1+Assumptions!I$14)),-2)</f>
        <v>29800</v>
      </c>
      <c r="M579" s="288">
        <f>ROUND(IF($A579="E",L579*(1+Assumptions!J$15),L579*(1+Assumptions!J$14)),-2)</f>
        <v>30500</v>
      </c>
      <c r="N579" s="288">
        <f>ROUND(IF($A579="E",M579*(1+Assumptions!K$15),M579*(1+Assumptions!K$14)),-2)</f>
        <v>31300</v>
      </c>
    </row>
    <row r="580" spans="1:14" x14ac:dyDescent="0.25">
      <c r="B580" s="16" t="s">
        <v>42</v>
      </c>
      <c r="C580" s="16" t="s">
        <v>987</v>
      </c>
      <c r="D580" s="16" t="s">
        <v>531</v>
      </c>
      <c r="E580" s="289"/>
      <c r="F580" s="289"/>
      <c r="G580" s="289"/>
      <c r="H580" s="289"/>
      <c r="I580" s="289"/>
      <c r="J580" s="289"/>
      <c r="K580" s="289"/>
      <c r="L580" s="289"/>
      <c r="M580" s="289"/>
      <c r="N580" s="289"/>
    </row>
    <row r="581" spans="1:14" x14ac:dyDescent="0.25">
      <c r="B581" s="16" t="s">
        <v>42</v>
      </c>
      <c r="C581" s="16" t="s">
        <v>988</v>
      </c>
      <c r="D581" s="16" t="s">
        <v>406</v>
      </c>
      <c r="E581" s="302">
        <v>318200</v>
      </c>
      <c r="F581" s="302">
        <f>ROUND(loans!U21,-2)</f>
        <v>311400</v>
      </c>
      <c r="G581" s="302">
        <f>ROUND(loans!Y21,-2)</f>
        <v>304000</v>
      </c>
      <c r="H581" s="302">
        <f>ROUND(loans!AC21,-2)</f>
        <v>296100</v>
      </c>
      <c r="I581" s="302">
        <f>ROUND(loans!AG21,-2)</f>
        <v>287500</v>
      </c>
      <c r="J581" s="302">
        <f>ROUND(loans!AK23,-2)</f>
        <v>278200</v>
      </c>
      <c r="K581" s="302">
        <f>ROUND(loans!AO23,-2)</f>
        <v>268100</v>
      </c>
      <c r="L581" s="302">
        <f>ROUND(loans!AS23,-2)</f>
        <v>257100</v>
      </c>
      <c r="M581" s="302">
        <f>ROUND(loans!AW23,-2)</f>
        <v>245300</v>
      </c>
      <c r="N581" s="302">
        <f>ROUND(loans!BA23,-2)</f>
        <v>232600</v>
      </c>
    </row>
    <row r="582" spans="1:14" x14ac:dyDescent="0.25">
      <c r="B582" s="16" t="s">
        <v>43</v>
      </c>
      <c r="C582" s="16" t="s">
        <v>989</v>
      </c>
      <c r="D582" s="16" t="s">
        <v>187</v>
      </c>
      <c r="E582" s="289"/>
      <c r="F582" s="289"/>
      <c r="G582" s="289"/>
      <c r="H582" s="289"/>
      <c r="I582" s="289"/>
      <c r="J582" s="289"/>
      <c r="K582" s="289"/>
      <c r="L582" s="289"/>
      <c r="M582" s="289"/>
      <c r="N582" s="289"/>
    </row>
    <row r="583" spans="1:14" x14ac:dyDescent="0.25">
      <c r="B583" s="16" t="s">
        <v>43</v>
      </c>
      <c r="C583" s="16" t="s">
        <v>990</v>
      </c>
      <c r="D583" s="16" t="s">
        <v>193</v>
      </c>
      <c r="E583" s="288">
        <v>47800</v>
      </c>
      <c r="F583" s="288">
        <f>ROUND(IF($A583="E",E583*(1+Assumptions!C$15),E583*(1+Assumptions!C$14)),-2)</f>
        <v>48500</v>
      </c>
      <c r="G583" s="288">
        <f>ROUND(IF($A583="E",F583*(1+Assumptions!D$15),F583*(1+Assumptions!D$14)),-2)</f>
        <v>49500</v>
      </c>
      <c r="H583" s="288">
        <f>ROUND(IF($A583="E",G583*(1+Assumptions!E$15),G583*(1+Assumptions!E$14)),-2)</f>
        <v>50500</v>
      </c>
      <c r="I583" s="288">
        <f>ROUND(IF($A583="E",H583*(1+Assumptions!F$15),H583*(1+Assumptions!F$14)),-2)</f>
        <v>51500</v>
      </c>
      <c r="J583" s="288">
        <f>ROUND(IF($A583="E",I583*(1+Assumptions!G$15),I583*(1+Assumptions!G$14)),-2)</f>
        <v>52500</v>
      </c>
      <c r="K583" s="288">
        <f>ROUND(IF($A583="E",J583*(1+Assumptions!H$15),J583*(1+Assumptions!H$14)),-2)</f>
        <v>53600</v>
      </c>
      <c r="L583" s="288">
        <f>ROUND(IF($A583="E",K583*(1+Assumptions!I$15),K583*(1+Assumptions!I$14)),-2)</f>
        <v>54900</v>
      </c>
      <c r="M583" s="288">
        <f>ROUND(IF($A583="E",L583*(1+Assumptions!J$15),L583*(1+Assumptions!J$14)),-2)</f>
        <v>56300</v>
      </c>
      <c r="N583" s="288">
        <f>ROUND(IF($A583="E",M583*(1+Assumptions!K$15),M583*(1+Assumptions!K$14)),-2)</f>
        <v>57700</v>
      </c>
    </row>
    <row r="584" spans="1:14" x14ac:dyDescent="0.25">
      <c r="A584" s="16" t="s">
        <v>4591</v>
      </c>
      <c r="B584" s="397" t="s">
        <v>3231</v>
      </c>
      <c r="C584" s="43" t="s">
        <v>3236</v>
      </c>
      <c r="D584" s="16" t="s">
        <v>44</v>
      </c>
      <c r="E584" s="288">
        <v>23800</v>
      </c>
      <c r="F584" s="288">
        <f>ROUND(IF($A584="E",E584*(1+Assumptions!C$15),E584*(1+Assumptions!C$17)),-2)</f>
        <v>24000</v>
      </c>
      <c r="G584" s="288">
        <f>ROUND(IF($A584="E",F584*(1+Assumptions!D$15),F584*(1+Assumptions!D$17)),-2)</f>
        <v>24200</v>
      </c>
      <c r="H584" s="288">
        <f>ROUND(IF($A584="E",G584*(1+Assumptions!E$15),G584*(1+Assumptions!E$17)),-2)</f>
        <v>24400</v>
      </c>
      <c r="I584" s="288">
        <f>ROUND(IF($A584="E",H584*(1+Assumptions!F$15),H584*(1+Assumptions!F$17)),-2)</f>
        <v>24600</v>
      </c>
      <c r="J584" s="288">
        <f>ROUND(IF($A584="E",I584*(1+Assumptions!G$15),I584*(1+Assumptions!G$17)),-2)</f>
        <v>24800</v>
      </c>
      <c r="K584" s="288">
        <f>ROUND(IF($A584="E",J584*(1+Assumptions!H$15),J584*(1+Assumptions!H$17)),-2)</f>
        <v>25000</v>
      </c>
      <c r="L584" s="288">
        <f>ROUND(IF($A584="E",K584*(1+Assumptions!I$15),K584*(1+Assumptions!I$17)),-2)</f>
        <v>25300</v>
      </c>
      <c r="M584" s="288">
        <f>ROUND(IF($A584="E",L584*(1+Assumptions!J$15),L584*(1+Assumptions!J$17)),-2)</f>
        <v>25600</v>
      </c>
      <c r="N584" s="288">
        <f>ROUND(IF($A584="E",M584*(1+Assumptions!K$15),M584*(1+Assumptions!K$17)),-2)</f>
        <v>25900</v>
      </c>
    </row>
    <row r="585" spans="1:14" ht="12.75" customHeight="1" x14ac:dyDescent="0.25">
      <c r="E585" s="288"/>
      <c r="F585" s="288"/>
      <c r="G585" s="288"/>
      <c r="H585" s="288"/>
      <c r="I585" s="288"/>
      <c r="J585" s="288"/>
      <c r="K585" s="288"/>
      <c r="L585" s="288"/>
      <c r="M585" s="288"/>
      <c r="N585" s="288"/>
    </row>
    <row r="586" spans="1:14" ht="12.75" customHeight="1" x14ac:dyDescent="0.25">
      <c r="D586" s="19" t="s">
        <v>3234</v>
      </c>
      <c r="E586" s="291">
        <f>SUM(E570:E585)</f>
        <v>1826500</v>
      </c>
      <c r="F586" s="291">
        <f t="shared" ref="F586:N586" si="18">SUM(F570:F585)</f>
        <v>1837000</v>
      </c>
      <c r="G586" s="291">
        <f t="shared" si="18"/>
        <v>1859900</v>
      </c>
      <c r="H586" s="291">
        <f t="shared" si="18"/>
        <v>1882900</v>
      </c>
      <c r="I586" s="291">
        <f t="shared" si="18"/>
        <v>1905700</v>
      </c>
      <c r="J586" s="291">
        <f t="shared" si="18"/>
        <v>1928500</v>
      </c>
      <c r="K586" s="291">
        <f t="shared" si="18"/>
        <v>1951200</v>
      </c>
      <c r="L586" s="291">
        <f t="shared" si="18"/>
        <v>1981900</v>
      </c>
      <c r="M586" s="291">
        <f t="shared" si="18"/>
        <v>2012800</v>
      </c>
      <c r="N586" s="291">
        <f t="shared" si="18"/>
        <v>2044000</v>
      </c>
    </row>
    <row r="587" spans="1:14" ht="12.75" customHeight="1" x14ac:dyDescent="0.25">
      <c r="E587" s="288"/>
      <c r="F587" s="288"/>
      <c r="G587" s="288"/>
      <c r="H587" s="288"/>
      <c r="I587" s="288"/>
      <c r="J587" s="288"/>
      <c r="K587" s="288"/>
      <c r="L587" s="288"/>
      <c r="M587" s="288"/>
      <c r="N587" s="288"/>
    </row>
    <row r="588" spans="1:14" x14ac:dyDescent="0.25">
      <c r="C588" s="16" t="s">
        <v>315</v>
      </c>
      <c r="E588" s="288"/>
      <c r="F588" s="288"/>
      <c r="G588" s="288"/>
      <c r="H588" s="288"/>
      <c r="I588" s="288"/>
      <c r="J588" s="288"/>
      <c r="K588" s="288"/>
      <c r="L588" s="288"/>
      <c r="M588" s="288"/>
      <c r="N588" s="288"/>
    </row>
    <row r="589" spans="1:14" x14ac:dyDescent="0.25">
      <c r="B589" s="16" t="s">
        <v>3229</v>
      </c>
      <c r="C589" s="16" t="s">
        <v>991</v>
      </c>
      <c r="D589" s="16" t="s">
        <v>992</v>
      </c>
      <c r="E589" s="289"/>
      <c r="F589" s="289"/>
      <c r="G589" s="289"/>
      <c r="H589" s="289"/>
      <c r="I589" s="289"/>
      <c r="J589" s="289"/>
      <c r="K589" s="289"/>
      <c r="L589" s="289"/>
      <c r="M589" s="289"/>
      <c r="N589" s="289"/>
    </row>
    <row r="590" spans="1:14" x14ac:dyDescent="0.25">
      <c r="B590" s="16" t="s">
        <v>3229</v>
      </c>
      <c r="C590" s="16" t="s">
        <v>993</v>
      </c>
      <c r="D590" s="16" t="s">
        <v>994</v>
      </c>
      <c r="E590" s="288">
        <v>-60000</v>
      </c>
      <c r="F590" s="288">
        <f>ROUND(E590+(E590*Assumptions!C$13),-2)</f>
        <v>-61200</v>
      </c>
      <c r="G590" s="288">
        <f>ROUND(F590+(F590*Assumptions!D$13),-2)</f>
        <v>-62700</v>
      </c>
      <c r="H590" s="288">
        <f>ROUND(G590+(G590*Assumptions!E$13),-2)</f>
        <v>-64300</v>
      </c>
      <c r="I590" s="288">
        <f>ROUND(H590+(H590*Assumptions!F$13),-2)</f>
        <v>-65900</v>
      </c>
      <c r="J590" s="288">
        <f>ROUND(I590+(I590*Assumptions!G$13),-2)</f>
        <v>-67500</v>
      </c>
      <c r="K590" s="288">
        <f>ROUND(J590+(J590*Assumptions!H$13),-2)</f>
        <v>-69200</v>
      </c>
      <c r="L590" s="288">
        <f>ROUND(K590+(K590*Assumptions!I$13),-2)</f>
        <v>-70900</v>
      </c>
      <c r="M590" s="288">
        <f>ROUND(L590+(L590*Assumptions!J$13),-2)</f>
        <v>-72700</v>
      </c>
      <c r="N590" s="288">
        <f>ROUND(M590+(M590*Assumptions!K$13),-2)</f>
        <v>-74500</v>
      </c>
    </row>
    <row r="591" spans="1:14" ht="12.75" customHeight="1" x14ac:dyDescent="0.25">
      <c r="E591" s="288"/>
      <c r="F591" s="288"/>
      <c r="G591" s="288"/>
      <c r="H591" s="288"/>
      <c r="I591" s="288"/>
      <c r="J591" s="288"/>
      <c r="K591" s="288"/>
      <c r="L591" s="288"/>
      <c r="M591" s="288"/>
      <c r="N591" s="288"/>
    </row>
    <row r="592" spans="1:14" ht="12.75" customHeight="1" x14ac:dyDescent="0.25">
      <c r="D592" s="19" t="s">
        <v>3234</v>
      </c>
      <c r="E592" s="291">
        <f>SUM(E589:E591)</f>
        <v>-60000</v>
      </c>
      <c r="F592" s="291">
        <f t="shared" ref="F592:N592" si="19">SUM(F589:F591)</f>
        <v>-61200</v>
      </c>
      <c r="G592" s="291">
        <f t="shared" si="19"/>
        <v>-62700</v>
      </c>
      <c r="H592" s="291">
        <f t="shared" si="19"/>
        <v>-64300</v>
      </c>
      <c r="I592" s="291">
        <f t="shared" si="19"/>
        <v>-65900</v>
      </c>
      <c r="J592" s="291">
        <f t="shared" si="19"/>
        <v>-67500</v>
      </c>
      <c r="K592" s="291">
        <f t="shared" si="19"/>
        <v>-69200</v>
      </c>
      <c r="L592" s="291">
        <f t="shared" si="19"/>
        <v>-70900</v>
      </c>
      <c r="M592" s="291">
        <f t="shared" si="19"/>
        <v>-72700</v>
      </c>
      <c r="N592" s="291">
        <f t="shared" si="19"/>
        <v>-74500</v>
      </c>
    </row>
    <row r="593" spans="2:14" ht="12.75" customHeight="1" x14ac:dyDescent="0.25">
      <c r="E593" s="288"/>
      <c r="F593" s="288"/>
      <c r="G593" s="288"/>
      <c r="H593" s="288"/>
      <c r="I593" s="288"/>
      <c r="J593" s="288"/>
      <c r="K593" s="288"/>
      <c r="L593" s="288"/>
      <c r="M593" s="288"/>
      <c r="N593" s="288"/>
    </row>
    <row r="594" spans="2:14" x14ac:dyDescent="0.25">
      <c r="C594" s="19" t="s">
        <v>995</v>
      </c>
      <c r="E594" s="288"/>
      <c r="F594" s="288"/>
      <c r="G594" s="288"/>
      <c r="H594" s="288"/>
      <c r="I594" s="288"/>
      <c r="J594" s="288"/>
      <c r="K594" s="288"/>
      <c r="L594" s="288"/>
      <c r="M594" s="288"/>
      <c r="N594" s="288"/>
    </row>
    <row r="595" spans="2:14" ht="12.75" customHeight="1" x14ac:dyDescent="0.25">
      <c r="E595" s="288"/>
      <c r="F595" s="288"/>
      <c r="G595" s="288"/>
      <c r="H595" s="288"/>
      <c r="I595" s="288"/>
      <c r="J595" s="288"/>
      <c r="K595" s="288"/>
      <c r="L595" s="288"/>
      <c r="M595" s="288"/>
      <c r="N595" s="288"/>
    </row>
    <row r="596" spans="2:14" x14ac:dyDescent="0.25">
      <c r="C596" s="16" t="s">
        <v>87</v>
      </c>
      <c r="E596" s="288"/>
      <c r="F596" s="288"/>
      <c r="G596" s="288"/>
      <c r="H596" s="288"/>
      <c r="I596" s="288"/>
      <c r="J596" s="288"/>
      <c r="K596" s="288"/>
      <c r="L596" s="288"/>
      <c r="M596" s="288"/>
      <c r="N596" s="288"/>
    </row>
    <row r="597" spans="2:14" x14ac:dyDescent="0.25">
      <c r="C597" s="16" t="s">
        <v>996</v>
      </c>
      <c r="D597" s="16" t="s">
        <v>997</v>
      </c>
      <c r="E597" s="289"/>
      <c r="F597" s="289"/>
      <c r="G597" s="289"/>
      <c r="H597" s="289"/>
      <c r="I597" s="289"/>
      <c r="J597" s="289"/>
      <c r="K597" s="289"/>
      <c r="L597" s="289"/>
      <c r="M597" s="289"/>
      <c r="N597" s="289"/>
    </row>
    <row r="598" spans="2:14" x14ac:dyDescent="0.25">
      <c r="B598" s="16" t="s">
        <v>41</v>
      </c>
      <c r="C598" s="16" t="s">
        <v>998</v>
      </c>
      <c r="D598" s="16" t="s">
        <v>91</v>
      </c>
      <c r="E598" s="288">
        <v>262400</v>
      </c>
      <c r="F598" s="288">
        <f>ROUND(IF($A598="E",E598*(1+Assumptions!C$15),E598*(1+Assumptions!C$14)),-2)</f>
        <v>266300</v>
      </c>
      <c r="G598" s="288">
        <f>ROUND(IF($A598="E",F598*(1+Assumptions!D$15),F598*(1+Assumptions!D$14)),-2)</f>
        <v>271600</v>
      </c>
      <c r="H598" s="288">
        <f>ROUND(IF($A598="E",G598*(1+Assumptions!E$15),G598*(1+Assumptions!E$14)),-2)</f>
        <v>277000</v>
      </c>
      <c r="I598" s="288">
        <f>ROUND(IF($A598="E",H598*(1+Assumptions!F$15),H598*(1+Assumptions!F$14)),-2)</f>
        <v>282500</v>
      </c>
      <c r="J598" s="288">
        <f>ROUND(IF($A598="E",I598*(1+Assumptions!G$15),I598*(1+Assumptions!G$14)),-2)</f>
        <v>288200</v>
      </c>
      <c r="K598" s="288">
        <f>ROUND(IF($A598="E",J598*(1+Assumptions!H$15),J598*(1+Assumptions!H$14)),-2)</f>
        <v>294000</v>
      </c>
      <c r="L598" s="288">
        <f>ROUND(IF($A598="E",K598*(1+Assumptions!I$15),K598*(1+Assumptions!I$14)),-2)</f>
        <v>301400</v>
      </c>
      <c r="M598" s="288">
        <f>ROUND(IF($A598="E",L598*(1+Assumptions!J$15),L598*(1+Assumptions!J$14)),-2)</f>
        <v>308900</v>
      </c>
      <c r="N598" s="288">
        <f>ROUND(IF($A598="E",M598*(1+Assumptions!K$15),M598*(1+Assumptions!K$14)),-2)</f>
        <v>316600</v>
      </c>
    </row>
    <row r="599" spans="2:14" x14ac:dyDescent="0.25">
      <c r="B599" s="16" t="s">
        <v>45</v>
      </c>
      <c r="C599" s="16" t="s">
        <v>999</v>
      </c>
      <c r="D599" s="16" t="s">
        <v>1000</v>
      </c>
      <c r="E599" s="288">
        <v>3100</v>
      </c>
      <c r="F599" s="288">
        <f>ROUND(IF($A599="E",E599*(1+Assumptions!C$15),E599*(1+Assumptions!C$14)),-2)</f>
        <v>3100</v>
      </c>
      <c r="G599" s="288">
        <f>ROUND(IF($A599="E",F599*(1+Assumptions!D$15),F599*(1+Assumptions!D$14)),-2)</f>
        <v>3200</v>
      </c>
      <c r="H599" s="288">
        <f>ROUND(IF($A599="E",G599*(1+Assumptions!E$15),G599*(1+Assumptions!E$14)),-2)</f>
        <v>3300</v>
      </c>
      <c r="I599" s="288">
        <f>ROUND(IF($A599="E",H599*(1+Assumptions!F$15),H599*(1+Assumptions!F$14)),-2)</f>
        <v>3400</v>
      </c>
      <c r="J599" s="288">
        <f>ROUND(IF($A599="E",I599*(1+Assumptions!G$15),I599*(1+Assumptions!G$14)),-2)</f>
        <v>3500</v>
      </c>
      <c r="K599" s="288">
        <f>ROUND(IF($A599="E",J599*(1+Assumptions!H$15),J599*(1+Assumptions!H$14)),-2)</f>
        <v>3600</v>
      </c>
      <c r="L599" s="288">
        <f>ROUND(IF($A599="E",K599*(1+Assumptions!I$15),K599*(1+Assumptions!I$14)),-2)</f>
        <v>3700</v>
      </c>
      <c r="M599" s="288">
        <f>ROUND(IF($A599="E",L599*(1+Assumptions!J$15),L599*(1+Assumptions!J$14)),-2)</f>
        <v>3800</v>
      </c>
      <c r="N599" s="288">
        <f>ROUND(IF($A599="E",M599*(1+Assumptions!K$15),M599*(1+Assumptions!K$14)),-2)</f>
        <v>3900</v>
      </c>
    </row>
    <row r="600" spans="2:14" x14ac:dyDescent="0.25">
      <c r="B600" s="16" t="s">
        <v>43</v>
      </c>
      <c r="C600" s="16" t="s">
        <v>1001</v>
      </c>
      <c r="D600" s="16" t="s">
        <v>97</v>
      </c>
      <c r="E600" s="288">
        <v>10000</v>
      </c>
      <c r="F600" s="288">
        <f>ROUND(IF($A600="E",E600*(1+Assumptions!C$15),E600*(1+Assumptions!C$14)),-2)</f>
        <v>10200</v>
      </c>
      <c r="G600" s="288">
        <f>ROUND(IF($A600="E",F600*(1+Assumptions!D$15),F600*(1+Assumptions!D$14)),-2)</f>
        <v>10400</v>
      </c>
      <c r="H600" s="288">
        <f>ROUND(IF($A600="E",G600*(1+Assumptions!E$15),G600*(1+Assumptions!E$14)),-2)</f>
        <v>10600</v>
      </c>
      <c r="I600" s="288">
        <f>ROUND(IF($A600="E",H600*(1+Assumptions!F$15),H600*(1+Assumptions!F$14)),-2)</f>
        <v>10800</v>
      </c>
      <c r="J600" s="288">
        <f>ROUND(IF($A600="E",I600*(1+Assumptions!G$15),I600*(1+Assumptions!G$14)),-2)</f>
        <v>11000</v>
      </c>
      <c r="K600" s="288">
        <f>ROUND(IF($A600="E",J600*(1+Assumptions!H$15),J600*(1+Assumptions!H$14)),-2)</f>
        <v>11200</v>
      </c>
      <c r="L600" s="288">
        <f>ROUND(IF($A600="E",K600*(1+Assumptions!I$15),K600*(1+Assumptions!I$14)),-2)</f>
        <v>11500</v>
      </c>
      <c r="M600" s="288">
        <f>ROUND(IF($A600="E",L600*(1+Assumptions!J$15),L600*(1+Assumptions!J$14)),-2)</f>
        <v>11800</v>
      </c>
      <c r="N600" s="288">
        <f>ROUND(IF($A600="E",M600*(1+Assumptions!K$15),M600*(1+Assumptions!K$14)),-2)</f>
        <v>12100</v>
      </c>
    </row>
    <row r="601" spans="2:14" x14ac:dyDescent="0.25">
      <c r="C601" s="16" t="s">
        <v>1002</v>
      </c>
      <c r="D601" s="16" t="s">
        <v>1003</v>
      </c>
      <c r="E601" s="289"/>
      <c r="F601" s="289"/>
      <c r="G601" s="289"/>
      <c r="H601" s="289"/>
      <c r="I601" s="289"/>
      <c r="J601" s="289"/>
      <c r="K601" s="289"/>
      <c r="L601" s="289"/>
      <c r="M601" s="289"/>
      <c r="N601" s="289"/>
    </row>
    <row r="602" spans="2:14" x14ac:dyDescent="0.25">
      <c r="B602" s="16" t="s">
        <v>41</v>
      </c>
      <c r="C602" s="16" t="s">
        <v>1004</v>
      </c>
      <c r="D602" s="16" t="s">
        <v>201</v>
      </c>
      <c r="E602" s="288">
        <v>285800</v>
      </c>
      <c r="F602" s="288">
        <f>ROUND(IF($A602="E",E602*(1+Assumptions!C$15),E602*(1+Assumptions!C$14)),-2)</f>
        <v>290100</v>
      </c>
      <c r="G602" s="288">
        <f>ROUND(IF($A602="E",F602*(1+Assumptions!D$15),F602*(1+Assumptions!D$14)),-2)</f>
        <v>295900</v>
      </c>
      <c r="H602" s="288">
        <f>ROUND(IF($A602="E",G602*(1+Assumptions!E$15),G602*(1+Assumptions!E$14)),-2)</f>
        <v>301800</v>
      </c>
      <c r="I602" s="288">
        <f>ROUND(IF($A602="E",H602*(1+Assumptions!F$15),H602*(1+Assumptions!F$14)),-2)</f>
        <v>307800</v>
      </c>
      <c r="J602" s="288">
        <f>ROUND(IF($A602="E",I602*(1+Assumptions!G$15),I602*(1+Assumptions!G$14)),-2)</f>
        <v>314000</v>
      </c>
      <c r="K602" s="288">
        <f>ROUND(IF($A602="E",J602*(1+Assumptions!H$15),J602*(1+Assumptions!H$14)),-2)</f>
        <v>320300</v>
      </c>
      <c r="L602" s="288">
        <f>ROUND(IF($A602="E",K602*(1+Assumptions!I$15),K602*(1+Assumptions!I$14)),-2)</f>
        <v>328300</v>
      </c>
      <c r="M602" s="288">
        <f>ROUND(IF($A602="E",L602*(1+Assumptions!J$15),L602*(1+Assumptions!J$14)),-2)</f>
        <v>336500</v>
      </c>
      <c r="N602" s="288">
        <f>ROUND(IF($A602="E",M602*(1+Assumptions!K$15),M602*(1+Assumptions!K$14)),-2)</f>
        <v>344900</v>
      </c>
    </row>
    <row r="603" spans="2:14" x14ac:dyDescent="0.25">
      <c r="B603" s="16" t="s">
        <v>41</v>
      </c>
      <c r="C603" s="16" t="s">
        <v>1005</v>
      </c>
      <c r="D603" s="16" t="s">
        <v>1006</v>
      </c>
      <c r="E603" s="288">
        <v>4100</v>
      </c>
      <c r="F603" s="288">
        <f>ROUND(IF($A603="E",E603*(1+Assumptions!C$15),E603*(1+Assumptions!C$14)),-2)</f>
        <v>4200</v>
      </c>
      <c r="G603" s="288">
        <f>ROUND(IF($A603="E",F603*(1+Assumptions!D$15),F603*(1+Assumptions!D$14)),-2)</f>
        <v>4300</v>
      </c>
      <c r="H603" s="288">
        <f>ROUND(IF($A603="E",G603*(1+Assumptions!E$15),G603*(1+Assumptions!E$14)),-2)</f>
        <v>4400</v>
      </c>
      <c r="I603" s="288">
        <f>ROUND(IF($A603="E",H603*(1+Assumptions!F$15),H603*(1+Assumptions!F$14)),-2)</f>
        <v>4500</v>
      </c>
      <c r="J603" s="288">
        <f>ROUND(IF($A603="E",I603*(1+Assumptions!G$15),I603*(1+Assumptions!G$14)),-2)</f>
        <v>4600</v>
      </c>
      <c r="K603" s="288">
        <f>ROUND(IF($A603="E",J603*(1+Assumptions!H$15),J603*(1+Assumptions!H$14)),-2)</f>
        <v>4700</v>
      </c>
      <c r="L603" s="288">
        <f>ROUND(IF($A603="E",K603*(1+Assumptions!I$15),K603*(1+Assumptions!I$14)),-2)</f>
        <v>4800</v>
      </c>
      <c r="M603" s="288">
        <f>ROUND(IF($A603="E",L603*(1+Assumptions!J$15),L603*(1+Assumptions!J$14)),-2)</f>
        <v>4900</v>
      </c>
      <c r="N603" s="288">
        <f>ROUND(IF($A603="E",M603*(1+Assumptions!K$15),M603*(1+Assumptions!K$14)),-2)</f>
        <v>5000</v>
      </c>
    </row>
    <row r="604" spans="2:14" x14ac:dyDescent="0.25">
      <c r="B604" s="16" t="s">
        <v>45</v>
      </c>
      <c r="C604" s="16" t="s">
        <v>1007</v>
      </c>
      <c r="D604" s="16" t="s">
        <v>1008</v>
      </c>
      <c r="E604" s="288">
        <v>6200</v>
      </c>
      <c r="F604" s="288">
        <f>ROUND(IF($A604="E",E604*(1+Assumptions!C$15),E604*(1+Assumptions!C$14)),-2)</f>
        <v>6300</v>
      </c>
      <c r="G604" s="288">
        <f>ROUND(IF($A604="E",F604*(1+Assumptions!D$15),F604*(1+Assumptions!D$14)),-2)</f>
        <v>6400</v>
      </c>
      <c r="H604" s="288">
        <f>ROUND(IF($A604="E",G604*(1+Assumptions!E$15),G604*(1+Assumptions!E$14)),-2)</f>
        <v>6500</v>
      </c>
      <c r="I604" s="288">
        <f>ROUND(IF($A604="E",H604*(1+Assumptions!F$15),H604*(1+Assumptions!F$14)),-2)</f>
        <v>6600</v>
      </c>
      <c r="J604" s="288">
        <f>ROUND(IF($A604="E",I604*(1+Assumptions!G$15),I604*(1+Assumptions!G$14)),-2)</f>
        <v>6700</v>
      </c>
      <c r="K604" s="288">
        <f>ROUND(IF($A604="E",J604*(1+Assumptions!H$15),J604*(1+Assumptions!H$14)),-2)</f>
        <v>6800</v>
      </c>
      <c r="L604" s="288">
        <f>ROUND(IF($A604="E",K604*(1+Assumptions!I$15),K604*(1+Assumptions!I$14)),-2)</f>
        <v>7000</v>
      </c>
      <c r="M604" s="288">
        <f>ROUND(IF($A604="E",L604*(1+Assumptions!J$15),L604*(1+Assumptions!J$14)),-2)</f>
        <v>7200</v>
      </c>
      <c r="N604" s="288">
        <f>ROUND(IF($A604="E",M604*(1+Assumptions!K$15),M604*(1+Assumptions!K$14)),-2)</f>
        <v>7400</v>
      </c>
    </row>
    <row r="605" spans="2:14" x14ac:dyDescent="0.25">
      <c r="B605" s="16" t="s">
        <v>43</v>
      </c>
      <c r="C605" s="16" t="s">
        <v>1009</v>
      </c>
      <c r="D605" s="16" t="s">
        <v>1010</v>
      </c>
      <c r="E605" s="288">
        <v>33700</v>
      </c>
      <c r="F605" s="288">
        <f>ROUND(IF($A605="E",E605*(1+Assumptions!C$15),E605*(1+Assumptions!C$14)),-2)</f>
        <v>34200</v>
      </c>
      <c r="G605" s="288">
        <f>ROUND(IF($A605="E",F605*(1+Assumptions!D$15),F605*(1+Assumptions!D$14)),-2)</f>
        <v>34900</v>
      </c>
      <c r="H605" s="288">
        <f>ROUND(IF($A605="E",G605*(1+Assumptions!E$15),G605*(1+Assumptions!E$14)),-2)</f>
        <v>35600</v>
      </c>
      <c r="I605" s="288">
        <f>ROUND(IF($A605="E",H605*(1+Assumptions!F$15),H605*(1+Assumptions!F$14)),-2)</f>
        <v>36300</v>
      </c>
      <c r="J605" s="288">
        <f>ROUND(IF($A605="E",I605*(1+Assumptions!G$15),I605*(1+Assumptions!G$14)),-2)</f>
        <v>37000</v>
      </c>
      <c r="K605" s="288">
        <f>ROUND(IF($A605="E",J605*(1+Assumptions!H$15),J605*(1+Assumptions!H$14)),-2)</f>
        <v>37700</v>
      </c>
      <c r="L605" s="288">
        <f>ROUND(IF($A605="E",K605*(1+Assumptions!I$15),K605*(1+Assumptions!I$14)),-2)</f>
        <v>38600</v>
      </c>
      <c r="M605" s="288">
        <f>ROUND(IF($A605="E",L605*(1+Assumptions!J$15),L605*(1+Assumptions!J$14)),-2)</f>
        <v>39600</v>
      </c>
      <c r="N605" s="288">
        <f>ROUND(IF($A605="E",M605*(1+Assumptions!K$15),M605*(1+Assumptions!K$14)),-2)</f>
        <v>40600</v>
      </c>
    </row>
    <row r="606" spans="2:14" x14ac:dyDescent="0.25">
      <c r="B606" s="16" t="s">
        <v>45</v>
      </c>
      <c r="C606" s="16" t="s">
        <v>1011</v>
      </c>
      <c r="D606" s="16" t="s">
        <v>1012</v>
      </c>
      <c r="E606" s="288">
        <v>21900</v>
      </c>
      <c r="F606" s="288">
        <f>ROUND(IF($A606="E",E606*(1+Assumptions!C$15),E606*(1+Assumptions!C$14)),-2)</f>
        <v>22200</v>
      </c>
      <c r="G606" s="288">
        <f>ROUND(IF($A606="E",F606*(1+Assumptions!D$15),F606*(1+Assumptions!D$14)),-2)</f>
        <v>22600</v>
      </c>
      <c r="H606" s="288">
        <f>ROUND(IF($A606="E",G606*(1+Assumptions!E$15),G606*(1+Assumptions!E$14)),-2)</f>
        <v>23100</v>
      </c>
      <c r="I606" s="288">
        <f>ROUND(IF($A606="E",H606*(1+Assumptions!F$15),H606*(1+Assumptions!F$14)),-2)</f>
        <v>23600</v>
      </c>
      <c r="J606" s="288">
        <f>ROUND(IF($A606="E",I606*(1+Assumptions!G$15),I606*(1+Assumptions!G$14)),-2)</f>
        <v>24100</v>
      </c>
      <c r="K606" s="288">
        <f>ROUND(IF($A606="E",J606*(1+Assumptions!H$15),J606*(1+Assumptions!H$14)),-2)</f>
        <v>24600</v>
      </c>
      <c r="L606" s="288">
        <f>ROUND(IF($A606="E",K606*(1+Assumptions!I$15),K606*(1+Assumptions!I$14)),-2)</f>
        <v>25200</v>
      </c>
      <c r="M606" s="288">
        <f>ROUND(IF($A606="E",L606*(1+Assumptions!J$15),L606*(1+Assumptions!J$14)),-2)</f>
        <v>25800</v>
      </c>
      <c r="N606" s="288">
        <f>ROUND(IF($A606="E",M606*(1+Assumptions!K$15),M606*(1+Assumptions!K$14)),-2)</f>
        <v>26400</v>
      </c>
    </row>
    <row r="607" spans="2:14" x14ac:dyDescent="0.25">
      <c r="B607" s="16" t="s">
        <v>43</v>
      </c>
      <c r="C607" s="16" t="s">
        <v>1013</v>
      </c>
      <c r="D607" s="16" t="s">
        <v>1014</v>
      </c>
      <c r="E607" s="288">
        <v>15500</v>
      </c>
      <c r="F607" s="288">
        <f>ROUND(IF($A607="E",E607*(1+Assumptions!C$15),E607*(1+Assumptions!C$14)),-2)</f>
        <v>15700</v>
      </c>
      <c r="G607" s="288">
        <f>ROUND(IF($A607="E",F607*(1+Assumptions!D$15),F607*(1+Assumptions!D$14)),-2)</f>
        <v>16000</v>
      </c>
      <c r="H607" s="288">
        <f>ROUND(IF($A607="E",G607*(1+Assumptions!E$15),G607*(1+Assumptions!E$14)),-2)</f>
        <v>16300</v>
      </c>
      <c r="I607" s="288">
        <f>ROUND(IF($A607="E",H607*(1+Assumptions!F$15),H607*(1+Assumptions!F$14)),-2)</f>
        <v>16600</v>
      </c>
      <c r="J607" s="288">
        <f>ROUND(IF($A607="E",I607*(1+Assumptions!G$15),I607*(1+Assumptions!G$14)),-2)</f>
        <v>16900</v>
      </c>
      <c r="K607" s="288">
        <f>ROUND(IF($A607="E",J607*(1+Assumptions!H$15),J607*(1+Assumptions!H$14)),-2)</f>
        <v>17200</v>
      </c>
      <c r="L607" s="288">
        <f>ROUND(IF($A607="E",K607*(1+Assumptions!I$15),K607*(1+Assumptions!I$14)),-2)</f>
        <v>17600</v>
      </c>
      <c r="M607" s="288">
        <f>ROUND(IF($A607="E",L607*(1+Assumptions!J$15),L607*(1+Assumptions!J$14)),-2)</f>
        <v>18000</v>
      </c>
      <c r="N607" s="288">
        <f>ROUND(IF($A607="E",M607*(1+Assumptions!K$15),M607*(1+Assumptions!K$14)),-2)</f>
        <v>18500</v>
      </c>
    </row>
    <row r="608" spans="2:14" x14ac:dyDescent="0.25">
      <c r="B608" s="16" t="s">
        <v>43</v>
      </c>
      <c r="C608" s="16" t="s">
        <v>1015</v>
      </c>
      <c r="D608" s="16" t="s">
        <v>1016</v>
      </c>
      <c r="E608" s="288">
        <v>64200</v>
      </c>
      <c r="F608" s="288">
        <f>ROUND(IF($A608="E",E608*(1+Assumptions!C$15),E608*(1+Assumptions!C$14)),-2)</f>
        <v>65200</v>
      </c>
      <c r="G608" s="288">
        <f>ROUND(IF($A608="E",F608*(1+Assumptions!D$15),F608*(1+Assumptions!D$14)),-2)</f>
        <v>66500</v>
      </c>
      <c r="H608" s="288">
        <f>ROUND(IF($A608="E",G608*(1+Assumptions!E$15),G608*(1+Assumptions!E$14)),-2)</f>
        <v>67800</v>
      </c>
      <c r="I608" s="288">
        <f>ROUND(IF($A608="E",H608*(1+Assumptions!F$15),H608*(1+Assumptions!F$14)),-2)</f>
        <v>69200</v>
      </c>
      <c r="J608" s="288">
        <f>ROUND(IF($A608="E",I608*(1+Assumptions!G$15),I608*(1+Assumptions!G$14)),-2)</f>
        <v>70600</v>
      </c>
      <c r="K608" s="288">
        <f>ROUND(IF($A608="E",J608*(1+Assumptions!H$15),J608*(1+Assumptions!H$14)),-2)</f>
        <v>72000</v>
      </c>
      <c r="L608" s="288">
        <f>ROUND(IF($A608="E",K608*(1+Assumptions!I$15),K608*(1+Assumptions!I$14)),-2)</f>
        <v>73800</v>
      </c>
      <c r="M608" s="288">
        <f>ROUND(IF($A608="E",L608*(1+Assumptions!J$15),L608*(1+Assumptions!J$14)),-2)</f>
        <v>75600</v>
      </c>
      <c r="N608" s="288">
        <f>ROUND(IF($A608="E",M608*(1+Assumptions!K$15),M608*(1+Assumptions!K$14)),-2)</f>
        <v>77500</v>
      </c>
    </row>
    <row r="609" spans="2:14" x14ac:dyDescent="0.25">
      <c r="B609" s="16" t="s">
        <v>43</v>
      </c>
      <c r="C609" s="16" t="s">
        <v>1017</v>
      </c>
      <c r="D609" s="16" t="s">
        <v>1018</v>
      </c>
      <c r="E609" s="288">
        <v>13300</v>
      </c>
      <c r="F609" s="288">
        <f>ROUND(IF($A609="E",E609*(1+Assumptions!C$15),E609*(1+Assumptions!C$14)),-2)</f>
        <v>13500</v>
      </c>
      <c r="G609" s="288">
        <f>ROUND(IF($A609="E",F609*(1+Assumptions!D$15),F609*(1+Assumptions!D$14)),-2)</f>
        <v>13800</v>
      </c>
      <c r="H609" s="288">
        <f>ROUND(IF($A609="E",G609*(1+Assumptions!E$15),G609*(1+Assumptions!E$14)),-2)</f>
        <v>14100</v>
      </c>
      <c r="I609" s="288">
        <f>ROUND(IF($A609="E",H609*(1+Assumptions!F$15),H609*(1+Assumptions!F$14)),-2)</f>
        <v>14400</v>
      </c>
      <c r="J609" s="288">
        <f>ROUND(IF($A609="E",I609*(1+Assumptions!G$15),I609*(1+Assumptions!G$14)),-2)</f>
        <v>14700</v>
      </c>
      <c r="K609" s="288">
        <f>ROUND(IF($A609="E",J609*(1+Assumptions!H$15),J609*(1+Assumptions!H$14)),-2)</f>
        <v>15000</v>
      </c>
      <c r="L609" s="288">
        <f>ROUND(IF($A609="E",K609*(1+Assumptions!I$15),K609*(1+Assumptions!I$14)),-2)</f>
        <v>15400</v>
      </c>
      <c r="M609" s="288">
        <f>ROUND(IF($A609="E",L609*(1+Assumptions!J$15),L609*(1+Assumptions!J$14)),-2)</f>
        <v>15800</v>
      </c>
      <c r="N609" s="288">
        <f>ROUND(IF($A609="E",M609*(1+Assumptions!K$15),M609*(1+Assumptions!K$14)),-2)</f>
        <v>16200</v>
      </c>
    </row>
    <row r="610" spans="2:14" x14ac:dyDescent="0.25">
      <c r="B610" s="16" t="s">
        <v>43</v>
      </c>
      <c r="C610" s="16" t="s">
        <v>1019</v>
      </c>
      <c r="D610" s="16" t="s">
        <v>1020</v>
      </c>
      <c r="E610" s="288">
        <v>16000</v>
      </c>
      <c r="F610" s="288">
        <f>ROUND(IF($A610="E",E610*(1+Assumptions!C$15),E610*(1+Assumptions!C$14)),-2)</f>
        <v>16200</v>
      </c>
      <c r="G610" s="288">
        <f>ROUND(IF($A610="E",F610*(1+Assumptions!D$15),F610*(1+Assumptions!D$14)),-2)</f>
        <v>16500</v>
      </c>
      <c r="H610" s="288">
        <f>ROUND(IF($A610="E",G610*(1+Assumptions!E$15),G610*(1+Assumptions!E$14)),-2)</f>
        <v>16800</v>
      </c>
      <c r="I610" s="288">
        <f>ROUND(IF($A610="E",H610*(1+Assumptions!F$15),H610*(1+Assumptions!F$14)),-2)</f>
        <v>17100</v>
      </c>
      <c r="J610" s="288">
        <f>ROUND(IF($A610="E",I610*(1+Assumptions!G$15),I610*(1+Assumptions!G$14)),-2)</f>
        <v>17400</v>
      </c>
      <c r="K610" s="288">
        <f>ROUND(IF($A610="E",J610*(1+Assumptions!H$15),J610*(1+Assumptions!H$14)),-2)</f>
        <v>17700</v>
      </c>
      <c r="L610" s="288">
        <f>ROUND(IF($A610="E",K610*(1+Assumptions!I$15),K610*(1+Assumptions!I$14)),-2)</f>
        <v>18100</v>
      </c>
      <c r="M610" s="288">
        <f>ROUND(IF($A610="E",L610*(1+Assumptions!J$15),L610*(1+Assumptions!J$14)),-2)</f>
        <v>18600</v>
      </c>
      <c r="N610" s="288">
        <f>ROUND(IF($A610="E",M610*(1+Assumptions!K$15),M610*(1+Assumptions!K$14)),-2)</f>
        <v>19100</v>
      </c>
    </row>
    <row r="611" spans="2:14" x14ac:dyDescent="0.25">
      <c r="B611" s="16" t="s">
        <v>43</v>
      </c>
      <c r="C611" s="16" t="s">
        <v>1021</v>
      </c>
      <c r="D611" s="16" t="s">
        <v>1022</v>
      </c>
      <c r="E611" s="288">
        <v>19400</v>
      </c>
      <c r="F611" s="288">
        <f>ROUND(IF($A611="E",E611*(1+Assumptions!C$15),E611*(1+Assumptions!C$14)),-2)</f>
        <v>19700</v>
      </c>
      <c r="G611" s="288">
        <f>ROUND(IF($A611="E",F611*(1+Assumptions!D$15),F611*(1+Assumptions!D$14)),-2)</f>
        <v>20100</v>
      </c>
      <c r="H611" s="288">
        <f>ROUND(IF($A611="E",G611*(1+Assumptions!E$15),G611*(1+Assumptions!E$14)),-2)</f>
        <v>20500</v>
      </c>
      <c r="I611" s="288">
        <f>ROUND(IF($A611="E",H611*(1+Assumptions!F$15),H611*(1+Assumptions!F$14)),-2)</f>
        <v>20900</v>
      </c>
      <c r="J611" s="288">
        <f>ROUND(IF($A611="E",I611*(1+Assumptions!G$15),I611*(1+Assumptions!G$14)),-2)</f>
        <v>21300</v>
      </c>
      <c r="K611" s="288">
        <f>ROUND(IF($A611="E",J611*(1+Assumptions!H$15),J611*(1+Assumptions!H$14)),-2)</f>
        <v>21700</v>
      </c>
      <c r="L611" s="288">
        <f>ROUND(IF($A611="E",K611*(1+Assumptions!I$15),K611*(1+Assumptions!I$14)),-2)</f>
        <v>22200</v>
      </c>
      <c r="M611" s="288">
        <f>ROUND(IF($A611="E",L611*(1+Assumptions!J$15),L611*(1+Assumptions!J$14)),-2)</f>
        <v>22800</v>
      </c>
      <c r="N611" s="288">
        <f>ROUND(IF($A611="E",M611*(1+Assumptions!K$15),M611*(1+Assumptions!K$14)),-2)</f>
        <v>23400</v>
      </c>
    </row>
    <row r="612" spans="2:14" x14ac:dyDescent="0.25">
      <c r="B612" s="16" t="s">
        <v>45</v>
      </c>
      <c r="C612" s="16" t="s">
        <v>1023</v>
      </c>
      <c r="D612" s="16" t="s">
        <v>1024</v>
      </c>
      <c r="E612" s="288">
        <v>21000</v>
      </c>
      <c r="F612" s="288">
        <f>ROUND(IF($A612="E",E612*(1+Assumptions!C$15),E612*(1+Assumptions!C$14)),-2)</f>
        <v>21300</v>
      </c>
      <c r="G612" s="288">
        <f>ROUND(IF($A612="E",F612*(1+Assumptions!D$15),F612*(1+Assumptions!D$14)),-2)</f>
        <v>21700</v>
      </c>
      <c r="H612" s="288">
        <f>ROUND(IF($A612="E",G612*(1+Assumptions!E$15),G612*(1+Assumptions!E$14)),-2)</f>
        <v>22100</v>
      </c>
      <c r="I612" s="288">
        <f>ROUND(IF($A612="E",H612*(1+Assumptions!F$15),H612*(1+Assumptions!F$14)),-2)</f>
        <v>22500</v>
      </c>
      <c r="J612" s="288">
        <f>ROUND(IF($A612="E",I612*(1+Assumptions!G$15),I612*(1+Assumptions!G$14)),-2)</f>
        <v>23000</v>
      </c>
      <c r="K612" s="288">
        <f>ROUND(IF($A612="E",J612*(1+Assumptions!H$15),J612*(1+Assumptions!H$14)),-2)</f>
        <v>23500</v>
      </c>
      <c r="L612" s="288">
        <f>ROUND(IF($A612="E",K612*(1+Assumptions!I$15),K612*(1+Assumptions!I$14)),-2)</f>
        <v>24100</v>
      </c>
      <c r="M612" s="288">
        <f>ROUND(IF($A612="E",L612*(1+Assumptions!J$15),L612*(1+Assumptions!J$14)),-2)</f>
        <v>24700</v>
      </c>
      <c r="N612" s="288">
        <f>ROUND(IF($A612="E",M612*(1+Assumptions!K$15),M612*(1+Assumptions!K$14)),-2)</f>
        <v>25300</v>
      </c>
    </row>
    <row r="613" spans="2:14" x14ac:dyDescent="0.25">
      <c r="C613" s="16" t="s">
        <v>1025</v>
      </c>
      <c r="D613" s="16" t="s">
        <v>1026</v>
      </c>
      <c r="E613" s="289"/>
      <c r="F613" s="289"/>
      <c r="G613" s="289"/>
      <c r="H613" s="289"/>
      <c r="I613" s="289"/>
      <c r="J613" s="289"/>
      <c r="K613" s="289"/>
      <c r="L613" s="289"/>
      <c r="M613" s="289"/>
      <c r="N613" s="289"/>
    </row>
    <row r="614" spans="2:14" x14ac:dyDescent="0.25">
      <c r="B614" s="16" t="s">
        <v>41</v>
      </c>
      <c r="C614" s="16" t="s">
        <v>1027</v>
      </c>
      <c r="D614" s="16" t="s">
        <v>201</v>
      </c>
      <c r="E614" s="288">
        <v>144200</v>
      </c>
      <c r="F614" s="288">
        <f>ROUND(IF($A614="E",E614*(1+Assumptions!C$15),E614*(1+Assumptions!C$14)),-2)</f>
        <v>146400</v>
      </c>
      <c r="G614" s="288">
        <f>ROUND(IF($A614="E",F614*(1+Assumptions!D$15),F614*(1+Assumptions!D$14)),-2)</f>
        <v>149300</v>
      </c>
      <c r="H614" s="288">
        <f>ROUND(IF($A614="E",G614*(1+Assumptions!E$15),G614*(1+Assumptions!E$14)),-2)</f>
        <v>152300</v>
      </c>
      <c r="I614" s="288">
        <f>ROUND(IF($A614="E",H614*(1+Assumptions!F$15),H614*(1+Assumptions!F$14)),-2)</f>
        <v>155300</v>
      </c>
      <c r="J614" s="288">
        <f>ROUND(IF($A614="E",I614*(1+Assumptions!G$15),I614*(1+Assumptions!G$14)),-2)</f>
        <v>158400</v>
      </c>
      <c r="K614" s="288">
        <f>ROUND(IF($A614="E",J614*(1+Assumptions!H$15),J614*(1+Assumptions!H$14)),-2)</f>
        <v>161600</v>
      </c>
      <c r="L614" s="288">
        <f>ROUND(IF($A614="E",K614*(1+Assumptions!I$15),K614*(1+Assumptions!I$14)),-2)</f>
        <v>165600</v>
      </c>
      <c r="M614" s="288">
        <f>ROUND(IF($A614="E",L614*(1+Assumptions!J$15),L614*(1+Assumptions!J$14)),-2)</f>
        <v>169700</v>
      </c>
      <c r="N614" s="288">
        <f>ROUND(IF($A614="E",M614*(1+Assumptions!K$15),M614*(1+Assumptions!K$14)),-2)</f>
        <v>173900</v>
      </c>
    </row>
    <row r="615" spans="2:14" x14ac:dyDescent="0.25">
      <c r="B615" s="16" t="s">
        <v>43</v>
      </c>
      <c r="C615" s="16" t="s">
        <v>1028</v>
      </c>
      <c r="D615" s="16" t="s">
        <v>1029</v>
      </c>
      <c r="E615" s="288">
        <v>8200</v>
      </c>
      <c r="F615" s="288">
        <f>ROUND(IF($A615="E",E615*(1+Assumptions!C$15),E615*(1+Assumptions!C$14)),-2)</f>
        <v>8300</v>
      </c>
      <c r="G615" s="288">
        <f>ROUND(IF($A615="E",F615*(1+Assumptions!D$15),F615*(1+Assumptions!D$14)),-2)</f>
        <v>8500</v>
      </c>
      <c r="H615" s="288">
        <f>ROUND(IF($A615="E",G615*(1+Assumptions!E$15),G615*(1+Assumptions!E$14)),-2)</f>
        <v>8700</v>
      </c>
      <c r="I615" s="288">
        <f>ROUND(IF($A615="E",H615*(1+Assumptions!F$15),H615*(1+Assumptions!F$14)),-2)</f>
        <v>8900</v>
      </c>
      <c r="J615" s="288">
        <f>ROUND(IF($A615="E",I615*(1+Assumptions!G$15),I615*(1+Assumptions!G$14)),-2)</f>
        <v>9100</v>
      </c>
      <c r="K615" s="288">
        <f>ROUND(IF($A615="E",J615*(1+Assumptions!H$15),J615*(1+Assumptions!H$14)),-2)</f>
        <v>9300</v>
      </c>
      <c r="L615" s="288">
        <f>ROUND(IF($A615="E",K615*(1+Assumptions!I$15),K615*(1+Assumptions!I$14)),-2)</f>
        <v>9500</v>
      </c>
      <c r="M615" s="288">
        <f>ROUND(IF($A615="E",L615*(1+Assumptions!J$15),L615*(1+Assumptions!J$14)),-2)</f>
        <v>9700</v>
      </c>
      <c r="N615" s="288">
        <f>ROUND(IF($A615="E",M615*(1+Assumptions!K$15),M615*(1+Assumptions!K$14)),-2)</f>
        <v>9900</v>
      </c>
    </row>
    <row r="616" spans="2:14" x14ac:dyDescent="0.25">
      <c r="B616" s="16" t="s">
        <v>43</v>
      </c>
      <c r="C616" s="16" t="s">
        <v>1030</v>
      </c>
      <c r="D616" s="16" t="s">
        <v>1031</v>
      </c>
      <c r="E616" s="288">
        <v>16500</v>
      </c>
      <c r="F616" s="288">
        <f>ROUND(IF($A616="E",E616*(1+Assumptions!C$15),E616*(1+Assumptions!C$14)),-2)</f>
        <v>16700</v>
      </c>
      <c r="G616" s="288">
        <f>ROUND(IF($A616="E",F616*(1+Assumptions!D$15),F616*(1+Assumptions!D$14)),-2)</f>
        <v>17000</v>
      </c>
      <c r="H616" s="288">
        <f>ROUND(IF($A616="E",G616*(1+Assumptions!E$15),G616*(1+Assumptions!E$14)),-2)</f>
        <v>17300</v>
      </c>
      <c r="I616" s="288">
        <f>ROUND(IF($A616="E",H616*(1+Assumptions!F$15),H616*(1+Assumptions!F$14)),-2)</f>
        <v>17600</v>
      </c>
      <c r="J616" s="288">
        <f>ROUND(IF($A616="E",I616*(1+Assumptions!G$15),I616*(1+Assumptions!G$14)),-2)</f>
        <v>18000</v>
      </c>
      <c r="K616" s="288">
        <f>ROUND(IF($A616="E",J616*(1+Assumptions!H$15),J616*(1+Assumptions!H$14)),-2)</f>
        <v>18400</v>
      </c>
      <c r="L616" s="288">
        <f>ROUND(IF($A616="E",K616*(1+Assumptions!I$15),K616*(1+Assumptions!I$14)),-2)</f>
        <v>18900</v>
      </c>
      <c r="M616" s="288">
        <f>ROUND(IF($A616="E",L616*(1+Assumptions!J$15),L616*(1+Assumptions!J$14)),-2)</f>
        <v>19400</v>
      </c>
      <c r="N616" s="288">
        <f>ROUND(IF($A616="E",M616*(1+Assumptions!K$15),M616*(1+Assumptions!K$14)),-2)</f>
        <v>19900</v>
      </c>
    </row>
    <row r="617" spans="2:14" x14ac:dyDescent="0.25">
      <c r="B617" s="16" t="s">
        <v>43</v>
      </c>
      <c r="C617" s="16" t="s">
        <v>1032</v>
      </c>
      <c r="D617" s="16" t="s">
        <v>1033</v>
      </c>
      <c r="E617" s="288">
        <v>11100</v>
      </c>
      <c r="F617" s="288">
        <f>ROUND(IF($A617="E",E617*(1+Assumptions!C$15),E617*(1+Assumptions!C$14)),-2)</f>
        <v>11300</v>
      </c>
      <c r="G617" s="288">
        <f>ROUND(IF($A617="E",F617*(1+Assumptions!D$15),F617*(1+Assumptions!D$14)),-2)</f>
        <v>11500</v>
      </c>
      <c r="H617" s="288">
        <f>ROUND(IF($A617="E",G617*(1+Assumptions!E$15),G617*(1+Assumptions!E$14)),-2)</f>
        <v>11700</v>
      </c>
      <c r="I617" s="288">
        <f>ROUND(IF($A617="E",H617*(1+Assumptions!F$15),H617*(1+Assumptions!F$14)),-2)</f>
        <v>11900</v>
      </c>
      <c r="J617" s="288">
        <f>ROUND(IF($A617="E",I617*(1+Assumptions!G$15),I617*(1+Assumptions!G$14)),-2)</f>
        <v>12100</v>
      </c>
      <c r="K617" s="288">
        <f>ROUND(IF($A617="E",J617*(1+Assumptions!H$15),J617*(1+Assumptions!H$14)),-2)</f>
        <v>12300</v>
      </c>
      <c r="L617" s="288">
        <f>ROUND(IF($A617="E",K617*(1+Assumptions!I$15),K617*(1+Assumptions!I$14)),-2)</f>
        <v>12600</v>
      </c>
      <c r="M617" s="288">
        <f>ROUND(IF($A617="E",L617*(1+Assumptions!J$15),L617*(1+Assumptions!J$14)),-2)</f>
        <v>12900</v>
      </c>
      <c r="N617" s="288">
        <f>ROUND(IF($A617="E",M617*(1+Assumptions!K$15),M617*(1+Assumptions!K$14)),-2)</f>
        <v>13200</v>
      </c>
    </row>
    <row r="618" spans="2:14" x14ac:dyDescent="0.25">
      <c r="C618" s="16" t="s">
        <v>1034</v>
      </c>
      <c r="D618" s="16" t="s">
        <v>1035</v>
      </c>
      <c r="E618" s="289"/>
      <c r="F618" s="289"/>
      <c r="G618" s="289"/>
      <c r="H618" s="289"/>
      <c r="I618" s="289"/>
      <c r="J618" s="289"/>
      <c r="K618" s="289"/>
      <c r="L618" s="289"/>
      <c r="M618" s="289"/>
      <c r="N618" s="289"/>
    </row>
    <row r="619" spans="2:14" x14ac:dyDescent="0.25">
      <c r="B619" s="16" t="s">
        <v>41</v>
      </c>
      <c r="C619" s="16" t="s">
        <v>1036</v>
      </c>
      <c r="D619" s="16" t="s">
        <v>201</v>
      </c>
      <c r="E619" s="288">
        <v>103400</v>
      </c>
      <c r="F619" s="288">
        <f>ROUND(IF($A619="E",E619*(1+Assumptions!C$15),E619*(1+Assumptions!C$14)),-2)</f>
        <v>105000</v>
      </c>
      <c r="G619" s="288">
        <f>ROUND(IF($A619="E",F619*(1+Assumptions!D$15),F619*(1+Assumptions!D$14)),-2)</f>
        <v>107100</v>
      </c>
      <c r="H619" s="288">
        <f>ROUND(IF($A619="E",G619*(1+Assumptions!E$15),G619*(1+Assumptions!E$14)),-2)</f>
        <v>109200</v>
      </c>
      <c r="I619" s="288">
        <f>ROUND(IF($A619="E",H619*(1+Assumptions!F$15),H619*(1+Assumptions!F$14)),-2)</f>
        <v>111400</v>
      </c>
      <c r="J619" s="288">
        <f>ROUND(IF($A619="E",I619*(1+Assumptions!G$15),I619*(1+Assumptions!G$14)),-2)</f>
        <v>113600</v>
      </c>
      <c r="K619" s="288">
        <f>ROUND(IF($A619="E",J619*(1+Assumptions!H$15),J619*(1+Assumptions!H$14)),-2)</f>
        <v>115900</v>
      </c>
      <c r="L619" s="288">
        <f>ROUND(IF($A619="E",K619*(1+Assumptions!I$15),K619*(1+Assumptions!I$14)),-2)</f>
        <v>118800</v>
      </c>
      <c r="M619" s="288">
        <f>ROUND(IF($A619="E",L619*(1+Assumptions!J$15),L619*(1+Assumptions!J$14)),-2)</f>
        <v>121800</v>
      </c>
      <c r="N619" s="288">
        <f>ROUND(IF($A619="E",M619*(1+Assumptions!K$15),M619*(1+Assumptions!K$14)),-2)</f>
        <v>124800</v>
      </c>
    </row>
    <row r="620" spans="2:14" x14ac:dyDescent="0.25">
      <c r="B620" s="16" t="s">
        <v>45</v>
      </c>
      <c r="C620" s="16" t="s">
        <v>1037</v>
      </c>
      <c r="D620" s="16" t="s">
        <v>1038</v>
      </c>
      <c r="E620" s="288">
        <v>5600</v>
      </c>
      <c r="F620" s="288">
        <f>ROUND(IF($A620="E",E620*(1+Assumptions!C$15),E620*(1+Assumptions!C$14)),-2)</f>
        <v>5700</v>
      </c>
      <c r="G620" s="288">
        <f>ROUND(IF($A620="E",F620*(1+Assumptions!D$15),F620*(1+Assumptions!D$14)),-2)</f>
        <v>5800</v>
      </c>
      <c r="H620" s="288">
        <f>ROUND(IF($A620="E",G620*(1+Assumptions!E$15),G620*(1+Assumptions!E$14)),-2)</f>
        <v>5900</v>
      </c>
      <c r="I620" s="288">
        <f>ROUND(IF($A620="E",H620*(1+Assumptions!F$15),H620*(1+Assumptions!F$14)),-2)</f>
        <v>6000</v>
      </c>
      <c r="J620" s="288">
        <f>ROUND(IF($A620="E",I620*(1+Assumptions!G$15),I620*(1+Assumptions!G$14)),-2)</f>
        <v>6100</v>
      </c>
      <c r="K620" s="288">
        <f>ROUND(IF($A620="E",J620*(1+Assumptions!H$15),J620*(1+Assumptions!H$14)),-2)</f>
        <v>6200</v>
      </c>
      <c r="L620" s="288">
        <f>ROUND(IF($A620="E",K620*(1+Assumptions!I$15),K620*(1+Assumptions!I$14)),-2)</f>
        <v>6400</v>
      </c>
      <c r="M620" s="288">
        <f>ROUND(IF($A620="E",L620*(1+Assumptions!J$15),L620*(1+Assumptions!J$14)),-2)</f>
        <v>6600</v>
      </c>
      <c r="N620" s="288">
        <f>ROUND(IF($A620="E",M620*(1+Assumptions!K$15),M620*(1+Assumptions!K$14)),-2)</f>
        <v>6800</v>
      </c>
    </row>
    <row r="621" spans="2:14" x14ac:dyDescent="0.25">
      <c r="B621" s="16" t="s">
        <v>45</v>
      </c>
      <c r="C621" s="16" t="s">
        <v>1039</v>
      </c>
      <c r="D621" s="16" t="s">
        <v>1040</v>
      </c>
      <c r="E621" s="288">
        <v>6200</v>
      </c>
      <c r="F621" s="288">
        <f>ROUND(IF($A621="E",E621*(1+Assumptions!C$15),E621*(1+Assumptions!C$14)),-2)</f>
        <v>6300</v>
      </c>
      <c r="G621" s="288">
        <f>ROUND(IF($A621="E",F621*(1+Assumptions!D$15),F621*(1+Assumptions!D$14)),-2)</f>
        <v>6400</v>
      </c>
      <c r="H621" s="288">
        <f>ROUND(IF($A621="E",G621*(1+Assumptions!E$15),G621*(1+Assumptions!E$14)),-2)</f>
        <v>6500</v>
      </c>
      <c r="I621" s="288">
        <f>ROUND(IF($A621="E",H621*(1+Assumptions!F$15),H621*(1+Assumptions!F$14)),-2)</f>
        <v>6600</v>
      </c>
      <c r="J621" s="288">
        <f>ROUND(IF($A621="E",I621*(1+Assumptions!G$15),I621*(1+Assumptions!G$14)),-2)</f>
        <v>6700</v>
      </c>
      <c r="K621" s="288">
        <f>ROUND(IF($A621="E",J621*(1+Assumptions!H$15),J621*(1+Assumptions!H$14)),-2)</f>
        <v>6800</v>
      </c>
      <c r="L621" s="288">
        <f>ROUND(IF($A621="E",K621*(1+Assumptions!I$15),K621*(1+Assumptions!I$14)),-2)</f>
        <v>7000</v>
      </c>
      <c r="M621" s="288">
        <f>ROUND(IF($A621="E",L621*(1+Assumptions!J$15),L621*(1+Assumptions!J$14)),-2)</f>
        <v>7200</v>
      </c>
      <c r="N621" s="288">
        <f>ROUND(IF($A621="E",M621*(1+Assumptions!K$15),M621*(1+Assumptions!K$14)),-2)</f>
        <v>7400</v>
      </c>
    </row>
    <row r="622" spans="2:14" x14ac:dyDescent="0.25">
      <c r="B622" s="16" t="s">
        <v>45</v>
      </c>
      <c r="C622" s="16" t="s">
        <v>1041</v>
      </c>
      <c r="D622" s="16" t="s">
        <v>1042</v>
      </c>
      <c r="E622" s="288">
        <v>65000</v>
      </c>
      <c r="F622" s="288">
        <f>ROUND(IF($A622="E",E622*(1+Assumptions!C$15),E622*(1+Assumptions!C$14)),-2)</f>
        <v>66000</v>
      </c>
      <c r="G622" s="288">
        <f>ROUND(IF($A622="E",F622*(1+Assumptions!D$15),F622*(1+Assumptions!D$14)),-2)</f>
        <v>67300</v>
      </c>
      <c r="H622" s="288">
        <f>ROUND(IF($A622="E",G622*(1+Assumptions!E$15),G622*(1+Assumptions!E$14)),-2)</f>
        <v>68600</v>
      </c>
      <c r="I622" s="288">
        <f>ROUND(IF($A622="E",H622*(1+Assumptions!F$15),H622*(1+Assumptions!F$14)),-2)</f>
        <v>70000</v>
      </c>
      <c r="J622" s="288">
        <f>ROUND(IF($A622="E",I622*(1+Assumptions!G$15),I622*(1+Assumptions!G$14)),-2)</f>
        <v>71400</v>
      </c>
      <c r="K622" s="288">
        <f>ROUND(IF($A622="E",J622*(1+Assumptions!H$15),J622*(1+Assumptions!H$14)),-2)</f>
        <v>72800</v>
      </c>
      <c r="L622" s="288">
        <f>ROUND(IF($A622="E",K622*(1+Assumptions!I$15),K622*(1+Assumptions!I$14)),-2)</f>
        <v>74600</v>
      </c>
      <c r="M622" s="288">
        <f>ROUND(IF($A622="E",L622*(1+Assumptions!J$15),L622*(1+Assumptions!J$14)),-2)</f>
        <v>76500</v>
      </c>
      <c r="N622" s="288">
        <f>ROUND(IF($A622="E",M622*(1+Assumptions!K$15),M622*(1+Assumptions!K$14)),-2)</f>
        <v>78400</v>
      </c>
    </row>
    <row r="623" spans="2:14" x14ac:dyDescent="0.25">
      <c r="B623" s="16" t="s">
        <v>43</v>
      </c>
      <c r="C623" s="16" t="s">
        <v>1043</v>
      </c>
      <c r="D623" s="16" t="s">
        <v>1044</v>
      </c>
      <c r="E623" s="288">
        <v>5800</v>
      </c>
      <c r="F623" s="288">
        <f>ROUND(IF($A623="E",E623*(1+Assumptions!C$15),E623*(1+Assumptions!C$14)),-2)</f>
        <v>5900</v>
      </c>
      <c r="G623" s="288">
        <f>ROUND(IF($A623="E",F623*(1+Assumptions!D$15),F623*(1+Assumptions!D$14)),-2)</f>
        <v>6000</v>
      </c>
      <c r="H623" s="288">
        <f>ROUND(IF($A623="E",G623*(1+Assumptions!E$15),G623*(1+Assumptions!E$14)),-2)</f>
        <v>6100</v>
      </c>
      <c r="I623" s="288">
        <f>ROUND(IF($A623="E",H623*(1+Assumptions!F$15),H623*(1+Assumptions!F$14)),-2)</f>
        <v>6200</v>
      </c>
      <c r="J623" s="288">
        <f>ROUND(IF($A623="E",I623*(1+Assumptions!G$15),I623*(1+Assumptions!G$14)),-2)</f>
        <v>6300</v>
      </c>
      <c r="K623" s="288">
        <f>ROUND(IF($A623="E",J623*(1+Assumptions!H$15),J623*(1+Assumptions!H$14)),-2)</f>
        <v>6400</v>
      </c>
      <c r="L623" s="288">
        <f>ROUND(IF($A623="E",K623*(1+Assumptions!I$15),K623*(1+Assumptions!I$14)),-2)</f>
        <v>6600</v>
      </c>
      <c r="M623" s="288">
        <f>ROUND(IF($A623="E",L623*(1+Assumptions!J$15),L623*(1+Assumptions!J$14)),-2)</f>
        <v>6800</v>
      </c>
      <c r="N623" s="288">
        <f>ROUND(IF($A623="E",M623*(1+Assumptions!K$15),M623*(1+Assumptions!K$14)),-2)</f>
        <v>7000</v>
      </c>
    </row>
    <row r="624" spans="2:14" x14ac:dyDescent="0.25">
      <c r="B624" s="16" t="s">
        <v>41</v>
      </c>
      <c r="C624" s="16" t="s">
        <v>1045</v>
      </c>
      <c r="D624" s="16" t="s">
        <v>1046</v>
      </c>
      <c r="E624" s="289"/>
      <c r="F624" s="289"/>
      <c r="G624" s="289"/>
      <c r="H624" s="289"/>
      <c r="I624" s="289"/>
      <c r="J624" s="289"/>
      <c r="K624" s="289"/>
      <c r="L624" s="289"/>
      <c r="M624" s="289"/>
      <c r="N624" s="289"/>
    </row>
    <row r="625" spans="2:14" x14ac:dyDescent="0.25">
      <c r="B625" s="16" t="s">
        <v>41</v>
      </c>
      <c r="C625" s="16" t="s">
        <v>1047</v>
      </c>
      <c r="D625" s="16" t="s">
        <v>201</v>
      </c>
      <c r="E625" s="288">
        <v>287700</v>
      </c>
      <c r="F625" s="288">
        <f>ROUND(IF($A625="E",E625*(1+Assumptions!C$15),E625*(1+Assumptions!C$14)),-2)</f>
        <v>292000</v>
      </c>
      <c r="G625" s="288">
        <f>ROUND(IF($A625="E",F625*(1+Assumptions!D$15),F625*(1+Assumptions!D$14)),-2)</f>
        <v>297800</v>
      </c>
      <c r="H625" s="288">
        <f>ROUND(IF($A625="E",G625*(1+Assumptions!E$15),G625*(1+Assumptions!E$14)),-2)</f>
        <v>303800</v>
      </c>
      <c r="I625" s="288">
        <f>ROUND(IF($A625="E",H625*(1+Assumptions!F$15),H625*(1+Assumptions!F$14)),-2)</f>
        <v>309900</v>
      </c>
      <c r="J625" s="288">
        <f>ROUND(IF($A625="E",I625*(1+Assumptions!G$15),I625*(1+Assumptions!G$14)),-2)</f>
        <v>316100</v>
      </c>
      <c r="K625" s="288">
        <f>ROUND(IF($A625="E",J625*(1+Assumptions!H$15),J625*(1+Assumptions!H$14)),-2)</f>
        <v>322400</v>
      </c>
      <c r="L625" s="288">
        <f>ROUND(IF($A625="E",K625*(1+Assumptions!I$15),K625*(1+Assumptions!I$14)),-2)</f>
        <v>330500</v>
      </c>
      <c r="M625" s="288">
        <f>ROUND(IF($A625="E",L625*(1+Assumptions!J$15),L625*(1+Assumptions!J$14)),-2)</f>
        <v>338800</v>
      </c>
      <c r="N625" s="288">
        <f>ROUND(IF($A625="E",M625*(1+Assumptions!K$15),M625*(1+Assumptions!K$14)),-2)</f>
        <v>347300</v>
      </c>
    </row>
    <row r="626" spans="2:14" x14ac:dyDescent="0.25">
      <c r="B626" s="16" t="s">
        <v>41</v>
      </c>
      <c r="C626" s="16" t="s">
        <v>1048</v>
      </c>
      <c r="D626" s="16" t="s">
        <v>502</v>
      </c>
      <c r="E626" s="288">
        <v>1000</v>
      </c>
      <c r="F626" s="288">
        <f>ROUND(IF($A626="E",E626*(1+Assumptions!C$15),E626*(1+Assumptions!C$14)),-2)</f>
        <v>1000</v>
      </c>
      <c r="G626" s="288">
        <f>ROUND(IF($A626="E",F626*(1+Assumptions!D$15),F626*(1+Assumptions!D$14)),-2)</f>
        <v>1000</v>
      </c>
      <c r="H626" s="288">
        <f>ROUND(IF($A626="E",G626*(1+Assumptions!E$15),G626*(1+Assumptions!E$14)),-2)</f>
        <v>1000</v>
      </c>
      <c r="I626" s="288">
        <f>ROUND(IF($A626="E",H626*(1+Assumptions!F$15),H626*(1+Assumptions!F$14)),-2)</f>
        <v>1000</v>
      </c>
      <c r="J626" s="288">
        <f>ROUND(IF($A626="E",I626*(1+Assumptions!G$15),I626*(1+Assumptions!G$14)),-2)</f>
        <v>1000</v>
      </c>
      <c r="K626" s="288">
        <f>ROUND(IF($A626="E",J626*(1+Assumptions!H$15),J626*(1+Assumptions!H$14)),-2)</f>
        <v>1000</v>
      </c>
      <c r="L626" s="288">
        <f>ROUND(IF($A626="E",K626*(1+Assumptions!I$15),K626*(1+Assumptions!I$14)),-2)</f>
        <v>1000</v>
      </c>
      <c r="M626" s="288">
        <f>ROUND(IF($A626="E",L626*(1+Assumptions!J$15),L626*(1+Assumptions!J$14)),-2)</f>
        <v>1000</v>
      </c>
      <c r="N626" s="288">
        <f>ROUND(IF($A626="E",M626*(1+Assumptions!K$15),M626*(1+Assumptions!K$14)),-2)</f>
        <v>1000</v>
      </c>
    </row>
    <row r="627" spans="2:14" x14ac:dyDescent="0.25">
      <c r="B627" s="16" t="s">
        <v>43</v>
      </c>
      <c r="C627" s="16" t="s">
        <v>1049</v>
      </c>
      <c r="D627" s="16" t="s">
        <v>97</v>
      </c>
      <c r="E627" s="288">
        <v>10000</v>
      </c>
      <c r="F627" s="288">
        <f>ROUND(IF($A627="E",E627*(1+Assumptions!C$15),E627*(1+Assumptions!C$14)),-2)</f>
        <v>10200</v>
      </c>
      <c r="G627" s="288">
        <f>ROUND(IF($A627="E",F627*(1+Assumptions!D$15),F627*(1+Assumptions!D$14)),-2)</f>
        <v>10400</v>
      </c>
      <c r="H627" s="288">
        <f>ROUND(IF($A627="E",G627*(1+Assumptions!E$15),G627*(1+Assumptions!E$14)),-2)</f>
        <v>10600</v>
      </c>
      <c r="I627" s="288">
        <f>ROUND(IF($A627="E",H627*(1+Assumptions!F$15),H627*(1+Assumptions!F$14)),-2)</f>
        <v>10800</v>
      </c>
      <c r="J627" s="288">
        <f>ROUND(IF($A627="E",I627*(1+Assumptions!G$15),I627*(1+Assumptions!G$14)),-2)</f>
        <v>11000</v>
      </c>
      <c r="K627" s="288">
        <f>ROUND(IF($A627="E",J627*(1+Assumptions!H$15),J627*(1+Assumptions!H$14)),-2)</f>
        <v>11200</v>
      </c>
      <c r="L627" s="288">
        <f>ROUND(IF($A627="E",K627*(1+Assumptions!I$15),K627*(1+Assumptions!I$14)),-2)</f>
        <v>11500</v>
      </c>
      <c r="M627" s="288">
        <f>ROUND(IF($A627="E",L627*(1+Assumptions!J$15),L627*(1+Assumptions!J$14)),-2)</f>
        <v>11800</v>
      </c>
      <c r="N627" s="288">
        <f>ROUND(IF($A627="E",M627*(1+Assumptions!K$15),M627*(1+Assumptions!K$14)),-2)</f>
        <v>12100</v>
      </c>
    </row>
    <row r="628" spans="2:14" x14ac:dyDescent="0.25">
      <c r="C628" s="16" t="s">
        <v>1050</v>
      </c>
      <c r="D628" s="16" t="s">
        <v>1051</v>
      </c>
      <c r="E628" s="289"/>
      <c r="F628" s="289"/>
      <c r="G628" s="289"/>
      <c r="H628" s="289"/>
      <c r="I628" s="289"/>
      <c r="J628" s="289"/>
      <c r="K628" s="289"/>
      <c r="L628" s="289"/>
      <c r="M628" s="289"/>
      <c r="N628" s="289"/>
    </row>
    <row r="629" spans="2:14" x14ac:dyDescent="0.25">
      <c r="B629" s="16" t="s">
        <v>41</v>
      </c>
      <c r="C629" s="16" t="s">
        <v>1052</v>
      </c>
      <c r="D629" s="16" t="s">
        <v>201</v>
      </c>
      <c r="E629" s="288">
        <v>149400</v>
      </c>
      <c r="F629" s="288">
        <f>ROUND(IF($A629="E",E629*(1+Assumptions!C$15),E629*(1+Assumptions!C$14)),-2)</f>
        <v>151600</v>
      </c>
      <c r="G629" s="288">
        <f>ROUND(IF($A629="E",F629*(1+Assumptions!D$15),F629*(1+Assumptions!D$14)),-2)</f>
        <v>154600</v>
      </c>
      <c r="H629" s="288">
        <f>ROUND(IF($A629="E",G629*(1+Assumptions!E$15),G629*(1+Assumptions!E$14)),-2)</f>
        <v>157700</v>
      </c>
      <c r="I629" s="288">
        <f>ROUND(IF($A629="E",H629*(1+Assumptions!F$15),H629*(1+Assumptions!F$14)),-2)</f>
        <v>160900</v>
      </c>
      <c r="J629" s="288">
        <f>ROUND(IF($A629="E",I629*(1+Assumptions!G$15),I629*(1+Assumptions!G$14)),-2)</f>
        <v>164100</v>
      </c>
      <c r="K629" s="288">
        <f>ROUND(IF($A629="E",J629*(1+Assumptions!H$15),J629*(1+Assumptions!H$14)),-2)</f>
        <v>167400</v>
      </c>
      <c r="L629" s="288">
        <f>ROUND(IF($A629="E",K629*(1+Assumptions!I$15),K629*(1+Assumptions!I$14)),-2)</f>
        <v>171600</v>
      </c>
      <c r="M629" s="288">
        <f>ROUND(IF($A629="E",L629*(1+Assumptions!J$15),L629*(1+Assumptions!J$14)),-2)</f>
        <v>175900</v>
      </c>
      <c r="N629" s="288">
        <f>ROUND(IF($A629="E",M629*(1+Assumptions!K$15),M629*(1+Assumptions!K$14)),-2)</f>
        <v>180300</v>
      </c>
    </row>
    <row r="630" spans="2:14" x14ac:dyDescent="0.25">
      <c r="B630" s="16" t="s">
        <v>45</v>
      </c>
      <c r="C630" s="16" t="s">
        <v>1053</v>
      </c>
      <c r="D630" s="16" t="s">
        <v>835</v>
      </c>
      <c r="E630" s="288">
        <v>1700</v>
      </c>
      <c r="F630" s="288">
        <f>ROUND(IF($A630="E",E630*(1+Assumptions!C$15),E630*(1+Assumptions!C$14)),-2)</f>
        <v>1700</v>
      </c>
      <c r="G630" s="288">
        <f>ROUND(IF($A630="E",F630*(1+Assumptions!D$15),F630*(1+Assumptions!D$14)),-2)</f>
        <v>1700</v>
      </c>
      <c r="H630" s="288">
        <f>ROUND(IF($A630="E",G630*(1+Assumptions!E$15),G630*(1+Assumptions!E$14)),-2)</f>
        <v>1700</v>
      </c>
      <c r="I630" s="288">
        <f>ROUND(IF($A630="E",H630*(1+Assumptions!F$15),H630*(1+Assumptions!F$14)),-2)</f>
        <v>1700</v>
      </c>
      <c r="J630" s="288">
        <f>ROUND(IF($A630="E",I630*(1+Assumptions!G$15),I630*(1+Assumptions!G$14)),-2)</f>
        <v>1700</v>
      </c>
      <c r="K630" s="288">
        <f>ROUND(IF($A630="E",J630*(1+Assumptions!H$15),J630*(1+Assumptions!H$14)),-2)</f>
        <v>1700</v>
      </c>
      <c r="L630" s="288">
        <f>ROUND(IF($A630="E",K630*(1+Assumptions!I$15),K630*(1+Assumptions!I$14)),-2)</f>
        <v>1700</v>
      </c>
      <c r="M630" s="288">
        <f>ROUND(IF($A630="E",L630*(1+Assumptions!J$15),L630*(1+Assumptions!J$14)),-2)</f>
        <v>1700</v>
      </c>
      <c r="N630" s="288">
        <f>ROUND(IF($A630="E",M630*(1+Assumptions!K$15),M630*(1+Assumptions!K$14)),-2)</f>
        <v>1700</v>
      </c>
    </row>
    <row r="631" spans="2:14" x14ac:dyDescent="0.25">
      <c r="B631" s="16" t="s">
        <v>43</v>
      </c>
      <c r="C631" s="16" t="s">
        <v>1054</v>
      </c>
      <c r="D631" s="16" t="s">
        <v>97</v>
      </c>
      <c r="E631" s="288">
        <v>8700</v>
      </c>
      <c r="F631" s="288">
        <f>ROUND(IF($A631="E",E631*(1+Assumptions!C$15),E631*(1+Assumptions!C$14)),-2)</f>
        <v>8800</v>
      </c>
      <c r="G631" s="288">
        <f>ROUND(IF($A631="E",F631*(1+Assumptions!D$15),F631*(1+Assumptions!D$14)),-2)</f>
        <v>9000</v>
      </c>
      <c r="H631" s="288">
        <f>ROUND(IF($A631="E",G631*(1+Assumptions!E$15),G631*(1+Assumptions!E$14)),-2)</f>
        <v>9200</v>
      </c>
      <c r="I631" s="288">
        <f>ROUND(IF($A631="E",H631*(1+Assumptions!F$15),H631*(1+Assumptions!F$14)),-2)</f>
        <v>9400</v>
      </c>
      <c r="J631" s="288">
        <f>ROUND(IF($A631="E",I631*(1+Assumptions!G$15),I631*(1+Assumptions!G$14)),-2)</f>
        <v>9600</v>
      </c>
      <c r="K631" s="288">
        <f>ROUND(IF($A631="E",J631*(1+Assumptions!H$15),J631*(1+Assumptions!H$14)),-2)</f>
        <v>9800</v>
      </c>
      <c r="L631" s="288">
        <f>ROUND(IF($A631="E",K631*(1+Assumptions!I$15),K631*(1+Assumptions!I$14)),-2)</f>
        <v>10000</v>
      </c>
      <c r="M631" s="288">
        <f>ROUND(IF($A631="E",L631*(1+Assumptions!J$15),L631*(1+Assumptions!J$14)),-2)</f>
        <v>10300</v>
      </c>
      <c r="N631" s="288">
        <f>ROUND(IF($A631="E",M631*(1+Assumptions!K$15),M631*(1+Assumptions!K$14)),-2)</f>
        <v>10600</v>
      </c>
    </row>
    <row r="632" spans="2:14" x14ac:dyDescent="0.25">
      <c r="C632" s="16" t="s">
        <v>1055</v>
      </c>
      <c r="D632" s="16" t="s">
        <v>187</v>
      </c>
      <c r="E632" s="289"/>
      <c r="F632" s="289"/>
      <c r="G632" s="289"/>
      <c r="H632" s="289"/>
      <c r="I632" s="289"/>
      <c r="J632" s="289"/>
      <c r="K632" s="289"/>
      <c r="L632" s="289"/>
      <c r="M632" s="289"/>
      <c r="N632" s="289"/>
    </row>
    <row r="633" spans="2:14" x14ac:dyDescent="0.25">
      <c r="B633" s="16" t="s">
        <v>43</v>
      </c>
      <c r="C633" s="16" t="s">
        <v>1056</v>
      </c>
      <c r="D633" s="16" t="s">
        <v>193</v>
      </c>
      <c r="E633" s="288">
        <v>342000</v>
      </c>
      <c r="F633" s="288">
        <f>ROUND(IF($A633="E",E633*(1+Assumptions!C$15),E633*(1+Assumptions!C$14)),-2)</f>
        <v>347100</v>
      </c>
      <c r="G633" s="288">
        <f>ROUND(IF($A633="E",F633*(1+Assumptions!D$15),F633*(1+Assumptions!D$14)),-2)</f>
        <v>354000</v>
      </c>
      <c r="H633" s="288">
        <f>ROUND(IF($A633="E",G633*(1+Assumptions!E$15),G633*(1+Assumptions!E$14)),-2)</f>
        <v>361100</v>
      </c>
      <c r="I633" s="288">
        <f>ROUND(IF($A633="E",H633*(1+Assumptions!F$15),H633*(1+Assumptions!F$14)),-2)</f>
        <v>368300</v>
      </c>
      <c r="J633" s="288">
        <f>ROUND(IF($A633="E",I633*(1+Assumptions!G$15),I633*(1+Assumptions!G$14)),-2)</f>
        <v>375700</v>
      </c>
      <c r="K633" s="288">
        <f>ROUND(IF($A633="E",J633*(1+Assumptions!H$15),J633*(1+Assumptions!H$14)),-2)</f>
        <v>383200</v>
      </c>
      <c r="L633" s="288">
        <f>ROUND(IF($A633="E",K633*(1+Assumptions!I$15),K633*(1+Assumptions!I$14)),-2)</f>
        <v>392800</v>
      </c>
      <c r="M633" s="288">
        <f>ROUND(IF($A633="E",L633*(1+Assumptions!J$15),L633*(1+Assumptions!J$14)),-2)</f>
        <v>402600</v>
      </c>
      <c r="N633" s="288">
        <f>ROUND(IF($A633="E",M633*(1+Assumptions!K$15),M633*(1+Assumptions!K$14)),-2)</f>
        <v>412700</v>
      </c>
    </row>
    <row r="634" spans="2:14" x14ac:dyDescent="0.25">
      <c r="B634" s="16" t="s">
        <v>43</v>
      </c>
      <c r="C634" s="16" t="s">
        <v>1057</v>
      </c>
      <c r="D634" s="16" t="s">
        <v>195</v>
      </c>
      <c r="E634" s="288">
        <v>-2607100</v>
      </c>
      <c r="F634" s="288">
        <f>ROUND(IF($A634="E",E634*(1+Assumptions!C$15),E634*(1+Assumptions!C$14)),-2)</f>
        <v>-2646200</v>
      </c>
      <c r="G634" s="288">
        <f>ROUND(IF($A634="E",F634*(1+Assumptions!D$15),F634*(1+Assumptions!D$14)),-2)</f>
        <v>-2699100</v>
      </c>
      <c r="H634" s="288">
        <f>ROUND(IF($A634="E",G634*(1+Assumptions!E$15),G634*(1+Assumptions!E$14)),-2)</f>
        <v>-2753100</v>
      </c>
      <c r="I634" s="288">
        <f>ROUND(IF($A634="E",H634*(1+Assumptions!F$15),H634*(1+Assumptions!F$14)),-2)</f>
        <v>-2808200</v>
      </c>
      <c r="J634" s="288">
        <f>ROUND(IF($A634="E",I634*(1+Assumptions!G$15),I634*(1+Assumptions!G$14)),-2)</f>
        <v>-2864400</v>
      </c>
      <c r="K634" s="288">
        <f>ROUND(IF($A634="E",J634*(1+Assumptions!H$15),J634*(1+Assumptions!H$14)),-2)</f>
        <v>-2921700</v>
      </c>
      <c r="L634" s="288">
        <f>ROUND(IF($A634="E",K634*(1+Assumptions!I$15),K634*(1+Assumptions!I$14)),-2)</f>
        <v>-2994700</v>
      </c>
      <c r="M634" s="288">
        <f>ROUND(IF($A634="E",L634*(1+Assumptions!J$15),L634*(1+Assumptions!J$14)),-2)</f>
        <v>-3069600</v>
      </c>
      <c r="N634" s="288">
        <f>ROUND(IF($A634="E",M634*(1+Assumptions!K$15),M634*(1+Assumptions!K$14)),-2)</f>
        <v>-3146300</v>
      </c>
    </row>
    <row r="635" spans="2:14" x14ac:dyDescent="0.25">
      <c r="C635" s="16" t="s">
        <v>1058</v>
      </c>
      <c r="D635" s="16" t="s">
        <v>1059</v>
      </c>
      <c r="E635" s="289"/>
      <c r="F635" s="289"/>
      <c r="G635" s="289"/>
      <c r="H635" s="289"/>
      <c r="I635" s="289"/>
      <c r="J635" s="289"/>
      <c r="K635" s="289"/>
      <c r="L635" s="289"/>
      <c r="M635" s="289"/>
      <c r="N635" s="289"/>
    </row>
    <row r="636" spans="2:14" x14ac:dyDescent="0.25">
      <c r="B636" s="16" t="s">
        <v>45</v>
      </c>
      <c r="C636" s="16" t="s">
        <v>1060</v>
      </c>
      <c r="D636" s="16" t="s">
        <v>1061</v>
      </c>
      <c r="E636" s="288">
        <v>3800</v>
      </c>
      <c r="F636" s="288">
        <f>ROUND(IF($A636="E",E636*(1+Assumptions!C$15),E636*(1+Assumptions!C$14)),-2)</f>
        <v>3900</v>
      </c>
      <c r="G636" s="288">
        <f>ROUND(IF($A636="E",F636*(1+Assumptions!D$15),F636*(1+Assumptions!D$14)),-2)</f>
        <v>4000</v>
      </c>
      <c r="H636" s="288">
        <f>ROUND(IF($A636="E",G636*(1+Assumptions!E$15),G636*(1+Assumptions!E$14)),-2)</f>
        <v>4100</v>
      </c>
      <c r="I636" s="288">
        <f>ROUND(IF($A636="E",H636*(1+Assumptions!F$15),H636*(1+Assumptions!F$14)),-2)</f>
        <v>4200</v>
      </c>
      <c r="J636" s="288">
        <f>ROUND(IF($A636="E",I636*(1+Assumptions!G$15),I636*(1+Assumptions!G$14)),-2)</f>
        <v>4300</v>
      </c>
      <c r="K636" s="288">
        <f>ROUND(IF($A636="E",J636*(1+Assumptions!H$15),J636*(1+Assumptions!H$14)),-2)</f>
        <v>4400</v>
      </c>
      <c r="L636" s="288">
        <f>ROUND(IF($A636="E",K636*(1+Assumptions!I$15),K636*(1+Assumptions!I$14)),-2)</f>
        <v>4500</v>
      </c>
      <c r="M636" s="288">
        <f>ROUND(IF($A636="E",L636*(1+Assumptions!J$15),L636*(1+Assumptions!J$14)),-2)</f>
        <v>4600</v>
      </c>
      <c r="N636" s="288">
        <f>ROUND(IF($A636="E",M636*(1+Assumptions!K$15),M636*(1+Assumptions!K$14)),-2)</f>
        <v>4700</v>
      </c>
    </row>
    <row r="637" spans="2:14" x14ac:dyDescent="0.25">
      <c r="B637" s="16" t="s">
        <v>45</v>
      </c>
      <c r="C637" s="16" t="s">
        <v>1062</v>
      </c>
      <c r="D637" s="16" t="s">
        <v>1063</v>
      </c>
      <c r="E637" s="288">
        <v>588600</v>
      </c>
      <c r="F637" s="288">
        <f>ROUND(IF($A637="E",E637*(1+Assumptions!C$15),E637*(1+Assumptions!C$14)),-2)</f>
        <v>597400</v>
      </c>
      <c r="G637" s="288">
        <f>ROUND(IF($A637="E",F637*(1+Assumptions!D$15),F637*(1+Assumptions!D$14)),-2)</f>
        <v>609300</v>
      </c>
      <c r="H637" s="288">
        <f>ROUND(IF($A637="E",G637*(1+Assumptions!E$15),G637*(1+Assumptions!E$14)),-2)</f>
        <v>621500</v>
      </c>
      <c r="I637" s="288">
        <f>ROUND(IF($A637="E",H637*(1+Assumptions!F$15),H637*(1+Assumptions!F$14)),-2)</f>
        <v>633900</v>
      </c>
      <c r="J637" s="288">
        <f>ROUND(IF($A637="E",I637*(1+Assumptions!G$15),I637*(1+Assumptions!G$14)),-2)</f>
        <v>646600</v>
      </c>
      <c r="K637" s="288">
        <f>ROUND(IF($A637="E",J637*(1+Assumptions!H$15),J637*(1+Assumptions!H$14)),-2)</f>
        <v>659500</v>
      </c>
      <c r="L637" s="288">
        <f>ROUND(IF($A637="E",K637*(1+Assumptions!I$15),K637*(1+Assumptions!I$14)),-2)</f>
        <v>676000</v>
      </c>
      <c r="M637" s="288">
        <f>ROUND(IF($A637="E",L637*(1+Assumptions!J$15),L637*(1+Assumptions!J$14)),-2)</f>
        <v>692900</v>
      </c>
      <c r="N637" s="288">
        <f>ROUND(IF($A637="E",M637*(1+Assumptions!K$15),M637*(1+Assumptions!K$14)),-2)</f>
        <v>710200</v>
      </c>
    </row>
    <row r="638" spans="2:14" x14ac:dyDescent="0.25">
      <c r="B638" s="16" t="s">
        <v>45</v>
      </c>
      <c r="C638" s="16" t="s">
        <v>1064</v>
      </c>
      <c r="D638" s="16" t="s">
        <v>1065</v>
      </c>
      <c r="E638" s="288">
        <v>75900</v>
      </c>
      <c r="F638" s="288">
        <f>ROUND(IF($A638="E",E638*(1+Assumptions!C$15),E638*(1+Assumptions!C$14)),-2)</f>
        <v>77000</v>
      </c>
      <c r="G638" s="288">
        <f>ROUND(IF($A638="E",F638*(1+Assumptions!D$15),F638*(1+Assumptions!D$14)),-2)</f>
        <v>78500</v>
      </c>
      <c r="H638" s="288">
        <f>ROUND(IF($A638="E",G638*(1+Assumptions!E$15),G638*(1+Assumptions!E$14)),-2)</f>
        <v>80100</v>
      </c>
      <c r="I638" s="288">
        <f>ROUND(IF($A638="E",H638*(1+Assumptions!F$15),H638*(1+Assumptions!F$14)),-2)</f>
        <v>81700</v>
      </c>
      <c r="J638" s="288">
        <f>ROUND(IF($A638="E",I638*(1+Assumptions!G$15),I638*(1+Assumptions!G$14)),-2)</f>
        <v>83300</v>
      </c>
      <c r="K638" s="288">
        <f>ROUND(IF($A638="E",J638*(1+Assumptions!H$15),J638*(1+Assumptions!H$14)),-2)</f>
        <v>85000</v>
      </c>
      <c r="L638" s="288">
        <f>ROUND(IF($A638="E",K638*(1+Assumptions!I$15),K638*(1+Assumptions!I$14)),-2)</f>
        <v>87100</v>
      </c>
      <c r="M638" s="288">
        <f>ROUND(IF($A638="E",L638*(1+Assumptions!J$15),L638*(1+Assumptions!J$14)),-2)</f>
        <v>89300</v>
      </c>
      <c r="N638" s="288">
        <f>ROUND(IF($A638="E",M638*(1+Assumptions!K$15),M638*(1+Assumptions!K$14)),-2)</f>
        <v>91500</v>
      </c>
    </row>
    <row r="639" spans="2:14" x14ac:dyDescent="0.25">
      <c r="B639" s="16" t="s">
        <v>45</v>
      </c>
      <c r="C639" s="16" t="s">
        <v>1066</v>
      </c>
      <c r="D639" s="16" t="s">
        <v>1067</v>
      </c>
      <c r="E639" s="288">
        <v>2500</v>
      </c>
      <c r="F639" s="288">
        <f>ROUND(IF($A639="E",E639*(1+Assumptions!C$15),E639*(1+Assumptions!C$14)),-2)</f>
        <v>2500</v>
      </c>
      <c r="G639" s="288">
        <f>ROUND(IF($A639="E",F639*(1+Assumptions!D$15),F639*(1+Assumptions!D$14)),-2)</f>
        <v>2600</v>
      </c>
      <c r="H639" s="288">
        <f>ROUND(IF($A639="E",G639*(1+Assumptions!E$15),G639*(1+Assumptions!E$14)),-2)</f>
        <v>2700</v>
      </c>
      <c r="I639" s="288">
        <f>ROUND(IF($A639="E",H639*(1+Assumptions!F$15),H639*(1+Assumptions!F$14)),-2)</f>
        <v>2800</v>
      </c>
      <c r="J639" s="288">
        <f>ROUND(IF($A639="E",I639*(1+Assumptions!G$15),I639*(1+Assumptions!G$14)),-2)</f>
        <v>2900</v>
      </c>
      <c r="K639" s="288">
        <f>ROUND(IF($A639="E",J639*(1+Assumptions!H$15),J639*(1+Assumptions!H$14)),-2)</f>
        <v>3000</v>
      </c>
      <c r="L639" s="288">
        <f>ROUND(IF($A639="E",K639*(1+Assumptions!I$15),K639*(1+Assumptions!I$14)),-2)</f>
        <v>3100</v>
      </c>
      <c r="M639" s="288">
        <f>ROUND(IF($A639="E",L639*(1+Assumptions!J$15),L639*(1+Assumptions!J$14)),-2)</f>
        <v>3200</v>
      </c>
      <c r="N639" s="288">
        <f>ROUND(IF($A639="E",M639*(1+Assumptions!K$15),M639*(1+Assumptions!K$14)),-2)</f>
        <v>3300</v>
      </c>
    </row>
    <row r="640" spans="2:14" x14ac:dyDescent="0.25">
      <c r="B640" s="16" t="s">
        <v>45</v>
      </c>
      <c r="C640" s="16" t="s">
        <v>1068</v>
      </c>
      <c r="D640" s="16" t="s">
        <v>1069</v>
      </c>
      <c r="E640" s="288">
        <v>5500</v>
      </c>
      <c r="F640" s="288">
        <f>ROUND(IF($A640="E",E640*(1+Assumptions!C$15),E640*(1+Assumptions!C$14)),-2)</f>
        <v>5600</v>
      </c>
      <c r="G640" s="288">
        <f>ROUND(IF($A640="E",F640*(1+Assumptions!D$15),F640*(1+Assumptions!D$14)),-2)</f>
        <v>5700</v>
      </c>
      <c r="H640" s="288">
        <f>ROUND(IF($A640="E",G640*(1+Assumptions!E$15),G640*(1+Assumptions!E$14)),-2)</f>
        <v>5800</v>
      </c>
      <c r="I640" s="288">
        <f>ROUND(IF($A640="E",H640*(1+Assumptions!F$15),H640*(1+Assumptions!F$14)),-2)</f>
        <v>5900</v>
      </c>
      <c r="J640" s="288">
        <f>ROUND(IF($A640="E",I640*(1+Assumptions!G$15),I640*(1+Assumptions!G$14)),-2)</f>
        <v>6000</v>
      </c>
      <c r="K640" s="288">
        <f>ROUND(IF($A640="E",J640*(1+Assumptions!H$15),J640*(1+Assumptions!H$14)),-2)</f>
        <v>6100</v>
      </c>
      <c r="L640" s="288">
        <f>ROUND(IF($A640="E",K640*(1+Assumptions!I$15),K640*(1+Assumptions!I$14)),-2)</f>
        <v>6300</v>
      </c>
      <c r="M640" s="288">
        <f>ROUND(IF($A640="E",L640*(1+Assumptions!J$15),L640*(1+Assumptions!J$14)),-2)</f>
        <v>6500</v>
      </c>
      <c r="N640" s="288">
        <f>ROUND(IF($A640="E",M640*(1+Assumptions!K$15),M640*(1+Assumptions!K$14)),-2)</f>
        <v>6700</v>
      </c>
    </row>
    <row r="641" spans="2:14" x14ac:dyDescent="0.25">
      <c r="B641" s="16" t="s">
        <v>45</v>
      </c>
      <c r="C641" s="16" t="s">
        <v>1070</v>
      </c>
      <c r="D641" s="16" t="s">
        <v>1071</v>
      </c>
      <c r="E641" s="288">
        <v>15200</v>
      </c>
      <c r="F641" s="288">
        <f>ROUND(IF($A641="E",E641*(1+Assumptions!C$15),E641*(1+Assumptions!C$14)),-2)</f>
        <v>15400</v>
      </c>
      <c r="G641" s="288">
        <f>ROUND(IF($A641="E",F641*(1+Assumptions!D$15),F641*(1+Assumptions!D$14)),-2)</f>
        <v>15700</v>
      </c>
      <c r="H641" s="288">
        <f>ROUND(IF($A641="E",G641*(1+Assumptions!E$15),G641*(1+Assumptions!E$14)),-2)</f>
        <v>16000</v>
      </c>
      <c r="I641" s="288">
        <f>ROUND(IF($A641="E",H641*(1+Assumptions!F$15),H641*(1+Assumptions!F$14)),-2)</f>
        <v>16300</v>
      </c>
      <c r="J641" s="288">
        <f>ROUND(IF($A641="E",I641*(1+Assumptions!G$15),I641*(1+Assumptions!G$14)),-2)</f>
        <v>16600</v>
      </c>
      <c r="K641" s="288">
        <f>ROUND(IF($A641="E",J641*(1+Assumptions!H$15),J641*(1+Assumptions!H$14)),-2)</f>
        <v>16900</v>
      </c>
      <c r="L641" s="288">
        <f>ROUND(IF($A641="E",K641*(1+Assumptions!I$15),K641*(1+Assumptions!I$14)),-2)</f>
        <v>17300</v>
      </c>
      <c r="M641" s="288">
        <f>ROUND(IF($A641="E",L641*(1+Assumptions!J$15),L641*(1+Assumptions!J$14)),-2)</f>
        <v>17700</v>
      </c>
      <c r="N641" s="288">
        <f>ROUND(IF($A641="E",M641*(1+Assumptions!K$15),M641*(1+Assumptions!K$14)),-2)</f>
        <v>18100</v>
      </c>
    </row>
    <row r="642" spans="2:14" x14ac:dyDescent="0.25">
      <c r="B642" s="16" t="s">
        <v>45</v>
      </c>
      <c r="C642" s="16" t="s">
        <v>1072</v>
      </c>
      <c r="D642" s="16" t="s">
        <v>1073</v>
      </c>
      <c r="E642" s="288">
        <v>900</v>
      </c>
      <c r="F642" s="288">
        <f>ROUND(IF($A642="E",E642*(1+Assumptions!C$15),E642*(1+Assumptions!C$14)),-2)</f>
        <v>900</v>
      </c>
      <c r="G642" s="288">
        <f>ROUND(IF($A642="E",F642*(1+Assumptions!D$15),F642*(1+Assumptions!D$14)),-2)</f>
        <v>900</v>
      </c>
      <c r="H642" s="288">
        <f>ROUND(IF($A642="E",G642*(1+Assumptions!E$15),G642*(1+Assumptions!E$14)),-2)</f>
        <v>900</v>
      </c>
      <c r="I642" s="288">
        <f>ROUND(IF($A642="E",H642*(1+Assumptions!F$15),H642*(1+Assumptions!F$14)),-2)</f>
        <v>900</v>
      </c>
      <c r="J642" s="288">
        <f>ROUND(IF($A642="E",I642*(1+Assumptions!G$15),I642*(1+Assumptions!G$14)),-2)</f>
        <v>900</v>
      </c>
      <c r="K642" s="288">
        <f>ROUND(IF($A642="E",J642*(1+Assumptions!H$15),J642*(1+Assumptions!H$14)),-2)</f>
        <v>900</v>
      </c>
      <c r="L642" s="288">
        <f>ROUND(IF($A642="E",K642*(1+Assumptions!I$15),K642*(1+Assumptions!I$14)),-2)</f>
        <v>900</v>
      </c>
      <c r="M642" s="288">
        <f>ROUND(IF($A642="E",L642*(1+Assumptions!J$15),L642*(1+Assumptions!J$14)),-2)</f>
        <v>900</v>
      </c>
      <c r="N642" s="288">
        <f>ROUND(IF($A642="E",M642*(1+Assumptions!K$15),M642*(1+Assumptions!K$14)),-2)</f>
        <v>900</v>
      </c>
    </row>
    <row r="643" spans="2:14" x14ac:dyDescent="0.25">
      <c r="B643" s="16" t="s">
        <v>45</v>
      </c>
      <c r="C643" s="16" t="s">
        <v>1074</v>
      </c>
      <c r="D643" s="16" t="s">
        <v>1075</v>
      </c>
      <c r="E643" s="288">
        <v>-11000</v>
      </c>
      <c r="F643" s="288">
        <f>ROUND(IF($A643="E",E643*(1+Assumptions!C$15),E643*(1+Assumptions!C$14)),-2)</f>
        <v>-11200</v>
      </c>
      <c r="G643" s="288">
        <f>ROUND(IF($A643="E",F643*(1+Assumptions!D$15),F643*(1+Assumptions!D$14)),-2)</f>
        <v>-11400</v>
      </c>
      <c r="H643" s="288">
        <f>ROUND(IF($A643="E",G643*(1+Assumptions!E$15),G643*(1+Assumptions!E$14)),-2)</f>
        <v>-11600</v>
      </c>
      <c r="I643" s="288">
        <f>ROUND(IF($A643="E",H643*(1+Assumptions!F$15),H643*(1+Assumptions!F$14)),-2)</f>
        <v>-11800</v>
      </c>
      <c r="J643" s="288">
        <f>ROUND(IF($A643="E",I643*(1+Assumptions!G$15),I643*(1+Assumptions!G$14)),-2)</f>
        <v>-12000</v>
      </c>
      <c r="K643" s="288">
        <f>ROUND(IF($A643="E",J643*(1+Assumptions!H$15),J643*(1+Assumptions!H$14)),-2)</f>
        <v>-12200</v>
      </c>
      <c r="L643" s="288">
        <f>ROUND(IF($A643="E",K643*(1+Assumptions!I$15),K643*(1+Assumptions!I$14)),-2)</f>
        <v>-12500</v>
      </c>
      <c r="M643" s="288">
        <f>ROUND(IF($A643="E",L643*(1+Assumptions!J$15),L643*(1+Assumptions!J$14)),-2)</f>
        <v>-12800</v>
      </c>
      <c r="N643" s="288">
        <f>ROUND(IF($A643="E",M643*(1+Assumptions!K$15),M643*(1+Assumptions!K$14)),-2)</f>
        <v>-13100</v>
      </c>
    </row>
    <row r="644" spans="2:14" x14ac:dyDescent="0.25">
      <c r="B644" s="16" t="s">
        <v>45</v>
      </c>
      <c r="C644" s="16" t="s">
        <v>1076</v>
      </c>
      <c r="D644" s="16" t="s">
        <v>1077</v>
      </c>
      <c r="E644" s="288">
        <v>-28500</v>
      </c>
      <c r="F644" s="288">
        <f>ROUND(IF($A644="E",E644*(1+Assumptions!C$15),E644*(1+Assumptions!C$14)),-2)</f>
        <v>-28900</v>
      </c>
      <c r="G644" s="288">
        <f>ROUND(IF($A644="E",F644*(1+Assumptions!D$15),F644*(1+Assumptions!D$14)),-2)</f>
        <v>-29500</v>
      </c>
      <c r="H644" s="288">
        <f>ROUND(IF($A644="E",G644*(1+Assumptions!E$15),G644*(1+Assumptions!E$14)),-2)</f>
        <v>-30100</v>
      </c>
      <c r="I644" s="288">
        <f>ROUND(IF($A644="E",H644*(1+Assumptions!F$15),H644*(1+Assumptions!F$14)),-2)</f>
        <v>-30700</v>
      </c>
      <c r="J644" s="288">
        <f>ROUND(IF($A644="E",I644*(1+Assumptions!G$15),I644*(1+Assumptions!G$14)),-2)</f>
        <v>-31300</v>
      </c>
      <c r="K644" s="288">
        <f>ROUND(IF($A644="E",J644*(1+Assumptions!H$15),J644*(1+Assumptions!H$14)),-2)</f>
        <v>-31900</v>
      </c>
      <c r="L644" s="288">
        <f>ROUND(IF($A644="E",K644*(1+Assumptions!I$15),K644*(1+Assumptions!I$14)),-2)</f>
        <v>-32700</v>
      </c>
      <c r="M644" s="288">
        <f>ROUND(IF($A644="E",L644*(1+Assumptions!J$15),L644*(1+Assumptions!J$14)),-2)</f>
        <v>-33500</v>
      </c>
      <c r="N644" s="288">
        <f>ROUND(IF($A644="E",M644*(1+Assumptions!K$15),M644*(1+Assumptions!K$14)),-2)</f>
        <v>-34300</v>
      </c>
    </row>
    <row r="645" spans="2:14" x14ac:dyDescent="0.25">
      <c r="B645" s="16" t="s">
        <v>45</v>
      </c>
      <c r="C645" s="16" t="s">
        <v>1078</v>
      </c>
      <c r="D645" s="16" t="s">
        <v>1079</v>
      </c>
      <c r="E645" s="288">
        <v>-4800</v>
      </c>
      <c r="F645" s="288">
        <f>ROUND(IF($A645="E",E645*(1+Assumptions!C$15),E645*(1+Assumptions!C$14)),-2)</f>
        <v>-4900</v>
      </c>
      <c r="G645" s="288">
        <f>ROUND(IF($A645="E",F645*(1+Assumptions!D$15),F645*(1+Assumptions!D$14)),-2)</f>
        <v>-5000</v>
      </c>
      <c r="H645" s="288">
        <f>ROUND(IF($A645="E",G645*(1+Assumptions!E$15),G645*(1+Assumptions!E$14)),-2)</f>
        <v>-5100</v>
      </c>
      <c r="I645" s="288">
        <f>ROUND(IF($A645="E",H645*(1+Assumptions!F$15),H645*(1+Assumptions!F$14)),-2)</f>
        <v>-5200</v>
      </c>
      <c r="J645" s="288">
        <f>ROUND(IF($A645="E",I645*(1+Assumptions!G$15),I645*(1+Assumptions!G$14)),-2)</f>
        <v>-5300</v>
      </c>
      <c r="K645" s="288">
        <f>ROUND(IF($A645="E",J645*(1+Assumptions!H$15),J645*(1+Assumptions!H$14)),-2)</f>
        <v>-5400</v>
      </c>
      <c r="L645" s="288">
        <f>ROUND(IF($A645="E",K645*(1+Assumptions!I$15),K645*(1+Assumptions!I$14)),-2)</f>
        <v>-5500</v>
      </c>
      <c r="M645" s="288">
        <f>ROUND(IF($A645="E",L645*(1+Assumptions!J$15),L645*(1+Assumptions!J$14)),-2)</f>
        <v>-5600</v>
      </c>
      <c r="N645" s="288">
        <f>ROUND(IF($A645="E",M645*(1+Assumptions!K$15),M645*(1+Assumptions!K$14)),-2)</f>
        <v>-5700</v>
      </c>
    </row>
    <row r="646" spans="2:14" x14ac:dyDescent="0.25">
      <c r="B646" s="16" t="s">
        <v>45</v>
      </c>
      <c r="C646" s="16" t="s">
        <v>1080</v>
      </c>
      <c r="D646" s="16" t="s">
        <v>1081</v>
      </c>
      <c r="E646" s="288">
        <v>13600</v>
      </c>
      <c r="F646" s="288">
        <f>ROUND(IF($A646="E",E646*(1+Assumptions!C$15),E646*(1+Assumptions!C$14)),-2)</f>
        <v>13800</v>
      </c>
      <c r="G646" s="288">
        <f>ROUND(IF($A646="E",F646*(1+Assumptions!D$15),F646*(1+Assumptions!D$14)),-2)</f>
        <v>14100</v>
      </c>
      <c r="H646" s="288">
        <f>ROUND(IF($A646="E",G646*(1+Assumptions!E$15),G646*(1+Assumptions!E$14)),-2)</f>
        <v>14400</v>
      </c>
      <c r="I646" s="288">
        <f>ROUND(IF($A646="E",H646*(1+Assumptions!F$15),H646*(1+Assumptions!F$14)),-2)</f>
        <v>14700</v>
      </c>
      <c r="J646" s="288">
        <f>ROUND(IF($A646="E",I646*(1+Assumptions!G$15),I646*(1+Assumptions!G$14)),-2)</f>
        <v>15000</v>
      </c>
      <c r="K646" s="288">
        <f>ROUND(IF($A646="E",J646*(1+Assumptions!H$15),J646*(1+Assumptions!H$14)),-2)</f>
        <v>15300</v>
      </c>
      <c r="L646" s="288">
        <f>ROUND(IF($A646="E",K646*(1+Assumptions!I$15),K646*(1+Assumptions!I$14)),-2)</f>
        <v>15700</v>
      </c>
      <c r="M646" s="288">
        <f>ROUND(IF($A646="E",L646*(1+Assumptions!J$15),L646*(1+Assumptions!J$14)),-2)</f>
        <v>16100</v>
      </c>
      <c r="N646" s="288">
        <f>ROUND(IF($A646="E",M646*(1+Assumptions!K$15),M646*(1+Assumptions!K$14)),-2)</f>
        <v>16500</v>
      </c>
    </row>
    <row r="647" spans="2:14" x14ac:dyDescent="0.25">
      <c r="B647" s="16" t="s">
        <v>45</v>
      </c>
      <c r="C647" s="16" t="s">
        <v>1082</v>
      </c>
      <c r="D647" s="16" t="s">
        <v>1083</v>
      </c>
      <c r="E647" s="288">
        <v>-10200</v>
      </c>
      <c r="F647" s="288">
        <f>ROUND(IF($A647="E",E647*(1+Assumptions!C$15),E647*(1+Assumptions!C$14)),-2)</f>
        <v>-10400</v>
      </c>
      <c r="G647" s="288">
        <f>ROUND(IF($A647="E",F647*(1+Assumptions!D$15),F647*(1+Assumptions!D$14)),-2)</f>
        <v>-10600</v>
      </c>
      <c r="H647" s="288">
        <f>ROUND(IF($A647="E",G647*(1+Assumptions!E$15),G647*(1+Assumptions!E$14)),-2)</f>
        <v>-10800</v>
      </c>
      <c r="I647" s="288">
        <f>ROUND(IF($A647="E",H647*(1+Assumptions!F$15),H647*(1+Assumptions!F$14)),-2)</f>
        <v>-11000</v>
      </c>
      <c r="J647" s="288">
        <f>ROUND(IF($A647="E",I647*(1+Assumptions!G$15),I647*(1+Assumptions!G$14)),-2)</f>
        <v>-11200</v>
      </c>
      <c r="K647" s="288">
        <f>ROUND(IF($A647="E",J647*(1+Assumptions!H$15),J647*(1+Assumptions!H$14)),-2)</f>
        <v>-11400</v>
      </c>
      <c r="L647" s="288">
        <f>ROUND(IF($A647="E",K647*(1+Assumptions!I$15),K647*(1+Assumptions!I$14)),-2)</f>
        <v>-11700</v>
      </c>
      <c r="M647" s="288">
        <f>ROUND(IF($A647="E",L647*(1+Assumptions!J$15),L647*(1+Assumptions!J$14)),-2)</f>
        <v>-12000</v>
      </c>
      <c r="N647" s="288">
        <f>ROUND(IF($A647="E",M647*(1+Assumptions!K$15),M647*(1+Assumptions!K$14)),-2)</f>
        <v>-12300</v>
      </c>
    </row>
    <row r="648" spans="2:14" x14ac:dyDescent="0.25">
      <c r="B648" s="16" t="s">
        <v>45</v>
      </c>
      <c r="C648" s="16" t="s">
        <v>1084</v>
      </c>
      <c r="D648" s="16" t="s">
        <v>1085</v>
      </c>
      <c r="E648" s="289"/>
      <c r="F648" s="289"/>
      <c r="G648" s="289"/>
      <c r="H648" s="289"/>
      <c r="I648" s="289"/>
      <c r="J648" s="289"/>
      <c r="K648" s="289"/>
      <c r="L648" s="289"/>
      <c r="M648" s="289"/>
      <c r="N648" s="289"/>
    </row>
    <row r="649" spans="2:14" x14ac:dyDescent="0.25">
      <c r="B649" s="16" t="s">
        <v>45</v>
      </c>
      <c r="C649" s="16" t="s">
        <v>1086</v>
      </c>
      <c r="D649" s="16" t="s">
        <v>1087</v>
      </c>
      <c r="E649" s="288">
        <v>15200</v>
      </c>
      <c r="F649" s="288">
        <f>ROUND(IF($A649="E",E649*(1+Assumptions!C$15),E649*(1+Assumptions!C$14)),-2)</f>
        <v>15400</v>
      </c>
      <c r="G649" s="288">
        <f>ROUND(IF($A649="E",F649*(1+Assumptions!D$15),F649*(1+Assumptions!D$14)),-2)</f>
        <v>15700</v>
      </c>
      <c r="H649" s="288">
        <f>ROUND(IF($A649="E",G649*(1+Assumptions!E$15),G649*(1+Assumptions!E$14)),-2)</f>
        <v>16000</v>
      </c>
      <c r="I649" s="288">
        <f>ROUND(IF($A649="E",H649*(1+Assumptions!F$15),H649*(1+Assumptions!F$14)),-2)</f>
        <v>16300</v>
      </c>
      <c r="J649" s="288">
        <f>ROUND(IF($A649="E",I649*(1+Assumptions!G$15),I649*(1+Assumptions!G$14)),-2)</f>
        <v>16600</v>
      </c>
      <c r="K649" s="288">
        <f>ROUND(IF($A649="E",J649*(1+Assumptions!H$15),J649*(1+Assumptions!H$14)),-2)</f>
        <v>16900</v>
      </c>
      <c r="L649" s="288">
        <f>ROUND(IF($A649="E",K649*(1+Assumptions!I$15),K649*(1+Assumptions!I$14)),-2)</f>
        <v>17300</v>
      </c>
      <c r="M649" s="288">
        <f>ROUND(IF($A649="E",L649*(1+Assumptions!J$15),L649*(1+Assumptions!J$14)),-2)</f>
        <v>17700</v>
      </c>
      <c r="N649" s="288">
        <f>ROUND(IF($A649="E",M649*(1+Assumptions!K$15),M649*(1+Assumptions!K$14)),-2)</f>
        <v>18100</v>
      </c>
    </row>
    <row r="650" spans="2:14" x14ac:dyDescent="0.25">
      <c r="B650" s="16" t="s">
        <v>45</v>
      </c>
      <c r="C650" s="16" t="s">
        <v>1088</v>
      </c>
      <c r="D650" s="16" t="s">
        <v>1089</v>
      </c>
      <c r="E650" s="288">
        <v>39900</v>
      </c>
      <c r="F650" s="288">
        <f>ROUND(IF($A650="E",E650*(1+Assumptions!C$15),E650*(1+Assumptions!C$14)),-2)</f>
        <v>40500</v>
      </c>
      <c r="G650" s="288">
        <f>ROUND(IF($A650="E",F650*(1+Assumptions!D$15),F650*(1+Assumptions!D$14)),-2)</f>
        <v>41300</v>
      </c>
      <c r="H650" s="288">
        <f>ROUND(IF($A650="E",G650*(1+Assumptions!E$15),G650*(1+Assumptions!E$14)),-2)</f>
        <v>42100</v>
      </c>
      <c r="I650" s="288">
        <f>ROUND(IF($A650="E",H650*(1+Assumptions!F$15),H650*(1+Assumptions!F$14)),-2)</f>
        <v>42900</v>
      </c>
      <c r="J650" s="288">
        <f>ROUND(IF($A650="E",I650*(1+Assumptions!G$15),I650*(1+Assumptions!G$14)),-2)</f>
        <v>43800</v>
      </c>
      <c r="K650" s="288">
        <f>ROUND(IF($A650="E",J650*(1+Assumptions!H$15),J650*(1+Assumptions!H$14)),-2)</f>
        <v>44700</v>
      </c>
      <c r="L650" s="288">
        <f>ROUND(IF($A650="E",K650*(1+Assumptions!I$15),K650*(1+Assumptions!I$14)),-2)</f>
        <v>45800</v>
      </c>
      <c r="M650" s="288">
        <f>ROUND(IF($A650="E",L650*(1+Assumptions!J$15),L650*(1+Assumptions!J$14)),-2)</f>
        <v>46900</v>
      </c>
      <c r="N650" s="288">
        <f>ROUND(IF($A650="E",M650*(1+Assumptions!K$15),M650*(1+Assumptions!K$14)),-2)</f>
        <v>48100</v>
      </c>
    </row>
    <row r="651" spans="2:14" x14ac:dyDescent="0.25">
      <c r="B651" s="16" t="s">
        <v>45</v>
      </c>
      <c r="C651" s="16" t="s">
        <v>1090</v>
      </c>
      <c r="D651" s="16" t="s">
        <v>93</v>
      </c>
      <c r="E651" s="288">
        <v>700</v>
      </c>
      <c r="F651" s="288">
        <f>ROUND(IF($A651="E",E651*(1+Assumptions!C$15),E651*(1+Assumptions!C$14)),-2)</f>
        <v>700</v>
      </c>
      <c r="G651" s="288">
        <f>ROUND(IF($A651="E",F651*(1+Assumptions!D$15),F651*(1+Assumptions!D$14)),-2)</f>
        <v>700</v>
      </c>
      <c r="H651" s="288">
        <f>ROUND(IF($A651="E",G651*(1+Assumptions!E$15),G651*(1+Assumptions!E$14)),-2)</f>
        <v>700</v>
      </c>
      <c r="I651" s="288">
        <f>ROUND(IF($A651="E",H651*(1+Assumptions!F$15),H651*(1+Assumptions!F$14)),-2)</f>
        <v>700</v>
      </c>
      <c r="J651" s="288">
        <f>ROUND(IF($A651="E",I651*(1+Assumptions!G$15),I651*(1+Assumptions!G$14)),-2)</f>
        <v>700</v>
      </c>
      <c r="K651" s="288">
        <f>ROUND(IF($A651="E",J651*(1+Assumptions!H$15),J651*(1+Assumptions!H$14)),-2)</f>
        <v>700</v>
      </c>
      <c r="L651" s="288">
        <f>ROUND(IF($A651="E",K651*(1+Assumptions!I$15),K651*(1+Assumptions!I$14)),-2)</f>
        <v>700</v>
      </c>
      <c r="M651" s="288">
        <f>ROUND(IF($A651="E",L651*(1+Assumptions!J$15),L651*(1+Assumptions!J$14)),-2)</f>
        <v>700</v>
      </c>
      <c r="N651" s="288">
        <f>ROUND(IF($A651="E",M651*(1+Assumptions!K$15),M651*(1+Assumptions!K$14)),-2)</f>
        <v>700</v>
      </c>
    </row>
    <row r="652" spans="2:14" x14ac:dyDescent="0.25">
      <c r="B652" s="16" t="s">
        <v>43</v>
      </c>
      <c r="C652" s="16" t="s">
        <v>1091</v>
      </c>
      <c r="D652" s="16" t="s">
        <v>1092</v>
      </c>
      <c r="E652" s="288"/>
      <c r="F652" s="288">
        <f>ROUND(IF($A652="E",E652*(1+Assumptions!C$15),E652*(1+Assumptions!C$14)),-2)</f>
        <v>0</v>
      </c>
      <c r="G652" s="288">
        <f>ROUND(IF($A652="E",F652*(1+Assumptions!D$15),F652*(1+Assumptions!D$14)),-2)</f>
        <v>0</v>
      </c>
      <c r="H652" s="288">
        <f>ROUND(IF($A652="E",G652*(1+Assumptions!E$15),G652*(1+Assumptions!E$14)),-2)</f>
        <v>0</v>
      </c>
      <c r="I652" s="288">
        <f>ROUND(IF($A652="E",H652*(1+Assumptions!F$15),H652*(1+Assumptions!F$14)),-2)</f>
        <v>0</v>
      </c>
      <c r="J652" s="288">
        <f>ROUND(IF($A652="E",I652*(1+Assumptions!G$15),I652*(1+Assumptions!G$14)),-2)</f>
        <v>0</v>
      </c>
      <c r="K652" s="288">
        <f>ROUND(IF($A652="E",J652*(1+Assumptions!H$15),J652*(1+Assumptions!H$14)),-2)</f>
        <v>0</v>
      </c>
      <c r="L652" s="288">
        <f>ROUND(IF($A652="E",K652*(1+Assumptions!I$15),K652*(1+Assumptions!I$14)),-2)</f>
        <v>0</v>
      </c>
      <c r="M652" s="288">
        <f>ROUND(IF($A652="E",L652*(1+Assumptions!J$15),L652*(1+Assumptions!J$14)),-2)</f>
        <v>0</v>
      </c>
      <c r="N652" s="288">
        <f>ROUND(IF($A652="E",M652*(1+Assumptions!K$15),M652*(1+Assumptions!K$14)),-2)</f>
        <v>0</v>
      </c>
    </row>
    <row r="653" spans="2:14" x14ac:dyDescent="0.25">
      <c r="B653" s="16" t="s">
        <v>43</v>
      </c>
      <c r="C653" s="16" t="s">
        <v>1093</v>
      </c>
      <c r="D653" s="16" t="s">
        <v>1094</v>
      </c>
      <c r="E653" s="288">
        <v>200000</v>
      </c>
      <c r="F653" s="288">
        <f>ROUND(IF($A653="E",E653*(1+Assumptions!C$15),E653*(1+Assumptions!C$14)),-2)</f>
        <v>203000</v>
      </c>
      <c r="G653" s="288">
        <f>ROUND(IF($A653="E",F653*(1+Assumptions!D$15),F653*(1+Assumptions!D$14)),-2)</f>
        <v>207100</v>
      </c>
      <c r="H653" s="288">
        <f>ROUND(IF($A653="E",G653*(1+Assumptions!E$15),G653*(1+Assumptions!E$14)),-2)</f>
        <v>211200</v>
      </c>
      <c r="I653" s="288">
        <f>ROUND(IF($A653="E",H653*(1+Assumptions!F$15),H653*(1+Assumptions!F$14)),-2)</f>
        <v>215400</v>
      </c>
      <c r="J653" s="288">
        <f>ROUND(IF($A653="E",I653*(1+Assumptions!G$15),I653*(1+Assumptions!G$14)),-2)</f>
        <v>219700</v>
      </c>
      <c r="K653" s="288">
        <f>ROUND(IF($A653="E",J653*(1+Assumptions!H$15),J653*(1+Assumptions!H$14)),-2)</f>
        <v>224100</v>
      </c>
      <c r="L653" s="288">
        <f>ROUND(IF($A653="E",K653*(1+Assumptions!I$15),K653*(1+Assumptions!I$14)),-2)</f>
        <v>229700</v>
      </c>
      <c r="M653" s="288">
        <f>ROUND(IF($A653="E",L653*(1+Assumptions!J$15),L653*(1+Assumptions!J$14)),-2)</f>
        <v>235400</v>
      </c>
      <c r="N653" s="288">
        <f>ROUND(IF($A653="E",M653*(1+Assumptions!K$15),M653*(1+Assumptions!K$14)),-2)</f>
        <v>241300</v>
      </c>
    </row>
    <row r="654" spans="2:14" x14ac:dyDescent="0.25">
      <c r="B654" s="16" t="s">
        <v>43</v>
      </c>
      <c r="C654" s="16" t="s">
        <v>1095</v>
      </c>
      <c r="D654" s="16" t="s">
        <v>1096</v>
      </c>
      <c r="E654" s="288">
        <v>0</v>
      </c>
      <c r="F654" s="288">
        <f>ROUND(IF($A654="E",E654*(1+Assumptions!C$15),E654*(1+Assumptions!C$14)),-2)</f>
        <v>0</v>
      </c>
      <c r="G654" s="288">
        <f>ROUND(IF($A654="E",F654*(1+Assumptions!D$15),F654*(1+Assumptions!D$14)),-2)</f>
        <v>0</v>
      </c>
      <c r="H654" s="288">
        <f>ROUND(IF($A654="E",G654*(1+Assumptions!E$15),G654*(1+Assumptions!E$14)),-2)</f>
        <v>0</v>
      </c>
      <c r="I654" s="288">
        <f>ROUND(IF($A654="E",H654*(1+Assumptions!F$15),H654*(1+Assumptions!F$14)),-2)</f>
        <v>0</v>
      </c>
      <c r="J654" s="288">
        <f>ROUND(IF($A654="E",I654*(1+Assumptions!G$15),I654*(1+Assumptions!G$14)),-2)</f>
        <v>0</v>
      </c>
      <c r="K654" s="288">
        <f>ROUND(IF($A654="E",J654*(1+Assumptions!H$15),J654*(1+Assumptions!H$14)),-2)</f>
        <v>0</v>
      </c>
      <c r="L654" s="288">
        <f>ROUND(IF($A654="E",K654*(1+Assumptions!I$15),K654*(1+Assumptions!I$14)),-2)</f>
        <v>0</v>
      </c>
      <c r="M654" s="288">
        <f>ROUND(IF($A654="E",L654*(1+Assumptions!J$15),L654*(1+Assumptions!J$14)),-2)</f>
        <v>0</v>
      </c>
      <c r="N654" s="288">
        <f>ROUND(IF($A654="E",M654*(1+Assumptions!K$15),M654*(1+Assumptions!K$14)),-2)</f>
        <v>0</v>
      </c>
    </row>
    <row r="655" spans="2:14" x14ac:dyDescent="0.25">
      <c r="B655" s="16" t="s">
        <v>43</v>
      </c>
      <c r="C655" s="16" t="s">
        <v>1097</v>
      </c>
      <c r="D655" s="16" t="s">
        <v>1098</v>
      </c>
      <c r="E655" s="288">
        <v>0</v>
      </c>
      <c r="F655" s="288">
        <f>ROUND(IF($A655="E",E655*(1+Assumptions!C$15),E655*(1+Assumptions!C$14)),-2)</f>
        <v>0</v>
      </c>
      <c r="G655" s="288">
        <f>ROUND(IF($A655="E",F655*(1+Assumptions!D$15),F655*(1+Assumptions!D$14)),-2)</f>
        <v>0</v>
      </c>
      <c r="H655" s="288">
        <f>ROUND(IF($A655="E",G655*(1+Assumptions!E$15),G655*(1+Assumptions!E$14)),-2)</f>
        <v>0</v>
      </c>
      <c r="I655" s="288">
        <f>ROUND(IF($A655="E",H655*(1+Assumptions!F$15),H655*(1+Assumptions!F$14)),-2)</f>
        <v>0</v>
      </c>
      <c r="J655" s="288">
        <f>ROUND(IF($A655="E",I655*(1+Assumptions!G$15),I655*(1+Assumptions!G$14)),-2)</f>
        <v>0</v>
      </c>
      <c r="K655" s="288">
        <f>ROUND(IF($A655="E",J655*(1+Assumptions!H$15),J655*(1+Assumptions!H$14)),-2)</f>
        <v>0</v>
      </c>
      <c r="L655" s="288">
        <f>ROUND(IF($A655="E",K655*(1+Assumptions!I$15),K655*(1+Assumptions!I$14)),-2)</f>
        <v>0</v>
      </c>
      <c r="M655" s="288">
        <f>ROUND(IF($A655="E",L655*(1+Assumptions!J$15),L655*(1+Assumptions!J$14)),-2)</f>
        <v>0</v>
      </c>
      <c r="N655" s="288">
        <f>ROUND(IF($A655="E",M655*(1+Assumptions!K$15),M655*(1+Assumptions!K$14)),-2)</f>
        <v>0</v>
      </c>
    </row>
    <row r="656" spans="2:14" x14ac:dyDescent="0.25">
      <c r="B656" s="16" t="s">
        <v>43</v>
      </c>
      <c r="C656" s="16" t="s">
        <v>1099</v>
      </c>
      <c r="D656" s="16" t="s">
        <v>1100</v>
      </c>
      <c r="E656" s="288">
        <v>0</v>
      </c>
      <c r="F656" s="288">
        <f>ROUND(IF($A656="E",E656*(1+Assumptions!C$15),E656*(1+Assumptions!C$14)),-2)</f>
        <v>0</v>
      </c>
      <c r="G656" s="288">
        <f>ROUND(IF($A656="E",F656*(1+Assumptions!D$15),F656*(1+Assumptions!D$14)),-2)</f>
        <v>0</v>
      </c>
      <c r="H656" s="288">
        <f>ROUND(IF($A656="E",G656*(1+Assumptions!E$15),G656*(1+Assumptions!E$14)),-2)</f>
        <v>0</v>
      </c>
      <c r="I656" s="288">
        <f>ROUND(IF($A656="E",H656*(1+Assumptions!F$15),H656*(1+Assumptions!F$14)),-2)</f>
        <v>0</v>
      </c>
      <c r="J656" s="288">
        <f>ROUND(IF($A656="E",I656*(1+Assumptions!G$15),I656*(1+Assumptions!G$14)),-2)</f>
        <v>0</v>
      </c>
      <c r="K656" s="288">
        <f>ROUND(IF($A656="E",J656*(1+Assumptions!H$15),J656*(1+Assumptions!H$14)),-2)</f>
        <v>0</v>
      </c>
      <c r="L656" s="288">
        <f>ROUND(IF($A656="E",K656*(1+Assumptions!I$15),K656*(1+Assumptions!I$14)),-2)</f>
        <v>0</v>
      </c>
      <c r="M656" s="288">
        <f>ROUND(IF($A656="E",L656*(1+Assumptions!J$15),L656*(1+Assumptions!J$14)),-2)</f>
        <v>0</v>
      </c>
      <c r="N656" s="288">
        <f>ROUND(IF($A656="E",M656*(1+Assumptions!K$15),M656*(1+Assumptions!K$14)),-2)</f>
        <v>0</v>
      </c>
    </row>
    <row r="657" spans="2:14" ht="12.75" customHeight="1" x14ac:dyDescent="0.25">
      <c r="E657" s="288"/>
      <c r="F657" s="288"/>
      <c r="G657" s="288"/>
      <c r="H657" s="288"/>
      <c r="I657" s="288"/>
      <c r="J657" s="288"/>
      <c r="K657" s="288"/>
      <c r="L657" s="288"/>
      <c r="M657" s="288"/>
      <c r="N657" s="288"/>
    </row>
    <row r="658" spans="2:14" ht="12.75" customHeight="1" x14ac:dyDescent="0.25">
      <c r="D658" s="19" t="s">
        <v>3234</v>
      </c>
      <c r="E658" s="291">
        <f>SUM(E597:E657)</f>
        <v>243300</v>
      </c>
      <c r="F658" s="291">
        <f t="shared" ref="F658:N658" si="20">SUM(F597:F657)</f>
        <v>246700</v>
      </c>
      <c r="G658" s="291">
        <f t="shared" si="20"/>
        <v>251300</v>
      </c>
      <c r="H658" s="291">
        <f t="shared" si="20"/>
        <v>256100</v>
      </c>
      <c r="I658" s="291">
        <f t="shared" si="20"/>
        <v>260900</v>
      </c>
      <c r="J658" s="291">
        <f t="shared" si="20"/>
        <v>266100</v>
      </c>
      <c r="K658" s="291">
        <f t="shared" si="20"/>
        <v>271300</v>
      </c>
      <c r="L658" s="291">
        <f t="shared" si="20"/>
        <v>278100</v>
      </c>
      <c r="M658" s="291">
        <f t="shared" si="20"/>
        <v>285100</v>
      </c>
      <c r="N658" s="291">
        <f t="shared" si="20"/>
        <v>292300</v>
      </c>
    </row>
    <row r="659" spans="2:14" ht="12.75" customHeight="1" x14ac:dyDescent="0.25">
      <c r="E659" s="288"/>
      <c r="F659" s="288"/>
      <c r="G659" s="288"/>
      <c r="H659" s="288"/>
      <c r="I659" s="288"/>
      <c r="J659" s="288"/>
      <c r="K659" s="288"/>
      <c r="L659" s="288"/>
      <c r="M659" s="288"/>
      <c r="N659" s="288"/>
    </row>
    <row r="660" spans="2:14" x14ac:dyDescent="0.25">
      <c r="C660" s="16" t="s">
        <v>315</v>
      </c>
      <c r="E660" s="288"/>
      <c r="F660" s="288"/>
      <c r="G660" s="288"/>
      <c r="H660" s="288"/>
      <c r="I660" s="288"/>
      <c r="J660" s="288"/>
      <c r="K660" s="288"/>
      <c r="L660" s="288"/>
      <c r="M660" s="288"/>
      <c r="N660" s="288"/>
    </row>
    <row r="661" spans="2:14" x14ac:dyDescent="0.25">
      <c r="B661" s="16" t="s">
        <v>3228</v>
      </c>
      <c r="C661" s="16" t="s">
        <v>1101</v>
      </c>
      <c r="D661" s="16" t="s">
        <v>1102</v>
      </c>
      <c r="E661" s="289"/>
      <c r="F661" s="289"/>
      <c r="G661" s="289"/>
      <c r="H661" s="289"/>
      <c r="I661" s="289"/>
      <c r="J661" s="289"/>
      <c r="K661" s="289"/>
      <c r="L661" s="289"/>
      <c r="M661" s="289"/>
      <c r="N661" s="289"/>
    </row>
    <row r="662" spans="2:14" x14ac:dyDescent="0.25">
      <c r="B662" s="16" t="s">
        <v>3228</v>
      </c>
      <c r="C662" s="16" t="s">
        <v>1103</v>
      </c>
      <c r="D662" s="16" t="s">
        <v>1104</v>
      </c>
      <c r="E662" s="288">
        <v>0</v>
      </c>
      <c r="F662" s="288">
        <f>ROUND(E662+(E662*Assumptions!C$13),-2)</f>
        <v>0</v>
      </c>
      <c r="G662" s="288">
        <f>ROUND(F662+(F662*Assumptions!D$13),-2)</f>
        <v>0</v>
      </c>
      <c r="H662" s="288">
        <f>ROUND(G662+(G662*Assumptions!E$13),-2)</f>
        <v>0</v>
      </c>
      <c r="I662" s="288">
        <f>ROUND(H662+(H662*Assumptions!F$13),-2)</f>
        <v>0</v>
      </c>
      <c r="J662" s="288">
        <f>ROUND(I662+(I662*Assumptions!G$13),-2)</f>
        <v>0</v>
      </c>
      <c r="K662" s="288">
        <f>ROUND(J662+(J662*Assumptions!H$13),-2)</f>
        <v>0</v>
      </c>
      <c r="L662" s="288">
        <f>ROUND(K662+(K662*Assumptions!I$13),-2)</f>
        <v>0</v>
      </c>
      <c r="M662" s="288">
        <f>ROUND(L662+(L662*Assumptions!J$13),-2)</f>
        <v>0</v>
      </c>
      <c r="N662" s="288">
        <f>ROUND(M662+(M662*Assumptions!K$13),-2)</f>
        <v>0</v>
      </c>
    </row>
    <row r="663" spans="2:14" x14ac:dyDescent="0.25">
      <c r="B663" s="16" t="s">
        <v>3228</v>
      </c>
      <c r="C663" s="16" t="s">
        <v>1105</v>
      </c>
      <c r="D663" s="16" t="s">
        <v>1106</v>
      </c>
      <c r="E663" s="289"/>
      <c r="F663" s="289"/>
      <c r="G663" s="289"/>
      <c r="H663" s="289"/>
      <c r="I663" s="289"/>
      <c r="J663" s="289"/>
      <c r="K663" s="289"/>
      <c r="L663" s="289"/>
      <c r="M663" s="289"/>
      <c r="N663" s="289"/>
    </row>
    <row r="664" spans="2:14" x14ac:dyDescent="0.25">
      <c r="B664" s="16" t="s">
        <v>3228</v>
      </c>
      <c r="C664" s="16" t="s">
        <v>1107</v>
      </c>
      <c r="D664" s="16" t="s">
        <v>1108</v>
      </c>
      <c r="E664" s="288">
        <v>-10300</v>
      </c>
      <c r="F664" s="288">
        <f>ROUND(E664+(E664*Assumptions!C$13),-2)</f>
        <v>-10500</v>
      </c>
      <c r="G664" s="288">
        <f>ROUND(F664+(F664*Assumptions!D$13),-2)</f>
        <v>-10800</v>
      </c>
      <c r="H664" s="288">
        <f>ROUND(G664+(G664*Assumptions!E$13),-2)</f>
        <v>-11100</v>
      </c>
      <c r="I664" s="288">
        <f>ROUND(H664+(H664*Assumptions!F$13),-2)</f>
        <v>-11400</v>
      </c>
      <c r="J664" s="288">
        <f>ROUND(I664+(I664*Assumptions!G$13),-2)</f>
        <v>-11700</v>
      </c>
      <c r="K664" s="288">
        <f>ROUND(J664+(J664*Assumptions!H$13),-2)</f>
        <v>-12000</v>
      </c>
      <c r="L664" s="288">
        <f>ROUND(K664+(K664*Assumptions!I$13),-2)</f>
        <v>-12300</v>
      </c>
      <c r="M664" s="288">
        <f>ROUND(L664+(L664*Assumptions!J$13),-2)</f>
        <v>-12600</v>
      </c>
      <c r="N664" s="288">
        <f>ROUND(M664+(M664*Assumptions!K$13),-2)</f>
        <v>-12900</v>
      </c>
    </row>
    <row r="665" spans="2:14" ht="12.75" customHeight="1" x14ac:dyDescent="0.25">
      <c r="E665" s="288"/>
      <c r="F665" s="288"/>
      <c r="G665" s="288"/>
      <c r="H665" s="288"/>
      <c r="I665" s="288"/>
      <c r="J665" s="288"/>
      <c r="K665" s="288"/>
      <c r="L665" s="288"/>
      <c r="M665" s="288"/>
      <c r="N665" s="288"/>
    </row>
    <row r="666" spans="2:14" ht="12.75" customHeight="1" x14ac:dyDescent="0.25">
      <c r="D666" s="19" t="s">
        <v>3234</v>
      </c>
      <c r="E666" s="291">
        <f>SUM(E661:E665)</f>
        <v>-10300</v>
      </c>
      <c r="F666" s="291">
        <f t="shared" ref="F666:N666" si="21">SUM(F661:F665)</f>
        <v>-10500</v>
      </c>
      <c r="G666" s="291">
        <f t="shared" si="21"/>
        <v>-10800</v>
      </c>
      <c r="H666" s="291">
        <f t="shared" si="21"/>
        <v>-11100</v>
      </c>
      <c r="I666" s="291">
        <f t="shared" si="21"/>
        <v>-11400</v>
      </c>
      <c r="J666" s="291">
        <f t="shared" si="21"/>
        <v>-11700</v>
      </c>
      <c r="K666" s="291">
        <f t="shared" si="21"/>
        <v>-12000</v>
      </c>
      <c r="L666" s="291">
        <f t="shared" si="21"/>
        <v>-12300</v>
      </c>
      <c r="M666" s="291">
        <f t="shared" si="21"/>
        <v>-12600</v>
      </c>
      <c r="N666" s="291">
        <f t="shared" si="21"/>
        <v>-12900</v>
      </c>
    </row>
    <row r="667" spans="2:14" ht="12.75" customHeight="1" x14ac:dyDescent="0.25">
      <c r="E667" s="288"/>
      <c r="F667" s="288"/>
      <c r="G667" s="288"/>
      <c r="H667" s="288"/>
      <c r="I667" s="288"/>
      <c r="J667" s="288"/>
      <c r="K667" s="288"/>
      <c r="L667" s="288"/>
      <c r="M667" s="288"/>
      <c r="N667" s="288"/>
    </row>
    <row r="668" spans="2:14" x14ac:dyDescent="0.25">
      <c r="C668" s="19" t="s">
        <v>1109</v>
      </c>
      <c r="E668" s="288"/>
      <c r="F668" s="288"/>
      <c r="G668" s="288"/>
      <c r="H668" s="288"/>
      <c r="I668" s="288"/>
      <c r="J668" s="288"/>
      <c r="K668" s="288"/>
      <c r="L668" s="288"/>
      <c r="M668" s="288"/>
      <c r="N668" s="288"/>
    </row>
    <row r="669" spans="2:14" ht="12.75" customHeight="1" x14ac:dyDescent="0.25">
      <c r="E669" s="288"/>
      <c r="F669" s="288"/>
      <c r="G669" s="288"/>
      <c r="H669" s="288"/>
      <c r="I669" s="288"/>
      <c r="J669" s="288"/>
      <c r="K669" s="288"/>
      <c r="L669" s="288"/>
      <c r="M669" s="288"/>
      <c r="N669" s="288"/>
    </row>
    <row r="670" spans="2:14" x14ac:dyDescent="0.25">
      <c r="C670" s="16" t="s">
        <v>87</v>
      </c>
      <c r="E670" s="288"/>
      <c r="F670" s="288"/>
      <c r="G670" s="288"/>
      <c r="H670" s="288"/>
      <c r="I670" s="288"/>
      <c r="J670" s="288"/>
      <c r="K670" s="288"/>
      <c r="L670" s="288"/>
      <c r="M670" s="288"/>
      <c r="N670" s="288"/>
    </row>
    <row r="671" spans="2:14" x14ac:dyDescent="0.25">
      <c r="B671" s="16" t="s">
        <v>41</v>
      </c>
      <c r="C671" s="16" t="s">
        <v>1110</v>
      </c>
      <c r="D671" s="16" t="s">
        <v>1111</v>
      </c>
      <c r="E671" s="289"/>
      <c r="F671" s="289"/>
      <c r="G671" s="289"/>
      <c r="H671" s="289"/>
      <c r="I671" s="289"/>
      <c r="J671" s="289"/>
      <c r="K671" s="289"/>
      <c r="L671" s="289"/>
      <c r="M671" s="289"/>
      <c r="N671" s="289"/>
    </row>
    <row r="672" spans="2:14" x14ac:dyDescent="0.25">
      <c r="B672" s="16" t="s">
        <v>41</v>
      </c>
      <c r="C672" s="16" t="s">
        <v>1112</v>
      </c>
      <c r="D672" s="16" t="s">
        <v>1113</v>
      </c>
      <c r="E672" s="288">
        <v>713100</v>
      </c>
      <c r="F672" s="288">
        <f>ROUND(IF($A672="E",E672*(1+Assumptions!C$15),E672*(1+Assumptions!C$14)),-2)</f>
        <v>723800</v>
      </c>
      <c r="G672" s="288">
        <f>ROUND(IF($A672="E",F672*(1+Assumptions!D$15),F672*(1+Assumptions!D$14)),-2)</f>
        <v>738300</v>
      </c>
      <c r="H672" s="288">
        <f>ROUND(IF($A672="E",G672*(1+Assumptions!E$15),G672*(1+Assumptions!E$14)),-2)</f>
        <v>753100</v>
      </c>
      <c r="I672" s="288">
        <f>ROUND(IF($A672="E",H672*(1+Assumptions!F$15),H672*(1+Assumptions!F$14)),-2)</f>
        <v>768200</v>
      </c>
      <c r="J672" s="288">
        <f>ROUND(IF($A672="E",I672*(1+Assumptions!G$15),I672*(1+Assumptions!G$14)),-2)</f>
        <v>783600</v>
      </c>
      <c r="K672" s="288">
        <f>ROUND(IF($A672="E",J672*(1+Assumptions!H$15),J672*(1+Assumptions!H$14)),-2)</f>
        <v>799300</v>
      </c>
      <c r="L672" s="288">
        <f>ROUND(IF($A672="E",K672*(1+Assumptions!I$15),K672*(1+Assumptions!I$14)),-2)</f>
        <v>819300</v>
      </c>
      <c r="M672" s="288">
        <f>ROUND(IF($A672="E",L672*(1+Assumptions!J$15),L672*(1+Assumptions!J$14)),-2)</f>
        <v>839800</v>
      </c>
      <c r="N672" s="288">
        <f>ROUND(IF($A672="E",M672*(1+Assumptions!K$15),M672*(1+Assumptions!K$14)),-2)</f>
        <v>860800</v>
      </c>
    </row>
    <row r="673" spans="2:14" x14ac:dyDescent="0.25">
      <c r="B673" s="16" t="s">
        <v>43</v>
      </c>
      <c r="C673" s="16" t="s">
        <v>1114</v>
      </c>
      <c r="D673" s="16" t="s">
        <v>1115</v>
      </c>
      <c r="E673" s="288">
        <v>10000</v>
      </c>
      <c r="F673" s="288">
        <f>ROUND(IF($A673="E",E673*(1+Assumptions!C$15),E673*(1+Assumptions!C$14)),-2)</f>
        <v>10200</v>
      </c>
      <c r="G673" s="288">
        <f>ROUND(IF($A673="E",F673*(1+Assumptions!D$15),F673*(1+Assumptions!D$14)),-2)</f>
        <v>10400</v>
      </c>
      <c r="H673" s="288">
        <f>ROUND(IF($A673="E",G673*(1+Assumptions!E$15),G673*(1+Assumptions!E$14)),-2)</f>
        <v>10600</v>
      </c>
      <c r="I673" s="288">
        <f>ROUND(IF($A673="E",H673*(1+Assumptions!F$15),H673*(1+Assumptions!F$14)),-2)</f>
        <v>10800</v>
      </c>
      <c r="J673" s="288">
        <f>ROUND(IF($A673="E",I673*(1+Assumptions!G$15),I673*(1+Assumptions!G$14)),-2)</f>
        <v>11000</v>
      </c>
      <c r="K673" s="288">
        <f>ROUND(IF($A673="E",J673*(1+Assumptions!H$15),J673*(1+Assumptions!H$14)),-2)</f>
        <v>11200</v>
      </c>
      <c r="L673" s="288">
        <f>ROUND(IF($A673="E",K673*(1+Assumptions!I$15),K673*(1+Assumptions!I$14)),-2)</f>
        <v>11500</v>
      </c>
      <c r="M673" s="288">
        <f>ROUND(IF($A673="E",L673*(1+Assumptions!J$15),L673*(1+Assumptions!J$14)),-2)</f>
        <v>11800</v>
      </c>
      <c r="N673" s="288">
        <f>ROUND(IF($A673="E",M673*(1+Assumptions!K$15),M673*(1+Assumptions!K$14)),-2)</f>
        <v>12100</v>
      </c>
    </row>
    <row r="674" spans="2:14" x14ac:dyDescent="0.25">
      <c r="B674" s="16" t="s">
        <v>41</v>
      </c>
      <c r="C674" s="16" t="s">
        <v>1116</v>
      </c>
      <c r="D674" s="16" t="s">
        <v>1117</v>
      </c>
      <c r="E674" s="289"/>
      <c r="F674" s="289"/>
      <c r="G674" s="289"/>
      <c r="H674" s="289"/>
      <c r="I674" s="289"/>
      <c r="J674" s="289"/>
      <c r="K674" s="289"/>
      <c r="L674" s="289"/>
      <c r="M674" s="289"/>
      <c r="N674" s="289"/>
    </row>
    <row r="675" spans="2:14" x14ac:dyDescent="0.25">
      <c r="B675" s="16" t="s">
        <v>41</v>
      </c>
      <c r="C675" s="16" t="s">
        <v>1118</v>
      </c>
      <c r="D675" s="16" t="s">
        <v>1119</v>
      </c>
      <c r="E675" s="288">
        <v>0</v>
      </c>
      <c r="F675" s="288">
        <f>ROUND(IF($A675="E",E675*(1+Assumptions!C$15),E675*(1+Assumptions!C$14)),-2)</f>
        <v>0</v>
      </c>
      <c r="G675" s="288">
        <f>ROUND(IF($A675="E",F675*(1+Assumptions!D$15),F675*(1+Assumptions!D$14)),-2)</f>
        <v>0</v>
      </c>
      <c r="H675" s="288">
        <f>ROUND(IF($A675="E",G675*(1+Assumptions!E$15),G675*(1+Assumptions!E$14)),-2)</f>
        <v>0</v>
      </c>
      <c r="I675" s="288">
        <f>ROUND(IF($A675="E",H675*(1+Assumptions!F$15),H675*(1+Assumptions!F$14)),-2)</f>
        <v>0</v>
      </c>
      <c r="J675" s="288">
        <f>ROUND(IF($A675="E",I675*(1+Assumptions!G$15),I675*(1+Assumptions!G$14)),-2)</f>
        <v>0</v>
      </c>
      <c r="K675" s="288">
        <f>ROUND(IF($A675="E",J675*(1+Assumptions!H$15),J675*(1+Assumptions!H$14)),-2)</f>
        <v>0</v>
      </c>
      <c r="L675" s="288">
        <f>ROUND(IF($A675="E",K675*(1+Assumptions!I$15),K675*(1+Assumptions!I$14)),-2)</f>
        <v>0</v>
      </c>
      <c r="M675" s="288">
        <f>ROUND(IF($A675="E",L675*(1+Assumptions!J$15),L675*(1+Assumptions!J$14)),-2)</f>
        <v>0</v>
      </c>
      <c r="N675" s="288">
        <f>ROUND(IF($A675="E",M675*(1+Assumptions!K$15),M675*(1+Assumptions!K$14)),-2)</f>
        <v>0</v>
      </c>
    </row>
    <row r="676" spans="2:14" x14ac:dyDescent="0.25">
      <c r="B676" s="16" t="s">
        <v>41</v>
      </c>
      <c r="C676" s="16" t="s">
        <v>1120</v>
      </c>
      <c r="D676" s="16" t="s">
        <v>1121</v>
      </c>
      <c r="E676" s="288">
        <v>103300</v>
      </c>
      <c r="F676" s="288">
        <f>ROUND(IF($A676="E",E676*(1+Assumptions!C$15),E676*(1+Assumptions!C$14)),-2)</f>
        <v>104800</v>
      </c>
      <c r="G676" s="288">
        <f>ROUND(IF($A676="E",F676*(1+Assumptions!D$15),F676*(1+Assumptions!D$14)),-2)</f>
        <v>106900</v>
      </c>
      <c r="H676" s="288">
        <f>ROUND(IF($A676="E",G676*(1+Assumptions!E$15),G676*(1+Assumptions!E$14)),-2)</f>
        <v>109000</v>
      </c>
      <c r="I676" s="288">
        <f>ROUND(IF($A676="E",H676*(1+Assumptions!F$15),H676*(1+Assumptions!F$14)),-2)</f>
        <v>111200</v>
      </c>
      <c r="J676" s="288">
        <f>ROUND(IF($A676="E",I676*(1+Assumptions!G$15),I676*(1+Assumptions!G$14)),-2)</f>
        <v>113400</v>
      </c>
      <c r="K676" s="288">
        <f>ROUND(IF($A676="E",J676*(1+Assumptions!H$15),J676*(1+Assumptions!H$14)),-2)</f>
        <v>115700</v>
      </c>
      <c r="L676" s="288">
        <f>ROUND(IF($A676="E",K676*(1+Assumptions!I$15),K676*(1+Assumptions!I$14)),-2)</f>
        <v>118600</v>
      </c>
      <c r="M676" s="288">
        <f>ROUND(IF($A676="E",L676*(1+Assumptions!J$15),L676*(1+Assumptions!J$14)),-2)</f>
        <v>121600</v>
      </c>
      <c r="N676" s="288">
        <f>ROUND(IF($A676="E",M676*(1+Assumptions!K$15),M676*(1+Assumptions!K$14)),-2)</f>
        <v>124600</v>
      </c>
    </row>
    <row r="677" spans="2:14" x14ac:dyDescent="0.25">
      <c r="B677" s="16" t="s">
        <v>41</v>
      </c>
      <c r="C677" s="16" t="s">
        <v>1122</v>
      </c>
      <c r="D677" s="16" t="s">
        <v>1123</v>
      </c>
      <c r="E677" s="289"/>
      <c r="F677" s="289"/>
      <c r="G677" s="289"/>
      <c r="H677" s="289"/>
      <c r="I677" s="289"/>
      <c r="J677" s="289"/>
      <c r="K677" s="289"/>
      <c r="L677" s="289"/>
      <c r="M677" s="289"/>
      <c r="N677" s="289"/>
    </row>
    <row r="678" spans="2:14" x14ac:dyDescent="0.25">
      <c r="B678" s="16" t="s">
        <v>41</v>
      </c>
      <c r="C678" s="16" t="s">
        <v>1124</v>
      </c>
      <c r="D678" s="16" t="s">
        <v>1125</v>
      </c>
      <c r="E678" s="288">
        <v>514400</v>
      </c>
      <c r="F678" s="288">
        <f>ROUND(IF($A678="E",E678*(1+Assumptions!C$15),E678*(1+Assumptions!C$14)),-2)</f>
        <v>522100</v>
      </c>
      <c r="G678" s="288">
        <f>ROUND(IF($A678="E",F678*(1+Assumptions!D$15),F678*(1+Assumptions!D$14)),-2)</f>
        <v>532500</v>
      </c>
      <c r="H678" s="288">
        <f>ROUND(IF($A678="E",G678*(1+Assumptions!E$15),G678*(1+Assumptions!E$14)),-2)</f>
        <v>543200</v>
      </c>
      <c r="I678" s="288">
        <f>ROUND(IF($A678="E",H678*(1+Assumptions!F$15),H678*(1+Assumptions!F$14)),-2)</f>
        <v>554100</v>
      </c>
      <c r="J678" s="288">
        <f>ROUND(IF($A678="E",I678*(1+Assumptions!G$15),I678*(1+Assumptions!G$14)),-2)</f>
        <v>565200</v>
      </c>
      <c r="K678" s="288">
        <f>ROUND(IF($A678="E",J678*(1+Assumptions!H$15),J678*(1+Assumptions!H$14)),-2)</f>
        <v>576500</v>
      </c>
      <c r="L678" s="288">
        <f>ROUND(IF($A678="E",K678*(1+Assumptions!I$15),K678*(1+Assumptions!I$14)),-2)</f>
        <v>590900</v>
      </c>
      <c r="M678" s="288">
        <f>ROUND(IF($A678="E",L678*(1+Assumptions!J$15),L678*(1+Assumptions!J$14)),-2)</f>
        <v>605700</v>
      </c>
      <c r="N678" s="288">
        <f>ROUND(IF($A678="E",M678*(1+Assumptions!K$15),M678*(1+Assumptions!K$14)),-2)</f>
        <v>620800</v>
      </c>
    </row>
    <row r="679" spans="2:14" x14ac:dyDescent="0.25">
      <c r="B679" s="16" t="s">
        <v>43</v>
      </c>
      <c r="C679" s="16" t="s">
        <v>1126</v>
      </c>
      <c r="D679" s="16" t="s">
        <v>1127</v>
      </c>
      <c r="E679" s="288">
        <v>13000</v>
      </c>
      <c r="F679" s="288">
        <f>ROUND(IF($A679="E",E679*(1+Assumptions!C$15),E679*(1+Assumptions!C$14)),-2)</f>
        <v>13200</v>
      </c>
      <c r="G679" s="288">
        <f>ROUND(IF($A679="E",F679*(1+Assumptions!D$15),F679*(1+Assumptions!D$14)),-2)</f>
        <v>13500</v>
      </c>
      <c r="H679" s="288">
        <f>ROUND(IF($A679="E",G679*(1+Assumptions!E$15),G679*(1+Assumptions!E$14)),-2)</f>
        <v>13800</v>
      </c>
      <c r="I679" s="288">
        <f>ROUND(IF($A679="E",H679*(1+Assumptions!F$15),H679*(1+Assumptions!F$14)),-2)</f>
        <v>14100</v>
      </c>
      <c r="J679" s="288">
        <f>ROUND(IF($A679="E",I679*(1+Assumptions!G$15),I679*(1+Assumptions!G$14)),-2)</f>
        <v>14400</v>
      </c>
      <c r="K679" s="288">
        <f>ROUND(IF($A679="E",J679*(1+Assumptions!H$15),J679*(1+Assumptions!H$14)),-2)</f>
        <v>14700</v>
      </c>
      <c r="L679" s="288">
        <f>ROUND(IF($A679="E",K679*(1+Assumptions!I$15),K679*(1+Assumptions!I$14)),-2)</f>
        <v>15100</v>
      </c>
      <c r="M679" s="288">
        <f>ROUND(IF($A679="E",L679*(1+Assumptions!J$15),L679*(1+Assumptions!J$14)),-2)</f>
        <v>15500</v>
      </c>
      <c r="N679" s="288">
        <f>ROUND(IF($A679="E",M679*(1+Assumptions!K$15),M679*(1+Assumptions!K$14)),-2)</f>
        <v>15900</v>
      </c>
    </row>
    <row r="680" spans="2:14" x14ac:dyDescent="0.25">
      <c r="B680" s="16" t="s">
        <v>41</v>
      </c>
      <c r="C680" s="16" t="s">
        <v>1128</v>
      </c>
      <c r="D680" s="16" t="s">
        <v>1129</v>
      </c>
      <c r="E680" s="289"/>
      <c r="F680" s="289"/>
      <c r="G680" s="289"/>
      <c r="H680" s="289"/>
      <c r="I680" s="289"/>
      <c r="J680" s="289"/>
      <c r="K680" s="289"/>
      <c r="L680" s="289"/>
      <c r="M680" s="289"/>
      <c r="N680" s="289"/>
    </row>
    <row r="681" spans="2:14" x14ac:dyDescent="0.25">
      <c r="B681" s="16" t="s">
        <v>41</v>
      </c>
      <c r="C681" s="16" t="s">
        <v>1130</v>
      </c>
      <c r="D681" s="16" t="s">
        <v>1131</v>
      </c>
      <c r="E681" s="288">
        <v>244600</v>
      </c>
      <c r="F681" s="288">
        <f>ROUND(IF($A681="E",E681*(1+Assumptions!C$15),E681*(1+Assumptions!C$14)),-2)</f>
        <v>248300</v>
      </c>
      <c r="G681" s="288">
        <f>ROUND(IF($A681="E",F681*(1+Assumptions!D$15),F681*(1+Assumptions!D$14)),-2)</f>
        <v>253300</v>
      </c>
      <c r="H681" s="288">
        <f>ROUND(IF($A681="E",G681*(1+Assumptions!E$15),G681*(1+Assumptions!E$14)),-2)</f>
        <v>258400</v>
      </c>
      <c r="I681" s="288">
        <f>ROUND(IF($A681="E",H681*(1+Assumptions!F$15),H681*(1+Assumptions!F$14)),-2)</f>
        <v>263600</v>
      </c>
      <c r="J681" s="288">
        <f>ROUND(IF($A681="E",I681*(1+Assumptions!G$15),I681*(1+Assumptions!G$14)),-2)</f>
        <v>268900</v>
      </c>
      <c r="K681" s="288">
        <f>ROUND(IF($A681="E",J681*(1+Assumptions!H$15),J681*(1+Assumptions!H$14)),-2)</f>
        <v>274300</v>
      </c>
      <c r="L681" s="288">
        <f>ROUND(IF($A681="E",K681*(1+Assumptions!I$15),K681*(1+Assumptions!I$14)),-2)</f>
        <v>281200</v>
      </c>
      <c r="M681" s="288">
        <f>ROUND(IF($A681="E",L681*(1+Assumptions!J$15),L681*(1+Assumptions!J$14)),-2)</f>
        <v>288200</v>
      </c>
      <c r="N681" s="288">
        <f>ROUND(IF($A681="E",M681*(1+Assumptions!K$15),M681*(1+Assumptions!K$14)),-2)</f>
        <v>295400</v>
      </c>
    </row>
    <row r="682" spans="2:14" x14ac:dyDescent="0.25">
      <c r="B682" s="16" t="s">
        <v>43</v>
      </c>
      <c r="C682" s="16" t="s">
        <v>1132</v>
      </c>
      <c r="D682" s="16" t="s">
        <v>97</v>
      </c>
      <c r="E682" s="288">
        <v>18000</v>
      </c>
      <c r="F682" s="288">
        <f>ROUND(IF($A682="E",E682*(1+Assumptions!C$15),E682*(1+Assumptions!C$14)),-2)</f>
        <v>18300</v>
      </c>
      <c r="G682" s="288">
        <f>ROUND(IF($A682="E",F682*(1+Assumptions!D$15),F682*(1+Assumptions!D$14)),-2)</f>
        <v>18700</v>
      </c>
      <c r="H682" s="288">
        <f>ROUND(IF($A682="E",G682*(1+Assumptions!E$15),G682*(1+Assumptions!E$14)),-2)</f>
        <v>19100</v>
      </c>
      <c r="I682" s="288">
        <f>ROUND(IF($A682="E",H682*(1+Assumptions!F$15),H682*(1+Assumptions!F$14)),-2)</f>
        <v>19500</v>
      </c>
      <c r="J682" s="288">
        <f>ROUND(IF($A682="E",I682*(1+Assumptions!G$15),I682*(1+Assumptions!G$14)),-2)</f>
        <v>19900</v>
      </c>
      <c r="K682" s="288">
        <f>ROUND(IF($A682="E",J682*(1+Assumptions!H$15),J682*(1+Assumptions!H$14)),-2)</f>
        <v>20300</v>
      </c>
      <c r="L682" s="288">
        <f>ROUND(IF($A682="E",K682*(1+Assumptions!I$15),K682*(1+Assumptions!I$14)),-2)</f>
        <v>20800</v>
      </c>
      <c r="M682" s="288">
        <f>ROUND(IF($A682="E",L682*(1+Assumptions!J$15),L682*(1+Assumptions!J$14)),-2)</f>
        <v>21300</v>
      </c>
      <c r="N682" s="288">
        <f>ROUND(IF($A682="E",M682*(1+Assumptions!K$15),M682*(1+Assumptions!K$14)),-2)</f>
        <v>21800</v>
      </c>
    </row>
    <row r="683" spans="2:14" x14ac:dyDescent="0.25">
      <c r="B683" s="16" t="s">
        <v>41</v>
      </c>
      <c r="C683" s="16" t="s">
        <v>1133</v>
      </c>
      <c r="D683" s="16" t="s">
        <v>1134</v>
      </c>
      <c r="E683" s="289"/>
      <c r="F683" s="289"/>
      <c r="G683" s="289"/>
      <c r="H683" s="289"/>
      <c r="I683" s="289"/>
      <c r="J683" s="289"/>
      <c r="K683" s="289"/>
      <c r="L683" s="289"/>
      <c r="M683" s="289"/>
      <c r="N683" s="289"/>
    </row>
    <row r="684" spans="2:14" x14ac:dyDescent="0.25">
      <c r="B684" s="16" t="s">
        <v>41</v>
      </c>
      <c r="C684" s="16" t="s">
        <v>1135</v>
      </c>
      <c r="D684" s="16" t="s">
        <v>1136</v>
      </c>
      <c r="E684" s="288">
        <v>292300</v>
      </c>
      <c r="F684" s="288">
        <f>ROUND(IF($A684="E",E684*(1+Assumptions!C$15),E684*(1+Assumptions!C$14)),-2)</f>
        <v>296700</v>
      </c>
      <c r="G684" s="288">
        <f>ROUND(IF($A684="E",F684*(1+Assumptions!D$15),F684*(1+Assumptions!D$14)),-2)</f>
        <v>302600</v>
      </c>
      <c r="H684" s="288">
        <f>ROUND(IF($A684="E",G684*(1+Assumptions!E$15),G684*(1+Assumptions!E$14)),-2)</f>
        <v>308700</v>
      </c>
      <c r="I684" s="288">
        <f>ROUND(IF($A684="E",H684*(1+Assumptions!F$15),H684*(1+Assumptions!F$14)),-2)</f>
        <v>314900</v>
      </c>
      <c r="J684" s="288">
        <f>ROUND(IF($A684="E",I684*(1+Assumptions!G$15),I684*(1+Assumptions!G$14)),-2)</f>
        <v>321200</v>
      </c>
      <c r="K684" s="288">
        <f>ROUND(IF($A684="E",J684*(1+Assumptions!H$15),J684*(1+Assumptions!H$14)),-2)</f>
        <v>327600</v>
      </c>
      <c r="L684" s="288">
        <f>ROUND(IF($A684="E",K684*(1+Assumptions!I$15),K684*(1+Assumptions!I$14)),-2)</f>
        <v>335800</v>
      </c>
      <c r="M684" s="288">
        <f>ROUND(IF($A684="E",L684*(1+Assumptions!J$15),L684*(1+Assumptions!J$14)),-2)</f>
        <v>344200</v>
      </c>
      <c r="N684" s="288">
        <f>ROUND(IF($A684="E",M684*(1+Assumptions!K$15),M684*(1+Assumptions!K$14)),-2)</f>
        <v>352800</v>
      </c>
    </row>
    <row r="685" spans="2:14" x14ac:dyDescent="0.25">
      <c r="B685" s="16" t="s">
        <v>43</v>
      </c>
      <c r="C685" s="16" t="s">
        <v>1137</v>
      </c>
      <c r="D685" s="16" t="s">
        <v>1138</v>
      </c>
      <c r="E685" s="288">
        <v>33300</v>
      </c>
      <c r="F685" s="288">
        <f>ROUND(IF($A685="E",E685*(1+Assumptions!C$15),E685*(1+Assumptions!C$14)),-2)</f>
        <v>33800</v>
      </c>
      <c r="G685" s="288">
        <f>ROUND(IF($A685="E",F685*(1+Assumptions!D$15),F685*(1+Assumptions!D$14)),-2)</f>
        <v>34500</v>
      </c>
      <c r="H685" s="288">
        <f>ROUND(IF($A685="E",G685*(1+Assumptions!E$15),G685*(1+Assumptions!E$14)),-2)</f>
        <v>35200</v>
      </c>
      <c r="I685" s="288">
        <f>ROUND(IF($A685="E",H685*(1+Assumptions!F$15),H685*(1+Assumptions!F$14)),-2)</f>
        <v>35900</v>
      </c>
      <c r="J685" s="288">
        <f>ROUND(IF($A685="E",I685*(1+Assumptions!G$15),I685*(1+Assumptions!G$14)),-2)</f>
        <v>36600</v>
      </c>
      <c r="K685" s="288">
        <f>ROUND(IF($A685="E",J685*(1+Assumptions!H$15),J685*(1+Assumptions!H$14)),-2)</f>
        <v>37300</v>
      </c>
      <c r="L685" s="288">
        <f>ROUND(IF($A685="E",K685*(1+Assumptions!I$15),K685*(1+Assumptions!I$14)),-2)</f>
        <v>38200</v>
      </c>
      <c r="M685" s="288">
        <f>ROUND(IF($A685="E",L685*(1+Assumptions!J$15),L685*(1+Assumptions!J$14)),-2)</f>
        <v>39200</v>
      </c>
      <c r="N685" s="288">
        <f>ROUND(IF($A685="E",M685*(1+Assumptions!K$15),M685*(1+Assumptions!K$14)),-2)</f>
        <v>40200</v>
      </c>
    </row>
    <row r="686" spans="2:14" x14ac:dyDescent="0.25">
      <c r="B686" s="16" t="s">
        <v>43</v>
      </c>
      <c r="C686" s="16" t="s">
        <v>1139</v>
      </c>
      <c r="D686" s="16" t="s">
        <v>1140</v>
      </c>
      <c r="E686" s="288">
        <v>2500</v>
      </c>
      <c r="F686" s="288">
        <f>ROUND(IF($A686="E",E686*(1+Assumptions!C$15),E686*(1+Assumptions!C$14)),-2)</f>
        <v>2500</v>
      </c>
      <c r="G686" s="288">
        <f>ROUND(IF($A686="E",F686*(1+Assumptions!D$15),F686*(1+Assumptions!D$14)),-2)</f>
        <v>2600</v>
      </c>
      <c r="H686" s="288">
        <f>ROUND(IF($A686="E",G686*(1+Assumptions!E$15),G686*(1+Assumptions!E$14)),-2)</f>
        <v>2700</v>
      </c>
      <c r="I686" s="288">
        <f>ROUND(IF($A686="E",H686*(1+Assumptions!F$15),H686*(1+Assumptions!F$14)),-2)</f>
        <v>2800</v>
      </c>
      <c r="J686" s="288">
        <f>ROUND(IF($A686="E",I686*(1+Assumptions!G$15),I686*(1+Assumptions!G$14)),-2)</f>
        <v>2900</v>
      </c>
      <c r="K686" s="288">
        <f>ROUND(IF($A686="E",J686*(1+Assumptions!H$15),J686*(1+Assumptions!H$14)),-2)</f>
        <v>3000</v>
      </c>
      <c r="L686" s="288">
        <f>ROUND(IF($A686="E",K686*(1+Assumptions!I$15),K686*(1+Assumptions!I$14)),-2)</f>
        <v>3100</v>
      </c>
      <c r="M686" s="288">
        <f>ROUND(IF($A686="E",L686*(1+Assumptions!J$15),L686*(1+Assumptions!J$14)),-2)</f>
        <v>3200</v>
      </c>
      <c r="N686" s="288">
        <f>ROUND(IF($A686="E",M686*(1+Assumptions!K$15),M686*(1+Assumptions!K$14)),-2)</f>
        <v>3300</v>
      </c>
    </row>
    <row r="687" spans="2:14" x14ac:dyDescent="0.25">
      <c r="B687" s="16" t="s">
        <v>43</v>
      </c>
      <c r="C687" s="16" t="s">
        <v>1141</v>
      </c>
      <c r="D687" s="16" t="s">
        <v>1142</v>
      </c>
      <c r="E687" s="288">
        <v>8000</v>
      </c>
      <c r="F687" s="288">
        <f>ROUND(IF($A687="E",E687*(1+Assumptions!C$15),E687*(1+Assumptions!C$14)),-2)</f>
        <v>8100</v>
      </c>
      <c r="G687" s="288">
        <f>ROUND(IF($A687="E",F687*(1+Assumptions!D$15),F687*(1+Assumptions!D$14)),-2)</f>
        <v>8300</v>
      </c>
      <c r="H687" s="288">
        <f>ROUND(IF($A687="E",G687*(1+Assumptions!E$15),G687*(1+Assumptions!E$14)),-2)</f>
        <v>8500</v>
      </c>
      <c r="I687" s="288">
        <f>ROUND(IF($A687="E",H687*(1+Assumptions!F$15),H687*(1+Assumptions!F$14)),-2)</f>
        <v>8700</v>
      </c>
      <c r="J687" s="288">
        <f>ROUND(IF($A687="E",I687*(1+Assumptions!G$15),I687*(1+Assumptions!G$14)),-2)</f>
        <v>8900</v>
      </c>
      <c r="K687" s="288">
        <f>ROUND(IF($A687="E",J687*(1+Assumptions!H$15),J687*(1+Assumptions!H$14)),-2)</f>
        <v>9100</v>
      </c>
      <c r="L687" s="288">
        <f>ROUND(IF($A687="E",K687*(1+Assumptions!I$15),K687*(1+Assumptions!I$14)),-2)</f>
        <v>9300</v>
      </c>
      <c r="M687" s="288">
        <f>ROUND(IF($A687="E",L687*(1+Assumptions!J$15),L687*(1+Assumptions!J$14)),-2)</f>
        <v>9500</v>
      </c>
      <c r="N687" s="288">
        <f>ROUND(IF($A687="E",M687*(1+Assumptions!K$15),M687*(1+Assumptions!K$14)),-2)</f>
        <v>9700</v>
      </c>
    </row>
    <row r="688" spans="2:14" x14ac:dyDescent="0.25">
      <c r="B688" s="16" t="s">
        <v>45</v>
      </c>
      <c r="C688" s="16" t="s">
        <v>1143</v>
      </c>
      <c r="D688" s="16" t="s">
        <v>884</v>
      </c>
      <c r="E688" s="289"/>
      <c r="F688" s="289"/>
      <c r="G688" s="289"/>
      <c r="H688" s="289"/>
      <c r="I688" s="289"/>
      <c r="J688" s="289"/>
      <c r="K688" s="289"/>
      <c r="L688" s="289"/>
      <c r="M688" s="289"/>
      <c r="N688" s="289"/>
    </row>
    <row r="689" spans="2:14" x14ac:dyDescent="0.25">
      <c r="B689" s="16" t="s">
        <v>45</v>
      </c>
      <c r="C689" s="16" t="s">
        <v>1144</v>
      </c>
      <c r="D689" s="16" t="s">
        <v>1145</v>
      </c>
      <c r="E689" s="288">
        <v>19900</v>
      </c>
      <c r="F689" s="288">
        <f>ROUND(IF($A689="E",E689*(1+Assumptions!C$15),E689*(1+Assumptions!C$14)),-2)</f>
        <v>20200</v>
      </c>
      <c r="G689" s="288">
        <f>ROUND(IF($A689="E",F689*(1+Assumptions!D$15),F689*(1+Assumptions!D$14)),-2)</f>
        <v>20600</v>
      </c>
      <c r="H689" s="288">
        <f>ROUND(IF($A689="E",G689*(1+Assumptions!E$15),G689*(1+Assumptions!E$14)),-2)</f>
        <v>21000</v>
      </c>
      <c r="I689" s="288">
        <f>ROUND(IF($A689="E",H689*(1+Assumptions!F$15),H689*(1+Assumptions!F$14)),-2)</f>
        <v>21400</v>
      </c>
      <c r="J689" s="288">
        <f>ROUND(IF($A689="E",I689*(1+Assumptions!G$15),I689*(1+Assumptions!G$14)),-2)</f>
        <v>21800</v>
      </c>
      <c r="K689" s="288">
        <f>ROUND(IF($A689="E",J689*(1+Assumptions!H$15),J689*(1+Assumptions!H$14)),-2)</f>
        <v>22200</v>
      </c>
      <c r="L689" s="288">
        <f>ROUND(IF($A689="E",K689*(1+Assumptions!I$15),K689*(1+Assumptions!I$14)),-2)</f>
        <v>22800</v>
      </c>
      <c r="M689" s="288">
        <f>ROUND(IF($A689="E",L689*(1+Assumptions!J$15),L689*(1+Assumptions!J$14)),-2)</f>
        <v>23400</v>
      </c>
      <c r="N689" s="288">
        <f>ROUND(IF($A689="E",M689*(1+Assumptions!K$15),M689*(1+Assumptions!K$14)),-2)</f>
        <v>24000</v>
      </c>
    </row>
    <row r="690" spans="2:14" x14ac:dyDescent="0.25">
      <c r="B690" s="16" t="s">
        <v>43</v>
      </c>
      <c r="C690" s="16" t="s">
        <v>1146</v>
      </c>
      <c r="D690" s="16" t="s">
        <v>1147</v>
      </c>
      <c r="E690" s="288">
        <v>5000</v>
      </c>
      <c r="F690" s="288">
        <f>ROUND(IF($A690="E",E690*(1+Assumptions!C$15),E690*(1+Assumptions!C$14)),-2)</f>
        <v>5100</v>
      </c>
      <c r="G690" s="288">
        <f>ROUND(IF($A690="E",F690*(1+Assumptions!D$15),F690*(1+Assumptions!D$14)),-2)</f>
        <v>5200</v>
      </c>
      <c r="H690" s="288">
        <f>ROUND(IF($A690="E",G690*(1+Assumptions!E$15),G690*(1+Assumptions!E$14)),-2)</f>
        <v>5300</v>
      </c>
      <c r="I690" s="288">
        <f>ROUND(IF($A690="E",H690*(1+Assumptions!F$15),H690*(1+Assumptions!F$14)),-2)</f>
        <v>5400</v>
      </c>
      <c r="J690" s="288">
        <f>ROUND(IF($A690="E",I690*(1+Assumptions!G$15),I690*(1+Assumptions!G$14)),-2)</f>
        <v>5500</v>
      </c>
      <c r="K690" s="288">
        <f>ROUND(IF($A690="E",J690*(1+Assumptions!H$15),J690*(1+Assumptions!H$14)),-2)</f>
        <v>5600</v>
      </c>
      <c r="L690" s="288">
        <f>ROUND(IF($A690="E",K690*(1+Assumptions!I$15),K690*(1+Assumptions!I$14)),-2)</f>
        <v>5700</v>
      </c>
      <c r="M690" s="288">
        <f>ROUND(IF($A690="E",L690*(1+Assumptions!J$15),L690*(1+Assumptions!J$14)),-2)</f>
        <v>5800</v>
      </c>
      <c r="N690" s="288">
        <f>ROUND(IF($A690="E",M690*(1+Assumptions!K$15),M690*(1+Assumptions!K$14)),-2)</f>
        <v>5900</v>
      </c>
    </row>
    <row r="691" spans="2:14" x14ac:dyDescent="0.25">
      <c r="B691" s="16" t="s">
        <v>45</v>
      </c>
      <c r="C691" s="16" t="s">
        <v>1148</v>
      </c>
      <c r="D691" s="16" t="s">
        <v>1149</v>
      </c>
      <c r="E691" s="288">
        <v>3400</v>
      </c>
      <c r="F691" s="288">
        <f>ROUND(IF($A691="E",E691*(1+Assumptions!C$15),E691*(1+Assumptions!C$14)),-2)</f>
        <v>3500</v>
      </c>
      <c r="G691" s="288">
        <f>ROUND(IF($A691="E",F691*(1+Assumptions!D$15),F691*(1+Assumptions!D$14)),-2)</f>
        <v>3600</v>
      </c>
      <c r="H691" s="288">
        <f>ROUND(IF($A691="E",G691*(1+Assumptions!E$15),G691*(1+Assumptions!E$14)),-2)</f>
        <v>3700</v>
      </c>
      <c r="I691" s="288">
        <f>ROUND(IF($A691="E",H691*(1+Assumptions!F$15),H691*(1+Assumptions!F$14)),-2)</f>
        <v>3800</v>
      </c>
      <c r="J691" s="288">
        <f>ROUND(IF($A691="E",I691*(1+Assumptions!G$15),I691*(1+Assumptions!G$14)),-2)</f>
        <v>3900</v>
      </c>
      <c r="K691" s="288">
        <f>ROUND(IF($A691="E",J691*(1+Assumptions!H$15),J691*(1+Assumptions!H$14)),-2)</f>
        <v>4000</v>
      </c>
      <c r="L691" s="288">
        <f>ROUND(IF($A691="E",K691*(1+Assumptions!I$15),K691*(1+Assumptions!I$14)),-2)</f>
        <v>4100</v>
      </c>
      <c r="M691" s="288">
        <f>ROUND(IF($A691="E",L691*(1+Assumptions!J$15),L691*(1+Assumptions!J$14)),-2)</f>
        <v>4200</v>
      </c>
      <c r="N691" s="288">
        <f>ROUND(IF($A691="E",M691*(1+Assumptions!K$15),M691*(1+Assumptions!K$14)),-2)</f>
        <v>4300</v>
      </c>
    </row>
    <row r="692" spans="2:14" x14ac:dyDescent="0.25">
      <c r="B692" s="16" t="s">
        <v>43</v>
      </c>
      <c r="C692" s="16" t="s">
        <v>1150</v>
      </c>
      <c r="D692" s="16" t="s">
        <v>1151</v>
      </c>
      <c r="E692" s="288">
        <v>3400</v>
      </c>
      <c r="F692" s="288">
        <f>ROUND(IF($A692="E",E692*(1+Assumptions!C$15),E692*(1+Assumptions!C$14)),-2)</f>
        <v>3500</v>
      </c>
      <c r="G692" s="288">
        <f>ROUND(IF($A692="E",F692*(1+Assumptions!D$15),F692*(1+Assumptions!D$14)),-2)</f>
        <v>3600</v>
      </c>
      <c r="H692" s="288">
        <f>ROUND(IF($A692="E",G692*(1+Assumptions!E$15),G692*(1+Assumptions!E$14)),-2)</f>
        <v>3700</v>
      </c>
      <c r="I692" s="288">
        <f>ROUND(IF($A692="E",H692*(1+Assumptions!F$15),H692*(1+Assumptions!F$14)),-2)</f>
        <v>3800</v>
      </c>
      <c r="J692" s="288">
        <f>ROUND(IF($A692="E",I692*(1+Assumptions!G$15),I692*(1+Assumptions!G$14)),-2)</f>
        <v>3900</v>
      </c>
      <c r="K692" s="288">
        <f>ROUND(IF($A692="E",J692*(1+Assumptions!H$15),J692*(1+Assumptions!H$14)),-2)</f>
        <v>4000</v>
      </c>
      <c r="L692" s="288">
        <f>ROUND(IF($A692="E",K692*(1+Assumptions!I$15),K692*(1+Assumptions!I$14)),-2)</f>
        <v>4100</v>
      </c>
      <c r="M692" s="288">
        <f>ROUND(IF($A692="E",L692*(1+Assumptions!J$15),L692*(1+Assumptions!J$14)),-2)</f>
        <v>4200</v>
      </c>
      <c r="N692" s="288">
        <f>ROUND(IF($A692="E",M692*(1+Assumptions!K$15),M692*(1+Assumptions!K$14)),-2)</f>
        <v>4300</v>
      </c>
    </row>
    <row r="693" spans="2:14" x14ac:dyDescent="0.25">
      <c r="B693" s="16" t="s">
        <v>43</v>
      </c>
      <c r="C693" s="16" t="s">
        <v>1152</v>
      </c>
      <c r="D693" s="16" t="s">
        <v>1153</v>
      </c>
      <c r="E693" s="288">
        <v>2900</v>
      </c>
      <c r="F693" s="288">
        <f>ROUND(IF($A693="E",E693*(1+Assumptions!C$15),E693*(1+Assumptions!C$14)),-2)</f>
        <v>2900</v>
      </c>
      <c r="G693" s="288">
        <f>ROUND(IF($A693="E",F693*(1+Assumptions!D$15),F693*(1+Assumptions!D$14)),-2)</f>
        <v>3000</v>
      </c>
      <c r="H693" s="288">
        <f>ROUND(IF($A693="E",G693*(1+Assumptions!E$15),G693*(1+Assumptions!E$14)),-2)</f>
        <v>3100</v>
      </c>
      <c r="I693" s="288">
        <f>ROUND(IF($A693="E",H693*(1+Assumptions!F$15),H693*(1+Assumptions!F$14)),-2)</f>
        <v>3200</v>
      </c>
      <c r="J693" s="288">
        <f>ROUND(IF($A693="E",I693*(1+Assumptions!G$15),I693*(1+Assumptions!G$14)),-2)</f>
        <v>3300</v>
      </c>
      <c r="K693" s="288">
        <f>ROUND(IF($A693="E",J693*(1+Assumptions!H$15),J693*(1+Assumptions!H$14)),-2)</f>
        <v>3400</v>
      </c>
      <c r="L693" s="288">
        <f>ROUND(IF($A693="E",K693*(1+Assumptions!I$15),K693*(1+Assumptions!I$14)),-2)</f>
        <v>3500</v>
      </c>
      <c r="M693" s="288">
        <f>ROUND(IF($A693="E",L693*(1+Assumptions!J$15),L693*(1+Assumptions!J$14)),-2)</f>
        <v>3600</v>
      </c>
      <c r="N693" s="288">
        <f>ROUND(IF($A693="E",M693*(1+Assumptions!K$15),M693*(1+Assumptions!K$14)),-2)</f>
        <v>3700</v>
      </c>
    </row>
    <row r="694" spans="2:14" x14ac:dyDescent="0.25">
      <c r="B694" s="16" t="s">
        <v>41</v>
      </c>
      <c r="C694" s="16" t="s">
        <v>1154</v>
      </c>
      <c r="D694" s="16" t="s">
        <v>1155</v>
      </c>
      <c r="E694" s="288">
        <v>16200</v>
      </c>
      <c r="F694" s="288">
        <f>ROUND(IF($A694="E",E694*(1+Assumptions!C$15),E694*(1+Assumptions!C$14)),-2)</f>
        <v>16400</v>
      </c>
      <c r="G694" s="288">
        <f>ROUND(IF($A694="E",F694*(1+Assumptions!D$15),F694*(1+Assumptions!D$14)),-2)</f>
        <v>16700</v>
      </c>
      <c r="H694" s="288">
        <f>ROUND(IF($A694="E",G694*(1+Assumptions!E$15),G694*(1+Assumptions!E$14)),-2)</f>
        <v>17000</v>
      </c>
      <c r="I694" s="288">
        <f>ROUND(IF($A694="E",H694*(1+Assumptions!F$15),H694*(1+Assumptions!F$14)),-2)</f>
        <v>17300</v>
      </c>
      <c r="J694" s="288">
        <f>ROUND(IF($A694="E",I694*(1+Assumptions!G$15),I694*(1+Assumptions!G$14)),-2)</f>
        <v>17600</v>
      </c>
      <c r="K694" s="288">
        <f>ROUND(IF($A694="E",J694*(1+Assumptions!H$15),J694*(1+Assumptions!H$14)),-2)</f>
        <v>18000</v>
      </c>
      <c r="L694" s="288">
        <f>ROUND(IF($A694="E",K694*(1+Assumptions!I$15),K694*(1+Assumptions!I$14)),-2)</f>
        <v>18500</v>
      </c>
      <c r="M694" s="288">
        <f>ROUND(IF($A694="E",L694*(1+Assumptions!J$15),L694*(1+Assumptions!J$14)),-2)</f>
        <v>19000</v>
      </c>
      <c r="N694" s="288">
        <f>ROUND(IF($A694="E",M694*(1+Assumptions!K$15),M694*(1+Assumptions!K$14)),-2)</f>
        <v>19500</v>
      </c>
    </row>
    <row r="695" spans="2:14" x14ac:dyDescent="0.25">
      <c r="C695" s="16" t="s">
        <v>1156</v>
      </c>
      <c r="D695" s="16" t="s">
        <v>187</v>
      </c>
      <c r="E695" s="289"/>
      <c r="F695" s="289"/>
      <c r="G695" s="289"/>
      <c r="H695" s="289"/>
      <c r="I695" s="289"/>
      <c r="J695" s="289"/>
      <c r="K695" s="289"/>
      <c r="L695" s="289"/>
      <c r="M695" s="289"/>
      <c r="N695" s="289"/>
    </row>
    <row r="696" spans="2:14" x14ac:dyDescent="0.25">
      <c r="B696" s="16" t="s">
        <v>43</v>
      </c>
      <c r="C696" s="16" t="s">
        <v>1157</v>
      </c>
      <c r="D696" s="16" t="s">
        <v>193</v>
      </c>
      <c r="E696" s="288">
        <v>973900</v>
      </c>
      <c r="F696" s="288">
        <f>ROUND(IF($A696="E",E696*(1+Assumptions!C$15),E696*(1+Assumptions!C$14)),-2)</f>
        <v>988500</v>
      </c>
      <c r="G696" s="288">
        <f>ROUND(IF($A696="E",F696*(1+Assumptions!D$15),F696*(1+Assumptions!D$14)),-2)</f>
        <v>1008300</v>
      </c>
      <c r="H696" s="288">
        <f>ROUND(IF($A696="E",G696*(1+Assumptions!E$15),G696*(1+Assumptions!E$14)),-2)</f>
        <v>1028500</v>
      </c>
      <c r="I696" s="288">
        <f>ROUND(IF($A696="E",H696*(1+Assumptions!F$15),H696*(1+Assumptions!F$14)),-2)</f>
        <v>1049100</v>
      </c>
      <c r="J696" s="288">
        <f>ROUND(IF($A696="E",I696*(1+Assumptions!G$15),I696*(1+Assumptions!G$14)),-2)</f>
        <v>1070100</v>
      </c>
      <c r="K696" s="288">
        <f>ROUND(IF($A696="E",J696*(1+Assumptions!H$15),J696*(1+Assumptions!H$14)),-2)</f>
        <v>1091500</v>
      </c>
      <c r="L696" s="288">
        <f>ROUND(IF($A696="E",K696*(1+Assumptions!I$15),K696*(1+Assumptions!I$14)),-2)</f>
        <v>1118800</v>
      </c>
      <c r="M696" s="288">
        <f>ROUND(IF($A696="E",L696*(1+Assumptions!J$15),L696*(1+Assumptions!J$14)),-2)</f>
        <v>1146800</v>
      </c>
      <c r="N696" s="288">
        <f>ROUND(IF($A696="E",M696*(1+Assumptions!K$15),M696*(1+Assumptions!K$14)),-2)</f>
        <v>1175500</v>
      </c>
    </row>
    <row r="697" spans="2:14" x14ac:dyDescent="0.25">
      <c r="B697" s="16" t="s">
        <v>43</v>
      </c>
      <c r="C697" s="16" t="s">
        <v>1158</v>
      </c>
      <c r="D697" s="16" t="s">
        <v>195</v>
      </c>
      <c r="E697" s="288">
        <v>-2798900</v>
      </c>
      <c r="F697" s="288">
        <f>ROUND(IF($A697="E",E697*(1+Assumptions!C$15),E697*(1+Assumptions!C$14)),-2)</f>
        <v>-2840900</v>
      </c>
      <c r="G697" s="288">
        <f>ROUND(IF($A697="E",F697*(1+Assumptions!D$15),F697*(1+Assumptions!D$14)),-2)</f>
        <v>-2897700</v>
      </c>
      <c r="H697" s="288">
        <f>ROUND(IF($A697="E",G697*(1+Assumptions!E$15),G697*(1+Assumptions!E$14)),-2)</f>
        <v>-2955700</v>
      </c>
      <c r="I697" s="288">
        <f>ROUND(IF($A697="E",H697*(1+Assumptions!F$15),H697*(1+Assumptions!F$14)),-2)</f>
        <v>-3014800</v>
      </c>
      <c r="J697" s="288">
        <f>ROUND(IF($A697="E",I697*(1+Assumptions!G$15),I697*(1+Assumptions!G$14)),-2)</f>
        <v>-3075100</v>
      </c>
      <c r="K697" s="288">
        <f>ROUND(IF($A697="E",J697*(1+Assumptions!H$15),J697*(1+Assumptions!H$14)),-2)</f>
        <v>-3136600</v>
      </c>
      <c r="L697" s="288">
        <f>ROUND(IF($A697="E",K697*(1+Assumptions!I$15),K697*(1+Assumptions!I$14)),-2)</f>
        <v>-3215000</v>
      </c>
      <c r="M697" s="288">
        <f>ROUND(IF($A697="E",L697*(1+Assumptions!J$15),L697*(1+Assumptions!J$14)),-2)</f>
        <v>-3295400</v>
      </c>
      <c r="N697" s="288">
        <f>ROUND(IF($A697="E",M697*(1+Assumptions!K$15),M697*(1+Assumptions!K$14)),-2)</f>
        <v>-3377800</v>
      </c>
    </row>
    <row r="698" spans="2:14" ht="12.75" customHeight="1" x14ac:dyDescent="0.25">
      <c r="E698" s="288"/>
      <c r="F698" s="288"/>
      <c r="G698" s="288"/>
      <c r="H698" s="288"/>
      <c r="I698" s="288"/>
      <c r="J698" s="288"/>
      <c r="K698" s="288"/>
      <c r="L698" s="288"/>
      <c r="M698" s="288"/>
      <c r="N698" s="288"/>
    </row>
    <row r="699" spans="2:14" ht="12.75" customHeight="1" x14ac:dyDescent="0.25">
      <c r="D699" s="19" t="s">
        <v>3234</v>
      </c>
      <c r="E699" s="291">
        <f>SUM(E671:E698)</f>
        <v>178300</v>
      </c>
      <c r="F699" s="291">
        <f t="shared" ref="F699:N699" si="22">SUM(F671:F698)</f>
        <v>181000</v>
      </c>
      <c r="G699" s="291">
        <f t="shared" si="22"/>
        <v>184900</v>
      </c>
      <c r="H699" s="291">
        <f t="shared" si="22"/>
        <v>188900</v>
      </c>
      <c r="I699" s="291">
        <f t="shared" si="22"/>
        <v>193000</v>
      </c>
      <c r="J699" s="291">
        <f t="shared" si="22"/>
        <v>197000</v>
      </c>
      <c r="K699" s="291">
        <f t="shared" si="22"/>
        <v>201100</v>
      </c>
      <c r="L699" s="291">
        <f t="shared" si="22"/>
        <v>206300</v>
      </c>
      <c r="M699" s="291">
        <f t="shared" si="22"/>
        <v>211600</v>
      </c>
      <c r="N699" s="291">
        <f t="shared" si="22"/>
        <v>216800</v>
      </c>
    </row>
    <row r="700" spans="2:14" ht="12.75" customHeight="1" x14ac:dyDescent="0.25">
      <c r="E700" s="288"/>
      <c r="F700" s="288"/>
      <c r="G700" s="288"/>
      <c r="H700" s="288"/>
      <c r="I700" s="288"/>
      <c r="J700" s="288"/>
      <c r="K700" s="288"/>
      <c r="L700" s="288"/>
      <c r="M700" s="288"/>
      <c r="N700" s="288"/>
    </row>
    <row r="701" spans="2:14" x14ac:dyDescent="0.25">
      <c r="C701" s="19" t="s">
        <v>1159</v>
      </c>
      <c r="E701" s="288"/>
      <c r="F701" s="288"/>
      <c r="G701" s="288"/>
      <c r="H701" s="288"/>
      <c r="I701" s="288"/>
      <c r="J701" s="288"/>
      <c r="K701" s="288"/>
      <c r="L701" s="288"/>
      <c r="M701" s="288"/>
      <c r="N701" s="288"/>
    </row>
    <row r="702" spans="2:14" ht="12.75" customHeight="1" x14ac:dyDescent="0.25">
      <c r="E702" s="288"/>
      <c r="F702" s="288"/>
      <c r="G702" s="288"/>
      <c r="H702" s="288"/>
      <c r="I702" s="288"/>
      <c r="J702" s="288"/>
      <c r="K702" s="288"/>
      <c r="L702" s="288"/>
      <c r="M702" s="288"/>
      <c r="N702" s="288"/>
    </row>
    <row r="703" spans="2:14" x14ac:dyDescent="0.25">
      <c r="C703" s="16" t="s">
        <v>87</v>
      </c>
      <c r="E703" s="288"/>
      <c r="F703" s="288"/>
      <c r="G703" s="288"/>
      <c r="H703" s="288"/>
      <c r="I703" s="288"/>
      <c r="J703" s="288"/>
      <c r="K703" s="288"/>
      <c r="L703" s="288"/>
      <c r="M703" s="288"/>
      <c r="N703" s="288"/>
    </row>
    <row r="704" spans="2:14" x14ac:dyDescent="0.25">
      <c r="B704" s="16" t="s">
        <v>45</v>
      </c>
      <c r="C704" s="16" t="s">
        <v>1160</v>
      </c>
      <c r="D704" s="16" t="s">
        <v>1161</v>
      </c>
      <c r="E704" s="289"/>
      <c r="F704" s="289"/>
      <c r="G704" s="289"/>
      <c r="H704" s="289"/>
      <c r="I704" s="289"/>
      <c r="J704" s="289"/>
      <c r="K704" s="289"/>
      <c r="L704" s="289"/>
      <c r="M704" s="289"/>
      <c r="N704" s="289"/>
    </row>
    <row r="705" spans="2:14" x14ac:dyDescent="0.25">
      <c r="B705" s="16" t="s">
        <v>45</v>
      </c>
      <c r="C705" s="16" t="s">
        <v>1162</v>
      </c>
      <c r="D705" s="16" t="s">
        <v>1163</v>
      </c>
      <c r="E705" s="288">
        <v>167000</v>
      </c>
      <c r="F705" s="288">
        <f>ROUND(IF($A705="E",E705*(1+Assumptions!C$15),E705*(1+Assumptions!C$14)),-2)</f>
        <v>169500</v>
      </c>
      <c r="G705" s="288">
        <f>ROUND(IF($A705="E",F705*(1+Assumptions!D$15),F705*(1+Assumptions!D$14)),-2)</f>
        <v>172900</v>
      </c>
      <c r="H705" s="288">
        <f>ROUND(IF($A705="E",G705*(1+Assumptions!E$15),G705*(1+Assumptions!E$14)),-2)</f>
        <v>176400</v>
      </c>
      <c r="I705" s="288">
        <f>ROUND(IF($A705="E",H705*(1+Assumptions!F$15),H705*(1+Assumptions!F$14)),-2)</f>
        <v>179900</v>
      </c>
      <c r="J705" s="288">
        <f>ROUND(IF($A705="E",I705*(1+Assumptions!G$15),I705*(1+Assumptions!G$14)),-2)</f>
        <v>183500</v>
      </c>
      <c r="K705" s="288">
        <f>ROUND(IF($A705="E",J705*(1+Assumptions!H$15),J705*(1+Assumptions!H$14)),-2)</f>
        <v>187200</v>
      </c>
      <c r="L705" s="288">
        <f>ROUND(IF($A705="E",K705*(1+Assumptions!I$15),K705*(1+Assumptions!I$14)),-2)</f>
        <v>191900</v>
      </c>
      <c r="M705" s="288">
        <f>ROUND(IF($A705="E",L705*(1+Assumptions!J$15),L705*(1+Assumptions!J$14)),-2)</f>
        <v>196700</v>
      </c>
      <c r="N705" s="288">
        <f>ROUND(IF($A705="E",M705*(1+Assumptions!K$15),M705*(1+Assumptions!K$14)),-2)</f>
        <v>201600</v>
      </c>
    </row>
    <row r="706" spans="2:14" x14ac:dyDescent="0.25">
      <c r="B706" s="16" t="s">
        <v>45</v>
      </c>
      <c r="C706" s="16" t="s">
        <v>1164</v>
      </c>
      <c r="D706" s="16" t="s">
        <v>1165</v>
      </c>
      <c r="E706" s="288">
        <v>85000</v>
      </c>
      <c r="F706" s="288">
        <f>ROUND(IF($A706="E",E706*(1+Assumptions!C$15),E706*(1+Assumptions!C$14)),-2)</f>
        <v>86300</v>
      </c>
      <c r="G706" s="288">
        <f>ROUND(IF($A706="E",F706*(1+Assumptions!D$15),F706*(1+Assumptions!D$14)),-2)</f>
        <v>88000</v>
      </c>
      <c r="H706" s="288">
        <f>ROUND(IF($A706="E",G706*(1+Assumptions!E$15),G706*(1+Assumptions!E$14)),-2)</f>
        <v>89800</v>
      </c>
      <c r="I706" s="288">
        <f>ROUND(IF($A706="E",H706*(1+Assumptions!F$15),H706*(1+Assumptions!F$14)),-2)</f>
        <v>91600</v>
      </c>
      <c r="J706" s="288">
        <f>ROUND(IF($A706="E",I706*(1+Assumptions!G$15),I706*(1+Assumptions!G$14)),-2)</f>
        <v>93400</v>
      </c>
      <c r="K706" s="288">
        <f>ROUND(IF($A706="E",J706*(1+Assumptions!H$15),J706*(1+Assumptions!H$14)),-2)</f>
        <v>95300</v>
      </c>
      <c r="L706" s="288">
        <f>ROUND(IF($A706="E",K706*(1+Assumptions!I$15),K706*(1+Assumptions!I$14)),-2)</f>
        <v>97700</v>
      </c>
      <c r="M706" s="288">
        <f>ROUND(IF($A706="E",L706*(1+Assumptions!J$15),L706*(1+Assumptions!J$14)),-2)</f>
        <v>100100</v>
      </c>
      <c r="N706" s="288">
        <f>ROUND(IF($A706="E",M706*(1+Assumptions!K$15),M706*(1+Assumptions!K$14)),-2)</f>
        <v>102600</v>
      </c>
    </row>
    <row r="707" spans="2:14" x14ac:dyDescent="0.25">
      <c r="B707" s="16" t="s">
        <v>45</v>
      </c>
      <c r="C707" s="16" t="s">
        <v>1166</v>
      </c>
      <c r="D707" s="16" t="s">
        <v>1167</v>
      </c>
      <c r="E707" s="288">
        <v>45000</v>
      </c>
      <c r="F707" s="288">
        <f>ROUND(IF($A707="E",E707*(1+Assumptions!C$15),E707*(1+Assumptions!C$14)),-2)</f>
        <v>45700</v>
      </c>
      <c r="G707" s="288">
        <f>ROUND(IF($A707="E",F707*(1+Assumptions!D$15),F707*(1+Assumptions!D$14)),-2)</f>
        <v>46600</v>
      </c>
      <c r="H707" s="288">
        <f>ROUND(IF($A707="E",G707*(1+Assumptions!E$15),G707*(1+Assumptions!E$14)),-2)</f>
        <v>47500</v>
      </c>
      <c r="I707" s="288">
        <f>ROUND(IF($A707="E",H707*(1+Assumptions!F$15),H707*(1+Assumptions!F$14)),-2)</f>
        <v>48500</v>
      </c>
      <c r="J707" s="288">
        <f>ROUND(IF($A707="E",I707*(1+Assumptions!G$15),I707*(1+Assumptions!G$14)),-2)</f>
        <v>49500</v>
      </c>
      <c r="K707" s="288">
        <f>ROUND(IF($A707="E",J707*(1+Assumptions!H$15),J707*(1+Assumptions!H$14)),-2)</f>
        <v>50500</v>
      </c>
      <c r="L707" s="288">
        <f>ROUND(IF($A707="E",K707*(1+Assumptions!I$15),K707*(1+Assumptions!I$14)),-2)</f>
        <v>51800</v>
      </c>
      <c r="M707" s="288">
        <f>ROUND(IF($A707="E",L707*(1+Assumptions!J$15),L707*(1+Assumptions!J$14)),-2)</f>
        <v>53100</v>
      </c>
      <c r="N707" s="288">
        <f>ROUND(IF($A707="E",M707*(1+Assumptions!K$15),M707*(1+Assumptions!K$14)),-2)</f>
        <v>54400</v>
      </c>
    </row>
    <row r="708" spans="2:14" x14ac:dyDescent="0.25">
      <c r="B708" s="16" t="s">
        <v>45</v>
      </c>
      <c r="C708" s="16" t="s">
        <v>1168</v>
      </c>
      <c r="D708" s="16" t="s">
        <v>1169</v>
      </c>
      <c r="E708" s="289"/>
      <c r="F708" s="289"/>
      <c r="G708" s="289"/>
      <c r="H708" s="289"/>
      <c r="I708" s="289"/>
      <c r="J708" s="289"/>
      <c r="K708" s="289"/>
      <c r="L708" s="289"/>
      <c r="M708" s="289"/>
      <c r="N708" s="289"/>
    </row>
    <row r="709" spans="2:14" x14ac:dyDescent="0.25">
      <c r="B709" s="16" t="s">
        <v>45</v>
      </c>
      <c r="C709" s="16" t="s">
        <v>1170</v>
      </c>
      <c r="D709" s="16" t="s">
        <v>1171</v>
      </c>
      <c r="E709" s="288">
        <v>11000</v>
      </c>
      <c r="F709" s="288">
        <f>ROUND(IF($A709="E",E709*(1+Assumptions!C$15),E709*(1+Assumptions!C$14)),-2)</f>
        <v>11200</v>
      </c>
      <c r="G709" s="288">
        <f>ROUND(IF($A709="E",F709*(1+Assumptions!D$15),F709*(1+Assumptions!D$14)),-2)</f>
        <v>11400</v>
      </c>
      <c r="H709" s="288">
        <f>ROUND(IF($A709="E",G709*(1+Assumptions!E$15),G709*(1+Assumptions!E$14)),-2)</f>
        <v>11600</v>
      </c>
      <c r="I709" s="288">
        <f>ROUND(IF($A709="E",H709*(1+Assumptions!F$15),H709*(1+Assumptions!F$14)),-2)</f>
        <v>11800</v>
      </c>
      <c r="J709" s="288">
        <f>ROUND(IF($A709="E",I709*(1+Assumptions!G$15),I709*(1+Assumptions!G$14)),-2)</f>
        <v>12000</v>
      </c>
      <c r="K709" s="288">
        <f>ROUND(IF($A709="E",J709*(1+Assumptions!H$15),J709*(1+Assumptions!H$14)),-2)</f>
        <v>12200</v>
      </c>
      <c r="L709" s="288">
        <f>ROUND(IF($A709="E",K709*(1+Assumptions!I$15),K709*(1+Assumptions!I$14)),-2)</f>
        <v>12500</v>
      </c>
      <c r="M709" s="288">
        <f>ROUND(IF($A709="E",L709*(1+Assumptions!J$15),L709*(1+Assumptions!J$14)),-2)</f>
        <v>12800</v>
      </c>
      <c r="N709" s="288">
        <f>ROUND(IF($A709="E",M709*(1+Assumptions!K$15),M709*(1+Assumptions!K$14)),-2)</f>
        <v>13100</v>
      </c>
    </row>
    <row r="710" spans="2:14" x14ac:dyDescent="0.25">
      <c r="B710" s="16" t="s">
        <v>45</v>
      </c>
      <c r="C710" s="16" t="s">
        <v>1172</v>
      </c>
      <c r="D710" s="16" t="s">
        <v>1173</v>
      </c>
      <c r="E710" s="288">
        <v>7700</v>
      </c>
      <c r="F710" s="288">
        <f>ROUND(IF($A710="E",E710*(1+Assumptions!C$15),E710*(1+Assumptions!C$14)),-2)</f>
        <v>7800</v>
      </c>
      <c r="G710" s="288">
        <f>ROUND(IF($A710="E",F710*(1+Assumptions!D$15),F710*(1+Assumptions!D$14)),-2)</f>
        <v>8000</v>
      </c>
      <c r="H710" s="288">
        <f>ROUND(IF($A710="E",G710*(1+Assumptions!E$15),G710*(1+Assumptions!E$14)),-2)</f>
        <v>8200</v>
      </c>
      <c r="I710" s="288">
        <f>ROUND(IF($A710="E",H710*(1+Assumptions!F$15),H710*(1+Assumptions!F$14)),-2)</f>
        <v>8400</v>
      </c>
      <c r="J710" s="288">
        <f>ROUND(IF($A710="E",I710*(1+Assumptions!G$15),I710*(1+Assumptions!G$14)),-2)</f>
        <v>8600</v>
      </c>
      <c r="K710" s="288">
        <f>ROUND(IF($A710="E",J710*(1+Assumptions!H$15),J710*(1+Assumptions!H$14)),-2)</f>
        <v>8800</v>
      </c>
      <c r="L710" s="288">
        <f>ROUND(IF($A710="E",K710*(1+Assumptions!I$15),K710*(1+Assumptions!I$14)),-2)</f>
        <v>9000</v>
      </c>
      <c r="M710" s="288">
        <f>ROUND(IF($A710="E",L710*(1+Assumptions!J$15),L710*(1+Assumptions!J$14)),-2)</f>
        <v>9200</v>
      </c>
      <c r="N710" s="288">
        <f>ROUND(IF($A710="E",M710*(1+Assumptions!K$15),M710*(1+Assumptions!K$14)),-2)</f>
        <v>9400</v>
      </c>
    </row>
    <row r="711" spans="2:14" x14ac:dyDescent="0.25">
      <c r="B711" s="16" t="s">
        <v>43</v>
      </c>
      <c r="C711" s="16" t="s">
        <v>1174</v>
      </c>
      <c r="D711" s="16" t="s">
        <v>1175</v>
      </c>
      <c r="E711" s="289"/>
      <c r="F711" s="289"/>
      <c r="G711" s="289"/>
      <c r="H711" s="289"/>
      <c r="I711" s="289"/>
      <c r="J711" s="289"/>
      <c r="K711" s="289"/>
      <c r="L711" s="289"/>
      <c r="M711" s="289"/>
      <c r="N711" s="289"/>
    </row>
    <row r="712" spans="2:14" x14ac:dyDescent="0.25">
      <c r="B712" s="16" t="s">
        <v>43</v>
      </c>
      <c r="C712" s="16" t="s">
        <v>1176</v>
      </c>
      <c r="D712" s="16" t="s">
        <v>1177</v>
      </c>
      <c r="E712" s="288">
        <v>5100</v>
      </c>
      <c r="F712" s="288">
        <f>ROUND(IF($A712="E",E712*(1+Assumptions!C$15),E712*(1+Assumptions!C$14)),-2)</f>
        <v>5200</v>
      </c>
      <c r="G712" s="288">
        <f>ROUND(IF($A712="E",F712*(1+Assumptions!D$15),F712*(1+Assumptions!D$14)),-2)</f>
        <v>5300</v>
      </c>
      <c r="H712" s="288">
        <f>ROUND(IF($A712="E",G712*(1+Assumptions!E$15),G712*(1+Assumptions!E$14)),-2)</f>
        <v>5400</v>
      </c>
      <c r="I712" s="288">
        <f>ROUND(IF($A712="E",H712*(1+Assumptions!F$15),H712*(1+Assumptions!F$14)),-2)</f>
        <v>5500</v>
      </c>
      <c r="J712" s="288">
        <f>ROUND(IF($A712="E",I712*(1+Assumptions!G$15),I712*(1+Assumptions!G$14)),-2)</f>
        <v>5600</v>
      </c>
      <c r="K712" s="288">
        <f>ROUND(IF($A712="E",J712*(1+Assumptions!H$15),J712*(1+Assumptions!H$14)),-2)</f>
        <v>5700</v>
      </c>
      <c r="L712" s="288">
        <f>ROUND(IF($A712="E",K712*(1+Assumptions!I$15),K712*(1+Assumptions!I$14)),-2)</f>
        <v>5800</v>
      </c>
      <c r="M712" s="288">
        <f>ROUND(IF($A712="E",L712*(1+Assumptions!J$15),L712*(1+Assumptions!J$14)),-2)</f>
        <v>5900</v>
      </c>
      <c r="N712" s="288">
        <f>ROUND(IF($A712="E",M712*(1+Assumptions!K$15),M712*(1+Assumptions!K$14)),-2)</f>
        <v>6000</v>
      </c>
    </row>
    <row r="713" spans="2:14" x14ac:dyDescent="0.25">
      <c r="C713" s="16" t="s">
        <v>1178</v>
      </c>
      <c r="D713" s="16" t="s">
        <v>1179</v>
      </c>
      <c r="E713" s="289"/>
      <c r="F713" s="289"/>
      <c r="G713" s="289"/>
      <c r="H713" s="289"/>
      <c r="I713" s="289"/>
      <c r="J713" s="289"/>
      <c r="K713" s="289"/>
      <c r="L713" s="289"/>
      <c r="M713" s="289"/>
      <c r="N713" s="289"/>
    </row>
    <row r="714" spans="2:14" x14ac:dyDescent="0.25">
      <c r="B714" s="16" t="s">
        <v>43</v>
      </c>
      <c r="C714" s="16" t="s">
        <v>1180</v>
      </c>
      <c r="D714" s="16" t="s">
        <v>1181</v>
      </c>
      <c r="E714" s="288">
        <v>32300</v>
      </c>
      <c r="F714" s="288">
        <f>ROUND(IF($A714="E",E714*(1+Assumptions!C$15),E714*(1+Assumptions!C$14)),-2)</f>
        <v>32800</v>
      </c>
      <c r="G714" s="288">
        <f>ROUND(IF($A714="E",F714*(1+Assumptions!D$15),F714*(1+Assumptions!D$14)),-2)</f>
        <v>33500</v>
      </c>
      <c r="H714" s="288">
        <f>ROUND(IF($A714="E",G714*(1+Assumptions!E$15),G714*(1+Assumptions!E$14)),-2)</f>
        <v>34200</v>
      </c>
      <c r="I714" s="288">
        <f>ROUND(IF($A714="E",H714*(1+Assumptions!F$15),H714*(1+Assumptions!F$14)),-2)</f>
        <v>34900</v>
      </c>
      <c r="J714" s="288">
        <f>ROUND(IF($A714="E",I714*(1+Assumptions!G$15),I714*(1+Assumptions!G$14)),-2)</f>
        <v>35600</v>
      </c>
      <c r="K714" s="288">
        <f>ROUND(IF($A714="E",J714*(1+Assumptions!H$15),J714*(1+Assumptions!H$14)),-2)</f>
        <v>36300</v>
      </c>
      <c r="L714" s="288">
        <f>ROUND(IF($A714="E",K714*(1+Assumptions!I$15),K714*(1+Assumptions!I$14)),-2)</f>
        <v>37200</v>
      </c>
      <c r="M714" s="288">
        <f>ROUND(IF($A714="E",L714*(1+Assumptions!J$15),L714*(1+Assumptions!J$14)),-2)</f>
        <v>38100</v>
      </c>
      <c r="N714" s="288">
        <f>ROUND(IF($A714="E",M714*(1+Assumptions!K$15),M714*(1+Assumptions!K$14)),-2)</f>
        <v>39100</v>
      </c>
    </row>
    <row r="715" spans="2:14" x14ac:dyDescent="0.25">
      <c r="C715" s="16" t="s">
        <v>1182</v>
      </c>
      <c r="D715" s="16" t="s">
        <v>1183</v>
      </c>
      <c r="E715" s="289"/>
      <c r="F715" s="289"/>
      <c r="G715" s="289"/>
      <c r="H715" s="289"/>
      <c r="I715" s="289"/>
      <c r="J715" s="289"/>
      <c r="K715" s="289"/>
      <c r="L715" s="289"/>
      <c r="M715" s="289"/>
      <c r="N715" s="289"/>
    </row>
    <row r="716" spans="2:14" x14ac:dyDescent="0.25">
      <c r="B716" s="16" t="s">
        <v>43</v>
      </c>
      <c r="C716" s="16" t="s">
        <v>1184</v>
      </c>
      <c r="D716" s="16" t="s">
        <v>1181</v>
      </c>
      <c r="E716" s="288">
        <v>21200</v>
      </c>
      <c r="F716" s="288">
        <f>ROUND(IF($A716="E",E716*(1+Assumptions!C$15),E716*(1+Assumptions!C$14)),-2)</f>
        <v>21500</v>
      </c>
      <c r="G716" s="288">
        <f>ROUND(IF($A716="E",F716*(1+Assumptions!D$15),F716*(1+Assumptions!D$14)),-2)</f>
        <v>21900</v>
      </c>
      <c r="H716" s="288">
        <f>ROUND(IF($A716="E",G716*(1+Assumptions!E$15),G716*(1+Assumptions!E$14)),-2)</f>
        <v>22300</v>
      </c>
      <c r="I716" s="288">
        <f>ROUND(IF($A716="E",H716*(1+Assumptions!F$15),H716*(1+Assumptions!F$14)),-2)</f>
        <v>22700</v>
      </c>
      <c r="J716" s="288">
        <f>ROUND(IF($A716="E",I716*(1+Assumptions!G$15),I716*(1+Assumptions!G$14)),-2)</f>
        <v>23200</v>
      </c>
      <c r="K716" s="288">
        <f>ROUND(IF($A716="E",J716*(1+Assumptions!H$15),J716*(1+Assumptions!H$14)),-2)</f>
        <v>23700</v>
      </c>
      <c r="L716" s="288">
        <f>ROUND(IF($A716="E",K716*(1+Assumptions!I$15),K716*(1+Assumptions!I$14)),-2)</f>
        <v>24300</v>
      </c>
      <c r="M716" s="288">
        <f>ROUND(IF($A716="E",L716*(1+Assumptions!J$15),L716*(1+Assumptions!J$14)),-2)</f>
        <v>24900</v>
      </c>
      <c r="N716" s="288">
        <f>ROUND(IF($A716="E",M716*(1+Assumptions!K$15),M716*(1+Assumptions!K$14)),-2)</f>
        <v>25500</v>
      </c>
    </row>
    <row r="717" spans="2:14" x14ac:dyDescent="0.25">
      <c r="C717" s="16" t="s">
        <v>1185</v>
      </c>
      <c r="D717" s="16" t="s">
        <v>1186</v>
      </c>
      <c r="E717" s="289"/>
      <c r="F717" s="289"/>
      <c r="G717" s="289"/>
      <c r="H717" s="289"/>
      <c r="I717" s="289"/>
      <c r="J717" s="289"/>
      <c r="K717" s="289"/>
      <c r="L717" s="289"/>
      <c r="M717" s="289"/>
      <c r="N717" s="289"/>
    </row>
    <row r="718" spans="2:14" x14ac:dyDescent="0.25">
      <c r="B718" s="16" t="s">
        <v>45</v>
      </c>
      <c r="C718" s="16" t="s">
        <v>1187</v>
      </c>
      <c r="D718" s="16" t="s">
        <v>815</v>
      </c>
      <c r="E718" s="288">
        <v>7700</v>
      </c>
      <c r="F718" s="288">
        <f>ROUND(IF($A718="E",E718*(1+Assumptions!C$15),E718*(1+Assumptions!C$14)),-2)</f>
        <v>7800</v>
      </c>
      <c r="G718" s="288">
        <f>ROUND(IF($A718="E",F718*(1+Assumptions!D$15),F718*(1+Assumptions!D$14)),-2)</f>
        <v>8000</v>
      </c>
      <c r="H718" s="288">
        <f>ROUND(IF($A718="E",G718*(1+Assumptions!E$15),G718*(1+Assumptions!E$14)),-2)</f>
        <v>8200</v>
      </c>
      <c r="I718" s="288">
        <f>ROUND(IF($A718="E",H718*(1+Assumptions!F$15),H718*(1+Assumptions!F$14)),-2)</f>
        <v>8400</v>
      </c>
      <c r="J718" s="288">
        <f>ROUND(IF($A718="E",I718*(1+Assumptions!G$15),I718*(1+Assumptions!G$14)),-2)</f>
        <v>8600</v>
      </c>
      <c r="K718" s="288">
        <f>ROUND(IF($A718="E",J718*(1+Assumptions!H$15),J718*(1+Assumptions!H$14)),-2)</f>
        <v>8800</v>
      </c>
      <c r="L718" s="288">
        <f>ROUND(IF($A718="E",K718*(1+Assumptions!I$15),K718*(1+Assumptions!I$14)),-2)</f>
        <v>9000</v>
      </c>
      <c r="M718" s="288">
        <f>ROUND(IF($A718="E",L718*(1+Assumptions!J$15),L718*(1+Assumptions!J$14)),-2)</f>
        <v>9200</v>
      </c>
      <c r="N718" s="288">
        <f>ROUND(IF($A718="E",M718*(1+Assumptions!K$15),M718*(1+Assumptions!K$14)),-2)</f>
        <v>9400</v>
      </c>
    </row>
    <row r="719" spans="2:14" x14ac:dyDescent="0.25">
      <c r="B719" s="16" t="s">
        <v>45</v>
      </c>
      <c r="C719" s="16" t="s">
        <v>1188</v>
      </c>
      <c r="D719" s="16" t="s">
        <v>1189</v>
      </c>
      <c r="E719" s="288">
        <v>700</v>
      </c>
      <c r="F719" s="288">
        <f>ROUND(IF($A719="E",E719*(1+Assumptions!C$15),E719*(1+Assumptions!C$14)),-2)</f>
        <v>700</v>
      </c>
      <c r="G719" s="288">
        <f>ROUND(IF($A719="E",F719*(1+Assumptions!D$15),F719*(1+Assumptions!D$14)),-2)</f>
        <v>700</v>
      </c>
      <c r="H719" s="288">
        <f>ROUND(IF($A719="E",G719*(1+Assumptions!E$15),G719*(1+Assumptions!E$14)),-2)</f>
        <v>700</v>
      </c>
      <c r="I719" s="288">
        <f>ROUND(IF($A719="E",H719*(1+Assumptions!F$15),H719*(1+Assumptions!F$14)),-2)</f>
        <v>700</v>
      </c>
      <c r="J719" s="288">
        <f>ROUND(IF($A719="E",I719*(1+Assumptions!G$15),I719*(1+Assumptions!G$14)),-2)</f>
        <v>700</v>
      </c>
      <c r="K719" s="288">
        <f>ROUND(IF($A719="E",J719*(1+Assumptions!H$15),J719*(1+Assumptions!H$14)),-2)</f>
        <v>700</v>
      </c>
      <c r="L719" s="288">
        <f>ROUND(IF($A719="E",K719*(1+Assumptions!I$15),K719*(1+Assumptions!I$14)),-2)</f>
        <v>700</v>
      </c>
      <c r="M719" s="288">
        <f>ROUND(IF($A719="E",L719*(1+Assumptions!J$15),L719*(1+Assumptions!J$14)),-2)</f>
        <v>700</v>
      </c>
      <c r="N719" s="288">
        <f>ROUND(IF($A719="E",M719*(1+Assumptions!K$15),M719*(1+Assumptions!K$14)),-2)</f>
        <v>700</v>
      </c>
    </row>
    <row r="720" spans="2:14" x14ac:dyDescent="0.25">
      <c r="B720" s="16" t="s">
        <v>45</v>
      </c>
      <c r="C720" s="16" t="s">
        <v>1190</v>
      </c>
      <c r="D720" s="16" t="s">
        <v>492</v>
      </c>
      <c r="E720" s="288">
        <v>6000</v>
      </c>
      <c r="F720" s="288">
        <f>ROUND(IF($A720="E",E720*(1+Assumptions!C$15),E720*(1+Assumptions!C$14)),-2)</f>
        <v>6100</v>
      </c>
      <c r="G720" s="288">
        <f>ROUND(IF($A720="E",F720*(1+Assumptions!D$15),F720*(1+Assumptions!D$14)),-2)</f>
        <v>6200</v>
      </c>
      <c r="H720" s="288">
        <f>ROUND(IF($A720="E",G720*(1+Assumptions!E$15),G720*(1+Assumptions!E$14)),-2)</f>
        <v>6300</v>
      </c>
      <c r="I720" s="288">
        <f>ROUND(IF($A720="E",H720*(1+Assumptions!F$15),H720*(1+Assumptions!F$14)),-2)</f>
        <v>6400</v>
      </c>
      <c r="J720" s="288">
        <f>ROUND(IF($A720="E",I720*(1+Assumptions!G$15),I720*(1+Assumptions!G$14)),-2)</f>
        <v>6500</v>
      </c>
      <c r="K720" s="288">
        <f>ROUND(IF($A720="E",J720*(1+Assumptions!H$15),J720*(1+Assumptions!H$14)),-2)</f>
        <v>6600</v>
      </c>
      <c r="L720" s="288">
        <f>ROUND(IF($A720="E",K720*(1+Assumptions!I$15),K720*(1+Assumptions!I$14)),-2)</f>
        <v>6800</v>
      </c>
      <c r="M720" s="288">
        <f>ROUND(IF($A720="E",L720*(1+Assumptions!J$15),L720*(1+Assumptions!J$14)),-2)</f>
        <v>7000</v>
      </c>
      <c r="N720" s="288">
        <f>ROUND(IF($A720="E",M720*(1+Assumptions!K$15),M720*(1+Assumptions!K$14)),-2)</f>
        <v>7200</v>
      </c>
    </row>
    <row r="721" spans="2:14" x14ac:dyDescent="0.25">
      <c r="B721" s="16" t="s">
        <v>43</v>
      </c>
      <c r="C721" s="16" t="s">
        <v>1191</v>
      </c>
      <c r="D721" s="16" t="s">
        <v>1192</v>
      </c>
      <c r="E721" s="288">
        <v>1700</v>
      </c>
      <c r="F721" s="288">
        <f>ROUND(IF($A721="E",E721*(1+Assumptions!C$15),E721*(1+Assumptions!C$14)),-2)</f>
        <v>1700</v>
      </c>
      <c r="G721" s="288">
        <f>ROUND(IF($A721="E",F721*(1+Assumptions!D$15),F721*(1+Assumptions!D$14)),-2)</f>
        <v>1700</v>
      </c>
      <c r="H721" s="288">
        <f>ROUND(IF($A721="E",G721*(1+Assumptions!E$15),G721*(1+Assumptions!E$14)),-2)</f>
        <v>1700</v>
      </c>
      <c r="I721" s="288">
        <f>ROUND(IF($A721="E",H721*(1+Assumptions!F$15),H721*(1+Assumptions!F$14)),-2)</f>
        <v>1700</v>
      </c>
      <c r="J721" s="288">
        <f>ROUND(IF($A721="E",I721*(1+Assumptions!G$15),I721*(1+Assumptions!G$14)),-2)</f>
        <v>1700</v>
      </c>
      <c r="K721" s="288">
        <f>ROUND(IF($A721="E",J721*(1+Assumptions!H$15),J721*(1+Assumptions!H$14)),-2)</f>
        <v>1700</v>
      </c>
      <c r="L721" s="288">
        <f>ROUND(IF($A721="E",K721*(1+Assumptions!I$15),K721*(1+Assumptions!I$14)),-2)</f>
        <v>1700</v>
      </c>
      <c r="M721" s="288">
        <f>ROUND(IF($A721="E",L721*(1+Assumptions!J$15),L721*(1+Assumptions!J$14)),-2)</f>
        <v>1700</v>
      </c>
      <c r="N721" s="288">
        <f>ROUND(IF($A721="E",M721*(1+Assumptions!K$15),M721*(1+Assumptions!K$14)),-2)</f>
        <v>1700</v>
      </c>
    </row>
    <row r="722" spans="2:14" x14ac:dyDescent="0.25">
      <c r="B722" s="16" t="s">
        <v>45</v>
      </c>
      <c r="C722" s="16" t="s">
        <v>1193</v>
      </c>
      <c r="D722" s="16" t="s">
        <v>1194</v>
      </c>
      <c r="E722" s="288">
        <v>8400</v>
      </c>
      <c r="F722" s="288">
        <f>ROUND(IF($A722="E",E722*(1+Assumptions!C$15),E722*(1+Assumptions!C$14)),-2)</f>
        <v>8500</v>
      </c>
      <c r="G722" s="288">
        <f>ROUND(IF($A722="E",F722*(1+Assumptions!D$15),F722*(1+Assumptions!D$14)),-2)</f>
        <v>8700</v>
      </c>
      <c r="H722" s="288">
        <f>ROUND(IF($A722="E",G722*(1+Assumptions!E$15),G722*(1+Assumptions!E$14)),-2)</f>
        <v>8900</v>
      </c>
      <c r="I722" s="288">
        <f>ROUND(IF($A722="E",H722*(1+Assumptions!F$15),H722*(1+Assumptions!F$14)),-2)</f>
        <v>9100</v>
      </c>
      <c r="J722" s="288">
        <f>ROUND(IF($A722="E",I722*(1+Assumptions!G$15),I722*(1+Assumptions!G$14)),-2)</f>
        <v>9300</v>
      </c>
      <c r="K722" s="288">
        <f>ROUND(IF($A722="E",J722*(1+Assumptions!H$15),J722*(1+Assumptions!H$14)),-2)</f>
        <v>9500</v>
      </c>
      <c r="L722" s="288">
        <f>ROUND(IF($A722="E",K722*(1+Assumptions!I$15),K722*(1+Assumptions!I$14)),-2)</f>
        <v>9700</v>
      </c>
      <c r="M722" s="288">
        <f>ROUND(IF($A722="E",L722*(1+Assumptions!J$15),L722*(1+Assumptions!J$14)),-2)</f>
        <v>9900</v>
      </c>
      <c r="N722" s="288">
        <f>ROUND(IF($A722="E",M722*(1+Assumptions!K$15),M722*(1+Assumptions!K$14)),-2)</f>
        <v>10100</v>
      </c>
    </row>
    <row r="723" spans="2:14" x14ac:dyDescent="0.25">
      <c r="B723" s="16" t="s">
        <v>43</v>
      </c>
      <c r="C723" s="16" t="s">
        <v>1195</v>
      </c>
      <c r="D723" s="16" t="s">
        <v>1196</v>
      </c>
      <c r="E723" s="288">
        <v>20000</v>
      </c>
      <c r="F723" s="288">
        <f>ROUND(IF($A723="E",E723*(1+Assumptions!C$15),E723*(1+Assumptions!C$14)),-2)</f>
        <v>20300</v>
      </c>
      <c r="G723" s="288">
        <f>ROUND(IF($A723="E",F723*(1+Assumptions!D$15),F723*(1+Assumptions!D$14)),-2)</f>
        <v>20700</v>
      </c>
      <c r="H723" s="288">
        <f>ROUND(IF($A723="E",G723*(1+Assumptions!E$15),G723*(1+Assumptions!E$14)),-2)</f>
        <v>21100</v>
      </c>
      <c r="I723" s="288">
        <f>ROUND(IF($A723="E",H723*(1+Assumptions!F$15),H723*(1+Assumptions!F$14)),-2)</f>
        <v>21500</v>
      </c>
      <c r="J723" s="288">
        <f>ROUND(IF($A723="E",I723*(1+Assumptions!G$15),I723*(1+Assumptions!G$14)),-2)</f>
        <v>21900</v>
      </c>
      <c r="K723" s="288">
        <f>ROUND(IF($A723="E",J723*(1+Assumptions!H$15),J723*(1+Assumptions!H$14)),-2)</f>
        <v>22300</v>
      </c>
      <c r="L723" s="288">
        <f>ROUND(IF($A723="E",K723*(1+Assumptions!I$15),K723*(1+Assumptions!I$14)),-2)</f>
        <v>22900</v>
      </c>
      <c r="M723" s="288">
        <f>ROUND(IF($A723="E",L723*(1+Assumptions!J$15),L723*(1+Assumptions!J$14)),-2)</f>
        <v>23500</v>
      </c>
      <c r="N723" s="288">
        <f>ROUND(IF($A723="E",M723*(1+Assumptions!K$15),M723*(1+Assumptions!K$14)),-2)</f>
        <v>24100</v>
      </c>
    </row>
    <row r="724" spans="2:14" x14ac:dyDescent="0.25">
      <c r="B724" s="16" t="s">
        <v>43</v>
      </c>
      <c r="C724" s="16" t="s">
        <v>1197</v>
      </c>
      <c r="D724" s="16" t="s">
        <v>1198</v>
      </c>
      <c r="E724" s="288">
        <v>23800</v>
      </c>
      <c r="F724" s="288">
        <f>ROUND(IF($A724="E",E724*(1+Assumptions!C$15),E724*(1+Assumptions!C$14)),-2)</f>
        <v>24200</v>
      </c>
      <c r="G724" s="288">
        <f>ROUND(IF($A724="E",F724*(1+Assumptions!D$15),F724*(1+Assumptions!D$14)),-2)</f>
        <v>24700</v>
      </c>
      <c r="H724" s="288">
        <f>ROUND(IF($A724="E",G724*(1+Assumptions!E$15),G724*(1+Assumptions!E$14)),-2)</f>
        <v>25200</v>
      </c>
      <c r="I724" s="288">
        <f>ROUND(IF($A724="E",H724*(1+Assumptions!F$15),H724*(1+Assumptions!F$14)),-2)</f>
        <v>25700</v>
      </c>
      <c r="J724" s="288">
        <f>ROUND(IF($A724="E",I724*(1+Assumptions!G$15),I724*(1+Assumptions!G$14)),-2)</f>
        <v>26200</v>
      </c>
      <c r="K724" s="288">
        <f>ROUND(IF($A724="E",J724*(1+Assumptions!H$15),J724*(1+Assumptions!H$14)),-2)</f>
        <v>26700</v>
      </c>
      <c r="L724" s="288">
        <f>ROUND(IF($A724="E",K724*(1+Assumptions!I$15),K724*(1+Assumptions!I$14)),-2)</f>
        <v>27400</v>
      </c>
      <c r="M724" s="288">
        <f>ROUND(IF($A724="E",L724*(1+Assumptions!J$15),L724*(1+Assumptions!J$14)),-2)</f>
        <v>28100</v>
      </c>
      <c r="N724" s="288">
        <f>ROUND(IF($A724="E",M724*(1+Assumptions!K$15),M724*(1+Assumptions!K$14)),-2)</f>
        <v>28800</v>
      </c>
    </row>
    <row r="725" spans="2:14" x14ac:dyDescent="0.25">
      <c r="B725" s="16" t="s">
        <v>43</v>
      </c>
      <c r="C725" s="16" t="s">
        <v>1199</v>
      </c>
      <c r="D725" s="16" t="s">
        <v>1200</v>
      </c>
      <c r="E725" s="288">
        <v>0</v>
      </c>
      <c r="F725" s="288">
        <f>ROUND(IF($A725="E",E725*(1+Assumptions!C$15),E725*(1+Assumptions!C$14)),-2)</f>
        <v>0</v>
      </c>
      <c r="G725" s="288">
        <f>ROUND(IF($A725="E",F725*(1+Assumptions!D$15),F725*(1+Assumptions!D$14)),-2)</f>
        <v>0</v>
      </c>
      <c r="H725" s="288">
        <f>ROUND(IF($A725="E",G725*(1+Assumptions!E$15),G725*(1+Assumptions!E$14)),-2)</f>
        <v>0</v>
      </c>
      <c r="I725" s="288">
        <f>ROUND(IF($A725="E",H725*(1+Assumptions!F$15),H725*(1+Assumptions!F$14)),-2)</f>
        <v>0</v>
      </c>
      <c r="J725" s="288">
        <f>ROUND(IF($A725="E",I725*(1+Assumptions!G$15),I725*(1+Assumptions!G$14)),-2)</f>
        <v>0</v>
      </c>
      <c r="K725" s="288">
        <f>ROUND(IF($A725="E",J725*(1+Assumptions!H$15),J725*(1+Assumptions!H$14)),-2)</f>
        <v>0</v>
      </c>
      <c r="L725" s="288">
        <f>ROUND(IF($A725="E",K725*(1+Assumptions!I$15),K725*(1+Assumptions!I$14)),-2)</f>
        <v>0</v>
      </c>
      <c r="M725" s="288">
        <f>ROUND(IF($A725="E",L725*(1+Assumptions!J$15),L725*(1+Assumptions!J$14)),-2)</f>
        <v>0</v>
      </c>
      <c r="N725" s="288">
        <f>ROUND(IF($A725="E",M725*(1+Assumptions!K$15),M725*(1+Assumptions!K$14)),-2)</f>
        <v>0</v>
      </c>
    </row>
    <row r="726" spans="2:14" x14ac:dyDescent="0.25">
      <c r="B726" s="16" t="s">
        <v>43</v>
      </c>
      <c r="C726" s="16" t="s">
        <v>1201</v>
      </c>
      <c r="D726" s="16" t="s">
        <v>1202</v>
      </c>
      <c r="E726" s="288">
        <v>0</v>
      </c>
      <c r="F726" s="288">
        <f>ROUND(IF($A726="E",E726*(1+Assumptions!C$15),E726*(1+Assumptions!C$14)),-2)</f>
        <v>0</v>
      </c>
      <c r="G726" s="288">
        <f>ROUND(IF($A726="E",F726*(1+Assumptions!D$15),F726*(1+Assumptions!D$14)),-2)</f>
        <v>0</v>
      </c>
      <c r="H726" s="288">
        <f>ROUND(IF($A726="E",G726*(1+Assumptions!E$15),G726*(1+Assumptions!E$14)),-2)</f>
        <v>0</v>
      </c>
      <c r="I726" s="288">
        <f>ROUND(IF($A726="E",H726*(1+Assumptions!F$15),H726*(1+Assumptions!F$14)),-2)</f>
        <v>0</v>
      </c>
      <c r="J726" s="288">
        <f>ROUND(IF($A726="E",I726*(1+Assumptions!G$15),I726*(1+Assumptions!G$14)),-2)</f>
        <v>0</v>
      </c>
      <c r="K726" s="288">
        <f>ROUND(IF($A726="E",J726*(1+Assumptions!H$15),J726*(1+Assumptions!H$14)),-2)</f>
        <v>0</v>
      </c>
      <c r="L726" s="288">
        <f>ROUND(IF($A726="E",K726*(1+Assumptions!I$15),K726*(1+Assumptions!I$14)),-2)</f>
        <v>0</v>
      </c>
      <c r="M726" s="288">
        <f>ROUND(IF($A726="E",L726*(1+Assumptions!J$15),L726*(1+Assumptions!J$14)),-2)</f>
        <v>0</v>
      </c>
      <c r="N726" s="288">
        <f>ROUND(IF($A726="E",M726*(1+Assumptions!K$15),M726*(1+Assumptions!K$14)),-2)</f>
        <v>0</v>
      </c>
    </row>
    <row r="727" spans="2:14" x14ac:dyDescent="0.25">
      <c r="B727" s="16" t="s">
        <v>43</v>
      </c>
      <c r="C727" s="16" t="s">
        <v>1203</v>
      </c>
      <c r="D727" s="16" t="s">
        <v>1204</v>
      </c>
      <c r="E727" s="288">
        <v>0</v>
      </c>
      <c r="F727" s="288">
        <f>ROUND(IF($A727="E",E727*(1+Assumptions!C$15),E727*(1+Assumptions!C$14)),-2)</f>
        <v>0</v>
      </c>
      <c r="G727" s="288">
        <f>ROUND(IF($A727="E",F727*(1+Assumptions!D$15),F727*(1+Assumptions!D$14)),-2)</f>
        <v>0</v>
      </c>
      <c r="H727" s="288">
        <f>ROUND(IF($A727="E",G727*(1+Assumptions!E$15),G727*(1+Assumptions!E$14)),-2)</f>
        <v>0</v>
      </c>
      <c r="I727" s="288">
        <f>ROUND(IF($A727="E",H727*(1+Assumptions!F$15),H727*(1+Assumptions!F$14)),-2)</f>
        <v>0</v>
      </c>
      <c r="J727" s="288">
        <f>ROUND(IF($A727="E",I727*(1+Assumptions!G$15),I727*(1+Assumptions!G$14)),-2)</f>
        <v>0</v>
      </c>
      <c r="K727" s="288">
        <f>ROUND(IF($A727="E",J727*(1+Assumptions!H$15),J727*(1+Assumptions!H$14)),-2)</f>
        <v>0</v>
      </c>
      <c r="L727" s="288">
        <f>ROUND(IF($A727="E",K727*(1+Assumptions!I$15),K727*(1+Assumptions!I$14)),-2)</f>
        <v>0</v>
      </c>
      <c r="M727" s="288">
        <f>ROUND(IF($A727="E",L727*(1+Assumptions!J$15),L727*(1+Assumptions!J$14)),-2)</f>
        <v>0</v>
      </c>
      <c r="N727" s="288">
        <f>ROUND(IF($A727="E",M727*(1+Assumptions!K$15),M727*(1+Assumptions!K$14)),-2)</f>
        <v>0</v>
      </c>
    </row>
    <row r="728" spans="2:14" x14ac:dyDescent="0.25">
      <c r="B728" s="16" t="s">
        <v>43</v>
      </c>
      <c r="C728" s="16" t="s">
        <v>1205</v>
      </c>
      <c r="D728" s="16" t="s">
        <v>1206</v>
      </c>
      <c r="E728" s="288">
        <v>0</v>
      </c>
      <c r="F728" s="288">
        <f>ROUND(IF($A728="E",E728*(1+Assumptions!C$15),E728*(1+Assumptions!C$14)),-2)</f>
        <v>0</v>
      </c>
      <c r="G728" s="288">
        <f>ROUND(IF($A728="E",F728*(1+Assumptions!D$15),F728*(1+Assumptions!D$14)),-2)</f>
        <v>0</v>
      </c>
      <c r="H728" s="288">
        <f>ROUND(IF($A728="E",G728*(1+Assumptions!E$15),G728*(1+Assumptions!E$14)),-2)</f>
        <v>0</v>
      </c>
      <c r="I728" s="288">
        <f>ROUND(IF($A728="E",H728*(1+Assumptions!F$15),H728*(1+Assumptions!F$14)),-2)</f>
        <v>0</v>
      </c>
      <c r="J728" s="288">
        <f>ROUND(IF($A728="E",I728*(1+Assumptions!G$15),I728*(1+Assumptions!G$14)),-2)</f>
        <v>0</v>
      </c>
      <c r="K728" s="288">
        <f>ROUND(IF($A728="E",J728*(1+Assumptions!H$15),J728*(1+Assumptions!H$14)),-2)</f>
        <v>0</v>
      </c>
      <c r="L728" s="288">
        <f>ROUND(IF($A728="E",K728*(1+Assumptions!I$15),K728*(1+Assumptions!I$14)),-2)</f>
        <v>0</v>
      </c>
      <c r="M728" s="288">
        <f>ROUND(IF($A728="E",L728*(1+Assumptions!J$15),L728*(1+Assumptions!J$14)),-2)</f>
        <v>0</v>
      </c>
      <c r="N728" s="288">
        <f>ROUND(IF($A728="E",M728*(1+Assumptions!K$15),M728*(1+Assumptions!K$14)),-2)</f>
        <v>0</v>
      </c>
    </row>
    <row r="729" spans="2:14" x14ac:dyDescent="0.25">
      <c r="B729" s="16" t="s">
        <v>45</v>
      </c>
      <c r="C729" s="16" t="s">
        <v>1207</v>
      </c>
      <c r="D729" s="16" t="s">
        <v>1208</v>
      </c>
      <c r="E729" s="288"/>
      <c r="F729" s="288">
        <f>ROUND(IF($A729="E",E729*(1+Assumptions!C$15),E729*(1+Assumptions!C$14)),-2)</f>
        <v>0</v>
      </c>
      <c r="G729" s="288">
        <f>ROUND(IF($A729="E",F729*(1+Assumptions!D$15),F729*(1+Assumptions!D$14)),-2)</f>
        <v>0</v>
      </c>
      <c r="H729" s="288">
        <f>ROUND(IF($A729="E",G729*(1+Assumptions!E$15),G729*(1+Assumptions!E$14)),-2)</f>
        <v>0</v>
      </c>
      <c r="I729" s="288">
        <f>ROUND(IF($A729="E",H729*(1+Assumptions!F$15),H729*(1+Assumptions!F$14)),-2)</f>
        <v>0</v>
      </c>
      <c r="J729" s="288">
        <f>ROUND(IF($A729="E",I729*(1+Assumptions!G$15),I729*(1+Assumptions!G$14)),-2)</f>
        <v>0</v>
      </c>
      <c r="K729" s="288">
        <f>ROUND(IF($A729="E",J729*(1+Assumptions!H$15),J729*(1+Assumptions!H$14)),-2)</f>
        <v>0</v>
      </c>
      <c r="L729" s="288">
        <f>ROUND(IF($A729="E",K729*(1+Assumptions!I$15),K729*(1+Assumptions!I$14)),-2)</f>
        <v>0</v>
      </c>
      <c r="M729" s="288">
        <f>ROUND(IF($A729="E",L729*(1+Assumptions!J$15),L729*(1+Assumptions!J$14)),-2)</f>
        <v>0</v>
      </c>
      <c r="N729" s="288">
        <f>ROUND(IF($A729="E",M729*(1+Assumptions!K$15),M729*(1+Assumptions!K$14)),-2)</f>
        <v>0</v>
      </c>
    </row>
    <row r="730" spans="2:14" x14ac:dyDescent="0.25">
      <c r="B730" s="16" t="s">
        <v>45</v>
      </c>
      <c r="C730" s="16" t="s">
        <v>1209</v>
      </c>
      <c r="D730" s="16" t="s">
        <v>1210</v>
      </c>
      <c r="E730" s="288">
        <v>30000</v>
      </c>
      <c r="F730" s="288">
        <f>ROUND(IF($A730="E",E730*(1+Assumptions!C$15),E730*(1+Assumptions!C$14)),-2)</f>
        <v>30500</v>
      </c>
      <c r="G730" s="288">
        <f>ROUND(IF($A730="E",F730*(1+Assumptions!D$15),F730*(1+Assumptions!D$14)),-2)</f>
        <v>31100</v>
      </c>
      <c r="H730" s="288">
        <f>ROUND(IF($A730="E",G730*(1+Assumptions!E$15),G730*(1+Assumptions!E$14)),-2)</f>
        <v>31700</v>
      </c>
      <c r="I730" s="288">
        <f>ROUND(IF($A730="E",H730*(1+Assumptions!F$15),H730*(1+Assumptions!F$14)),-2)</f>
        <v>32300</v>
      </c>
      <c r="J730" s="288">
        <f>ROUND(IF($A730="E",I730*(1+Assumptions!G$15),I730*(1+Assumptions!G$14)),-2)</f>
        <v>32900</v>
      </c>
      <c r="K730" s="288">
        <f>ROUND(IF($A730="E",J730*(1+Assumptions!H$15),J730*(1+Assumptions!H$14)),-2)</f>
        <v>33600</v>
      </c>
      <c r="L730" s="288">
        <f>ROUND(IF($A730="E",K730*(1+Assumptions!I$15),K730*(1+Assumptions!I$14)),-2)</f>
        <v>34400</v>
      </c>
      <c r="M730" s="288">
        <f>ROUND(IF($A730="E",L730*(1+Assumptions!J$15),L730*(1+Assumptions!J$14)),-2)</f>
        <v>35300</v>
      </c>
      <c r="N730" s="288">
        <f>ROUND(IF($A730="E",M730*(1+Assumptions!K$15),M730*(1+Assumptions!K$14)),-2)</f>
        <v>36200</v>
      </c>
    </row>
    <row r="731" spans="2:14" x14ac:dyDescent="0.25">
      <c r="C731" s="16" t="s">
        <v>1211</v>
      </c>
      <c r="D731" s="16" t="s">
        <v>1212</v>
      </c>
      <c r="E731" s="289"/>
      <c r="F731" s="289"/>
      <c r="G731" s="289"/>
      <c r="H731" s="289"/>
      <c r="I731" s="289"/>
      <c r="J731" s="289"/>
      <c r="K731" s="289"/>
      <c r="L731" s="289"/>
      <c r="M731" s="289"/>
      <c r="N731" s="289"/>
    </row>
    <row r="732" spans="2:14" x14ac:dyDescent="0.25">
      <c r="B732" s="16" t="s">
        <v>43</v>
      </c>
      <c r="C732" s="16" t="s">
        <v>1213</v>
      </c>
      <c r="D732" s="16" t="s">
        <v>1214</v>
      </c>
      <c r="E732" s="288">
        <v>16300</v>
      </c>
      <c r="F732" s="288">
        <f>ROUND(IF($A732="E",E732*(1+Assumptions!C$15),E732*(1+Assumptions!C$14)),-2)</f>
        <v>16500</v>
      </c>
      <c r="G732" s="288">
        <f>ROUND(IF($A732="E",F732*(1+Assumptions!D$15),F732*(1+Assumptions!D$14)),-2)</f>
        <v>16800</v>
      </c>
      <c r="H732" s="288">
        <f>ROUND(IF($A732="E",G732*(1+Assumptions!E$15),G732*(1+Assumptions!E$14)),-2)</f>
        <v>17100</v>
      </c>
      <c r="I732" s="288">
        <f>ROUND(IF($A732="E",H732*(1+Assumptions!F$15),H732*(1+Assumptions!F$14)),-2)</f>
        <v>17400</v>
      </c>
      <c r="J732" s="288">
        <f>ROUND(IF($A732="E",I732*(1+Assumptions!G$15),I732*(1+Assumptions!G$14)),-2)</f>
        <v>17700</v>
      </c>
      <c r="K732" s="288">
        <f>ROUND(IF($A732="E",J732*(1+Assumptions!H$15),J732*(1+Assumptions!H$14)),-2)</f>
        <v>18100</v>
      </c>
      <c r="L732" s="288">
        <f>ROUND(IF($A732="E",K732*(1+Assumptions!I$15),K732*(1+Assumptions!I$14)),-2)</f>
        <v>18600</v>
      </c>
      <c r="M732" s="288">
        <f>ROUND(IF($A732="E",L732*(1+Assumptions!J$15),L732*(1+Assumptions!J$14)),-2)</f>
        <v>19100</v>
      </c>
      <c r="N732" s="288">
        <f>ROUND(IF($A732="E",M732*(1+Assumptions!K$15),M732*(1+Assumptions!K$14)),-2)</f>
        <v>19600</v>
      </c>
    </row>
    <row r="733" spans="2:14" x14ac:dyDescent="0.25">
      <c r="C733" s="16" t="s">
        <v>1215</v>
      </c>
      <c r="D733" s="16" t="s">
        <v>1216</v>
      </c>
      <c r="E733" s="289"/>
      <c r="F733" s="289"/>
      <c r="G733" s="289"/>
      <c r="H733" s="289"/>
      <c r="I733" s="289"/>
      <c r="J733" s="289"/>
      <c r="K733" s="289"/>
      <c r="L733" s="289"/>
      <c r="M733" s="289"/>
      <c r="N733" s="289"/>
    </row>
    <row r="734" spans="2:14" x14ac:dyDescent="0.25">
      <c r="B734" s="16" t="s">
        <v>43</v>
      </c>
      <c r="C734" s="16" t="s">
        <v>1217</v>
      </c>
      <c r="D734" s="16" t="s">
        <v>1218</v>
      </c>
      <c r="E734" s="288">
        <v>1500</v>
      </c>
      <c r="F734" s="288">
        <f>ROUND(IF($A734="E",E734*(1+Assumptions!C$15),E734*(1+Assumptions!C$14)),-2)</f>
        <v>1500</v>
      </c>
      <c r="G734" s="288">
        <f>ROUND(IF($A734="E",F734*(1+Assumptions!D$15),F734*(1+Assumptions!D$14)),-2)</f>
        <v>1500</v>
      </c>
      <c r="H734" s="288">
        <f>ROUND(IF($A734="E",G734*(1+Assumptions!E$15),G734*(1+Assumptions!E$14)),-2)</f>
        <v>1500</v>
      </c>
      <c r="I734" s="288">
        <f>ROUND(IF($A734="E",H734*(1+Assumptions!F$15),H734*(1+Assumptions!F$14)),-2)</f>
        <v>1500</v>
      </c>
      <c r="J734" s="288">
        <f>ROUND(IF($A734="E",I734*(1+Assumptions!G$15),I734*(1+Assumptions!G$14)),-2)</f>
        <v>1500</v>
      </c>
      <c r="K734" s="288">
        <f>ROUND(IF($A734="E",J734*(1+Assumptions!H$15),J734*(1+Assumptions!H$14)),-2)</f>
        <v>1500</v>
      </c>
      <c r="L734" s="288">
        <f>ROUND(IF($A734="E",K734*(1+Assumptions!I$15),K734*(1+Assumptions!I$14)),-2)</f>
        <v>1500</v>
      </c>
      <c r="M734" s="288">
        <f>ROUND(IF($A734="E",L734*(1+Assumptions!J$15),L734*(1+Assumptions!J$14)),-2)</f>
        <v>1500</v>
      </c>
      <c r="N734" s="288">
        <f>ROUND(IF($A734="E",M734*(1+Assumptions!K$15),M734*(1+Assumptions!K$14)),-2)</f>
        <v>1500</v>
      </c>
    </row>
    <row r="735" spans="2:14" x14ac:dyDescent="0.25">
      <c r="B735" s="16" t="s">
        <v>43</v>
      </c>
      <c r="C735" s="16" t="s">
        <v>1219</v>
      </c>
      <c r="D735" s="16" t="s">
        <v>1220</v>
      </c>
      <c r="E735" s="288">
        <v>15400</v>
      </c>
      <c r="F735" s="288">
        <f>ROUND(IF($A735="E",E735*(1+Assumptions!C$15),E735*(1+Assumptions!C$14)),-2)</f>
        <v>15600</v>
      </c>
      <c r="G735" s="288">
        <f>ROUND(IF($A735="E",F735*(1+Assumptions!D$15),F735*(1+Assumptions!D$14)),-2)</f>
        <v>15900</v>
      </c>
      <c r="H735" s="288">
        <f>ROUND(IF($A735="E",G735*(1+Assumptions!E$15),G735*(1+Assumptions!E$14)),-2)</f>
        <v>16200</v>
      </c>
      <c r="I735" s="288">
        <f>ROUND(IF($A735="E",H735*(1+Assumptions!F$15),H735*(1+Assumptions!F$14)),-2)</f>
        <v>16500</v>
      </c>
      <c r="J735" s="288">
        <f>ROUND(IF($A735="E",I735*(1+Assumptions!G$15),I735*(1+Assumptions!G$14)),-2)</f>
        <v>16800</v>
      </c>
      <c r="K735" s="288">
        <f>ROUND(IF($A735="E",J735*(1+Assumptions!H$15),J735*(1+Assumptions!H$14)),-2)</f>
        <v>17100</v>
      </c>
      <c r="L735" s="288">
        <f>ROUND(IF($A735="E",K735*(1+Assumptions!I$15),K735*(1+Assumptions!I$14)),-2)</f>
        <v>17500</v>
      </c>
      <c r="M735" s="288">
        <f>ROUND(IF($A735="E",L735*(1+Assumptions!J$15),L735*(1+Assumptions!J$14)),-2)</f>
        <v>17900</v>
      </c>
      <c r="N735" s="288">
        <f>ROUND(IF($A735="E",M735*(1+Assumptions!K$15),M735*(1+Assumptions!K$14)),-2)</f>
        <v>18300</v>
      </c>
    </row>
    <row r="736" spans="2:14" x14ac:dyDescent="0.25">
      <c r="B736" s="16" t="s">
        <v>43</v>
      </c>
      <c r="C736" s="16" t="s">
        <v>1221</v>
      </c>
      <c r="D736" s="16" t="s">
        <v>1222</v>
      </c>
      <c r="E736" s="288">
        <v>5200</v>
      </c>
      <c r="F736" s="288">
        <f>ROUND(IF($A736="E",E736*(1+Assumptions!C$15),E736*(1+Assumptions!C$14)),-2)</f>
        <v>5300</v>
      </c>
      <c r="G736" s="288">
        <f>ROUND(IF($A736="E",F736*(1+Assumptions!D$15),F736*(1+Assumptions!D$14)),-2)</f>
        <v>5400</v>
      </c>
      <c r="H736" s="288">
        <f>ROUND(IF($A736="E",G736*(1+Assumptions!E$15),G736*(1+Assumptions!E$14)),-2)</f>
        <v>5500</v>
      </c>
      <c r="I736" s="288">
        <f>ROUND(IF($A736="E",H736*(1+Assumptions!F$15),H736*(1+Assumptions!F$14)),-2)</f>
        <v>5600</v>
      </c>
      <c r="J736" s="288">
        <f>ROUND(IF($A736="E",I736*(1+Assumptions!G$15),I736*(1+Assumptions!G$14)),-2)</f>
        <v>5700</v>
      </c>
      <c r="K736" s="288">
        <f>ROUND(IF($A736="E",J736*(1+Assumptions!H$15),J736*(1+Assumptions!H$14)),-2)</f>
        <v>5800</v>
      </c>
      <c r="L736" s="288">
        <f>ROUND(IF($A736="E",K736*(1+Assumptions!I$15),K736*(1+Assumptions!I$14)),-2)</f>
        <v>5900</v>
      </c>
      <c r="M736" s="288">
        <f>ROUND(IF($A736="E",L736*(1+Assumptions!J$15),L736*(1+Assumptions!J$14)),-2)</f>
        <v>6000</v>
      </c>
      <c r="N736" s="288">
        <f>ROUND(IF($A736="E",M736*(1+Assumptions!K$15),M736*(1+Assumptions!K$14)),-2)</f>
        <v>6200</v>
      </c>
    </row>
    <row r="737" spans="1:14" x14ac:dyDescent="0.25">
      <c r="B737" s="16" t="s">
        <v>43</v>
      </c>
      <c r="C737" s="16" t="s">
        <v>1223</v>
      </c>
      <c r="D737" s="16" t="s">
        <v>1224</v>
      </c>
      <c r="E737" s="289"/>
      <c r="F737" s="289"/>
      <c r="G737" s="289"/>
      <c r="H737" s="289"/>
      <c r="I737" s="289"/>
      <c r="J737" s="289"/>
      <c r="K737" s="289"/>
      <c r="L737" s="289"/>
      <c r="M737" s="289"/>
      <c r="N737" s="289"/>
    </row>
    <row r="738" spans="1:14" x14ac:dyDescent="0.25">
      <c r="B738" s="16" t="s">
        <v>43</v>
      </c>
      <c r="C738" s="16" t="s">
        <v>1225</v>
      </c>
      <c r="D738" s="16" t="s">
        <v>1226</v>
      </c>
      <c r="E738" s="288">
        <v>90000</v>
      </c>
      <c r="F738" s="288">
        <v>0</v>
      </c>
      <c r="G738" s="288">
        <f>ROUND(IF($A738="E",F738*(1+Assumptions!D$15),F738*(1+Assumptions!D$14)),-2)</f>
        <v>0</v>
      </c>
      <c r="H738" s="288">
        <f>ROUND(IF($A738="E",G738*(1+Assumptions!E$15),G738*(1+Assumptions!E$14)),-2)</f>
        <v>0</v>
      </c>
      <c r="I738" s="288">
        <f>ROUND(IF($A738="E",H738*(1+Assumptions!F$15),H738*(1+Assumptions!F$14)),-2)</f>
        <v>0</v>
      </c>
      <c r="J738" s="288">
        <f>ROUND(IF($A738="E",I738*(1+Assumptions!G$15),I738*(1+Assumptions!G$14)),-2)</f>
        <v>0</v>
      </c>
      <c r="K738" s="288">
        <f>ROUND(IF($A738="E",J738*(1+Assumptions!H$15),J738*(1+Assumptions!H$14)),-2)</f>
        <v>0</v>
      </c>
      <c r="L738" s="288">
        <f>ROUND(IF($A738="E",K738*(1+Assumptions!I$15),K738*(1+Assumptions!I$14)),-2)</f>
        <v>0</v>
      </c>
      <c r="M738" s="288">
        <f>ROUND(IF($A738="E",L738*(1+Assumptions!J$15),L738*(1+Assumptions!J$14)),-2)</f>
        <v>0</v>
      </c>
      <c r="N738" s="288">
        <f>ROUND(IF($A738="E",M738*(1+Assumptions!K$15),M738*(1+Assumptions!K$14)),-2)</f>
        <v>0</v>
      </c>
    </row>
    <row r="739" spans="1:14" x14ac:dyDescent="0.25">
      <c r="C739" s="16" t="s">
        <v>1227</v>
      </c>
      <c r="D739" s="16" t="s">
        <v>187</v>
      </c>
      <c r="E739" s="289"/>
      <c r="F739" s="289"/>
      <c r="G739" s="289"/>
      <c r="H739" s="289"/>
      <c r="I739" s="289"/>
      <c r="J739" s="289"/>
      <c r="K739" s="289"/>
      <c r="L739" s="289"/>
      <c r="M739" s="289"/>
      <c r="N739" s="289"/>
    </row>
    <row r="740" spans="1:14" x14ac:dyDescent="0.25">
      <c r="B740" s="16" t="s">
        <v>43</v>
      </c>
      <c r="C740" s="16" t="s">
        <v>1228</v>
      </c>
      <c r="D740" s="16" t="s">
        <v>193</v>
      </c>
      <c r="E740" s="288">
        <v>131100</v>
      </c>
      <c r="F740" s="288">
        <f>ROUND(IF($A740="E",E740*(1+Assumptions!C$15),E740*(1+Assumptions!C$14)),-2)</f>
        <v>133100</v>
      </c>
      <c r="G740" s="288">
        <f>ROUND(IF($A740="E",F740*(1+Assumptions!D$15),F740*(1+Assumptions!D$14)),-2)</f>
        <v>135800</v>
      </c>
      <c r="H740" s="288">
        <f>ROUND(IF($A740="E",G740*(1+Assumptions!E$15),G740*(1+Assumptions!E$14)),-2)</f>
        <v>138500</v>
      </c>
      <c r="I740" s="288">
        <f>ROUND(IF($A740="E",H740*(1+Assumptions!F$15),H740*(1+Assumptions!F$14)),-2)</f>
        <v>141300</v>
      </c>
      <c r="J740" s="288">
        <f>ROUND(IF($A740="E",I740*(1+Assumptions!G$15),I740*(1+Assumptions!G$14)),-2)</f>
        <v>144100</v>
      </c>
      <c r="K740" s="288">
        <f>ROUND(IF($A740="E",J740*(1+Assumptions!H$15),J740*(1+Assumptions!H$14)),-2)</f>
        <v>147000</v>
      </c>
      <c r="L740" s="288">
        <f>ROUND(IF($A740="E",K740*(1+Assumptions!I$15),K740*(1+Assumptions!I$14)),-2)</f>
        <v>150700</v>
      </c>
      <c r="M740" s="288">
        <f>ROUND(IF($A740="E",L740*(1+Assumptions!J$15),L740*(1+Assumptions!J$14)),-2)</f>
        <v>154500</v>
      </c>
      <c r="N740" s="288">
        <f>ROUND(IF($A740="E",M740*(1+Assumptions!K$15),M740*(1+Assumptions!K$14)),-2)</f>
        <v>158400</v>
      </c>
    </row>
    <row r="741" spans="1:14" ht="12.75" customHeight="1" x14ac:dyDescent="0.25">
      <c r="A741" s="16" t="s">
        <v>4591</v>
      </c>
      <c r="B741" s="397" t="s">
        <v>3231</v>
      </c>
      <c r="C741" s="43" t="s">
        <v>3237</v>
      </c>
      <c r="D741" s="16" t="s">
        <v>3238</v>
      </c>
      <c r="E741" s="288">
        <v>94600</v>
      </c>
      <c r="F741" s="288">
        <f>ROUND(IF($A741="E",E741*(1+Assumptions!C$15),E741*(1+Assumptions!C$17)),-2)</f>
        <v>95500</v>
      </c>
      <c r="G741" s="288">
        <f>ROUND(IF($A741="E",F741*(1+Assumptions!D$15),F741*(1+Assumptions!D$17)),-2)</f>
        <v>96500</v>
      </c>
      <c r="H741" s="288">
        <f>ROUND(IF($A741="E",G741*(1+Assumptions!E$15),G741*(1+Assumptions!E$17)),-2)</f>
        <v>97500</v>
      </c>
      <c r="I741" s="288">
        <f>ROUND(IF($A741="E",H741*(1+Assumptions!F$15),H741*(1+Assumptions!F$17)),-2)</f>
        <v>98500</v>
      </c>
      <c r="J741" s="288">
        <f>ROUND(IF($A741="E",I741*(1+Assumptions!G$15),I741*(1+Assumptions!G$17)),-2)</f>
        <v>99500</v>
      </c>
      <c r="K741" s="288">
        <f>ROUND(IF($A741="E",J741*(1+Assumptions!H$15),J741*(1+Assumptions!H$17)),-2)</f>
        <v>100500</v>
      </c>
      <c r="L741" s="288">
        <f>ROUND(IF($A741="E",K741*(1+Assumptions!I$15),K741*(1+Assumptions!I$17)),-2)</f>
        <v>101500</v>
      </c>
      <c r="M741" s="288">
        <f>ROUND(IF($A741="E",L741*(1+Assumptions!J$15),L741*(1+Assumptions!J$17)),-2)</f>
        <v>102500</v>
      </c>
      <c r="N741" s="288">
        <f>ROUND(IF($A741="E",M741*(1+Assumptions!K$15),M741*(1+Assumptions!K$17)),-2)</f>
        <v>103500</v>
      </c>
    </row>
    <row r="742" spans="1:14" ht="12.75" customHeight="1" x14ac:dyDescent="0.25">
      <c r="A742" s="16" t="s">
        <v>4591</v>
      </c>
      <c r="B742" s="397" t="s">
        <v>3231</v>
      </c>
      <c r="C742" s="43" t="s">
        <v>3241</v>
      </c>
      <c r="D742" s="16" t="s">
        <v>3239</v>
      </c>
      <c r="E742" s="288">
        <v>4600</v>
      </c>
      <c r="F742" s="288">
        <f>ROUND(IF($A742="E",E742*(1+Assumptions!C$15),E742*(1+Assumptions!C$17)),-2)</f>
        <v>4600</v>
      </c>
      <c r="G742" s="288">
        <f>ROUND(IF($A742="E",F742*(1+Assumptions!D$15),F742*(1+Assumptions!D$17)),-2)</f>
        <v>4600</v>
      </c>
      <c r="H742" s="288">
        <f>ROUND(IF($A742="E",G742*(1+Assumptions!E$15),G742*(1+Assumptions!E$17)),-2)</f>
        <v>4600</v>
      </c>
      <c r="I742" s="288">
        <f>ROUND(IF($A742="E",H742*(1+Assumptions!F$15),H742*(1+Assumptions!F$17)),-2)</f>
        <v>4600</v>
      </c>
      <c r="J742" s="288">
        <f>ROUND(IF($A742="E",I742*(1+Assumptions!G$15),I742*(1+Assumptions!G$17)),-2)</f>
        <v>4600</v>
      </c>
      <c r="K742" s="288">
        <f>ROUND(IF($A742="E",J742*(1+Assumptions!H$15),J742*(1+Assumptions!H$17)),-2)</f>
        <v>4600</v>
      </c>
      <c r="L742" s="288">
        <f>ROUND(IF($A742="E",K742*(1+Assumptions!I$15),K742*(1+Assumptions!I$17)),-2)</f>
        <v>4600</v>
      </c>
      <c r="M742" s="288">
        <f>ROUND(IF($A742="E",L742*(1+Assumptions!J$15),L742*(1+Assumptions!J$17)),-2)</f>
        <v>4600</v>
      </c>
      <c r="N742" s="288">
        <f>ROUND(IF($A742="E",M742*(1+Assumptions!K$15),M742*(1+Assumptions!K$17)),-2)</f>
        <v>4600</v>
      </c>
    </row>
    <row r="743" spans="1:14" ht="12.75" customHeight="1" x14ac:dyDescent="0.25">
      <c r="E743" s="288"/>
      <c r="F743" s="288"/>
      <c r="G743" s="288"/>
      <c r="H743" s="288"/>
      <c r="I743" s="288"/>
      <c r="J743" s="288"/>
      <c r="K743" s="288"/>
      <c r="L743" s="288"/>
      <c r="M743" s="288"/>
      <c r="N743" s="288"/>
    </row>
    <row r="744" spans="1:14" ht="12.75" customHeight="1" x14ac:dyDescent="0.25">
      <c r="D744" s="19" t="s">
        <v>3234</v>
      </c>
      <c r="E744" s="291">
        <f>SUM(E704:E743)</f>
        <v>831300</v>
      </c>
      <c r="F744" s="291">
        <f t="shared" ref="F744:N744" si="23">SUM(F704:F743)</f>
        <v>751900</v>
      </c>
      <c r="G744" s="291">
        <f t="shared" si="23"/>
        <v>765900</v>
      </c>
      <c r="H744" s="291">
        <f t="shared" si="23"/>
        <v>780100</v>
      </c>
      <c r="I744" s="291">
        <f t="shared" si="23"/>
        <v>794500</v>
      </c>
      <c r="J744" s="291">
        <f t="shared" si="23"/>
        <v>809100</v>
      </c>
      <c r="K744" s="291">
        <f t="shared" si="23"/>
        <v>824200</v>
      </c>
      <c r="L744" s="291">
        <f t="shared" si="23"/>
        <v>843100</v>
      </c>
      <c r="M744" s="291">
        <f t="shared" si="23"/>
        <v>862300</v>
      </c>
      <c r="N744" s="291">
        <f t="shared" si="23"/>
        <v>882000</v>
      </c>
    </row>
    <row r="745" spans="1:14" ht="12.75" customHeight="1" x14ac:dyDescent="0.25">
      <c r="E745" s="288"/>
      <c r="F745" s="288"/>
      <c r="G745" s="288"/>
      <c r="H745" s="288"/>
      <c r="I745" s="288"/>
      <c r="J745" s="288"/>
      <c r="K745" s="288"/>
      <c r="L745" s="288"/>
      <c r="M745" s="288"/>
      <c r="N745" s="288"/>
    </row>
    <row r="746" spans="1:14" x14ac:dyDescent="0.25">
      <c r="C746" s="16" t="s">
        <v>315</v>
      </c>
      <c r="E746" s="288"/>
      <c r="F746" s="288"/>
      <c r="G746" s="288"/>
      <c r="H746" s="288"/>
      <c r="I746" s="288"/>
      <c r="J746" s="288"/>
      <c r="K746" s="288"/>
      <c r="L746" s="288"/>
      <c r="M746" s="288"/>
      <c r="N746" s="288"/>
    </row>
    <row r="747" spans="1:14" x14ac:dyDescent="0.25">
      <c r="B747" s="16" t="s">
        <v>3229</v>
      </c>
      <c r="C747" s="16" t="s">
        <v>1229</v>
      </c>
      <c r="D747" s="16" t="s">
        <v>1230</v>
      </c>
      <c r="E747" s="289"/>
      <c r="F747" s="289"/>
      <c r="G747" s="289"/>
      <c r="H747" s="289"/>
      <c r="I747" s="289"/>
      <c r="J747" s="289"/>
      <c r="K747" s="289"/>
      <c r="L747" s="289"/>
      <c r="M747" s="289"/>
      <c r="N747" s="289"/>
    </row>
    <row r="748" spans="1:14" x14ac:dyDescent="0.25">
      <c r="B748" s="16" t="s">
        <v>3229</v>
      </c>
      <c r="C748" s="16" t="s">
        <v>1231</v>
      </c>
      <c r="D748" s="16" t="s">
        <v>1232</v>
      </c>
      <c r="E748" s="288">
        <v>-166300</v>
      </c>
      <c r="F748" s="288">
        <f>ROUND(E748+(E748*Assumptions!C$13),-2)</f>
        <v>-169600</v>
      </c>
      <c r="G748" s="288">
        <f>ROUND(F748+(F748*Assumptions!D$13),-2)</f>
        <v>-173800</v>
      </c>
      <c r="H748" s="288">
        <f>ROUND(G748+(G748*Assumptions!E$13),-2)</f>
        <v>-178100</v>
      </c>
      <c r="I748" s="288">
        <f>ROUND(H748+(H748*Assumptions!F$13),-2)</f>
        <v>-182600</v>
      </c>
      <c r="J748" s="288">
        <f>ROUND(I748+(I748*Assumptions!G$13),-2)</f>
        <v>-187200</v>
      </c>
      <c r="K748" s="288">
        <f>ROUND(J748+(J748*Assumptions!H$13),-2)</f>
        <v>-191900</v>
      </c>
      <c r="L748" s="288">
        <f>ROUND(K748+(K748*Assumptions!I$13),-2)</f>
        <v>-196700</v>
      </c>
      <c r="M748" s="288">
        <f>ROUND(L748+(L748*Assumptions!J$13),-2)</f>
        <v>-201600</v>
      </c>
      <c r="N748" s="288">
        <f>ROUND(M748+(M748*Assumptions!K$13),-2)</f>
        <v>-206600</v>
      </c>
    </row>
    <row r="749" spans="1:14" x14ac:dyDescent="0.25">
      <c r="B749" s="16" t="s">
        <v>3229</v>
      </c>
      <c r="C749" s="16" t="s">
        <v>1233</v>
      </c>
      <c r="D749" s="16" t="s">
        <v>1234</v>
      </c>
      <c r="E749" s="288"/>
      <c r="F749" s="288">
        <f>ROUND(E749+(E749*Assumptions!C$13),-2)</f>
        <v>0</v>
      </c>
      <c r="G749" s="288">
        <f>ROUND(F749+(F749*Assumptions!D$13),-2)</f>
        <v>0</v>
      </c>
      <c r="H749" s="288">
        <f>ROUND(G749+(G749*Assumptions!E$13),-2)</f>
        <v>0</v>
      </c>
      <c r="I749" s="288">
        <f>ROUND(H749+(H749*Assumptions!F$13),-2)</f>
        <v>0</v>
      </c>
      <c r="J749" s="288">
        <f>ROUND(I749+(I749*Assumptions!G$13),-2)</f>
        <v>0</v>
      </c>
      <c r="K749" s="288">
        <f>ROUND(J749+(J749*Assumptions!H$13),-2)</f>
        <v>0</v>
      </c>
      <c r="L749" s="288">
        <f>ROUND(K749+(K749*Assumptions!I$13),-2)</f>
        <v>0</v>
      </c>
      <c r="M749" s="288">
        <f>ROUND(L749+(L749*Assumptions!J$13),-2)</f>
        <v>0</v>
      </c>
      <c r="N749" s="288">
        <f>ROUND(M749+(M749*Assumptions!K$13),-2)</f>
        <v>0</v>
      </c>
    </row>
    <row r="750" spans="1:14" x14ac:dyDescent="0.25">
      <c r="B750" s="16" t="s">
        <v>3229</v>
      </c>
      <c r="C750" s="16" t="s">
        <v>1235</v>
      </c>
      <c r="D750" s="16" t="s">
        <v>1204</v>
      </c>
      <c r="E750" s="288">
        <v>0</v>
      </c>
      <c r="F750" s="288">
        <f>ROUND(E750+(E750*Assumptions!C$13),-2)</f>
        <v>0</v>
      </c>
      <c r="G750" s="288">
        <f>ROUND(F750+(F750*Assumptions!D$13),-2)</f>
        <v>0</v>
      </c>
      <c r="H750" s="288">
        <f>ROUND(G750+(G750*Assumptions!E$13),-2)</f>
        <v>0</v>
      </c>
      <c r="I750" s="288">
        <f>ROUND(H750+(H750*Assumptions!F$13),-2)</f>
        <v>0</v>
      </c>
      <c r="J750" s="288">
        <f>ROUND(I750+(I750*Assumptions!G$13),-2)</f>
        <v>0</v>
      </c>
      <c r="K750" s="288">
        <f>ROUND(J750+(J750*Assumptions!H$13),-2)</f>
        <v>0</v>
      </c>
      <c r="L750" s="288">
        <f>ROUND(K750+(K750*Assumptions!I$13),-2)</f>
        <v>0</v>
      </c>
      <c r="M750" s="288">
        <f>ROUND(L750+(L750*Assumptions!J$13),-2)</f>
        <v>0</v>
      </c>
      <c r="N750" s="288">
        <f>ROUND(M750+(M750*Assumptions!K$13),-2)</f>
        <v>0</v>
      </c>
    </row>
    <row r="751" spans="1:14" x14ac:dyDescent="0.25">
      <c r="B751" s="16" t="s">
        <v>3229</v>
      </c>
      <c r="C751" s="16" t="s">
        <v>1236</v>
      </c>
      <c r="D751" s="16" t="s">
        <v>1230</v>
      </c>
      <c r="E751" s="289"/>
      <c r="F751" s="289"/>
      <c r="G751" s="289"/>
      <c r="H751" s="289"/>
      <c r="I751" s="289"/>
      <c r="J751" s="289"/>
      <c r="K751" s="289"/>
      <c r="L751" s="289"/>
      <c r="M751" s="289"/>
      <c r="N751" s="289"/>
    </row>
    <row r="752" spans="1:14" x14ac:dyDescent="0.25">
      <c r="B752" s="16" t="s">
        <v>3229</v>
      </c>
      <c r="C752" s="16" t="s">
        <v>1237</v>
      </c>
      <c r="D752" s="16" t="s">
        <v>1226</v>
      </c>
      <c r="E752" s="288">
        <v>-60000</v>
      </c>
      <c r="F752" s="288">
        <v>0</v>
      </c>
      <c r="G752" s="288">
        <f>ROUND(F752+(F752*Assumptions!D$13),-2)</f>
        <v>0</v>
      </c>
      <c r="H752" s="288">
        <f>ROUND(G752+(G752*Assumptions!E$13),-2)</f>
        <v>0</v>
      </c>
      <c r="I752" s="288">
        <f>ROUND(H752+(H752*Assumptions!F$13),-2)</f>
        <v>0</v>
      </c>
      <c r="J752" s="288">
        <f>ROUND(I752+(I752*Assumptions!G$13),-2)</f>
        <v>0</v>
      </c>
      <c r="K752" s="288">
        <f>ROUND(J752+(J752*Assumptions!H$13),-2)</f>
        <v>0</v>
      </c>
      <c r="L752" s="288">
        <f>ROUND(K752+(K752*Assumptions!I$13),-2)</f>
        <v>0</v>
      </c>
      <c r="M752" s="288">
        <f>ROUND(L752+(L752*Assumptions!J$13),-2)</f>
        <v>0</v>
      </c>
      <c r="N752" s="288">
        <f>ROUND(M752+(M752*Assumptions!K$13),-2)</f>
        <v>0</v>
      </c>
    </row>
    <row r="753" spans="2:14" ht="12.75" customHeight="1" x14ac:dyDescent="0.25">
      <c r="E753" s="288"/>
      <c r="F753" s="288"/>
      <c r="G753" s="288"/>
      <c r="H753" s="288"/>
      <c r="I753" s="288"/>
      <c r="J753" s="288"/>
      <c r="K753" s="288"/>
      <c r="L753" s="288"/>
      <c r="M753" s="288"/>
      <c r="N753" s="288"/>
    </row>
    <row r="754" spans="2:14" ht="12.75" customHeight="1" x14ac:dyDescent="0.25">
      <c r="D754" s="19" t="s">
        <v>3234</v>
      </c>
      <c r="E754" s="291">
        <f>SUM(E747:E753)</f>
        <v>-226300</v>
      </c>
      <c r="F754" s="291">
        <f t="shared" ref="F754:N754" si="24">SUM(F747:F753)</f>
        <v>-169600</v>
      </c>
      <c r="G754" s="291">
        <f t="shared" si="24"/>
        <v>-173800</v>
      </c>
      <c r="H754" s="291">
        <f t="shared" si="24"/>
        <v>-178100</v>
      </c>
      <c r="I754" s="291">
        <f t="shared" si="24"/>
        <v>-182600</v>
      </c>
      <c r="J754" s="291">
        <f t="shared" si="24"/>
        <v>-187200</v>
      </c>
      <c r="K754" s="291">
        <f t="shared" si="24"/>
        <v>-191900</v>
      </c>
      <c r="L754" s="291">
        <f t="shared" si="24"/>
        <v>-196700</v>
      </c>
      <c r="M754" s="291">
        <f t="shared" si="24"/>
        <v>-201600</v>
      </c>
      <c r="N754" s="291">
        <f t="shared" si="24"/>
        <v>-206600</v>
      </c>
    </row>
    <row r="755" spans="2:14" ht="12.75" customHeight="1" x14ac:dyDescent="0.25">
      <c r="E755" s="288"/>
      <c r="F755" s="288"/>
      <c r="G755" s="288"/>
      <c r="H755" s="288"/>
      <c r="I755" s="288"/>
      <c r="J755" s="288"/>
      <c r="K755" s="288"/>
      <c r="L755" s="288"/>
      <c r="M755" s="288"/>
      <c r="N755" s="288"/>
    </row>
    <row r="756" spans="2:14" x14ac:dyDescent="0.25">
      <c r="C756" s="19" t="s">
        <v>1238</v>
      </c>
      <c r="E756" s="288"/>
      <c r="F756" s="288"/>
      <c r="G756" s="288"/>
      <c r="H756" s="288"/>
      <c r="I756" s="288"/>
      <c r="J756" s="288"/>
      <c r="K756" s="288"/>
      <c r="L756" s="288"/>
      <c r="M756" s="288"/>
      <c r="N756" s="288"/>
    </row>
    <row r="757" spans="2:14" ht="12.75" customHeight="1" x14ac:dyDescent="0.25">
      <c r="E757" s="288"/>
      <c r="F757" s="288"/>
      <c r="G757" s="288"/>
      <c r="H757" s="288"/>
      <c r="I757" s="288"/>
      <c r="J757" s="288"/>
      <c r="K757" s="288"/>
      <c r="L757" s="288"/>
      <c r="M757" s="288"/>
      <c r="N757" s="288"/>
    </row>
    <row r="758" spans="2:14" x14ac:dyDescent="0.25">
      <c r="C758" s="16" t="s">
        <v>87</v>
      </c>
      <c r="E758" s="288"/>
      <c r="F758" s="288"/>
      <c r="G758" s="288"/>
      <c r="H758" s="288"/>
      <c r="I758" s="288"/>
      <c r="J758" s="288"/>
      <c r="K758" s="288"/>
      <c r="L758" s="288"/>
      <c r="M758" s="288"/>
      <c r="N758" s="288"/>
    </row>
    <row r="759" spans="2:14" x14ac:dyDescent="0.25">
      <c r="B759" s="16" t="s">
        <v>43</v>
      </c>
      <c r="C759" s="16" t="s">
        <v>1239</v>
      </c>
      <c r="D759" s="16" t="s">
        <v>1240</v>
      </c>
      <c r="E759" s="289"/>
      <c r="F759" s="289"/>
      <c r="G759" s="289"/>
      <c r="H759" s="289"/>
      <c r="I759" s="289"/>
      <c r="J759" s="289"/>
      <c r="K759" s="289"/>
      <c r="L759" s="289"/>
      <c r="M759" s="289"/>
      <c r="N759" s="289"/>
    </row>
    <row r="760" spans="2:14" x14ac:dyDescent="0.25">
      <c r="B760" s="16" t="s">
        <v>43</v>
      </c>
      <c r="C760" s="16" t="s">
        <v>1241</v>
      </c>
      <c r="D760" s="16" t="s">
        <v>1242</v>
      </c>
      <c r="E760" s="288">
        <v>-2739400</v>
      </c>
      <c r="F760" s="288">
        <f>ROUND(IF($A760="E",E760*(1+Assumptions!C$15),E760*(1+Assumptions!C$14)),-2)</f>
        <v>-2780500</v>
      </c>
      <c r="G760" s="288">
        <f>ROUND(IF($A760="E",F760*(1+Assumptions!D$15),F760*(1+Assumptions!D$14)),-2)</f>
        <v>-2836100</v>
      </c>
      <c r="H760" s="288">
        <f>ROUND(IF($A760="E",G760*(1+Assumptions!E$15),G760*(1+Assumptions!E$14)),-2)</f>
        <v>-2892800</v>
      </c>
      <c r="I760" s="288">
        <f>ROUND(IF($A760="E",H760*(1+Assumptions!F$15),H760*(1+Assumptions!F$14)),-2)</f>
        <v>-2950700</v>
      </c>
      <c r="J760" s="288">
        <f>ROUND(IF($A760="E",I760*(1+Assumptions!G$15),I760*(1+Assumptions!G$14)),-2)</f>
        <v>-3009700</v>
      </c>
      <c r="K760" s="288">
        <f>ROUND(IF($A760="E",J760*(1+Assumptions!H$15),J760*(1+Assumptions!H$14)),-2)</f>
        <v>-3069900</v>
      </c>
      <c r="L760" s="288">
        <f>ROUND(IF($A760="E",K760*(1+Assumptions!I$15),K760*(1+Assumptions!I$14)),-2)</f>
        <v>-3146600</v>
      </c>
      <c r="M760" s="288">
        <f>ROUND(IF($A760="E",L760*(1+Assumptions!J$15),L760*(1+Assumptions!J$14)),-2)</f>
        <v>-3225300</v>
      </c>
      <c r="N760" s="288">
        <f>ROUND(IF($A760="E",M760*(1+Assumptions!K$15),M760*(1+Assumptions!K$14)),-2)</f>
        <v>-3305900</v>
      </c>
    </row>
    <row r="761" spans="2:14" x14ac:dyDescent="0.25">
      <c r="B761" s="16" t="s">
        <v>43</v>
      </c>
      <c r="C761" s="16" t="s">
        <v>1243</v>
      </c>
      <c r="D761" s="16" t="s">
        <v>1244</v>
      </c>
      <c r="E761" s="288">
        <v>0</v>
      </c>
      <c r="F761" s="288">
        <f>ROUND(IF($A761="E",E761*(1+Assumptions!C$15),E761*(1+Assumptions!C$14)),-2)</f>
        <v>0</v>
      </c>
      <c r="G761" s="288">
        <f>ROUND(IF($A761="E",F761*(1+Assumptions!D$15),F761*(1+Assumptions!D$14)),-2)</f>
        <v>0</v>
      </c>
      <c r="H761" s="288">
        <f>ROUND(IF($A761="E",G761*(1+Assumptions!E$15),G761*(1+Assumptions!E$14)),-2)</f>
        <v>0</v>
      </c>
      <c r="I761" s="288">
        <f>ROUND(IF($A761="E",H761*(1+Assumptions!F$15),H761*(1+Assumptions!F$14)),-2)</f>
        <v>0</v>
      </c>
      <c r="J761" s="288">
        <f>ROUND(IF($A761="E",I761*(1+Assumptions!G$15),I761*(1+Assumptions!G$14)),-2)</f>
        <v>0</v>
      </c>
      <c r="K761" s="288">
        <f>ROUND(IF($A761="E",J761*(1+Assumptions!H$15),J761*(1+Assumptions!H$14)),-2)</f>
        <v>0</v>
      </c>
      <c r="L761" s="288">
        <f>ROUND(IF($A761="E",K761*(1+Assumptions!I$15),K761*(1+Assumptions!I$14)),-2)</f>
        <v>0</v>
      </c>
      <c r="M761" s="288">
        <f>ROUND(IF($A761="E",L761*(1+Assumptions!J$15),L761*(1+Assumptions!J$14)),-2)</f>
        <v>0</v>
      </c>
      <c r="N761" s="288">
        <f>ROUND(IF($A761="E",M761*(1+Assumptions!K$15),M761*(1+Assumptions!K$14)),-2)</f>
        <v>0</v>
      </c>
    </row>
    <row r="762" spans="2:14" x14ac:dyDescent="0.25">
      <c r="B762" s="16" t="s">
        <v>43</v>
      </c>
      <c r="C762" s="16" t="s">
        <v>1245</v>
      </c>
      <c r="D762" s="16" t="s">
        <v>1246</v>
      </c>
      <c r="E762" s="288">
        <v>0</v>
      </c>
      <c r="F762" s="288">
        <f>ROUND(IF($A762="E",E762*(1+Assumptions!C$15),E762*(1+Assumptions!C$14)),-2)</f>
        <v>0</v>
      </c>
      <c r="G762" s="288">
        <f>ROUND(IF($A762="E",F762*(1+Assumptions!D$15),F762*(1+Assumptions!D$14)),-2)</f>
        <v>0</v>
      </c>
      <c r="H762" s="288">
        <f>ROUND(IF($A762="E",G762*(1+Assumptions!E$15),G762*(1+Assumptions!E$14)),-2)</f>
        <v>0</v>
      </c>
      <c r="I762" s="288">
        <f>ROUND(IF($A762="E",H762*(1+Assumptions!F$15),H762*(1+Assumptions!F$14)),-2)</f>
        <v>0</v>
      </c>
      <c r="J762" s="288">
        <f>ROUND(IF($A762="E",I762*(1+Assumptions!G$15),I762*(1+Assumptions!G$14)),-2)</f>
        <v>0</v>
      </c>
      <c r="K762" s="288">
        <f>ROUND(IF($A762="E",J762*(1+Assumptions!H$15),J762*(1+Assumptions!H$14)),-2)</f>
        <v>0</v>
      </c>
      <c r="L762" s="288">
        <f>ROUND(IF($A762="E",K762*(1+Assumptions!I$15),K762*(1+Assumptions!I$14)),-2)</f>
        <v>0</v>
      </c>
      <c r="M762" s="288">
        <f>ROUND(IF($A762="E",L762*(1+Assumptions!J$15),L762*(1+Assumptions!J$14)),-2)</f>
        <v>0</v>
      </c>
      <c r="N762" s="288">
        <f>ROUND(IF($A762="E",M762*(1+Assumptions!K$15),M762*(1+Assumptions!K$14)),-2)</f>
        <v>0</v>
      </c>
    </row>
    <row r="763" spans="2:14" x14ac:dyDescent="0.25">
      <c r="C763" s="16" t="s">
        <v>1247</v>
      </c>
      <c r="D763" s="16" t="s">
        <v>1248</v>
      </c>
      <c r="E763" s="289"/>
      <c r="F763" s="289"/>
      <c r="G763" s="289"/>
      <c r="H763" s="289"/>
      <c r="I763" s="289"/>
      <c r="J763" s="289"/>
      <c r="K763" s="289"/>
      <c r="L763" s="289"/>
      <c r="M763" s="289"/>
      <c r="N763" s="289"/>
    </row>
    <row r="764" spans="2:14" x14ac:dyDescent="0.25">
      <c r="B764" s="16" t="s">
        <v>41</v>
      </c>
      <c r="C764" s="16" t="s">
        <v>1249</v>
      </c>
      <c r="D764" s="16" t="s">
        <v>1250</v>
      </c>
      <c r="E764" s="288">
        <v>245000</v>
      </c>
      <c r="F764" s="288">
        <f>ROUND(IF($A764="E",E764*(1+Assumptions!C$15),E764*(1+Assumptions!C$14)),-2)</f>
        <v>248700</v>
      </c>
      <c r="G764" s="288">
        <f>ROUND(IF($A764="E",F764*(1+Assumptions!D$15),F764*(1+Assumptions!D$14)),-2)</f>
        <v>253700</v>
      </c>
      <c r="H764" s="288">
        <f>ROUND(IF($A764="E",G764*(1+Assumptions!E$15),G764*(1+Assumptions!E$14)),-2)</f>
        <v>258800</v>
      </c>
      <c r="I764" s="288">
        <f>ROUND(IF($A764="E",H764*(1+Assumptions!F$15),H764*(1+Assumptions!F$14)),-2)</f>
        <v>264000</v>
      </c>
      <c r="J764" s="288">
        <f>ROUND(IF($A764="E",I764*(1+Assumptions!G$15),I764*(1+Assumptions!G$14)),-2)</f>
        <v>269300</v>
      </c>
      <c r="K764" s="288">
        <f>ROUND(IF($A764="E",J764*(1+Assumptions!H$15),J764*(1+Assumptions!H$14)),-2)</f>
        <v>274700</v>
      </c>
      <c r="L764" s="288">
        <f>ROUND(IF($A764="E",K764*(1+Assumptions!I$15),K764*(1+Assumptions!I$14)),-2)</f>
        <v>281600</v>
      </c>
      <c r="M764" s="288">
        <f>ROUND(IF($A764="E",L764*(1+Assumptions!J$15),L764*(1+Assumptions!J$14)),-2)</f>
        <v>288600</v>
      </c>
      <c r="N764" s="288">
        <f>ROUND(IF($A764="E",M764*(1+Assumptions!K$15),M764*(1+Assumptions!K$14)),-2)</f>
        <v>295800</v>
      </c>
    </row>
    <row r="765" spans="2:14" x14ac:dyDescent="0.25">
      <c r="B765" s="16" t="s">
        <v>43</v>
      </c>
      <c r="C765" s="16" t="s">
        <v>1251</v>
      </c>
      <c r="D765" s="16" t="s">
        <v>1252</v>
      </c>
      <c r="E765" s="288">
        <v>5000</v>
      </c>
      <c r="F765" s="288">
        <f>ROUND(IF($A765="E",E765*(1+Assumptions!C$15),E765*(1+Assumptions!C$14)),-2)</f>
        <v>5100</v>
      </c>
      <c r="G765" s="288">
        <f>ROUND(IF($A765="E",F765*(1+Assumptions!D$15),F765*(1+Assumptions!D$14)),-2)</f>
        <v>5200</v>
      </c>
      <c r="H765" s="288">
        <f>ROUND(IF($A765="E",G765*(1+Assumptions!E$15),G765*(1+Assumptions!E$14)),-2)</f>
        <v>5300</v>
      </c>
      <c r="I765" s="288">
        <f>ROUND(IF($A765="E",H765*(1+Assumptions!F$15),H765*(1+Assumptions!F$14)),-2)</f>
        <v>5400</v>
      </c>
      <c r="J765" s="288">
        <f>ROUND(IF($A765="E",I765*(1+Assumptions!G$15),I765*(1+Assumptions!G$14)),-2)</f>
        <v>5500</v>
      </c>
      <c r="K765" s="288">
        <f>ROUND(IF($A765="E",J765*(1+Assumptions!H$15),J765*(1+Assumptions!H$14)),-2)</f>
        <v>5600</v>
      </c>
      <c r="L765" s="288">
        <f>ROUND(IF($A765="E",K765*(1+Assumptions!I$15),K765*(1+Assumptions!I$14)),-2)</f>
        <v>5700</v>
      </c>
      <c r="M765" s="288">
        <f>ROUND(IF($A765="E",L765*(1+Assumptions!J$15),L765*(1+Assumptions!J$14)),-2)</f>
        <v>5800</v>
      </c>
      <c r="N765" s="288">
        <f>ROUND(IF($A765="E",M765*(1+Assumptions!K$15),M765*(1+Assumptions!K$14)),-2)</f>
        <v>5900</v>
      </c>
    </row>
    <row r="766" spans="2:14" x14ac:dyDescent="0.25">
      <c r="B766" s="16" t="s">
        <v>43</v>
      </c>
      <c r="C766" s="16" t="s">
        <v>1253</v>
      </c>
      <c r="D766" s="16" t="s">
        <v>1254</v>
      </c>
      <c r="E766" s="288">
        <v>10400</v>
      </c>
      <c r="F766" s="288">
        <f>ROUND(IF($A766="E",E766*(1+Assumptions!C$15),E766*(1+Assumptions!C$14)),-2)</f>
        <v>10600</v>
      </c>
      <c r="G766" s="288">
        <f>ROUND(IF($A766="E",F766*(1+Assumptions!D$15),F766*(1+Assumptions!D$14)),-2)</f>
        <v>10800</v>
      </c>
      <c r="H766" s="288">
        <f>ROUND(IF($A766="E",G766*(1+Assumptions!E$15),G766*(1+Assumptions!E$14)),-2)</f>
        <v>11000</v>
      </c>
      <c r="I766" s="288">
        <f>ROUND(IF($A766="E",H766*(1+Assumptions!F$15),H766*(1+Assumptions!F$14)),-2)</f>
        <v>11200</v>
      </c>
      <c r="J766" s="288">
        <f>ROUND(IF($A766="E",I766*(1+Assumptions!G$15),I766*(1+Assumptions!G$14)),-2)</f>
        <v>11400</v>
      </c>
      <c r="K766" s="288">
        <f>ROUND(IF($A766="E",J766*(1+Assumptions!H$15),J766*(1+Assumptions!H$14)),-2)</f>
        <v>11600</v>
      </c>
      <c r="L766" s="288">
        <f>ROUND(IF($A766="E",K766*(1+Assumptions!I$15),K766*(1+Assumptions!I$14)),-2)</f>
        <v>11900</v>
      </c>
      <c r="M766" s="288">
        <f>ROUND(IF($A766="E",L766*(1+Assumptions!J$15),L766*(1+Assumptions!J$14)),-2)</f>
        <v>12200</v>
      </c>
      <c r="N766" s="288">
        <f>ROUND(IF($A766="E",M766*(1+Assumptions!K$15),M766*(1+Assumptions!K$14)),-2)</f>
        <v>12500</v>
      </c>
    </row>
    <row r="767" spans="2:14" x14ac:dyDescent="0.25">
      <c r="B767" s="16" t="s">
        <v>43</v>
      </c>
      <c r="C767" s="16" t="s">
        <v>1255</v>
      </c>
      <c r="D767" s="16" t="s">
        <v>1256</v>
      </c>
      <c r="E767" s="288">
        <v>14100</v>
      </c>
      <c r="F767" s="288">
        <f>ROUND(IF($A767="E",E767*(1+Assumptions!C$15),E767*(1+Assumptions!C$14)),-2)</f>
        <v>14300</v>
      </c>
      <c r="G767" s="288">
        <f>ROUND(IF($A767="E",F767*(1+Assumptions!D$15),F767*(1+Assumptions!D$14)),-2)</f>
        <v>14600</v>
      </c>
      <c r="H767" s="288">
        <f>ROUND(IF($A767="E",G767*(1+Assumptions!E$15),G767*(1+Assumptions!E$14)),-2)</f>
        <v>14900</v>
      </c>
      <c r="I767" s="288">
        <f>ROUND(IF($A767="E",H767*(1+Assumptions!F$15),H767*(1+Assumptions!F$14)),-2)</f>
        <v>15200</v>
      </c>
      <c r="J767" s="288">
        <f>ROUND(IF($A767="E",I767*(1+Assumptions!G$15),I767*(1+Assumptions!G$14)),-2)</f>
        <v>15500</v>
      </c>
      <c r="K767" s="288">
        <f>ROUND(IF($A767="E",J767*(1+Assumptions!H$15),J767*(1+Assumptions!H$14)),-2)</f>
        <v>15800</v>
      </c>
      <c r="L767" s="288">
        <f>ROUND(IF($A767="E",K767*(1+Assumptions!I$15),K767*(1+Assumptions!I$14)),-2)</f>
        <v>16200</v>
      </c>
      <c r="M767" s="288">
        <f>ROUND(IF($A767="E",L767*(1+Assumptions!J$15),L767*(1+Assumptions!J$14)),-2)</f>
        <v>16600</v>
      </c>
      <c r="N767" s="288">
        <f>ROUND(IF($A767="E",M767*(1+Assumptions!K$15),M767*(1+Assumptions!K$14)),-2)</f>
        <v>17000</v>
      </c>
    </row>
    <row r="768" spans="2:14" x14ac:dyDescent="0.25">
      <c r="B768" s="16" t="s">
        <v>43</v>
      </c>
      <c r="C768" s="16" t="s">
        <v>1257</v>
      </c>
      <c r="D768" s="16" t="s">
        <v>1258</v>
      </c>
      <c r="E768" s="288">
        <v>13500</v>
      </c>
      <c r="F768" s="288">
        <f>ROUND(IF($A768="E",E768*(1+Assumptions!C$15),E768*(1+Assumptions!C$14)),-2)</f>
        <v>13700</v>
      </c>
      <c r="G768" s="288">
        <f>ROUND(IF($A768="E",F768*(1+Assumptions!D$15),F768*(1+Assumptions!D$14)),-2)</f>
        <v>14000</v>
      </c>
      <c r="H768" s="288">
        <f>ROUND(IF($A768="E",G768*(1+Assumptions!E$15),G768*(1+Assumptions!E$14)),-2)</f>
        <v>14300</v>
      </c>
      <c r="I768" s="288">
        <f>ROUND(IF($A768="E",H768*(1+Assumptions!F$15),H768*(1+Assumptions!F$14)),-2)</f>
        <v>14600</v>
      </c>
      <c r="J768" s="288">
        <f>ROUND(IF($A768="E",I768*(1+Assumptions!G$15),I768*(1+Assumptions!G$14)),-2)</f>
        <v>14900</v>
      </c>
      <c r="K768" s="288">
        <f>ROUND(IF($A768="E",J768*(1+Assumptions!H$15),J768*(1+Assumptions!H$14)),-2)</f>
        <v>15200</v>
      </c>
      <c r="L768" s="288">
        <f>ROUND(IF($A768="E",K768*(1+Assumptions!I$15),K768*(1+Assumptions!I$14)),-2)</f>
        <v>15600</v>
      </c>
      <c r="M768" s="288">
        <f>ROUND(IF($A768="E",L768*(1+Assumptions!J$15),L768*(1+Assumptions!J$14)),-2)</f>
        <v>16000</v>
      </c>
      <c r="N768" s="288">
        <f>ROUND(IF($A768="E",M768*(1+Assumptions!K$15),M768*(1+Assumptions!K$14)),-2)</f>
        <v>16400</v>
      </c>
    </row>
    <row r="769" spans="2:14" x14ac:dyDescent="0.25">
      <c r="B769" s="16" t="s">
        <v>45</v>
      </c>
      <c r="C769" s="16" t="s">
        <v>1259</v>
      </c>
      <c r="D769" s="16" t="s">
        <v>1260</v>
      </c>
      <c r="E769" s="288">
        <v>4900</v>
      </c>
      <c r="F769" s="288">
        <f>ROUND(IF($A769="E",E769*(1+Assumptions!C$15),E769*(1+Assumptions!C$14)),-2)</f>
        <v>5000</v>
      </c>
      <c r="G769" s="288">
        <f>ROUND(IF($A769="E",F769*(1+Assumptions!D$15),F769*(1+Assumptions!D$14)),-2)</f>
        <v>5100</v>
      </c>
      <c r="H769" s="288">
        <f>ROUND(IF($A769="E",G769*(1+Assumptions!E$15),G769*(1+Assumptions!E$14)),-2)</f>
        <v>5200</v>
      </c>
      <c r="I769" s="288">
        <f>ROUND(IF($A769="E",H769*(1+Assumptions!F$15),H769*(1+Assumptions!F$14)),-2)</f>
        <v>5300</v>
      </c>
      <c r="J769" s="288">
        <f>ROUND(IF($A769="E",I769*(1+Assumptions!G$15),I769*(1+Assumptions!G$14)),-2)</f>
        <v>5400</v>
      </c>
      <c r="K769" s="288">
        <f>ROUND(IF($A769="E",J769*(1+Assumptions!H$15),J769*(1+Assumptions!H$14)),-2)</f>
        <v>5500</v>
      </c>
      <c r="L769" s="288">
        <f>ROUND(IF($A769="E",K769*(1+Assumptions!I$15),K769*(1+Assumptions!I$14)),-2)</f>
        <v>5600</v>
      </c>
      <c r="M769" s="288">
        <f>ROUND(IF($A769="E",L769*(1+Assumptions!J$15),L769*(1+Assumptions!J$14)),-2)</f>
        <v>5700</v>
      </c>
      <c r="N769" s="288">
        <f>ROUND(IF($A769="E",M769*(1+Assumptions!K$15),M769*(1+Assumptions!K$14)),-2)</f>
        <v>5800</v>
      </c>
    </row>
    <row r="770" spans="2:14" x14ac:dyDescent="0.25">
      <c r="B770" s="16" t="s">
        <v>43</v>
      </c>
      <c r="C770" s="16" t="s">
        <v>1261</v>
      </c>
      <c r="D770" s="16" t="s">
        <v>1262</v>
      </c>
      <c r="E770" s="288">
        <v>90000</v>
      </c>
      <c r="F770" s="288">
        <f>ROUND(IF($A770="E",E770*(1+Assumptions!C$15),E770*(1+Assumptions!C$14)),-2)</f>
        <v>91400</v>
      </c>
      <c r="G770" s="288">
        <f>ROUND(IF($A770="E",F770*(1+Assumptions!D$15),F770*(1+Assumptions!D$14)),-2)</f>
        <v>93200</v>
      </c>
      <c r="H770" s="288">
        <f>ROUND(IF($A770="E",G770*(1+Assumptions!E$15),G770*(1+Assumptions!E$14)),-2)</f>
        <v>95100</v>
      </c>
      <c r="I770" s="288">
        <f>ROUND(IF($A770="E",H770*(1+Assumptions!F$15),H770*(1+Assumptions!F$14)),-2)</f>
        <v>97000</v>
      </c>
      <c r="J770" s="288">
        <f>ROUND(IF($A770="E",I770*(1+Assumptions!G$15),I770*(1+Assumptions!G$14)),-2)</f>
        <v>98900</v>
      </c>
      <c r="K770" s="288">
        <f>ROUND(IF($A770="E",J770*(1+Assumptions!H$15),J770*(1+Assumptions!H$14)),-2)</f>
        <v>100900</v>
      </c>
      <c r="L770" s="288">
        <f>ROUND(IF($A770="E",K770*(1+Assumptions!I$15),K770*(1+Assumptions!I$14)),-2)</f>
        <v>103400</v>
      </c>
      <c r="M770" s="288">
        <f>ROUND(IF($A770="E",L770*(1+Assumptions!J$15),L770*(1+Assumptions!J$14)),-2)</f>
        <v>106000</v>
      </c>
      <c r="N770" s="288">
        <f>ROUND(IF($A770="E",M770*(1+Assumptions!K$15),M770*(1+Assumptions!K$14)),-2)</f>
        <v>108700</v>
      </c>
    </row>
    <row r="771" spans="2:14" x14ac:dyDescent="0.25">
      <c r="B771" s="16" t="s">
        <v>43</v>
      </c>
      <c r="C771" s="16" t="s">
        <v>1263</v>
      </c>
      <c r="D771" s="16" t="s">
        <v>1264</v>
      </c>
      <c r="E771" s="288">
        <v>40300</v>
      </c>
      <c r="F771" s="288">
        <f>ROUND(IF($A771="E",E771*(1+Assumptions!C$15),E771*(1+Assumptions!C$14)),-2)</f>
        <v>40900</v>
      </c>
      <c r="G771" s="288">
        <f>ROUND(IF($A771="E",F771*(1+Assumptions!D$15),F771*(1+Assumptions!D$14)),-2)</f>
        <v>41700</v>
      </c>
      <c r="H771" s="288">
        <f>ROUND(IF($A771="E",G771*(1+Assumptions!E$15),G771*(1+Assumptions!E$14)),-2)</f>
        <v>42500</v>
      </c>
      <c r="I771" s="288">
        <f>ROUND(IF($A771="E",H771*(1+Assumptions!F$15),H771*(1+Assumptions!F$14)),-2)</f>
        <v>43400</v>
      </c>
      <c r="J771" s="288">
        <f>ROUND(IF($A771="E",I771*(1+Assumptions!G$15),I771*(1+Assumptions!G$14)),-2)</f>
        <v>44300</v>
      </c>
      <c r="K771" s="288">
        <f>ROUND(IF($A771="E",J771*(1+Assumptions!H$15),J771*(1+Assumptions!H$14)),-2)</f>
        <v>45200</v>
      </c>
      <c r="L771" s="288">
        <f>ROUND(IF($A771="E",K771*(1+Assumptions!I$15),K771*(1+Assumptions!I$14)),-2)</f>
        <v>46300</v>
      </c>
      <c r="M771" s="288">
        <f>ROUND(IF($A771="E",L771*(1+Assumptions!J$15),L771*(1+Assumptions!J$14)),-2)</f>
        <v>47500</v>
      </c>
      <c r="N771" s="288">
        <f>ROUND(IF($A771="E",M771*(1+Assumptions!K$15),M771*(1+Assumptions!K$14)),-2)</f>
        <v>48700</v>
      </c>
    </row>
    <row r="772" spans="2:14" x14ac:dyDescent="0.25">
      <c r="B772" s="16" t="s">
        <v>43</v>
      </c>
      <c r="C772" s="16" t="s">
        <v>1265</v>
      </c>
      <c r="D772" s="16" t="s">
        <v>1266</v>
      </c>
      <c r="E772" s="288">
        <v>27600</v>
      </c>
      <c r="F772" s="288">
        <f>ROUND(IF($A772="E",E772*(1+Assumptions!C$15),E772*(1+Assumptions!C$14)),-2)</f>
        <v>28000</v>
      </c>
      <c r="G772" s="288">
        <f>ROUND(IF($A772="E",F772*(1+Assumptions!D$15),F772*(1+Assumptions!D$14)),-2)</f>
        <v>28600</v>
      </c>
      <c r="H772" s="288">
        <f>ROUND(IF($A772="E",G772*(1+Assumptions!E$15),G772*(1+Assumptions!E$14)),-2)</f>
        <v>29200</v>
      </c>
      <c r="I772" s="288">
        <f>ROUND(IF($A772="E",H772*(1+Assumptions!F$15),H772*(1+Assumptions!F$14)),-2)</f>
        <v>29800</v>
      </c>
      <c r="J772" s="288">
        <f>ROUND(IF($A772="E",I772*(1+Assumptions!G$15),I772*(1+Assumptions!G$14)),-2)</f>
        <v>30400</v>
      </c>
      <c r="K772" s="288">
        <f>ROUND(IF($A772="E",J772*(1+Assumptions!H$15),J772*(1+Assumptions!H$14)),-2)</f>
        <v>31000</v>
      </c>
      <c r="L772" s="288">
        <f>ROUND(IF($A772="E",K772*(1+Assumptions!I$15),K772*(1+Assumptions!I$14)),-2)</f>
        <v>31800</v>
      </c>
      <c r="M772" s="288">
        <f>ROUND(IF($A772="E",L772*(1+Assumptions!J$15),L772*(1+Assumptions!J$14)),-2)</f>
        <v>32600</v>
      </c>
      <c r="N772" s="288">
        <f>ROUND(IF($A772="E",M772*(1+Assumptions!K$15),M772*(1+Assumptions!K$14)),-2)</f>
        <v>33400</v>
      </c>
    </row>
    <row r="773" spans="2:14" x14ac:dyDescent="0.25">
      <c r="C773" s="16" t="s">
        <v>1267</v>
      </c>
      <c r="D773" s="16" t="s">
        <v>1268</v>
      </c>
      <c r="E773" s="288">
        <v>0</v>
      </c>
      <c r="F773" s="288">
        <f>ROUND(IF($A773="E",E773*(1+Assumptions!C$15),E773*(1+Assumptions!C$14)),-2)</f>
        <v>0</v>
      </c>
      <c r="G773" s="288">
        <f>ROUND(IF($A773="E",F773*(1+Assumptions!D$15),F773*(1+Assumptions!D$14)),-2)</f>
        <v>0</v>
      </c>
      <c r="H773" s="288">
        <f>ROUND(IF($A773="E",G773*(1+Assumptions!E$15),G773*(1+Assumptions!E$14)),-2)</f>
        <v>0</v>
      </c>
      <c r="I773" s="288">
        <f>ROUND(IF($A773="E",H773*(1+Assumptions!F$15),H773*(1+Assumptions!F$14)),-2)</f>
        <v>0</v>
      </c>
      <c r="J773" s="288">
        <f>ROUND(IF($A773="E",I773*(1+Assumptions!G$15),I773*(1+Assumptions!G$14)),-2)</f>
        <v>0</v>
      </c>
      <c r="K773" s="288">
        <f>ROUND(IF($A773="E",J773*(1+Assumptions!H$15),J773*(1+Assumptions!H$14)),-2)</f>
        <v>0</v>
      </c>
      <c r="L773" s="288">
        <f>ROUND(IF($A773="E",K773*(1+Assumptions!I$15),K773*(1+Assumptions!I$14)),-2)</f>
        <v>0</v>
      </c>
      <c r="M773" s="288">
        <f>ROUND(IF($A773="E",L773*(1+Assumptions!J$15),L773*(1+Assumptions!J$14)),-2)</f>
        <v>0</v>
      </c>
      <c r="N773" s="288">
        <f>ROUND(IF($A773="E",M773*(1+Assumptions!K$15),M773*(1+Assumptions!K$14)),-2)</f>
        <v>0</v>
      </c>
    </row>
    <row r="774" spans="2:14" x14ac:dyDescent="0.25">
      <c r="C774" s="16" t="s">
        <v>1269</v>
      </c>
      <c r="D774" s="16" t="s">
        <v>1270</v>
      </c>
      <c r="E774" s="289"/>
      <c r="F774" s="289"/>
      <c r="G774" s="289"/>
      <c r="H774" s="289"/>
      <c r="I774" s="289"/>
      <c r="J774" s="289"/>
      <c r="K774" s="289"/>
      <c r="L774" s="289"/>
      <c r="M774" s="289"/>
      <c r="N774" s="289"/>
    </row>
    <row r="775" spans="2:14" x14ac:dyDescent="0.25">
      <c r="B775" s="16" t="s">
        <v>43</v>
      </c>
      <c r="C775" s="16" t="s">
        <v>1271</v>
      </c>
      <c r="D775" s="16" t="s">
        <v>1272</v>
      </c>
      <c r="E775" s="288">
        <v>9600</v>
      </c>
      <c r="F775" s="288">
        <f>ROUND(IF($A775="E",E775*(1+Assumptions!C$15),E775*(1+Assumptions!C$14)),-2)</f>
        <v>9700</v>
      </c>
      <c r="G775" s="288">
        <f>ROUND(IF($A775="E",F775*(1+Assumptions!D$15),F775*(1+Assumptions!D$14)),-2)</f>
        <v>9900</v>
      </c>
      <c r="H775" s="288">
        <f>ROUND(IF($A775="E",G775*(1+Assumptions!E$15),G775*(1+Assumptions!E$14)),-2)</f>
        <v>10100</v>
      </c>
      <c r="I775" s="288">
        <f>ROUND(IF($A775="E",H775*(1+Assumptions!F$15),H775*(1+Assumptions!F$14)),-2)</f>
        <v>10300</v>
      </c>
      <c r="J775" s="288">
        <f>ROUND(IF($A775="E",I775*(1+Assumptions!G$15),I775*(1+Assumptions!G$14)),-2)</f>
        <v>10500</v>
      </c>
      <c r="K775" s="288">
        <f>ROUND(IF($A775="E",J775*(1+Assumptions!H$15),J775*(1+Assumptions!H$14)),-2)</f>
        <v>10700</v>
      </c>
      <c r="L775" s="288">
        <f>ROUND(IF($A775="E",K775*(1+Assumptions!I$15),K775*(1+Assumptions!I$14)),-2)</f>
        <v>11000</v>
      </c>
      <c r="M775" s="288">
        <f>ROUND(IF($A775="E",L775*(1+Assumptions!J$15),L775*(1+Assumptions!J$14)),-2)</f>
        <v>11300</v>
      </c>
      <c r="N775" s="288">
        <f>ROUND(IF($A775="E",M775*(1+Assumptions!K$15),M775*(1+Assumptions!K$14)),-2)</f>
        <v>11600</v>
      </c>
    </row>
    <row r="776" spans="2:14" x14ac:dyDescent="0.25">
      <c r="B776" s="16" t="s">
        <v>41</v>
      </c>
      <c r="C776" s="16" t="s">
        <v>1273</v>
      </c>
      <c r="D776" s="16" t="s">
        <v>170</v>
      </c>
      <c r="E776" s="288">
        <v>97000</v>
      </c>
      <c r="F776" s="288">
        <f>ROUND(IF($A776="E",E776*(1+Assumptions!C$15),E776*(1+Assumptions!C$14)),-2)</f>
        <v>98500</v>
      </c>
      <c r="G776" s="288">
        <f>ROUND(IF($A776="E",F776*(1+Assumptions!D$15),F776*(1+Assumptions!D$14)),-2)</f>
        <v>100500</v>
      </c>
      <c r="H776" s="288">
        <f>ROUND(IF($A776="E",G776*(1+Assumptions!E$15),G776*(1+Assumptions!E$14)),-2)</f>
        <v>102500</v>
      </c>
      <c r="I776" s="288">
        <f>ROUND(IF($A776="E",H776*(1+Assumptions!F$15),H776*(1+Assumptions!F$14)),-2)</f>
        <v>104600</v>
      </c>
      <c r="J776" s="288">
        <f>ROUND(IF($A776="E",I776*(1+Assumptions!G$15),I776*(1+Assumptions!G$14)),-2)</f>
        <v>106700</v>
      </c>
      <c r="K776" s="288">
        <f>ROUND(IF($A776="E",J776*(1+Assumptions!H$15),J776*(1+Assumptions!H$14)),-2)</f>
        <v>108800</v>
      </c>
      <c r="L776" s="288">
        <f>ROUND(IF($A776="E",K776*(1+Assumptions!I$15),K776*(1+Assumptions!I$14)),-2)</f>
        <v>111500</v>
      </c>
      <c r="M776" s="288">
        <f>ROUND(IF($A776="E",L776*(1+Assumptions!J$15),L776*(1+Assumptions!J$14)),-2)</f>
        <v>114300</v>
      </c>
      <c r="N776" s="288">
        <f>ROUND(IF($A776="E",M776*(1+Assumptions!K$15),M776*(1+Assumptions!K$14)),-2)</f>
        <v>117200</v>
      </c>
    </row>
    <row r="777" spans="2:14" x14ac:dyDescent="0.25">
      <c r="B777" s="16" t="s">
        <v>43</v>
      </c>
      <c r="C777" s="16" t="s">
        <v>1274</v>
      </c>
      <c r="D777" s="16" t="s">
        <v>1275</v>
      </c>
      <c r="E777" s="288">
        <v>12100</v>
      </c>
      <c r="F777" s="288">
        <f>ROUND(IF($A777="E",E777*(1+Assumptions!C$15),E777*(1+Assumptions!C$14)),-2)</f>
        <v>12300</v>
      </c>
      <c r="G777" s="288">
        <f>ROUND(IF($A777="E",F777*(1+Assumptions!D$15),F777*(1+Assumptions!D$14)),-2)</f>
        <v>12500</v>
      </c>
      <c r="H777" s="288">
        <f>ROUND(IF($A777="E",G777*(1+Assumptions!E$15),G777*(1+Assumptions!E$14)),-2)</f>
        <v>12800</v>
      </c>
      <c r="I777" s="288">
        <f>ROUND(IF($A777="E",H777*(1+Assumptions!F$15),H777*(1+Assumptions!F$14)),-2)</f>
        <v>13100</v>
      </c>
      <c r="J777" s="288">
        <f>ROUND(IF($A777="E",I777*(1+Assumptions!G$15),I777*(1+Assumptions!G$14)),-2)</f>
        <v>13400</v>
      </c>
      <c r="K777" s="288">
        <f>ROUND(IF($A777="E",J777*(1+Assumptions!H$15),J777*(1+Assumptions!H$14)),-2)</f>
        <v>13700</v>
      </c>
      <c r="L777" s="288">
        <f>ROUND(IF($A777="E",K777*(1+Assumptions!I$15),K777*(1+Assumptions!I$14)),-2)</f>
        <v>14000</v>
      </c>
      <c r="M777" s="288">
        <f>ROUND(IF($A777="E",L777*(1+Assumptions!J$15),L777*(1+Assumptions!J$14)),-2)</f>
        <v>14400</v>
      </c>
      <c r="N777" s="288">
        <f>ROUND(IF($A777="E",M777*(1+Assumptions!K$15),M777*(1+Assumptions!K$14)),-2)</f>
        <v>14800</v>
      </c>
    </row>
    <row r="778" spans="2:14" x14ac:dyDescent="0.25">
      <c r="B778" s="16" t="s">
        <v>43</v>
      </c>
      <c r="C778" s="16" t="s">
        <v>1276</v>
      </c>
      <c r="D778" s="16" t="s">
        <v>1277</v>
      </c>
      <c r="E778" s="288"/>
      <c r="F778" s="288">
        <f>ROUND(IF($A778="E",E778*(1+Assumptions!C$15),E778*(1+Assumptions!C$14)),-2)</f>
        <v>0</v>
      </c>
      <c r="G778" s="288">
        <f>ROUND(IF($A778="E",F778*(1+Assumptions!D$15),F778*(1+Assumptions!D$14)),-2)</f>
        <v>0</v>
      </c>
      <c r="H778" s="288">
        <f>ROUND(IF($A778="E",G778*(1+Assumptions!E$15),G778*(1+Assumptions!E$14)),-2)</f>
        <v>0</v>
      </c>
      <c r="I778" s="288">
        <f>ROUND(IF($A778="E",H778*(1+Assumptions!F$15),H778*(1+Assumptions!F$14)),-2)</f>
        <v>0</v>
      </c>
      <c r="J778" s="288">
        <f>ROUND(IF($A778="E",I778*(1+Assumptions!G$15),I778*(1+Assumptions!G$14)),-2)</f>
        <v>0</v>
      </c>
      <c r="K778" s="288">
        <f>ROUND(IF($A778="E",J778*(1+Assumptions!H$15),J778*(1+Assumptions!H$14)),-2)</f>
        <v>0</v>
      </c>
      <c r="L778" s="288">
        <f>ROUND(IF($A778="E",K778*(1+Assumptions!I$15),K778*(1+Assumptions!I$14)),-2)</f>
        <v>0</v>
      </c>
      <c r="M778" s="288">
        <f>ROUND(IF($A778="E",L778*(1+Assumptions!J$15),L778*(1+Assumptions!J$14)),-2)</f>
        <v>0</v>
      </c>
      <c r="N778" s="288">
        <f>ROUND(IF($A778="E",M778*(1+Assumptions!K$15),M778*(1+Assumptions!K$14)),-2)</f>
        <v>0</v>
      </c>
    </row>
    <row r="779" spans="2:14" x14ac:dyDescent="0.25">
      <c r="B779" s="16" t="s">
        <v>43</v>
      </c>
      <c r="C779" s="16" t="s">
        <v>1278</v>
      </c>
      <c r="D779" s="16" t="s">
        <v>1279</v>
      </c>
      <c r="E779" s="288">
        <v>0</v>
      </c>
      <c r="F779" s="288">
        <f>ROUND(IF($A779="E",E779*(1+Assumptions!C$15),E779*(1+Assumptions!C$14)),-2)</f>
        <v>0</v>
      </c>
      <c r="G779" s="288">
        <f>ROUND(IF($A779="E",F779*(1+Assumptions!D$15),F779*(1+Assumptions!D$14)),-2)</f>
        <v>0</v>
      </c>
      <c r="H779" s="288">
        <f>ROUND(IF($A779="E",G779*(1+Assumptions!E$15),G779*(1+Assumptions!E$14)),-2)</f>
        <v>0</v>
      </c>
      <c r="I779" s="288">
        <f>ROUND(IF($A779="E",H779*(1+Assumptions!F$15),H779*(1+Assumptions!F$14)),-2)</f>
        <v>0</v>
      </c>
      <c r="J779" s="288">
        <f>ROUND(IF($A779="E",I779*(1+Assumptions!G$15),I779*(1+Assumptions!G$14)),-2)</f>
        <v>0</v>
      </c>
      <c r="K779" s="288">
        <f>ROUND(IF($A779="E",J779*(1+Assumptions!H$15),J779*(1+Assumptions!H$14)),-2)</f>
        <v>0</v>
      </c>
      <c r="L779" s="288">
        <f>ROUND(IF($A779="E",K779*(1+Assumptions!I$15),K779*(1+Assumptions!I$14)),-2)</f>
        <v>0</v>
      </c>
      <c r="M779" s="288">
        <f>ROUND(IF($A779="E",L779*(1+Assumptions!J$15),L779*(1+Assumptions!J$14)),-2)</f>
        <v>0</v>
      </c>
      <c r="N779" s="288">
        <f>ROUND(IF($A779="E",M779*(1+Assumptions!K$15),M779*(1+Assumptions!K$14)),-2)</f>
        <v>0</v>
      </c>
    </row>
    <row r="780" spans="2:14" x14ac:dyDescent="0.25">
      <c r="B780" s="16" t="s">
        <v>43</v>
      </c>
      <c r="C780" s="16" t="s">
        <v>1280</v>
      </c>
      <c r="D780" s="16" t="s">
        <v>1281</v>
      </c>
      <c r="E780" s="288">
        <v>0</v>
      </c>
      <c r="F780" s="288">
        <f>ROUND(IF($A780="E",E780*(1+Assumptions!C$15),E780*(1+Assumptions!C$14)),-2)</f>
        <v>0</v>
      </c>
      <c r="G780" s="288">
        <f>ROUND(IF($A780="E",F780*(1+Assumptions!D$15),F780*(1+Assumptions!D$14)),-2)</f>
        <v>0</v>
      </c>
      <c r="H780" s="288">
        <f>ROUND(IF($A780="E",G780*(1+Assumptions!E$15),G780*(1+Assumptions!E$14)),-2)</f>
        <v>0</v>
      </c>
      <c r="I780" s="288">
        <f>ROUND(IF($A780="E",H780*(1+Assumptions!F$15),H780*(1+Assumptions!F$14)),-2)</f>
        <v>0</v>
      </c>
      <c r="J780" s="288">
        <f>ROUND(IF($A780="E",I780*(1+Assumptions!G$15),I780*(1+Assumptions!G$14)),-2)</f>
        <v>0</v>
      </c>
      <c r="K780" s="288">
        <f>ROUND(IF($A780="E",J780*(1+Assumptions!H$15),J780*(1+Assumptions!H$14)),-2)</f>
        <v>0</v>
      </c>
      <c r="L780" s="288">
        <f>ROUND(IF($A780="E",K780*(1+Assumptions!I$15),K780*(1+Assumptions!I$14)),-2)</f>
        <v>0</v>
      </c>
      <c r="M780" s="288">
        <f>ROUND(IF($A780="E",L780*(1+Assumptions!J$15),L780*(1+Assumptions!J$14)),-2)</f>
        <v>0</v>
      </c>
      <c r="N780" s="288">
        <f>ROUND(IF($A780="E",M780*(1+Assumptions!K$15),M780*(1+Assumptions!K$14)),-2)</f>
        <v>0</v>
      </c>
    </row>
    <row r="781" spans="2:14" x14ac:dyDescent="0.25">
      <c r="B781" s="16" t="s">
        <v>43</v>
      </c>
      <c r="C781" s="16" t="s">
        <v>1282</v>
      </c>
      <c r="D781" s="16" t="s">
        <v>1283</v>
      </c>
      <c r="E781" s="289"/>
      <c r="F781" s="289"/>
      <c r="G781" s="289"/>
      <c r="H781" s="289"/>
      <c r="I781" s="289"/>
      <c r="J781" s="289"/>
      <c r="K781" s="289"/>
      <c r="L781" s="289"/>
      <c r="M781" s="289"/>
      <c r="N781" s="289"/>
    </row>
    <row r="782" spans="2:14" x14ac:dyDescent="0.25">
      <c r="B782" s="16" t="s">
        <v>43</v>
      </c>
      <c r="C782" s="16" t="s">
        <v>1284</v>
      </c>
      <c r="D782" s="16" t="s">
        <v>1285</v>
      </c>
      <c r="E782" s="288">
        <v>1699500</v>
      </c>
      <c r="F782" s="288">
        <f>ROUND(IF($A782="E",E782*(1+Assumptions!C$15),E782*(1+Assumptions!C$14)),-2)</f>
        <v>1725000</v>
      </c>
      <c r="G782" s="288">
        <f>ROUND(IF($A782="E",F782*(1+Assumptions!D$15),F782*(1+Assumptions!D$14)),-2)</f>
        <v>1759500</v>
      </c>
      <c r="H782" s="288">
        <f>ROUND(IF($A782="E",G782*(1+Assumptions!E$15),G782*(1+Assumptions!E$14)),-2)</f>
        <v>1794700</v>
      </c>
      <c r="I782" s="288">
        <f>ROUND(IF($A782="E",H782*(1+Assumptions!F$15),H782*(1+Assumptions!F$14)),-2)</f>
        <v>1830600</v>
      </c>
      <c r="J782" s="288">
        <f>ROUND(IF($A782="E",I782*(1+Assumptions!G$15),I782*(1+Assumptions!G$14)),-2)</f>
        <v>1867200</v>
      </c>
      <c r="K782" s="288">
        <f>ROUND(IF($A782="E",J782*(1+Assumptions!H$15),J782*(1+Assumptions!H$14)),-2)</f>
        <v>1904500</v>
      </c>
      <c r="L782" s="288">
        <f>ROUND(IF($A782="E",K782*(1+Assumptions!I$15),K782*(1+Assumptions!I$14)),-2)</f>
        <v>1952100</v>
      </c>
      <c r="M782" s="288">
        <f>ROUND(IF($A782="E",L782*(1+Assumptions!J$15),L782*(1+Assumptions!J$14)),-2)</f>
        <v>2000900</v>
      </c>
      <c r="N782" s="288">
        <f>ROUND(IF($A782="E",M782*(1+Assumptions!K$15),M782*(1+Assumptions!K$14)),-2)</f>
        <v>2050900</v>
      </c>
    </row>
    <row r="783" spans="2:14" x14ac:dyDescent="0.25">
      <c r="B783" s="16" t="s">
        <v>43</v>
      </c>
      <c r="C783" s="16" t="s">
        <v>1286</v>
      </c>
      <c r="D783" s="16" t="s">
        <v>1287</v>
      </c>
      <c r="E783" s="288">
        <v>0</v>
      </c>
      <c r="F783" s="288">
        <f>ROUND(IF($A783="E",E783*(1+Assumptions!C$15),E783*(1+Assumptions!C$14)),-2)</f>
        <v>0</v>
      </c>
      <c r="G783" s="288">
        <f>ROUND(IF($A783="E",F783*(1+Assumptions!D$15),F783*(1+Assumptions!D$14)),-2)</f>
        <v>0</v>
      </c>
      <c r="H783" s="288">
        <f>ROUND(IF($A783="E",G783*(1+Assumptions!E$15),G783*(1+Assumptions!E$14)),-2)</f>
        <v>0</v>
      </c>
      <c r="I783" s="288">
        <f>ROUND(IF($A783="E",H783*(1+Assumptions!F$15),H783*(1+Assumptions!F$14)),-2)</f>
        <v>0</v>
      </c>
      <c r="J783" s="288">
        <f>ROUND(IF($A783="E",I783*(1+Assumptions!G$15),I783*(1+Assumptions!G$14)),-2)</f>
        <v>0</v>
      </c>
      <c r="K783" s="288">
        <f>ROUND(IF($A783="E",J783*(1+Assumptions!H$15),J783*(1+Assumptions!H$14)),-2)</f>
        <v>0</v>
      </c>
      <c r="L783" s="288">
        <f>ROUND(IF($A783="E",K783*(1+Assumptions!I$15),K783*(1+Assumptions!I$14)),-2)</f>
        <v>0</v>
      </c>
      <c r="M783" s="288">
        <f>ROUND(IF($A783="E",L783*(1+Assumptions!J$15),L783*(1+Assumptions!J$14)),-2)</f>
        <v>0</v>
      </c>
      <c r="N783" s="288">
        <f>ROUND(IF($A783="E",M783*(1+Assumptions!K$15),M783*(1+Assumptions!K$14)),-2)</f>
        <v>0</v>
      </c>
    </row>
    <row r="784" spans="2:14" x14ac:dyDescent="0.25">
      <c r="B784" s="16" t="s">
        <v>43</v>
      </c>
      <c r="C784" s="16" t="s">
        <v>1288</v>
      </c>
      <c r="D784" s="16" t="s">
        <v>1289</v>
      </c>
      <c r="E784" s="288">
        <v>0</v>
      </c>
      <c r="F784" s="288">
        <f>ROUND(IF($A784="E",E784*(1+Assumptions!C$15),E784*(1+Assumptions!C$14)),-2)</f>
        <v>0</v>
      </c>
      <c r="G784" s="288">
        <f>ROUND(IF($A784="E",F784*(1+Assumptions!D$15),F784*(1+Assumptions!D$14)),-2)</f>
        <v>0</v>
      </c>
      <c r="H784" s="288">
        <f>ROUND(IF($A784="E",G784*(1+Assumptions!E$15),G784*(1+Assumptions!E$14)),-2)</f>
        <v>0</v>
      </c>
      <c r="I784" s="288">
        <f>ROUND(IF($A784="E",H784*(1+Assumptions!F$15),H784*(1+Assumptions!F$14)),-2)</f>
        <v>0</v>
      </c>
      <c r="J784" s="288">
        <f>ROUND(IF($A784="E",I784*(1+Assumptions!G$15),I784*(1+Assumptions!G$14)),-2)</f>
        <v>0</v>
      </c>
      <c r="K784" s="288">
        <f>ROUND(IF($A784="E",J784*(1+Assumptions!H$15),J784*(1+Assumptions!H$14)),-2)</f>
        <v>0</v>
      </c>
      <c r="L784" s="288">
        <f>ROUND(IF($A784="E",K784*(1+Assumptions!I$15),K784*(1+Assumptions!I$14)),-2)</f>
        <v>0</v>
      </c>
      <c r="M784" s="288">
        <f>ROUND(IF($A784="E",L784*(1+Assumptions!J$15),L784*(1+Assumptions!J$14)),-2)</f>
        <v>0</v>
      </c>
      <c r="N784" s="288">
        <f>ROUND(IF($A784="E",M784*(1+Assumptions!K$15),M784*(1+Assumptions!K$14)),-2)</f>
        <v>0</v>
      </c>
    </row>
    <row r="785" spans="1:14" x14ac:dyDescent="0.25">
      <c r="B785" s="16" t="s">
        <v>43</v>
      </c>
      <c r="C785" s="16" t="s">
        <v>1290</v>
      </c>
      <c r="D785" s="16" t="s">
        <v>1291</v>
      </c>
      <c r="E785" s="288">
        <v>0</v>
      </c>
      <c r="F785" s="288">
        <f>ROUND(IF($A785="E",E785*(1+Assumptions!C$15),E785*(1+Assumptions!C$14)),-2)</f>
        <v>0</v>
      </c>
      <c r="G785" s="288">
        <f>ROUND(IF($A785="E",F785*(1+Assumptions!D$15),F785*(1+Assumptions!D$14)),-2)</f>
        <v>0</v>
      </c>
      <c r="H785" s="288">
        <f>ROUND(IF($A785="E",G785*(1+Assumptions!E$15),G785*(1+Assumptions!E$14)),-2)</f>
        <v>0</v>
      </c>
      <c r="I785" s="288">
        <f>ROUND(IF($A785="E",H785*(1+Assumptions!F$15),H785*(1+Assumptions!F$14)),-2)</f>
        <v>0</v>
      </c>
      <c r="J785" s="288">
        <f>ROUND(IF($A785="E",I785*(1+Assumptions!G$15),I785*(1+Assumptions!G$14)),-2)</f>
        <v>0</v>
      </c>
      <c r="K785" s="288">
        <f>ROUND(IF($A785="E",J785*(1+Assumptions!H$15),J785*(1+Assumptions!H$14)),-2)</f>
        <v>0</v>
      </c>
      <c r="L785" s="288">
        <f>ROUND(IF($A785="E",K785*(1+Assumptions!I$15),K785*(1+Assumptions!I$14)),-2)</f>
        <v>0</v>
      </c>
      <c r="M785" s="288">
        <f>ROUND(IF($A785="E",L785*(1+Assumptions!J$15),L785*(1+Assumptions!J$14)),-2)</f>
        <v>0</v>
      </c>
      <c r="N785" s="288">
        <f>ROUND(IF($A785="E",M785*(1+Assumptions!K$15),M785*(1+Assumptions!K$14)),-2)</f>
        <v>0</v>
      </c>
    </row>
    <row r="786" spans="1:14" x14ac:dyDescent="0.25">
      <c r="B786" s="16" t="s">
        <v>43</v>
      </c>
      <c r="C786" s="16" t="s">
        <v>1292</v>
      </c>
      <c r="D786" s="16" t="s">
        <v>1293</v>
      </c>
      <c r="E786" s="288">
        <v>0</v>
      </c>
      <c r="F786" s="288">
        <f>ROUND(IF($A786="E",E786*(1+Assumptions!C$15),E786*(1+Assumptions!C$14)),-2)</f>
        <v>0</v>
      </c>
      <c r="G786" s="288">
        <f>ROUND(IF($A786="E",F786*(1+Assumptions!D$15),F786*(1+Assumptions!D$14)),-2)</f>
        <v>0</v>
      </c>
      <c r="H786" s="288">
        <f>ROUND(IF($A786="E",G786*(1+Assumptions!E$15),G786*(1+Assumptions!E$14)),-2)</f>
        <v>0</v>
      </c>
      <c r="I786" s="288">
        <f>ROUND(IF($A786="E",H786*(1+Assumptions!F$15),H786*(1+Assumptions!F$14)),-2)</f>
        <v>0</v>
      </c>
      <c r="J786" s="288">
        <f>ROUND(IF($A786="E",I786*(1+Assumptions!G$15),I786*(1+Assumptions!G$14)),-2)</f>
        <v>0</v>
      </c>
      <c r="K786" s="288">
        <f>ROUND(IF($A786="E",J786*(1+Assumptions!H$15),J786*(1+Assumptions!H$14)),-2)</f>
        <v>0</v>
      </c>
      <c r="L786" s="288">
        <f>ROUND(IF($A786="E",K786*(1+Assumptions!I$15),K786*(1+Assumptions!I$14)),-2)</f>
        <v>0</v>
      </c>
      <c r="M786" s="288">
        <f>ROUND(IF($A786="E",L786*(1+Assumptions!J$15),L786*(1+Assumptions!J$14)),-2)</f>
        <v>0</v>
      </c>
      <c r="N786" s="288">
        <f>ROUND(IF($A786="E",M786*(1+Assumptions!K$15),M786*(1+Assumptions!K$14)),-2)</f>
        <v>0</v>
      </c>
    </row>
    <row r="787" spans="1:14" x14ac:dyDescent="0.25">
      <c r="B787" s="16" t="s">
        <v>43</v>
      </c>
      <c r="C787" s="16" t="s">
        <v>1294</v>
      </c>
      <c r="D787" s="16" t="s">
        <v>1295</v>
      </c>
      <c r="E787" s="288">
        <v>0</v>
      </c>
      <c r="F787" s="288">
        <f>ROUND(IF($A787="E",E787*(1+Assumptions!C$15),E787*(1+Assumptions!C$14)),-2)</f>
        <v>0</v>
      </c>
      <c r="G787" s="288">
        <f>ROUND(IF($A787="E",F787*(1+Assumptions!D$15),F787*(1+Assumptions!D$14)),-2)</f>
        <v>0</v>
      </c>
      <c r="H787" s="288">
        <f>ROUND(IF($A787="E",G787*(1+Assumptions!E$15),G787*(1+Assumptions!E$14)),-2)</f>
        <v>0</v>
      </c>
      <c r="I787" s="288">
        <f>ROUND(IF($A787="E",H787*(1+Assumptions!F$15),H787*(1+Assumptions!F$14)),-2)</f>
        <v>0</v>
      </c>
      <c r="J787" s="288">
        <f>ROUND(IF($A787="E",I787*(1+Assumptions!G$15),I787*(1+Assumptions!G$14)),-2)</f>
        <v>0</v>
      </c>
      <c r="K787" s="288">
        <f>ROUND(IF($A787="E",J787*(1+Assumptions!H$15),J787*(1+Assumptions!H$14)),-2)</f>
        <v>0</v>
      </c>
      <c r="L787" s="288">
        <f>ROUND(IF($A787="E",K787*(1+Assumptions!I$15),K787*(1+Assumptions!I$14)),-2)</f>
        <v>0</v>
      </c>
      <c r="M787" s="288">
        <f>ROUND(IF($A787="E",L787*(1+Assumptions!J$15),L787*(1+Assumptions!J$14)),-2)</f>
        <v>0</v>
      </c>
      <c r="N787" s="288">
        <f>ROUND(IF($A787="E",M787*(1+Assumptions!K$15),M787*(1+Assumptions!K$14)),-2)</f>
        <v>0</v>
      </c>
    </row>
    <row r="788" spans="1:14" x14ac:dyDescent="0.25">
      <c r="B788" s="16" t="s">
        <v>43</v>
      </c>
      <c r="C788" s="16" t="s">
        <v>1296</v>
      </c>
      <c r="D788" s="16" t="s">
        <v>1297</v>
      </c>
      <c r="E788" s="288">
        <v>0</v>
      </c>
      <c r="F788" s="288">
        <f>ROUND(IF($A788="E",E788*(1+Assumptions!C$15),E788*(1+Assumptions!C$14)),-2)</f>
        <v>0</v>
      </c>
      <c r="G788" s="288">
        <f>ROUND(IF($A788="E",F788*(1+Assumptions!D$15),F788*(1+Assumptions!D$14)),-2)</f>
        <v>0</v>
      </c>
      <c r="H788" s="288">
        <f>ROUND(IF($A788="E",G788*(1+Assumptions!E$15),G788*(1+Assumptions!E$14)),-2)</f>
        <v>0</v>
      </c>
      <c r="I788" s="288">
        <f>ROUND(IF($A788="E",H788*(1+Assumptions!F$15),H788*(1+Assumptions!F$14)),-2)</f>
        <v>0</v>
      </c>
      <c r="J788" s="288">
        <f>ROUND(IF($A788="E",I788*(1+Assumptions!G$15),I788*(1+Assumptions!G$14)),-2)</f>
        <v>0</v>
      </c>
      <c r="K788" s="288">
        <f>ROUND(IF($A788="E",J788*(1+Assumptions!H$15),J788*(1+Assumptions!H$14)),-2)</f>
        <v>0</v>
      </c>
      <c r="L788" s="288">
        <f>ROUND(IF($A788="E",K788*(1+Assumptions!I$15),K788*(1+Assumptions!I$14)),-2)</f>
        <v>0</v>
      </c>
      <c r="M788" s="288">
        <f>ROUND(IF($A788="E",L788*(1+Assumptions!J$15),L788*(1+Assumptions!J$14)),-2)</f>
        <v>0</v>
      </c>
      <c r="N788" s="288">
        <f>ROUND(IF($A788="E",M788*(1+Assumptions!K$15),M788*(1+Assumptions!K$14)),-2)</f>
        <v>0</v>
      </c>
    </row>
    <row r="789" spans="1:14" x14ac:dyDescent="0.25">
      <c r="B789" s="16" t="s">
        <v>43</v>
      </c>
      <c r="C789" s="16" t="s">
        <v>1298</v>
      </c>
      <c r="D789" s="16" t="s">
        <v>1299</v>
      </c>
      <c r="E789" s="289"/>
      <c r="F789" s="289"/>
      <c r="G789" s="289"/>
      <c r="H789" s="289"/>
      <c r="I789" s="289"/>
      <c r="J789" s="289"/>
      <c r="K789" s="289"/>
      <c r="L789" s="289"/>
      <c r="M789" s="289"/>
      <c r="N789" s="289"/>
    </row>
    <row r="790" spans="1:14" x14ac:dyDescent="0.25">
      <c r="B790" s="16" t="s">
        <v>43</v>
      </c>
      <c r="C790" s="16" t="s">
        <v>1300</v>
      </c>
      <c r="D790" s="16" t="s">
        <v>193</v>
      </c>
      <c r="E790" s="288">
        <v>428900</v>
      </c>
      <c r="F790" s="288">
        <f>ROUND(IF($A790="E",E790*(1+Assumptions!C$15),E790*(1+Assumptions!C$14)),-2)</f>
        <v>435300</v>
      </c>
      <c r="G790" s="288">
        <f>ROUND(IF($A790="E",F790*(1+Assumptions!D$15),F790*(1+Assumptions!D$14)),-2)</f>
        <v>444000</v>
      </c>
      <c r="H790" s="288">
        <f>ROUND(IF($A790="E",G790*(1+Assumptions!E$15),G790*(1+Assumptions!E$14)),-2)</f>
        <v>452900</v>
      </c>
      <c r="I790" s="288">
        <f>ROUND(IF($A790="E",H790*(1+Assumptions!F$15),H790*(1+Assumptions!F$14)),-2)</f>
        <v>462000</v>
      </c>
      <c r="J790" s="288">
        <f>ROUND(IF($A790="E",I790*(1+Assumptions!G$15),I790*(1+Assumptions!G$14)),-2)</f>
        <v>471200</v>
      </c>
      <c r="K790" s="288">
        <f>ROUND(IF($A790="E",J790*(1+Assumptions!H$15),J790*(1+Assumptions!H$14)),-2)</f>
        <v>480600</v>
      </c>
      <c r="L790" s="288">
        <f>ROUND(IF($A790="E",K790*(1+Assumptions!I$15),K790*(1+Assumptions!I$14)),-2)</f>
        <v>492600</v>
      </c>
      <c r="M790" s="288">
        <f>ROUND(IF($A790="E",L790*(1+Assumptions!J$15),L790*(1+Assumptions!J$14)),-2)</f>
        <v>504900</v>
      </c>
      <c r="N790" s="288">
        <f>ROUND(IF($A790="E",M790*(1+Assumptions!K$15),M790*(1+Assumptions!K$14)),-2)</f>
        <v>517500</v>
      </c>
    </row>
    <row r="791" spans="1:14" ht="12.75" customHeight="1" x14ac:dyDescent="0.25">
      <c r="A791" s="16" t="s">
        <v>4591</v>
      </c>
      <c r="B791" s="397" t="s">
        <v>3231</v>
      </c>
      <c r="C791" s="43" t="s">
        <v>3242</v>
      </c>
      <c r="D791" s="16" t="s">
        <v>3294</v>
      </c>
      <c r="E791" s="288">
        <v>759000</v>
      </c>
      <c r="F791" s="288">
        <f>ROUND(IF($A791="E",E791*(1+Assumptions!C$15),E791*(1+Assumptions!C$17)),-2)</f>
        <v>766600</v>
      </c>
      <c r="G791" s="288">
        <f>ROUND(IF($A791="E",F791*(1+Assumptions!D$15),F791*(1+Assumptions!D$17)),-2)</f>
        <v>774300</v>
      </c>
      <c r="H791" s="288">
        <f>ROUND(IF($A791="E",G791*(1+Assumptions!E$15),G791*(1+Assumptions!E$17)),-2)</f>
        <v>782000</v>
      </c>
      <c r="I791" s="288">
        <f>ROUND(IF($A791="E",H791*(1+Assumptions!F$15),H791*(1+Assumptions!F$17)),-2)</f>
        <v>789800</v>
      </c>
      <c r="J791" s="288">
        <f>ROUND(IF($A791="E",I791*(1+Assumptions!G$15),I791*(1+Assumptions!G$17)),-2)</f>
        <v>797700</v>
      </c>
      <c r="K791" s="288">
        <f>ROUND(IF($A791="E",J791*(1+Assumptions!H$15),J791*(1+Assumptions!H$17)),-2)</f>
        <v>805700</v>
      </c>
      <c r="L791" s="288">
        <f>ROUND(IF($A791="E",K791*(1+Assumptions!I$15),K791*(1+Assumptions!I$17)),-2)</f>
        <v>813800</v>
      </c>
      <c r="M791" s="288">
        <f>ROUND(IF($A791="E",L791*(1+Assumptions!J$15),L791*(1+Assumptions!J$17)),-2)</f>
        <v>821900</v>
      </c>
      <c r="N791" s="288">
        <f>ROUND(IF($A791="E",M791*(1+Assumptions!K$15),M791*(1+Assumptions!K$17)),-2)</f>
        <v>830100</v>
      </c>
    </row>
    <row r="792" spans="1:14" ht="12.75" customHeight="1" x14ac:dyDescent="0.25">
      <c r="A792" s="16" t="s">
        <v>4591</v>
      </c>
      <c r="B792" s="397" t="s">
        <v>3231</v>
      </c>
      <c r="C792" s="43" t="s">
        <v>3292</v>
      </c>
      <c r="D792" s="16" t="s">
        <v>3293</v>
      </c>
      <c r="E792" s="288">
        <v>34800</v>
      </c>
      <c r="F792" s="288">
        <f>ROUND(IF($A792="E",E792*(1+Assumptions!C$15),E792*(1+Assumptions!C$17)),-2)</f>
        <v>35100</v>
      </c>
      <c r="G792" s="288">
        <f>ROUND(IF($A792="E",F792*(1+Assumptions!D$15),F792*(1+Assumptions!D$17)),-2)</f>
        <v>35500</v>
      </c>
      <c r="H792" s="288">
        <f>ROUND(IF($A792="E",G792*(1+Assumptions!E$15),G792*(1+Assumptions!E$17)),-2)</f>
        <v>35900</v>
      </c>
      <c r="I792" s="288">
        <f>ROUND(IF($A792="E",H792*(1+Assumptions!F$15),H792*(1+Assumptions!F$17)),-2)</f>
        <v>36300</v>
      </c>
      <c r="J792" s="288">
        <f>ROUND(IF($A792="E",I792*(1+Assumptions!G$15),I792*(1+Assumptions!G$17)),-2)</f>
        <v>36700</v>
      </c>
      <c r="K792" s="288">
        <f>ROUND(IF($A792="E",J792*(1+Assumptions!H$15),J792*(1+Assumptions!H$17)),-2)</f>
        <v>37100</v>
      </c>
      <c r="L792" s="288">
        <f>ROUND(IF($A792="E",K792*(1+Assumptions!I$15),K792*(1+Assumptions!I$17)),-2)</f>
        <v>37500</v>
      </c>
      <c r="M792" s="288">
        <f>ROUND(IF($A792="E",L792*(1+Assumptions!J$15),L792*(1+Assumptions!J$17)),-2)</f>
        <v>37900</v>
      </c>
      <c r="N792" s="288">
        <f>ROUND(IF($A792="E",M792*(1+Assumptions!K$15),M792*(1+Assumptions!K$17)),-2)</f>
        <v>38300</v>
      </c>
    </row>
    <row r="793" spans="1:14" ht="12.75" customHeight="1" x14ac:dyDescent="0.25">
      <c r="E793" s="288"/>
      <c r="F793" s="288"/>
      <c r="G793" s="288"/>
      <c r="H793" s="288"/>
      <c r="I793" s="288"/>
      <c r="J793" s="288"/>
      <c r="K793" s="288"/>
      <c r="L793" s="288"/>
      <c r="M793" s="288"/>
      <c r="N793" s="288"/>
    </row>
    <row r="794" spans="1:14" ht="12.75" customHeight="1" x14ac:dyDescent="0.25">
      <c r="D794" s="19" t="s">
        <v>3234</v>
      </c>
      <c r="E794" s="291">
        <f>SUM(E759:E793)</f>
        <v>752300</v>
      </c>
      <c r="F794" s="291">
        <f t="shared" ref="F794:N794" si="25">SUM(F759:F793)</f>
        <v>759700</v>
      </c>
      <c r="G794" s="291">
        <f t="shared" si="25"/>
        <v>767000</v>
      </c>
      <c r="H794" s="291">
        <f t="shared" si="25"/>
        <v>774400</v>
      </c>
      <c r="I794" s="291">
        <f t="shared" si="25"/>
        <v>781900</v>
      </c>
      <c r="J794" s="291">
        <f t="shared" si="25"/>
        <v>789300</v>
      </c>
      <c r="K794" s="291">
        <f t="shared" si="25"/>
        <v>796700</v>
      </c>
      <c r="L794" s="291">
        <f t="shared" si="25"/>
        <v>804000</v>
      </c>
      <c r="M794" s="291">
        <f t="shared" si="25"/>
        <v>811300</v>
      </c>
      <c r="N794" s="291">
        <f t="shared" si="25"/>
        <v>818700</v>
      </c>
    </row>
    <row r="795" spans="1:14" ht="12.75" customHeight="1" x14ac:dyDescent="0.25">
      <c r="E795" s="288"/>
      <c r="F795" s="288"/>
      <c r="G795" s="288"/>
      <c r="H795" s="288"/>
      <c r="I795" s="288"/>
      <c r="J795" s="288"/>
      <c r="K795" s="288"/>
      <c r="L795" s="288"/>
      <c r="M795" s="288"/>
      <c r="N795" s="288"/>
    </row>
    <row r="796" spans="1:14" x14ac:dyDescent="0.25">
      <c r="C796" s="16" t="s">
        <v>315</v>
      </c>
      <c r="E796" s="288"/>
      <c r="F796" s="288"/>
      <c r="G796" s="288"/>
      <c r="H796" s="288"/>
      <c r="I796" s="288"/>
      <c r="J796" s="288"/>
      <c r="K796" s="288"/>
      <c r="L796" s="288"/>
      <c r="M796" s="288"/>
      <c r="N796" s="288"/>
    </row>
    <row r="797" spans="1:14" x14ac:dyDescent="0.25">
      <c r="B797" s="16" t="s">
        <v>3228</v>
      </c>
      <c r="C797" s="16" t="s">
        <v>1301</v>
      </c>
      <c r="D797" s="16" t="s">
        <v>1302</v>
      </c>
      <c r="E797" s="289"/>
      <c r="F797" s="289"/>
      <c r="G797" s="289"/>
      <c r="H797" s="289"/>
      <c r="I797" s="289"/>
      <c r="J797" s="289"/>
      <c r="K797" s="289"/>
      <c r="L797" s="289"/>
      <c r="M797" s="289"/>
      <c r="N797" s="289"/>
    </row>
    <row r="798" spans="1:14" x14ac:dyDescent="0.25">
      <c r="B798" s="16" t="s">
        <v>3228</v>
      </c>
      <c r="C798" s="16" t="s">
        <v>1303</v>
      </c>
      <c r="D798" s="16" t="s">
        <v>1304</v>
      </c>
      <c r="E798" s="288">
        <v>-4100</v>
      </c>
      <c r="F798" s="288">
        <f>ROUND(E798+(E798*Assumptions!C$13),-2)</f>
        <v>-4200</v>
      </c>
      <c r="G798" s="288">
        <f>ROUND(F798+(F798*Assumptions!D$13),-2)</f>
        <v>-4300</v>
      </c>
      <c r="H798" s="288">
        <f>ROUND(G798+(G798*Assumptions!E$13),-2)</f>
        <v>-4400</v>
      </c>
      <c r="I798" s="288">
        <f>ROUND(H798+(H798*Assumptions!F$13),-2)</f>
        <v>-4500</v>
      </c>
      <c r="J798" s="288">
        <f>ROUND(I798+(I798*Assumptions!G$13),-2)</f>
        <v>-4600</v>
      </c>
      <c r="K798" s="288">
        <f>ROUND(J798+(J798*Assumptions!H$13),-2)</f>
        <v>-4700</v>
      </c>
      <c r="L798" s="288">
        <f>ROUND(K798+(K798*Assumptions!I$13),-2)</f>
        <v>-4800</v>
      </c>
      <c r="M798" s="288">
        <f>ROUND(L798+(L798*Assumptions!J$13),-2)</f>
        <v>-4900</v>
      </c>
      <c r="N798" s="288">
        <f>ROUND(M798+(M798*Assumptions!K$13),-2)</f>
        <v>-5000</v>
      </c>
    </row>
    <row r="799" spans="1:14" x14ac:dyDescent="0.25">
      <c r="B799" s="16" t="s">
        <v>3228</v>
      </c>
      <c r="C799" s="16" t="s">
        <v>1305</v>
      </c>
      <c r="D799" s="16" t="s">
        <v>1306</v>
      </c>
      <c r="E799" s="288">
        <v>-1100</v>
      </c>
      <c r="F799" s="288">
        <f>ROUND(E799+(E799*Assumptions!C$13),-2)</f>
        <v>-1100</v>
      </c>
      <c r="G799" s="288">
        <f>ROUND(F799+(F799*Assumptions!D$13),-2)</f>
        <v>-1100</v>
      </c>
      <c r="H799" s="288">
        <f>ROUND(G799+(G799*Assumptions!E$13),-2)</f>
        <v>-1100</v>
      </c>
      <c r="I799" s="288">
        <f>ROUND(H799+(H799*Assumptions!F$13),-2)</f>
        <v>-1100</v>
      </c>
      <c r="J799" s="288">
        <f>ROUND(I799+(I799*Assumptions!G$13),-2)</f>
        <v>-1100</v>
      </c>
      <c r="K799" s="288">
        <f>ROUND(J799+(J799*Assumptions!H$13),-2)</f>
        <v>-1100</v>
      </c>
      <c r="L799" s="288">
        <f>ROUND(K799+(K799*Assumptions!I$13),-2)</f>
        <v>-1100</v>
      </c>
      <c r="M799" s="288">
        <f>ROUND(L799+(L799*Assumptions!J$13),-2)</f>
        <v>-1100</v>
      </c>
      <c r="N799" s="288">
        <f>ROUND(M799+(M799*Assumptions!K$13),-2)</f>
        <v>-1100</v>
      </c>
    </row>
    <row r="800" spans="1:14" x14ac:dyDescent="0.25">
      <c r="B800" s="16" t="s">
        <v>3228</v>
      </c>
      <c r="C800" s="16" t="s">
        <v>1307</v>
      </c>
      <c r="D800" s="16" t="s">
        <v>1308</v>
      </c>
      <c r="E800" s="289"/>
      <c r="F800" s="289"/>
      <c r="G800" s="289"/>
      <c r="H800" s="289"/>
      <c r="I800" s="289"/>
      <c r="J800" s="289"/>
      <c r="K800" s="289"/>
      <c r="L800" s="289"/>
      <c r="M800" s="289"/>
      <c r="N800" s="289"/>
    </row>
    <row r="801" spans="2:14" x14ac:dyDescent="0.25">
      <c r="B801" s="16" t="s">
        <v>3228</v>
      </c>
      <c r="C801" s="16" t="s">
        <v>1309</v>
      </c>
      <c r="D801" s="16" t="s">
        <v>1310</v>
      </c>
      <c r="E801" s="288">
        <v>-194700</v>
      </c>
      <c r="F801" s="288">
        <f>ROUND(E801+(E801*Assumptions!C$13),-2)</f>
        <v>-198600</v>
      </c>
      <c r="G801" s="288">
        <f>ROUND(F801+(F801*Assumptions!D$13),-2)</f>
        <v>-203600</v>
      </c>
      <c r="H801" s="288">
        <f>ROUND(G801+(G801*Assumptions!E$13),-2)</f>
        <v>-208700</v>
      </c>
      <c r="I801" s="288">
        <f>ROUND(H801+(H801*Assumptions!F$13),-2)</f>
        <v>-213900</v>
      </c>
      <c r="J801" s="288">
        <f>ROUND(I801+(I801*Assumptions!G$13),-2)</f>
        <v>-219200</v>
      </c>
      <c r="K801" s="288">
        <f>ROUND(J801+(J801*Assumptions!H$13),-2)</f>
        <v>-224700</v>
      </c>
      <c r="L801" s="288">
        <f>ROUND(K801+(K801*Assumptions!I$13),-2)</f>
        <v>-230300</v>
      </c>
      <c r="M801" s="288">
        <f>ROUND(L801+(L801*Assumptions!J$13),-2)</f>
        <v>-236100</v>
      </c>
      <c r="N801" s="288">
        <f>ROUND(M801+(M801*Assumptions!K$13),-2)</f>
        <v>-242000</v>
      </c>
    </row>
    <row r="802" spans="2:14" x14ac:dyDescent="0.25">
      <c r="B802" s="16" t="s">
        <v>3228</v>
      </c>
      <c r="C802" s="16" t="s">
        <v>1311</v>
      </c>
      <c r="D802" s="16" t="s">
        <v>1312</v>
      </c>
      <c r="E802" s="288">
        <v>-51500</v>
      </c>
      <c r="F802" s="288">
        <f>ROUND(E802+(E802*Assumptions!C$13),-2)</f>
        <v>-52500</v>
      </c>
      <c r="G802" s="288">
        <f>ROUND(F802+(F802*Assumptions!D$13),-2)</f>
        <v>-53800</v>
      </c>
      <c r="H802" s="288">
        <f>ROUND(G802+(G802*Assumptions!E$13),-2)</f>
        <v>-55100</v>
      </c>
      <c r="I802" s="288">
        <f>ROUND(H802+(H802*Assumptions!F$13),-2)</f>
        <v>-56500</v>
      </c>
      <c r="J802" s="288">
        <f>ROUND(I802+(I802*Assumptions!G$13),-2)</f>
        <v>-57900</v>
      </c>
      <c r="K802" s="288">
        <f>ROUND(J802+(J802*Assumptions!H$13),-2)</f>
        <v>-59300</v>
      </c>
      <c r="L802" s="288">
        <f>ROUND(K802+(K802*Assumptions!I$13),-2)</f>
        <v>-60800</v>
      </c>
      <c r="M802" s="288">
        <f>ROUND(L802+(L802*Assumptions!J$13),-2)</f>
        <v>-62300</v>
      </c>
      <c r="N802" s="288">
        <f>ROUND(M802+(M802*Assumptions!K$13),-2)</f>
        <v>-63900</v>
      </c>
    </row>
    <row r="803" spans="2:14" x14ac:dyDescent="0.25">
      <c r="B803" s="16" t="s">
        <v>3228</v>
      </c>
      <c r="C803" s="16" t="s">
        <v>1313</v>
      </c>
      <c r="D803" s="16" t="s">
        <v>1314</v>
      </c>
      <c r="E803" s="288">
        <v>-51500</v>
      </c>
      <c r="F803" s="288">
        <f>ROUND(E803+(E803*Assumptions!C$13),-2)</f>
        <v>-52500</v>
      </c>
      <c r="G803" s="288">
        <f>ROUND(F803+(F803*Assumptions!D$13),-2)</f>
        <v>-53800</v>
      </c>
      <c r="H803" s="288">
        <f>ROUND(G803+(G803*Assumptions!E$13),-2)</f>
        <v>-55100</v>
      </c>
      <c r="I803" s="288">
        <f>ROUND(H803+(H803*Assumptions!F$13),-2)</f>
        <v>-56500</v>
      </c>
      <c r="J803" s="288">
        <f>ROUND(I803+(I803*Assumptions!G$13),-2)</f>
        <v>-57900</v>
      </c>
      <c r="K803" s="288">
        <f>ROUND(J803+(J803*Assumptions!H$13),-2)</f>
        <v>-59300</v>
      </c>
      <c r="L803" s="288">
        <f>ROUND(K803+(K803*Assumptions!I$13),-2)</f>
        <v>-60800</v>
      </c>
      <c r="M803" s="288">
        <f>ROUND(L803+(L803*Assumptions!J$13),-2)</f>
        <v>-62300</v>
      </c>
      <c r="N803" s="288">
        <f>ROUND(M803+(M803*Assumptions!K$13),-2)</f>
        <v>-63900</v>
      </c>
    </row>
    <row r="804" spans="2:14" x14ac:dyDescent="0.25">
      <c r="B804" s="16" t="s">
        <v>3228</v>
      </c>
      <c r="C804" s="16" t="s">
        <v>1315</v>
      </c>
      <c r="D804" s="16" t="s">
        <v>1316</v>
      </c>
      <c r="E804" s="289"/>
      <c r="F804" s="289"/>
      <c r="G804" s="289"/>
      <c r="H804" s="289"/>
      <c r="I804" s="289"/>
      <c r="J804" s="289"/>
      <c r="K804" s="289"/>
      <c r="L804" s="289"/>
      <c r="M804" s="289"/>
      <c r="N804" s="289"/>
    </row>
    <row r="805" spans="2:14" x14ac:dyDescent="0.25">
      <c r="B805" s="16" t="s">
        <v>3228</v>
      </c>
      <c r="C805" s="16" t="s">
        <v>1317</v>
      </c>
      <c r="D805" s="16" t="s">
        <v>1318</v>
      </c>
      <c r="E805" s="288">
        <v>-252000</v>
      </c>
      <c r="F805" s="288">
        <f>ROUND(E805+(E805*Assumptions!C$13),-2)</f>
        <v>-257000</v>
      </c>
      <c r="G805" s="288">
        <f>ROUND(F805+(F805*Assumptions!D$13),-2)</f>
        <v>-263400</v>
      </c>
      <c r="H805" s="288">
        <f>ROUND(G805+(G805*Assumptions!E$13),-2)</f>
        <v>-270000</v>
      </c>
      <c r="I805" s="288">
        <f>ROUND(H805+(H805*Assumptions!F$13),-2)</f>
        <v>-276800</v>
      </c>
      <c r="J805" s="288">
        <f>ROUND(I805+(I805*Assumptions!G$13),-2)</f>
        <v>-283700</v>
      </c>
      <c r="K805" s="288">
        <f>ROUND(J805+(J805*Assumptions!H$13),-2)</f>
        <v>-290800</v>
      </c>
      <c r="L805" s="288">
        <f>ROUND(K805+(K805*Assumptions!I$13),-2)</f>
        <v>-298100</v>
      </c>
      <c r="M805" s="288">
        <f>ROUND(L805+(L805*Assumptions!J$13),-2)</f>
        <v>-305600</v>
      </c>
      <c r="N805" s="288">
        <f>ROUND(M805+(M805*Assumptions!K$13),-2)</f>
        <v>-313200</v>
      </c>
    </row>
    <row r="806" spans="2:14" ht="12.75" customHeight="1" x14ac:dyDescent="0.25">
      <c r="E806" s="288"/>
      <c r="F806" s="288"/>
      <c r="G806" s="288"/>
      <c r="H806" s="288"/>
      <c r="I806" s="288"/>
      <c r="J806" s="288"/>
      <c r="K806" s="288"/>
      <c r="L806" s="288"/>
      <c r="M806" s="288"/>
      <c r="N806" s="288"/>
    </row>
    <row r="807" spans="2:14" ht="12.75" customHeight="1" x14ac:dyDescent="0.25">
      <c r="D807" s="19" t="s">
        <v>3234</v>
      </c>
      <c r="E807" s="291">
        <f>SUM(E797:E806)</f>
        <v>-554900</v>
      </c>
      <c r="F807" s="291">
        <f t="shared" ref="F807:N807" si="26">SUM(F797:F806)</f>
        <v>-565900</v>
      </c>
      <c r="G807" s="291">
        <f t="shared" si="26"/>
        <v>-580000</v>
      </c>
      <c r="H807" s="291">
        <f t="shared" si="26"/>
        <v>-594400</v>
      </c>
      <c r="I807" s="291">
        <f t="shared" si="26"/>
        <v>-609300</v>
      </c>
      <c r="J807" s="291">
        <f t="shared" si="26"/>
        <v>-624400</v>
      </c>
      <c r="K807" s="291">
        <f t="shared" si="26"/>
        <v>-639900</v>
      </c>
      <c r="L807" s="291">
        <f t="shared" si="26"/>
        <v>-655900</v>
      </c>
      <c r="M807" s="291">
        <f t="shared" si="26"/>
        <v>-672300</v>
      </c>
      <c r="N807" s="291">
        <f t="shared" si="26"/>
        <v>-689100</v>
      </c>
    </row>
    <row r="808" spans="2:14" ht="12.75" customHeight="1" x14ac:dyDescent="0.25">
      <c r="E808" s="288"/>
      <c r="F808" s="288"/>
      <c r="G808" s="288"/>
      <c r="H808" s="288"/>
      <c r="I808" s="288"/>
      <c r="J808" s="288"/>
      <c r="K808" s="288"/>
      <c r="L808" s="288"/>
      <c r="M808" s="288"/>
      <c r="N808" s="288"/>
    </row>
    <row r="809" spans="2:14" x14ac:dyDescent="0.25">
      <c r="C809" s="19" t="s">
        <v>1319</v>
      </c>
      <c r="E809" s="288"/>
      <c r="F809" s="288"/>
      <c r="G809" s="288"/>
      <c r="H809" s="288"/>
      <c r="I809" s="288"/>
      <c r="J809" s="288"/>
      <c r="K809" s="288"/>
      <c r="L809" s="288"/>
      <c r="M809" s="288"/>
      <c r="N809" s="288"/>
    </row>
    <row r="810" spans="2:14" ht="12.75" customHeight="1" x14ac:dyDescent="0.25">
      <c r="E810" s="288"/>
      <c r="F810" s="288"/>
      <c r="G810" s="288"/>
      <c r="H810" s="288"/>
      <c r="I810" s="288"/>
      <c r="J810" s="288"/>
      <c r="K810" s="288"/>
      <c r="L810" s="288"/>
      <c r="M810" s="288"/>
      <c r="N810" s="288"/>
    </row>
    <row r="811" spans="2:14" x14ac:dyDescent="0.25">
      <c r="C811" s="16" t="s">
        <v>87</v>
      </c>
      <c r="E811" s="288"/>
      <c r="F811" s="288"/>
      <c r="G811" s="288"/>
      <c r="H811" s="288"/>
      <c r="I811" s="288"/>
      <c r="J811" s="288"/>
      <c r="K811" s="288"/>
      <c r="L811" s="288"/>
      <c r="M811" s="288"/>
      <c r="N811" s="288"/>
    </row>
    <row r="812" spans="2:14" x14ac:dyDescent="0.25">
      <c r="B812" s="16" t="s">
        <v>43</v>
      </c>
      <c r="C812" s="16" t="s">
        <v>1320</v>
      </c>
      <c r="D812" s="16" t="s">
        <v>1321</v>
      </c>
      <c r="E812" s="289"/>
      <c r="F812" s="289"/>
      <c r="G812" s="289"/>
      <c r="H812" s="289"/>
      <c r="I812" s="289"/>
      <c r="J812" s="289"/>
      <c r="K812" s="289"/>
      <c r="L812" s="289"/>
      <c r="M812" s="289"/>
      <c r="N812" s="289"/>
    </row>
    <row r="813" spans="2:14" x14ac:dyDescent="0.25">
      <c r="B813" s="16" t="s">
        <v>43</v>
      </c>
      <c r="C813" s="16" t="s">
        <v>1322</v>
      </c>
      <c r="D813" s="16" t="s">
        <v>1323</v>
      </c>
      <c r="E813" s="288">
        <v>134400</v>
      </c>
      <c r="F813" s="288">
        <f>ROUND(IF($A813="E",E813*(1+Assumptions!C$15),E813*(1+Assumptions!C$14)),-2)</f>
        <v>136400</v>
      </c>
      <c r="G813" s="288">
        <f>ROUND(IF($A813="E",F813*(1+Assumptions!D$15),F813*(1+Assumptions!D$14)),-2)</f>
        <v>139100</v>
      </c>
      <c r="H813" s="288">
        <f>ROUND(IF($A813="E",G813*(1+Assumptions!E$15),G813*(1+Assumptions!E$14)),-2)</f>
        <v>141900</v>
      </c>
      <c r="I813" s="288">
        <f>ROUND(IF($A813="E",H813*(1+Assumptions!F$15),H813*(1+Assumptions!F$14)),-2)</f>
        <v>144700</v>
      </c>
      <c r="J813" s="288">
        <f>ROUND(IF($A813="E",I813*(1+Assumptions!G$15),I813*(1+Assumptions!G$14)),-2)</f>
        <v>147600</v>
      </c>
      <c r="K813" s="288">
        <f>ROUND(IF($A813="E",J813*(1+Assumptions!H$15),J813*(1+Assumptions!H$14)),-2)</f>
        <v>150600</v>
      </c>
      <c r="L813" s="288">
        <f>ROUND(IF($A813="E",K813*(1+Assumptions!I$15),K813*(1+Assumptions!I$14)),-2)</f>
        <v>154400</v>
      </c>
      <c r="M813" s="288">
        <f>ROUND(IF($A813="E",L813*(1+Assumptions!J$15),L813*(1+Assumptions!J$14)),-2)</f>
        <v>158300</v>
      </c>
      <c r="N813" s="288">
        <f>ROUND(IF($A813="E",M813*(1+Assumptions!K$15),M813*(1+Assumptions!K$14)),-2)</f>
        <v>162300</v>
      </c>
    </row>
    <row r="814" spans="2:14" x14ac:dyDescent="0.25">
      <c r="B814" s="16" t="s">
        <v>43</v>
      </c>
      <c r="C814" s="16" t="s">
        <v>1324</v>
      </c>
      <c r="D814" s="16" t="s">
        <v>1325</v>
      </c>
      <c r="E814" s="288">
        <v>152900</v>
      </c>
      <c r="F814" s="288">
        <f>ROUND(IF($A814="E",E814*(1+Assumptions!C$15),E814*(1+Assumptions!C$14)),-2)</f>
        <v>155200</v>
      </c>
      <c r="G814" s="288">
        <f>ROUND(IF($A814="E",F814*(1+Assumptions!D$15),F814*(1+Assumptions!D$14)),-2)</f>
        <v>158300</v>
      </c>
      <c r="H814" s="288">
        <f>ROUND(IF($A814="E",G814*(1+Assumptions!E$15),G814*(1+Assumptions!E$14)),-2)</f>
        <v>161500</v>
      </c>
      <c r="I814" s="288">
        <f>ROUND(IF($A814="E",H814*(1+Assumptions!F$15),H814*(1+Assumptions!F$14)),-2)</f>
        <v>164700</v>
      </c>
      <c r="J814" s="288">
        <f>ROUND(IF($A814="E",I814*(1+Assumptions!G$15),I814*(1+Assumptions!G$14)),-2)</f>
        <v>168000</v>
      </c>
      <c r="K814" s="288">
        <f>ROUND(IF($A814="E",J814*(1+Assumptions!H$15),J814*(1+Assumptions!H$14)),-2)</f>
        <v>171400</v>
      </c>
      <c r="L814" s="288">
        <f>ROUND(IF($A814="E",K814*(1+Assumptions!I$15),K814*(1+Assumptions!I$14)),-2)</f>
        <v>175700</v>
      </c>
      <c r="M814" s="288">
        <f>ROUND(IF($A814="E",L814*(1+Assumptions!J$15),L814*(1+Assumptions!J$14)),-2)</f>
        <v>180100</v>
      </c>
      <c r="N814" s="288">
        <f>ROUND(IF($A814="E",M814*(1+Assumptions!K$15),M814*(1+Assumptions!K$14)),-2)</f>
        <v>184600</v>
      </c>
    </row>
    <row r="815" spans="2:14" x14ac:dyDescent="0.25">
      <c r="B815" s="16" t="s">
        <v>43</v>
      </c>
      <c r="C815" s="16" t="s">
        <v>1326</v>
      </c>
      <c r="D815" s="16" t="s">
        <v>1327</v>
      </c>
      <c r="E815" s="288">
        <v>10400</v>
      </c>
      <c r="F815" s="288">
        <f>ROUND(IF($A815="E",E815*(1+Assumptions!C$15),E815*(1+Assumptions!C$14)),-2)</f>
        <v>10600</v>
      </c>
      <c r="G815" s="288">
        <f>ROUND(IF($A815="E",F815*(1+Assumptions!D$15),F815*(1+Assumptions!D$14)),-2)</f>
        <v>10800</v>
      </c>
      <c r="H815" s="288">
        <f>ROUND(IF($A815="E",G815*(1+Assumptions!E$15),G815*(1+Assumptions!E$14)),-2)</f>
        <v>11000</v>
      </c>
      <c r="I815" s="288">
        <f>ROUND(IF($A815="E",H815*(1+Assumptions!F$15),H815*(1+Assumptions!F$14)),-2)</f>
        <v>11200</v>
      </c>
      <c r="J815" s="288">
        <f>ROUND(IF($A815="E",I815*(1+Assumptions!G$15),I815*(1+Assumptions!G$14)),-2)</f>
        <v>11400</v>
      </c>
      <c r="K815" s="288">
        <f>ROUND(IF($A815="E",J815*(1+Assumptions!H$15),J815*(1+Assumptions!H$14)),-2)</f>
        <v>11600</v>
      </c>
      <c r="L815" s="288">
        <f>ROUND(IF($A815="E",K815*(1+Assumptions!I$15),K815*(1+Assumptions!I$14)),-2)</f>
        <v>11900</v>
      </c>
      <c r="M815" s="288">
        <f>ROUND(IF($A815="E",L815*(1+Assumptions!J$15),L815*(1+Assumptions!J$14)),-2)</f>
        <v>12200</v>
      </c>
      <c r="N815" s="288">
        <f>ROUND(IF($A815="E",M815*(1+Assumptions!K$15),M815*(1+Assumptions!K$14)),-2)</f>
        <v>12500</v>
      </c>
    </row>
    <row r="816" spans="2:14" x14ac:dyDescent="0.25">
      <c r="B816" s="16" t="s">
        <v>43</v>
      </c>
      <c r="C816" s="16" t="s">
        <v>1328</v>
      </c>
      <c r="D816" s="16" t="s">
        <v>1329</v>
      </c>
      <c r="E816" s="288">
        <v>1900</v>
      </c>
      <c r="F816" s="288">
        <f>ROUND(IF($A816="E",E816*(1+Assumptions!C$15),E816*(1+Assumptions!C$14)),-2)</f>
        <v>1900</v>
      </c>
      <c r="G816" s="288">
        <f>ROUND(IF($A816="E",F816*(1+Assumptions!D$15),F816*(1+Assumptions!D$14)),-2)</f>
        <v>1900</v>
      </c>
      <c r="H816" s="288">
        <f>ROUND(IF($A816="E",G816*(1+Assumptions!E$15),G816*(1+Assumptions!E$14)),-2)</f>
        <v>1900</v>
      </c>
      <c r="I816" s="288">
        <f>ROUND(IF($A816="E",H816*(1+Assumptions!F$15),H816*(1+Assumptions!F$14)),-2)</f>
        <v>1900</v>
      </c>
      <c r="J816" s="288">
        <f>ROUND(IF($A816="E",I816*(1+Assumptions!G$15),I816*(1+Assumptions!G$14)),-2)</f>
        <v>1900</v>
      </c>
      <c r="K816" s="288">
        <f>ROUND(IF($A816="E",J816*(1+Assumptions!H$15),J816*(1+Assumptions!H$14)),-2)</f>
        <v>1900</v>
      </c>
      <c r="L816" s="288">
        <f>ROUND(IF($A816="E",K816*(1+Assumptions!I$15),K816*(1+Assumptions!I$14)),-2)</f>
        <v>1900</v>
      </c>
      <c r="M816" s="288">
        <f>ROUND(IF($A816="E",L816*(1+Assumptions!J$15),L816*(1+Assumptions!J$14)),-2)</f>
        <v>1900</v>
      </c>
      <c r="N816" s="288">
        <f>ROUND(IF($A816="E",M816*(1+Assumptions!K$15),M816*(1+Assumptions!K$14)),-2)</f>
        <v>1900</v>
      </c>
    </row>
    <row r="817" spans="2:14" x14ac:dyDescent="0.25">
      <c r="B817" s="16" t="s">
        <v>43</v>
      </c>
      <c r="C817" s="16" t="s">
        <v>1330</v>
      </c>
      <c r="D817" s="16" t="s">
        <v>1331</v>
      </c>
      <c r="E817" s="288">
        <v>0</v>
      </c>
      <c r="F817" s="288">
        <f>ROUND(IF($A817="E",E817*(1+Assumptions!C$15),E817*(1+Assumptions!C$14)),-2)</f>
        <v>0</v>
      </c>
      <c r="G817" s="288">
        <f>ROUND(IF($A817="E",F817*(1+Assumptions!D$15),F817*(1+Assumptions!D$14)),-2)</f>
        <v>0</v>
      </c>
      <c r="H817" s="288">
        <f>ROUND(IF($A817="E",G817*(1+Assumptions!E$15),G817*(1+Assumptions!E$14)),-2)</f>
        <v>0</v>
      </c>
      <c r="I817" s="288">
        <f>ROUND(IF($A817="E",H817*(1+Assumptions!F$15),H817*(1+Assumptions!F$14)),-2)</f>
        <v>0</v>
      </c>
      <c r="J817" s="288">
        <f>ROUND(IF($A817="E",I817*(1+Assumptions!G$15),I817*(1+Assumptions!G$14)),-2)</f>
        <v>0</v>
      </c>
      <c r="K817" s="288">
        <f>ROUND(IF($A817="E",J817*(1+Assumptions!H$15),J817*(1+Assumptions!H$14)),-2)</f>
        <v>0</v>
      </c>
      <c r="L817" s="288">
        <f>ROUND(IF($A817="E",K817*(1+Assumptions!I$15),K817*(1+Assumptions!I$14)),-2)</f>
        <v>0</v>
      </c>
      <c r="M817" s="288">
        <f>ROUND(IF($A817="E",L817*(1+Assumptions!J$15),L817*(1+Assumptions!J$14)),-2)</f>
        <v>0</v>
      </c>
      <c r="N817" s="288">
        <f>ROUND(IF($A817="E",M817*(1+Assumptions!K$15),M817*(1+Assumptions!K$14)),-2)</f>
        <v>0</v>
      </c>
    </row>
    <row r="818" spans="2:14" x14ac:dyDescent="0.25">
      <c r="B818" s="16" t="s">
        <v>43</v>
      </c>
      <c r="C818" s="16" t="s">
        <v>1332</v>
      </c>
      <c r="D818" s="16" t="s">
        <v>1333</v>
      </c>
      <c r="E818" s="288"/>
      <c r="F818" s="288">
        <f>ROUND(IF($A818="E",E818*(1+Assumptions!C$15),E818*(1+Assumptions!C$14)),-2)</f>
        <v>0</v>
      </c>
      <c r="G818" s="288">
        <f>ROUND(IF($A818="E",F818*(1+Assumptions!D$15),F818*(1+Assumptions!D$14)),-2)</f>
        <v>0</v>
      </c>
      <c r="H818" s="288">
        <f>ROUND(IF($A818="E",G818*(1+Assumptions!E$15),G818*(1+Assumptions!E$14)),-2)</f>
        <v>0</v>
      </c>
      <c r="I818" s="288">
        <f>ROUND(IF($A818="E",H818*(1+Assumptions!F$15),H818*(1+Assumptions!F$14)),-2)</f>
        <v>0</v>
      </c>
      <c r="J818" s="288">
        <f>ROUND(IF($A818="E",I818*(1+Assumptions!G$15),I818*(1+Assumptions!G$14)),-2)</f>
        <v>0</v>
      </c>
      <c r="K818" s="288">
        <f>ROUND(IF($A818="E",J818*(1+Assumptions!H$15),J818*(1+Assumptions!H$14)),-2)</f>
        <v>0</v>
      </c>
      <c r="L818" s="288">
        <f>ROUND(IF($A818="E",K818*(1+Assumptions!I$15),K818*(1+Assumptions!I$14)),-2)</f>
        <v>0</v>
      </c>
      <c r="M818" s="288">
        <f>ROUND(IF($A818="E",L818*(1+Assumptions!J$15),L818*(1+Assumptions!J$14)),-2)</f>
        <v>0</v>
      </c>
      <c r="N818" s="288">
        <f>ROUND(IF($A818="E",M818*(1+Assumptions!K$15),M818*(1+Assumptions!K$14)),-2)</f>
        <v>0</v>
      </c>
    </row>
    <row r="819" spans="2:14" x14ac:dyDescent="0.25">
      <c r="B819" s="16" t="s">
        <v>43</v>
      </c>
      <c r="C819" s="16" t="s">
        <v>1334</v>
      </c>
      <c r="D819" s="16" t="s">
        <v>1335</v>
      </c>
      <c r="E819" s="288">
        <v>0</v>
      </c>
      <c r="F819" s="288">
        <f>ROUND(IF($A819="E",E819*(1+Assumptions!C$15),E819*(1+Assumptions!C$14)),-2)</f>
        <v>0</v>
      </c>
      <c r="G819" s="288">
        <f>ROUND(IF($A819="E",F819*(1+Assumptions!D$15),F819*(1+Assumptions!D$14)),-2)</f>
        <v>0</v>
      </c>
      <c r="H819" s="288">
        <f>ROUND(IF($A819="E",G819*(1+Assumptions!E$15),G819*(1+Assumptions!E$14)),-2)</f>
        <v>0</v>
      </c>
      <c r="I819" s="288">
        <f>ROUND(IF($A819="E",H819*(1+Assumptions!F$15),H819*(1+Assumptions!F$14)),-2)</f>
        <v>0</v>
      </c>
      <c r="J819" s="288">
        <f>ROUND(IF($A819="E",I819*(1+Assumptions!G$15),I819*(1+Assumptions!G$14)),-2)</f>
        <v>0</v>
      </c>
      <c r="K819" s="288">
        <f>ROUND(IF($A819="E",J819*(1+Assumptions!H$15),J819*(1+Assumptions!H$14)),-2)</f>
        <v>0</v>
      </c>
      <c r="L819" s="288">
        <f>ROUND(IF($A819="E",K819*(1+Assumptions!I$15),K819*(1+Assumptions!I$14)),-2)</f>
        <v>0</v>
      </c>
      <c r="M819" s="288">
        <f>ROUND(IF($A819="E",L819*(1+Assumptions!J$15),L819*(1+Assumptions!J$14)),-2)</f>
        <v>0</v>
      </c>
      <c r="N819" s="288">
        <f>ROUND(IF($A819="E",M819*(1+Assumptions!K$15),M819*(1+Assumptions!K$14)),-2)</f>
        <v>0</v>
      </c>
    </row>
    <row r="820" spans="2:14" x14ac:dyDescent="0.25">
      <c r="B820" s="16" t="s">
        <v>43</v>
      </c>
      <c r="C820" s="16" t="s">
        <v>1336</v>
      </c>
      <c r="D820" s="16" t="s">
        <v>1337</v>
      </c>
      <c r="E820" s="288">
        <v>0</v>
      </c>
      <c r="F820" s="288">
        <f>ROUND(IF($A820="E",E820*(1+Assumptions!C$15),E820*(1+Assumptions!C$14)),-2)</f>
        <v>0</v>
      </c>
      <c r="G820" s="288">
        <f>ROUND(IF($A820="E",F820*(1+Assumptions!D$15),F820*(1+Assumptions!D$14)),-2)</f>
        <v>0</v>
      </c>
      <c r="H820" s="288">
        <f>ROUND(IF($A820="E",G820*(1+Assumptions!E$15),G820*(1+Assumptions!E$14)),-2)</f>
        <v>0</v>
      </c>
      <c r="I820" s="288">
        <f>ROUND(IF($A820="E",H820*(1+Assumptions!F$15),H820*(1+Assumptions!F$14)),-2)</f>
        <v>0</v>
      </c>
      <c r="J820" s="288">
        <f>ROUND(IF($A820="E",I820*(1+Assumptions!G$15),I820*(1+Assumptions!G$14)),-2)</f>
        <v>0</v>
      </c>
      <c r="K820" s="288">
        <f>ROUND(IF($A820="E",J820*(1+Assumptions!H$15),J820*(1+Assumptions!H$14)),-2)</f>
        <v>0</v>
      </c>
      <c r="L820" s="288">
        <f>ROUND(IF($A820="E",K820*(1+Assumptions!I$15),K820*(1+Assumptions!I$14)),-2)</f>
        <v>0</v>
      </c>
      <c r="M820" s="288">
        <f>ROUND(IF($A820="E",L820*(1+Assumptions!J$15),L820*(1+Assumptions!J$14)),-2)</f>
        <v>0</v>
      </c>
      <c r="N820" s="288">
        <f>ROUND(IF($A820="E",M820*(1+Assumptions!K$15),M820*(1+Assumptions!K$14)),-2)</f>
        <v>0</v>
      </c>
    </row>
    <row r="821" spans="2:14" x14ac:dyDescent="0.25">
      <c r="B821" s="16" t="s">
        <v>43</v>
      </c>
      <c r="C821" s="16" t="s">
        <v>1338</v>
      </c>
      <c r="D821" s="16" t="s">
        <v>1339</v>
      </c>
      <c r="E821" s="289"/>
      <c r="F821" s="289">
        <f>ROUND(IF($A821="E",E821*(1+Assumptions!C$15),E821*(1+Assumptions!C$14)),-2)</f>
        <v>0</v>
      </c>
      <c r="G821" s="289">
        <f>ROUND(IF($A821="E",F821*(1+Assumptions!D$15),F821*(1+Assumptions!D$14)),-2)</f>
        <v>0</v>
      </c>
      <c r="H821" s="289">
        <f>ROUND(IF($A821="E",G821*(1+Assumptions!E$15),G821*(1+Assumptions!E$14)),-2)</f>
        <v>0</v>
      </c>
      <c r="I821" s="289">
        <f>ROUND(IF($A821="E",H821*(1+Assumptions!F$15),H821*(1+Assumptions!F$14)),-2)</f>
        <v>0</v>
      </c>
      <c r="J821" s="289">
        <f>ROUND(IF($A821="E",I821*(1+Assumptions!G$15),I821*(1+Assumptions!G$14)),-2)</f>
        <v>0</v>
      </c>
      <c r="K821" s="289">
        <f>ROUND(IF($A821="E",J821*(1+Assumptions!H$15),J821*(1+Assumptions!H$14)),-2)</f>
        <v>0</v>
      </c>
      <c r="L821" s="289">
        <f>ROUND(IF($A821="E",K821*(1+Assumptions!I$15),K821*(1+Assumptions!I$14)),-2)</f>
        <v>0</v>
      </c>
      <c r="M821" s="289">
        <f>ROUND(IF($A821="E",L821*(1+Assumptions!J$15),L821*(1+Assumptions!J$14)),-2)</f>
        <v>0</v>
      </c>
      <c r="N821" s="289">
        <f>ROUND(IF($A821="E",M821*(1+Assumptions!K$15),M821*(1+Assumptions!K$14)),-2)</f>
        <v>0</v>
      </c>
    </row>
    <row r="822" spans="2:14" x14ac:dyDescent="0.25">
      <c r="B822" s="16" t="s">
        <v>43</v>
      </c>
      <c r="C822" s="16" t="s">
        <v>1340</v>
      </c>
      <c r="D822" s="16" t="s">
        <v>1341</v>
      </c>
      <c r="E822" s="288">
        <v>108200</v>
      </c>
      <c r="F822" s="288">
        <f>ROUND(IF($A822="E",E822*(1+Assumptions!C$15),E822*(1+Assumptions!C$14)),-2)</f>
        <v>109800</v>
      </c>
      <c r="G822" s="288">
        <f>ROUND(IF($A822="E",F822*(1+Assumptions!D$15),F822*(1+Assumptions!D$14)),-2)</f>
        <v>112000</v>
      </c>
      <c r="H822" s="288">
        <f>ROUND(IF($A822="E",G822*(1+Assumptions!E$15),G822*(1+Assumptions!E$14)),-2)</f>
        <v>114200</v>
      </c>
      <c r="I822" s="288">
        <f>ROUND(IF($A822="E",H822*(1+Assumptions!F$15),H822*(1+Assumptions!F$14)),-2)</f>
        <v>116500</v>
      </c>
      <c r="J822" s="288">
        <f>ROUND(IF($A822="E",I822*(1+Assumptions!G$15),I822*(1+Assumptions!G$14)),-2)</f>
        <v>118800</v>
      </c>
      <c r="K822" s="288">
        <f>ROUND(IF($A822="E",J822*(1+Assumptions!H$15),J822*(1+Assumptions!H$14)),-2)</f>
        <v>121200</v>
      </c>
      <c r="L822" s="288">
        <f>ROUND(IF($A822="E",K822*(1+Assumptions!I$15),K822*(1+Assumptions!I$14)),-2)</f>
        <v>124200</v>
      </c>
      <c r="M822" s="288">
        <f>ROUND(IF($A822="E",L822*(1+Assumptions!J$15),L822*(1+Assumptions!J$14)),-2)</f>
        <v>127300</v>
      </c>
      <c r="N822" s="288">
        <f>ROUND(IF($A822="E",M822*(1+Assumptions!K$15),M822*(1+Assumptions!K$14)),-2)</f>
        <v>130500</v>
      </c>
    </row>
    <row r="823" spans="2:14" x14ac:dyDescent="0.25">
      <c r="B823" s="16" t="s">
        <v>43</v>
      </c>
      <c r="C823" s="16" t="s">
        <v>1342</v>
      </c>
      <c r="D823" s="16" t="s">
        <v>1343</v>
      </c>
      <c r="E823" s="289"/>
      <c r="F823" s="289"/>
      <c r="G823" s="289"/>
      <c r="H823" s="289"/>
      <c r="I823" s="289"/>
      <c r="J823" s="289"/>
      <c r="K823" s="289"/>
      <c r="L823" s="289"/>
      <c r="M823" s="289"/>
      <c r="N823" s="289"/>
    </row>
    <row r="824" spans="2:14" x14ac:dyDescent="0.25">
      <c r="B824" s="16" t="s">
        <v>43</v>
      </c>
      <c r="C824" s="16" t="s">
        <v>1344</v>
      </c>
      <c r="D824" s="16" t="s">
        <v>1345</v>
      </c>
      <c r="E824" s="288">
        <v>0</v>
      </c>
      <c r="F824" s="288">
        <f>ROUND(IF($A824="E",E824*(1+Assumptions!C$15),E824*(1+Assumptions!C$14)),-2)</f>
        <v>0</v>
      </c>
      <c r="G824" s="288">
        <f>ROUND(IF($A824="E",F824*(1+Assumptions!D$15),F824*(1+Assumptions!D$14)),-2)</f>
        <v>0</v>
      </c>
      <c r="H824" s="288">
        <f>ROUND(IF($A824="E",G824*(1+Assumptions!E$15),G824*(1+Assumptions!E$14)),-2)</f>
        <v>0</v>
      </c>
      <c r="I824" s="288">
        <f>ROUND(IF($A824="E",H824*(1+Assumptions!F$15),H824*(1+Assumptions!F$14)),-2)</f>
        <v>0</v>
      </c>
      <c r="J824" s="288">
        <f>ROUND(IF($A824="E",I824*(1+Assumptions!G$15),I824*(1+Assumptions!G$14)),-2)</f>
        <v>0</v>
      </c>
      <c r="K824" s="288">
        <f>ROUND(IF($A824="E",J824*(1+Assumptions!H$15),J824*(1+Assumptions!H$14)),-2)</f>
        <v>0</v>
      </c>
      <c r="L824" s="288">
        <f>ROUND(IF($A824="E",K824*(1+Assumptions!I$15),K824*(1+Assumptions!I$14)),-2)</f>
        <v>0</v>
      </c>
      <c r="M824" s="288">
        <f>ROUND(IF($A824="E",L824*(1+Assumptions!J$15),L824*(1+Assumptions!J$14)),-2)</f>
        <v>0</v>
      </c>
      <c r="N824" s="288">
        <f>ROUND(IF($A824="E",M824*(1+Assumptions!K$15),M824*(1+Assumptions!K$14)),-2)</f>
        <v>0</v>
      </c>
    </row>
    <row r="825" spans="2:14" x14ac:dyDescent="0.25">
      <c r="B825" s="16" t="s">
        <v>43</v>
      </c>
      <c r="C825" s="16" t="s">
        <v>1346</v>
      </c>
      <c r="D825" s="16" t="s">
        <v>1347</v>
      </c>
      <c r="E825" s="289"/>
      <c r="F825" s="289"/>
      <c r="G825" s="289"/>
      <c r="H825" s="289"/>
      <c r="I825" s="289"/>
      <c r="J825" s="289"/>
      <c r="K825" s="289"/>
      <c r="L825" s="289"/>
      <c r="M825" s="289"/>
      <c r="N825" s="289"/>
    </row>
    <row r="826" spans="2:14" x14ac:dyDescent="0.25">
      <c r="B826" s="16" t="s">
        <v>43</v>
      </c>
      <c r="C826" s="16" t="s">
        <v>1348</v>
      </c>
      <c r="D826" s="16" t="s">
        <v>1349</v>
      </c>
      <c r="E826" s="288">
        <v>363000</v>
      </c>
      <c r="F826" s="288">
        <f>ROUND(IF($A826="E",E826*(1+Assumptions!C$15),E826*(1+Assumptions!C$14)),-2)</f>
        <v>368400</v>
      </c>
      <c r="G826" s="288">
        <f>ROUND(IF($A826="E",F826*(1+Assumptions!D$15),F826*(1+Assumptions!D$14)),-2)</f>
        <v>375800</v>
      </c>
      <c r="H826" s="288">
        <f>ROUND(IF($A826="E",G826*(1+Assumptions!E$15),G826*(1+Assumptions!E$14)),-2)</f>
        <v>383300</v>
      </c>
      <c r="I826" s="288">
        <f>ROUND(IF($A826="E",H826*(1+Assumptions!F$15),H826*(1+Assumptions!F$14)),-2)</f>
        <v>391000</v>
      </c>
      <c r="J826" s="288">
        <f>ROUND(IF($A826="E",I826*(1+Assumptions!G$15),I826*(1+Assumptions!G$14)),-2)</f>
        <v>398800</v>
      </c>
      <c r="K826" s="288">
        <f>ROUND(IF($A826="E",J826*(1+Assumptions!H$15),J826*(1+Assumptions!H$14)),-2)</f>
        <v>406800</v>
      </c>
      <c r="L826" s="288">
        <f>ROUND(IF($A826="E",K826*(1+Assumptions!I$15),K826*(1+Assumptions!I$14)),-2)</f>
        <v>417000</v>
      </c>
      <c r="M826" s="288">
        <f>ROUND(IF($A826="E",L826*(1+Assumptions!J$15),L826*(1+Assumptions!J$14)),-2)</f>
        <v>427400</v>
      </c>
      <c r="N826" s="288">
        <f>ROUND(IF($A826="E",M826*(1+Assumptions!K$15),M826*(1+Assumptions!K$14)),-2)</f>
        <v>438100</v>
      </c>
    </row>
    <row r="827" spans="2:14" x14ac:dyDescent="0.25">
      <c r="B827" s="16" t="s">
        <v>43</v>
      </c>
      <c r="C827" s="16" t="s">
        <v>1350</v>
      </c>
      <c r="D827" s="16" t="s">
        <v>1351</v>
      </c>
      <c r="E827" s="288">
        <v>51700</v>
      </c>
      <c r="F827" s="288">
        <f>ROUND(IF($A827="E",E827*(1+Assumptions!C$15),E827*(1+Assumptions!C$14)),-2)</f>
        <v>52500</v>
      </c>
      <c r="G827" s="288">
        <f>ROUND(IF($A827="E",F827*(1+Assumptions!D$15),F827*(1+Assumptions!D$14)),-2)</f>
        <v>53600</v>
      </c>
      <c r="H827" s="288">
        <f>ROUND(IF($A827="E",G827*(1+Assumptions!E$15),G827*(1+Assumptions!E$14)),-2)</f>
        <v>54700</v>
      </c>
      <c r="I827" s="288">
        <f>ROUND(IF($A827="E",H827*(1+Assumptions!F$15),H827*(1+Assumptions!F$14)),-2)</f>
        <v>55800</v>
      </c>
      <c r="J827" s="288">
        <f>ROUND(IF($A827="E",I827*(1+Assumptions!G$15),I827*(1+Assumptions!G$14)),-2)</f>
        <v>56900</v>
      </c>
      <c r="K827" s="288">
        <f>ROUND(IF($A827="E",J827*(1+Assumptions!H$15),J827*(1+Assumptions!H$14)),-2)</f>
        <v>58000</v>
      </c>
      <c r="L827" s="288">
        <f>ROUND(IF($A827="E",K827*(1+Assumptions!I$15),K827*(1+Assumptions!I$14)),-2)</f>
        <v>59500</v>
      </c>
      <c r="M827" s="288">
        <f>ROUND(IF($A827="E",L827*(1+Assumptions!J$15),L827*(1+Assumptions!J$14)),-2)</f>
        <v>61000</v>
      </c>
      <c r="N827" s="288">
        <f>ROUND(IF($A827="E",M827*(1+Assumptions!K$15),M827*(1+Assumptions!K$14)),-2)</f>
        <v>62500</v>
      </c>
    </row>
    <row r="828" spans="2:14" x14ac:dyDescent="0.25">
      <c r="B828" s="16" t="s">
        <v>43</v>
      </c>
      <c r="C828" s="16" t="s">
        <v>1352</v>
      </c>
      <c r="D828" s="16" t="s">
        <v>1353</v>
      </c>
      <c r="E828" s="288">
        <v>10400</v>
      </c>
      <c r="F828" s="288">
        <f>ROUND(IF($A828="E",E828*(1+Assumptions!C$15),E828*(1+Assumptions!C$14)),-2)</f>
        <v>10600</v>
      </c>
      <c r="G828" s="288">
        <f>ROUND(IF($A828="E",F828*(1+Assumptions!D$15),F828*(1+Assumptions!D$14)),-2)</f>
        <v>10800</v>
      </c>
      <c r="H828" s="288">
        <f>ROUND(IF($A828="E",G828*(1+Assumptions!E$15),G828*(1+Assumptions!E$14)),-2)</f>
        <v>11000</v>
      </c>
      <c r="I828" s="288">
        <f>ROUND(IF($A828="E",H828*(1+Assumptions!F$15),H828*(1+Assumptions!F$14)),-2)</f>
        <v>11200</v>
      </c>
      <c r="J828" s="288">
        <f>ROUND(IF($A828="E",I828*(1+Assumptions!G$15),I828*(1+Assumptions!G$14)),-2)</f>
        <v>11400</v>
      </c>
      <c r="K828" s="288">
        <f>ROUND(IF($A828="E",J828*(1+Assumptions!H$15),J828*(1+Assumptions!H$14)),-2)</f>
        <v>11600</v>
      </c>
      <c r="L828" s="288">
        <f>ROUND(IF($A828="E",K828*(1+Assumptions!I$15),K828*(1+Assumptions!I$14)),-2)</f>
        <v>11900</v>
      </c>
      <c r="M828" s="288">
        <f>ROUND(IF($A828="E",L828*(1+Assumptions!J$15),L828*(1+Assumptions!J$14)),-2)</f>
        <v>12200</v>
      </c>
      <c r="N828" s="288">
        <f>ROUND(IF($A828="E",M828*(1+Assumptions!K$15),M828*(1+Assumptions!K$14)),-2)</f>
        <v>12500</v>
      </c>
    </row>
    <row r="829" spans="2:14" x14ac:dyDescent="0.25">
      <c r="B829" s="16" t="s">
        <v>43</v>
      </c>
      <c r="C829" s="16" t="s">
        <v>1354</v>
      </c>
      <c r="D829" s="16" t="s">
        <v>1355</v>
      </c>
      <c r="E829" s="288">
        <v>6800</v>
      </c>
      <c r="F829" s="288">
        <f>ROUND(IF($A829="E",E829*(1+Assumptions!C$15),E829*(1+Assumptions!C$14)),-2)</f>
        <v>6900</v>
      </c>
      <c r="G829" s="288">
        <f>ROUND(IF($A829="E",F829*(1+Assumptions!D$15),F829*(1+Assumptions!D$14)),-2)</f>
        <v>7000</v>
      </c>
      <c r="H829" s="288">
        <f>ROUND(IF($A829="E",G829*(1+Assumptions!E$15),G829*(1+Assumptions!E$14)),-2)</f>
        <v>7100</v>
      </c>
      <c r="I829" s="288">
        <f>ROUND(IF($A829="E",H829*(1+Assumptions!F$15),H829*(1+Assumptions!F$14)),-2)</f>
        <v>7200</v>
      </c>
      <c r="J829" s="288">
        <f>ROUND(IF($A829="E",I829*(1+Assumptions!G$15),I829*(1+Assumptions!G$14)),-2)</f>
        <v>7300</v>
      </c>
      <c r="K829" s="288">
        <f>ROUND(IF($A829="E",J829*(1+Assumptions!H$15),J829*(1+Assumptions!H$14)),-2)</f>
        <v>7400</v>
      </c>
      <c r="L829" s="288">
        <f>ROUND(IF($A829="E",K829*(1+Assumptions!I$15),K829*(1+Assumptions!I$14)),-2)</f>
        <v>7600</v>
      </c>
      <c r="M829" s="288">
        <f>ROUND(IF($A829="E",L829*(1+Assumptions!J$15),L829*(1+Assumptions!J$14)),-2)</f>
        <v>7800</v>
      </c>
      <c r="N829" s="288">
        <f>ROUND(IF($A829="E",M829*(1+Assumptions!K$15),M829*(1+Assumptions!K$14)),-2)</f>
        <v>8000</v>
      </c>
    </row>
    <row r="830" spans="2:14" x14ac:dyDescent="0.25">
      <c r="B830" s="16" t="s">
        <v>43</v>
      </c>
      <c r="C830" s="16" t="s">
        <v>1356</v>
      </c>
      <c r="D830" s="16" t="s">
        <v>1357</v>
      </c>
      <c r="E830" s="288">
        <v>20700</v>
      </c>
      <c r="F830" s="288">
        <f>ROUND(IF($A830="E",E830*(1+Assumptions!C$15),E830*(1+Assumptions!C$14)),-2)</f>
        <v>21000</v>
      </c>
      <c r="G830" s="288">
        <f>ROUND(IF($A830="E",F830*(1+Assumptions!D$15),F830*(1+Assumptions!D$14)),-2)</f>
        <v>21400</v>
      </c>
      <c r="H830" s="288">
        <f>ROUND(IF($A830="E",G830*(1+Assumptions!E$15),G830*(1+Assumptions!E$14)),-2)</f>
        <v>21800</v>
      </c>
      <c r="I830" s="288">
        <f>ROUND(IF($A830="E",H830*(1+Assumptions!F$15),H830*(1+Assumptions!F$14)),-2)</f>
        <v>22200</v>
      </c>
      <c r="J830" s="288">
        <f>ROUND(IF($A830="E",I830*(1+Assumptions!G$15),I830*(1+Assumptions!G$14)),-2)</f>
        <v>22600</v>
      </c>
      <c r="K830" s="288">
        <f>ROUND(IF($A830="E",J830*(1+Assumptions!H$15),J830*(1+Assumptions!H$14)),-2)</f>
        <v>23100</v>
      </c>
      <c r="L830" s="288">
        <f>ROUND(IF($A830="E",K830*(1+Assumptions!I$15),K830*(1+Assumptions!I$14)),-2)</f>
        <v>23700</v>
      </c>
      <c r="M830" s="288">
        <f>ROUND(IF($A830="E",L830*(1+Assumptions!J$15),L830*(1+Assumptions!J$14)),-2)</f>
        <v>24300</v>
      </c>
      <c r="N830" s="288">
        <f>ROUND(IF($A830="E",M830*(1+Assumptions!K$15),M830*(1+Assumptions!K$14)),-2)</f>
        <v>24900</v>
      </c>
    </row>
    <row r="831" spans="2:14" x14ac:dyDescent="0.25">
      <c r="B831" s="16" t="s">
        <v>43</v>
      </c>
      <c r="C831" s="16" t="s">
        <v>1358</v>
      </c>
      <c r="D831" s="16" t="s">
        <v>1359</v>
      </c>
      <c r="E831" s="288">
        <v>6400</v>
      </c>
      <c r="F831" s="288">
        <f>ROUND(IF($A831="E",E831*(1+Assumptions!C$15),E831*(1+Assumptions!C$14)),-2)</f>
        <v>6500</v>
      </c>
      <c r="G831" s="288">
        <f>ROUND(IF($A831="E",F831*(1+Assumptions!D$15),F831*(1+Assumptions!D$14)),-2)</f>
        <v>6600</v>
      </c>
      <c r="H831" s="288">
        <f>ROUND(IF($A831="E",G831*(1+Assumptions!E$15),G831*(1+Assumptions!E$14)),-2)</f>
        <v>6700</v>
      </c>
      <c r="I831" s="288">
        <f>ROUND(IF($A831="E",H831*(1+Assumptions!F$15),H831*(1+Assumptions!F$14)),-2)</f>
        <v>6800</v>
      </c>
      <c r="J831" s="288">
        <f>ROUND(IF($A831="E",I831*(1+Assumptions!G$15),I831*(1+Assumptions!G$14)),-2)</f>
        <v>6900</v>
      </c>
      <c r="K831" s="288">
        <f>ROUND(IF($A831="E",J831*(1+Assumptions!H$15),J831*(1+Assumptions!H$14)),-2)</f>
        <v>7000</v>
      </c>
      <c r="L831" s="288">
        <f>ROUND(IF($A831="E",K831*(1+Assumptions!I$15),K831*(1+Assumptions!I$14)),-2)</f>
        <v>7200</v>
      </c>
      <c r="M831" s="288">
        <f>ROUND(IF($A831="E",L831*(1+Assumptions!J$15),L831*(1+Assumptions!J$14)),-2)</f>
        <v>7400</v>
      </c>
      <c r="N831" s="288">
        <f>ROUND(IF($A831="E",M831*(1+Assumptions!K$15),M831*(1+Assumptions!K$14)),-2)</f>
        <v>7600</v>
      </c>
    </row>
    <row r="832" spans="2:14" x14ac:dyDescent="0.25">
      <c r="B832" s="16" t="s">
        <v>43</v>
      </c>
      <c r="C832" s="16" t="s">
        <v>1360</v>
      </c>
      <c r="D832" s="16" t="s">
        <v>1361</v>
      </c>
      <c r="E832" s="288">
        <v>20700</v>
      </c>
      <c r="F832" s="288">
        <f>ROUND(IF($A832="E",E832*(1+Assumptions!C$15),E832*(1+Assumptions!C$14)),-2)</f>
        <v>21000</v>
      </c>
      <c r="G832" s="288">
        <f>ROUND(IF($A832="E",F832*(1+Assumptions!D$15),F832*(1+Assumptions!D$14)),-2)</f>
        <v>21400</v>
      </c>
      <c r="H832" s="288">
        <f>ROUND(IF($A832="E",G832*(1+Assumptions!E$15),G832*(1+Assumptions!E$14)),-2)</f>
        <v>21800</v>
      </c>
      <c r="I832" s="288">
        <f>ROUND(IF($A832="E",H832*(1+Assumptions!F$15),H832*(1+Assumptions!F$14)),-2)</f>
        <v>22200</v>
      </c>
      <c r="J832" s="288">
        <f>ROUND(IF($A832="E",I832*(1+Assumptions!G$15),I832*(1+Assumptions!G$14)),-2)</f>
        <v>22600</v>
      </c>
      <c r="K832" s="288">
        <f>ROUND(IF($A832="E",J832*(1+Assumptions!H$15),J832*(1+Assumptions!H$14)),-2)</f>
        <v>23100</v>
      </c>
      <c r="L832" s="288">
        <f>ROUND(IF($A832="E",K832*(1+Assumptions!I$15),K832*(1+Assumptions!I$14)),-2)</f>
        <v>23700</v>
      </c>
      <c r="M832" s="288">
        <f>ROUND(IF($A832="E",L832*(1+Assumptions!J$15),L832*(1+Assumptions!J$14)),-2)</f>
        <v>24300</v>
      </c>
      <c r="N832" s="288">
        <f>ROUND(IF($A832="E",M832*(1+Assumptions!K$15),M832*(1+Assumptions!K$14)),-2)</f>
        <v>24900</v>
      </c>
    </row>
    <row r="833" spans="2:14" x14ac:dyDescent="0.25">
      <c r="B833" s="16" t="s">
        <v>43</v>
      </c>
      <c r="C833" s="16" t="s">
        <v>1362</v>
      </c>
      <c r="D833" s="16" t="s">
        <v>1363</v>
      </c>
      <c r="E833" s="288">
        <v>22500</v>
      </c>
      <c r="F833" s="288">
        <f>ROUND(IF($A833="E",E833*(1+Assumptions!C$15),E833*(1+Assumptions!C$14)),-2)</f>
        <v>22800</v>
      </c>
      <c r="G833" s="288">
        <f>ROUND(IF($A833="E",F833*(1+Assumptions!D$15),F833*(1+Assumptions!D$14)),-2)</f>
        <v>23300</v>
      </c>
      <c r="H833" s="288">
        <f>ROUND(IF($A833="E",G833*(1+Assumptions!E$15),G833*(1+Assumptions!E$14)),-2)</f>
        <v>23800</v>
      </c>
      <c r="I833" s="288">
        <f>ROUND(IF($A833="E",H833*(1+Assumptions!F$15),H833*(1+Assumptions!F$14)),-2)</f>
        <v>24300</v>
      </c>
      <c r="J833" s="288">
        <f>ROUND(IF($A833="E",I833*(1+Assumptions!G$15),I833*(1+Assumptions!G$14)),-2)</f>
        <v>24800</v>
      </c>
      <c r="K833" s="288">
        <f>ROUND(IF($A833="E",J833*(1+Assumptions!H$15),J833*(1+Assumptions!H$14)),-2)</f>
        <v>25300</v>
      </c>
      <c r="L833" s="288">
        <f>ROUND(IF($A833="E",K833*(1+Assumptions!I$15),K833*(1+Assumptions!I$14)),-2)</f>
        <v>25900</v>
      </c>
      <c r="M833" s="288">
        <f>ROUND(IF($A833="E",L833*(1+Assumptions!J$15),L833*(1+Assumptions!J$14)),-2)</f>
        <v>26500</v>
      </c>
      <c r="N833" s="288">
        <f>ROUND(IF($A833="E",M833*(1+Assumptions!K$15),M833*(1+Assumptions!K$14)),-2)</f>
        <v>27200</v>
      </c>
    </row>
    <row r="834" spans="2:14" x14ac:dyDescent="0.25">
      <c r="B834" s="16" t="s">
        <v>43</v>
      </c>
      <c r="C834" s="16" t="s">
        <v>1364</v>
      </c>
      <c r="D834" s="16" t="s">
        <v>1365</v>
      </c>
      <c r="E834" s="289"/>
      <c r="F834" s="289"/>
      <c r="G834" s="289"/>
      <c r="H834" s="289"/>
      <c r="I834" s="289"/>
      <c r="J834" s="289"/>
      <c r="K834" s="289"/>
      <c r="L834" s="289"/>
      <c r="M834" s="289"/>
      <c r="N834" s="289"/>
    </row>
    <row r="835" spans="2:14" x14ac:dyDescent="0.25">
      <c r="B835" s="16" t="s">
        <v>43</v>
      </c>
      <c r="C835" s="16" t="s">
        <v>1366</v>
      </c>
      <c r="D835" s="16" t="s">
        <v>1367</v>
      </c>
      <c r="E835" s="288">
        <v>225700</v>
      </c>
      <c r="F835" s="288">
        <f>ROUND(IF($A835="E",E835*(1+Assumptions!C$15),E835*(1+Assumptions!C$14)),-2)</f>
        <v>229100</v>
      </c>
      <c r="G835" s="288">
        <f>ROUND(IF($A835="E",F835*(1+Assumptions!D$15),F835*(1+Assumptions!D$14)),-2)</f>
        <v>233700</v>
      </c>
      <c r="H835" s="288">
        <f>ROUND(IF($A835="E",G835*(1+Assumptions!E$15),G835*(1+Assumptions!E$14)),-2)</f>
        <v>238400</v>
      </c>
      <c r="I835" s="288">
        <f>ROUND(IF($A835="E",H835*(1+Assumptions!F$15),H835*(1+Assumptions!F$14)),-2)</f>
        <v>243200</v>
      </c>
      <c r="J835" s="288">
        <f>ROUND(IF($A835="E",I835*(1+Assumptions!G$15),I835*(1+Assumptions!G$14)),-2)</f>
        <v>248100</v>
      </c>
      <c r="K835" s="288">
        <f>ROUND(IF($A835="E",J835*(1+Assumptions!H$15),J835*(1+Assumptions!H$14)),-2)</f>
        <v>253100</v>
      </c>
      <c r="L835" s="288">
        <f>ROUND(IF($A835="E",K835*(1+Assumptions!I$15),K835*(1+Assumptions!I$14)),-2)</f>
        <v>259400</v>
      </c>
      <c r="M835" s="288">
        <f>ROUND(IF($A835="E",L835*(1+Assumptions!J$15),L835*(1+Assumptions!J$14)),-2)</f>
        <v>265900</v>
      </c>
      <c r="N835" s="288">
        <f>ROUND(IF($A835="E",M835*(1+Assumptions!K$15),M835*(1+Assumptions!K$14)),-2)</f>
        <v>272500</v>
      </c>
    </row>
    <row r="836" spans="2:14" x14ac:dyDescent="0.25">
      <c r="B836" s="16" t="s">
        <v>43</v>
      </c>
      <c r="C836" s="16" t="s">
        <v>1368</v>
      </c>
      <c r="D836" s="16" t="s">
        <v>1369</v>
      </c>
      <c r="E836" s="288">
        <v>61500</v>
      </c>
      <c r="F836" s="288">
        <f>ROUND(IF($A836="E",E836*(1+Assumptions!C$15),E836*(1+Assumptions!C$14)),-2)</f>
        <v>62400</v>
      </c>
      <c r="G836" s="288">
        <f>ROUND(IF($A836="E",F836*(1+Assumptions!D$15),F836*(1+Assumptions!D$14)),-2)</f>
        <v>63600</v>
      </c>
      <c r="H836" s="288">
        <f>ROUND(IF($A836="E",G836*(1+Assumptions!E$15),G836*(1+Assumptions!E$14)),-2)</f>
        <v>64900</v>
      </c>
      <c r="I836" s="288">
        <f>ROUND(IF($A836="E",H836*(1+Assumptions!F$15),H836*(1+Assumptions!F$14)),-2)</f>
        <v>66200</v>
      </c>
      <c r="J836" s="288">
        <f>ROUND(IF($A836="E",I836*(1+Assumptions!G$15),I836*(1+Assumptions!G$14)),-2)</f>
        <v>67500</v>
      </c>
      <c r="K836" s="288">
        <f>ROUND(IF($A836="E",J836*(1+Assumptions!H$15),J836*(1+Assumptions!H$14)),-2)</f>
        <v>68900</v>
      </c>
      <c r="L836" s="288">
        <f>ROUND(IF($A836="E",K836*(1+Assumptions!I$15),K836*(1+Assumptions!I$14)),-2)</f>
        <v>70600</v>
      </c>
      <c r="M836" s="288">
        <f>ROUND(IF($A836="E",L836*(1+Assumptions!J$15),L836*(1+Assumptions!J$14)),-2)</f>
        <v>72400</v>
      </c>
      <c r="N836" s="288">
        <f>ROUND(IF($A836="E",M836*(1+Assumptions!K$15),M836*(1+Assumptions!K$14)),-2)</f>
        <v>74200</v>
      </c>
    </row>
    <row r="837" spans="2:14" x14ac:dyDescent="0.25">
      <c r="B837" s="16" t="s">
        <v>45</v>
      </c>
      <c r="C837" s="16" t="s">
        <v>1370</v>
      </c>
      <c r="D837" s="16" t="s">
        <v>1371</v>
      </c>
      <c r="E837" s="289"/>
      <c r="F837" s="289"/>
      <c r="G837" s="289"/>
      <c r="H837" s="289"/>
      <c r="I837" s="289"/>
      <c r="J837" s="289"/>
      <c r="K837" s="289"/>
      <c r="L837" s="289"/>
      <c r="M837" s="289"/>
      <c r="N837" s="289"/>
    </row>
    <row r="838" spans="2:14" x14ac:dyDescent="0.25">
      <c r="B838" s="16" t="s">
        <v>45</v>
      </c>
      <c r="C838" s="16" t="s">
        <v>1372</v>
      </c>
      <c r="D838" s="16" t="s">
        <v>1373</v>
      </c>
      <c r="E838" s="288">
        <v>318000</v>
      </c>
      <c r="F838" s="288">
        <f>ROUND(IF($A838="E",E838*(1+Assumptions!C$15),E838*(1+Assumptions!C$14)),-2)</f>
        <v>322800</v>
      </c>
      <c r="G838" s="288">
        <f>ROUND(IF($A838="E",F838*(1+Assumptions!D$15),F838*(1+Assumptions!D$14)),-2)</f>
        <v>329300</v>
      </c>
      <c r="H838" s="288">
        <f>ROUND(IF($A838="E",G838*(1+Assumptions!E$15),G838*(1+Assumptions!E$14)),-2)</f>
        <v>335900</v>
      </c>
      <c r="I838" s="288">
        <f>ROUND(IF($A838="E",H838*(1+Assumptions!F$15),H838*(1+Assumptions!F$14)),-2)</f>
        <v>342600</v>
      </c>
      <c r="J838" s="288">
        <f>ROUND(IF($A838="E",I838*(1+Assumptions!G$15),I838*(1+Assumptions!G$14)),-2)</f>
        <v>349500</v>
      </c>
      <c r="K838" s="288">
        <f>ROUND(IF($A838="E",J838*(1+Assumptions!H$15),J838*(1+Assumptions!H$14)),-2)</f>
        <v>356500</v>
      </c>
      <c r="L838" s="288">
        <f>ROUND(IF($A838="E",K838*(1+Assumptions!I$15),K838*(1+Assumptions!I$14)),-2)</f>
        <v>365400</v>
      </c>
      <c r="M838" s="288">
        <f>ROUND(IF($A838="E",L838*(1+Assumptions!J$15),L838*(1+Assumptions!J$14)),-2)</f>
        <v>374500</v>
      </c>
      <c r="N838" s="288">
        <f>ROUND(IF($A838="E",M838*(1+Assumptions!K$15),M838*(1+Assumptions!K$14)),-2)</f>
        <v>383900</v>
      </c>
    </row>
    <row r="839" spans="2:14" x14ac:dyDescent="0.25">
      <c r="B839" s="16" t="s">
        <v>43</v>
      </c>
      <c r="C839" s="16" t="s">
        <v>1374</v>
      </c>
      <c r="D839" s="16" t="s">
        <v>1375</v>
      </c>
      <c r="E839" s="289"/>
      <c r="F839" s="289"/>
      <c r="G839" s="289"/>
      <c r="H839" s="289"/>
      <c r="I839" s="289"/>
      <c r="J839" s="289"/>
      <c r="K839" s="289"/>
      <c r="L839" s="289"/>
      <c r="M839" s="289"/>
      <c r="N839" s="289"/>
    </row>
    <row r="840" spans="2:14" x14ac:dyDescent="0.25">
      <c r="B840" s="16" t="s">
        <v>43</v>
      </c>
      <c r="C840" s="16" t="s">
        <v>1376</v>
      </c>
      <c r="D840" s="16" t="s">
        <v>1377</v>
      </c>
      <c r="E840" s="288">
        <v>50400</v>
      </c>
      <c r="F840" s="288">
        <f>ROUND(IF($A840="E",E840*(1+Assumptions!C$15),E840*(1+Assumptions!C$14)),-2)</f>
        <v>51200</v>
      </c>
      <c r="G840" s="288">
        <f>ROUND(IF($A840="E",F840*(1+Assumptions!D$15),F840*(1+Assumptions!D$14)),-2)</f>
        <v>52200</v>
      </c>
      <c r="H840" s="288">
        <f>ROUND(IF($A840="E",G840*(1+Assumptions!E$15),G840*(1+Assumptions!E$14)),-2)</f>
        <v>53200</v>
      </c>
      <c r="I840" s="288">
        <f>ROUND(IF($A840="E",H840*(1+Assumptions!F$15),H840*(1+Assumptions!F$14)),-2)</f>
        <v>54300</v>
      </c>
      <c r="J840" s="288">
        <f>ROUND(IF($A840="E",I840*(1+Assumptions!G$15),I840*(1+Assumptions!G$14)),-2)</f>
        <v>55400</v>
      </c>
      <c r="K840" s="288">
        <f>ROUND(IF($A840="E",J840*(1+Assumptions!H$15),J840*(1+Assumptions!H$14)),-2)</f>
        <v>56500</v>
      </c>
      <c r="L840" s="288">
        <f>ROUND(IF($A840="E",K840*(1+Assumptions!I$15),K840*(1+Assumptions!I$14)),-2)</f>
        <v>57900</v>
      </c>
      <c r="M840" s="288">
        <f>ROUND(IF($A840="E",L840*(1+Assumptions!J$15),L840*(1+Assumptions!J$14)),-2)</f>
        <v>59300</v>
      </c>
      <c r="N840" s="288">
        <f>ROUND(IF($A840="E",M840*(1+Assumptions!K$15),M840*(1+Assumptions!K$14)),-2)</f>
        <v>60800</v>
      </c>
    </row>
    <row r="841" spans="2:14" x14ac:dyDescent="0.25">
      <c r="B841" s="16" t="s">
        <v>43</v>
      </c>
      <c r="C841" s="16" t="s">
        <v>1378</v>
      </c>
      <c r="D841" s="16" t="s">
        <v>1379</v>
      </c>
      <c r="E841" s="289"/>
      <c r="F841" s="289"/>
      <c r="G841" s="289"/>
      <c r="H841" s="289"/>
      <c r="I841" s="289"/>
      <c r="J841" s="289"/>
      <c r="K841" s="289"/>
      <c r="L841" s="289"/>
      <c r="M841" s="289"/>
      <c r="N841" s="289"/>
    </row>
    <row r="842" spans="2:14" x14ac:dyDescent="0.25">
      <c r="B842" s="16" t="s">
        <v>43</v>
      </c>
      <c r="C842" s="16" t="s">
        <v>1380</v>
      </c>
      <c r="D842" s="16" t="s">
        <v>1381</v>
      </c>
      <c r="E842" s="288">
        <v>853300</v>
      </c>
      <c r="F842" s="288">
        <f>ROUND(IF($A842="E",E842*(1+Assumptions!C$15),E842*(1+Assumptions!C$14)),-2)</f>
        <v>866100</v>
      </c>
      <c r="G842" s="288">
        <f>ROUND(IF($A842="E",F842*(1+Assumptions!D$15),F842*(1+Assumptions!D$14)),-2)</f>
        <v>883400</v>
      </c>
      <c r="H842" s="288">
        <f>ROUND(IF($A842="E",G842*(1+Assumptions!E$15),G842*(1+Assumptions!E$14)),-2)</f>
        <v>901100</v>
      </c>
      <c r="I842" s="288">
        <f>ROUND(IF($A842="E",H842*(1+Assumptions!F$15),H842*(1+Assumptions!F$14)),-2)</f>
        <v>919100</v>
      </c>
      <c r="J842" s="288">
        <f>ROUND(IF($A842="E",I842*(1+Assumptions!G$15),I842*(1+Assumptions!G$14)),-2)</f>
        <v>937500</v>
      </c>
      <c r="K842" s="288">
        <f>ROUND(IF($A842="E",J842*(1+Assumptions!H$15),J842*(1+Assumptions!H$14)),-2)</f>
        <v>956300</v>
      </c>
      <c r="L842" s="288">
        <f>ROUND(IF($A842="E",K842*(1+Assumptions!I$15),K842*(1+Assumptions!I$14)),-2)</f>
        <v>980200</v>
      </c>
      <c r="M842" s="288">
        <f>ROUND(IF($A842="E",L842*(1+Assumptions!J$15),L842*(1+Assumptions!J$14)),-2)</f>
        <v>1004700</v>
      </c>
      <c r="N842" s="288">
        <f>ROUND(IF($A842="E",M842*(1+Assumptions!K$15),M842*(1+Assumptions!K$14)),-2)</f>
        <v>1029800</v>
      </c>
    </row>
    <row r="843" spans="2:14" x14ac:dyDescent="0.25">
      <c r="B843" s="16" t="s">
        <v>43</v>
      </c>
      <c r="C843" s="16" t="s">
        <v>1382</v>
      </c>
      <c r="D843" s="16" t="s">
        <v>1383</v>
      </c>
      <c r="E843" s="288">
        <v>69200</v>
      </c>
      <c r="F843" s="288">
        <f>ROUND(IF($A843="E",E843*(1+Assumptions!C$15),E843*(1+Assumptions!C$14)),-2)</f>
        <v>70200</v>
      </c>
      <c r="G843" s="288">
        <f>ROUND(IF($A843="E",F843*(1+Assumptions!D$15),F843*(1+Assumptions!D$14)),-2)</f>
        <v>71600</v>
      </c>
      <c r="H843" s="288">
        <f>ROUND(IF($A843="E",G843*(1+Assumptions!E$15),G843*(1+Assumptions!E$14)),-2)</f>
        <v>73000</v>
      </c>
      <c r="I843" s="288">
        <f>ROUND(IF($A843="E",H843*(1+Assumptions!F$15),H843*(1+Assumptions!F$14)),-2)</f>
        <v>74500</v>
      </c>
      <c r="J843" s="288">
        <f>ROUND(IF($A843="E",I843*(1+Assumptions!G$15),I843*(1+Assumptions!G$14)),-2)</f>
        <v>76000</v>
      </c>
      <c r="K843" s="288">
        <f>ROUND(IF($A843="E",J843*(1+Assumptions!H$15),J843*(1+Assumptions!H$14)),-2)</f>
        <v>77500</v>
      </c>
      <c r="L843" s="288">
        <f>ROUND(IF($A843="E",K843*(1+Assumptions!I$15),K843*(1+Assumptions!I$14)),-2)</f>
        <v>79400</v>
      </c>
      <c r="M843" s="288">
        <f>ROUND(IF($A843="E",L843*(1+Assumptions!J$15),L843*(1+Assumptions!J$14)),-2)</f>
        <v>81400</v>
      </c>
      <c r="N843" s="288">
        <f>ROUND(IF($A843="E",M843*(1+Assumptions!K$15),M843*(1+Assumptions!K$14)),-2)</f>
        <v>83400</v>
      </c>
    </row>
    <row r="844" spans="2:14" x14ac:dyDescent="0.25">
      <c r="B844" s="16" t="s">
        <v>43</v>
      </c>
      <c r="C844" s="16" t="s">
        <v>1384</v>
      </c>
      <c r="D844" s="16" t="s">
        <v>1385</v>
      </c>
      <c r="E844" s="288">
        <v>128300</v>
      </c>
      <c r="F844" s="288">
        <f>ROUND(IF($A844="E",E844*(1+Assumptions!C$15),E844*(1+Assumptions!C$14)),-2)</f>
        <v>130200</v>
      </c>
      <c r="G844" s="288">
        <f>ROUND(IF($A844="E",F844*(1+Assumptions!D$15),F844*(1+Assumptions!D$14)),-2)</f>
        <v>132800</v>
      </c>
      <c r="H844" s="288">
        <f>ROUND(IF($A844="E",G844*(1+Assumptions!E$15),G844*(1+Assumptions!E$14)),-2)</f>
        <v>135500</v>
      </c>
      <c r="I844" s="288">
        <f>ROUND(IF($A844="E",H844*(1+Assumptions!F$15),H844*(1+Assumptions!F$14)),-2)</f>
        <v>138200</v>
      </c>
      <c r="J844" s="288">
        <f>ROUND(IF($A844="E",I844*(1+Assumptions!G$15),I844*(1+Assumptions!G$14)),-2)</f>
        <v>141000</v>
      </c>
      <c r="K844" s="288">
        <f>ROUND(IF($A844="E",J844*(1+Assumptions!H$15),J844*(1+Assumptions!H$14)),-2)</f>
        <v>143800</v>
      </c>
      <c r="L844" s="288">
        <f>ROUND(IF($A844="E",K844*(1+Assumptions!I$15),K844*(1+Assumptions!I$14)),-2)</f>
        <v>147400</v>
      </c>
      <c r="M844" s="288">
        <f>ROUND(IF($A844="E",L844*(1+Assumptions!J$15),L844*(1+Assumptions!J$14)),-2)</f>
        <v>151100</v>
      </c>
      <c r="N844" s="288">
        <f>ROUND(IF($A844="E",M844*(1+Assumptions!K$15),M844*(1+Assumptions!K$14)),-2)</f>
        <v>154900</v>
      </c>
    </row>
    <row r="845" spans="2:14" x14ac:dyDescent="0.25">
      <c r="B845" s="16" t="s">
        <v>43</v>
      </c>
      <c r="C845" s="16" t="s">
        <v>1386</v>
      </c>
      <c r="D845" s="16" t="s">
        <v>1387</v>
      </c>
      <c r="E845" s="288">
        <v>216900</v>
      </c>
      <c r="F845" s="288">
        <f>ROUND(IF($A845="E",E845*(1+Assumptions!C$15),E845*(1+Assumptions!C$14)),-2)</f>
        <v>220200</v>
      </c>
      <c r="G845" s="288">
        <f>ROUND(IF($A845="E",F845*(1+Assumptions!D$15),F845*(1+Assumptions!D$14)),-2)</f>
        <v>224600</v>
      </c>
      <c r="H845" s="288">
        <f>ROUND(IF($A845="E",G845*(1+Assumptions!E$15),G845*(1+Assumptions!E$14)),-2)</f>
        <v>229100</v>
      </c>
      <c r="I845" s="288">
        <f>ROUND(IF($A845="E",H845*(1+Assumptions!F$15),H845*(1+Assumptions!F$14)),-2)</f>
        <v>233700</v>
      </c>
      <c r="J845" s="288">
        <f>ROUND(IF($A845="E",I845*(1+Assumptions!G$15),I845*(1+Assumptions!G$14)),-2)</f>
        <v>238400</v>
      </c>
      <c r="K845" s="288">
        <f>ROUND(IF($A845="E",J845*(1+Assumptions!H$15),J845*(1+Assumptions!H$14)),-2)</f>
        <v>243200</v>
      </c>
      <c r="L845" s="288">
        <f>ROUND(IF($A845="E",K845*(1+Assumptions!I$15),K845*(1+Assumptions!I$14)),-2)</f>
        <v>249300</v>
      </c>
      <c r="M845" s="288">
        <f>ROUND(IF($A845="E",L845*(1+Assumptions!J$15),L845*(1+Assumptions!J$14)),-2)</f>
        <v>255500</v>
      </c>
      <c r="N845" s="288">
        <f>ROUND(IF($A845="E",M845*(1+Assumptions!K$15),M845*(1+Assumptions!K$14)),-2)</f>
        <v>261900</v>
      </c>
    </row>
    <row r="846" spans="2:14" x14ac:dyDescent="0.25">
      <c r="B846" s="16" t="s">
        <v>43</v>
      </c>
      <c r="C846" s="16" t="s">
        <v>1388</v>
      </c>
      <c r="D846" s="16" t="s">
        <v>1389</v>
      </c>
      <c r="E846" s="288">
        <v>5300</v>
      </c>
      <c r="F846" s="288">
        <f>ROUND(IF($A846="E",E846*(1+Assumptions!C$15),E846*(1+Assumptions!C$14)),-2)</f>
        <v>5400</v>
      </c>
      <c r="G846" s="288">
        <f>ROUND(IF($A846="E",F846*(1+Assumptions!D$15),F846*(1+Assumptions!D$14)),-2)</f>
        <v>5500</v>
      </c>
      <c r="H846" s="288">
        <f>ROUND(IF($A846="E",G846*(1+Assumptions!E$15),G846*(1+Assumptions!E$14)),-2)</f>
        <v>5600</v>
      </c>
      <c r="I846" s="288">
        <f>ROUND(IF($A846="E",H846*(1+Assumptions!F$15),H846*(1+Assumptions!F$14)),-2)</f>
        <v>5700</v>
      </c>
      <c r="J846" s="288">
        <f>ROUND(IF($A846="E",I846*(1+Assumptions!G$15),I846*(1+Assumptions!G$14)),-2)</f>
        <v>5800</v>
      </c>
      <c r="K846" s="288">
        <f>ROUND(IF($A846="E",J846*(1+Assumptions!H$15),J846*(1+Assumptions!H$14)),-2)</f>
        <v>5900</v>
      </c>
      <c r="L846" s="288">
        <f>ROUND(IF($A846="E",K846*(1+Assumptions!I$15),K846*(1+Assumptions!I$14)),-2)</f>
        <v>6000</v>
      </c>
      <c r="M846" s="288">
        <f>ROUND(IF($A846="E",L846*(1+Assumptions!J$15),L846*(1+Assumptions!J$14)),-2)</f>
        <v>6200</v>
      </c>
      <c r="N846" s="288">
        <f>ROUND(IF($A846="E",M846*(1+Assumptions!K$15),M846*(1+Assumptions!K$14)),-2)</f>
        <v>6400</v>
      </c>
    </row>
    <row r="847" spans="2:14" x14ac:dyDescent="0.25">
      <c r="B847" s="16" t="s">
        <v>43</v>
      </c>
      <c r="C847" s="16" t="s">
        <v>1390</v>
      </c>
      <c r="D847" s="16" t="s">
        <v>1391</v>
      </c>
      <c r="E847" s="288">
        <v>66500</v>
      </c>
      <c r="F847" s="288">
        <f>ROUND(IF($A847="E",E847*(1+Assumptions!C$15),E847*(1+Assumptions!C$14)),-2)</f>
        <v>67500</v>
      </c>
      <c r="G847" s="288">
        <f>ROUND(IF($A847="E",F847*(1+Assumptions!D$15),F847*(1+Assumptions!D$14)),-2)</f>
        <v>68900</v>
      </c>
      <c r="H847" s="288">
        <f>ROUND(IF($A847="E",G847*(1+Assumptions!E$15),G847*(1+Assumptions!E$14)),-2)</f>
        <v>70300</v>
      </c>
      <c r="I847" s="288">
        <f>ROUND(IF($A847="E",H847*(1+Assumptions!F$15),H847*(1+Assumptions!F$14)),-2)</f>
        <v>71700</v>
      </c>
      <c r="J847" s="288">
        <f>ROUND(IF($A847="E",I847*(1+Assumptions!G$15),I847*(1+Assumptions!G$14)),-2)</f>
        <v>73100</v>
      </c>
      <c r="K847" s="288">
        <f>ROUND(IF($A847="E",J847*(1+Assumptions!H$15),J847*(1+Assumptions!H$14)),-2)</f>
        <v>74600</v>
      </c>
      <c r="L847" s="288">
        <f>ROUND(IF($A847="E",K847*(1+Assumptions!I$15),K847*(1+Assumptions!I$14)),-2)</f>
        <v>76500</v>
      </c>
      <c r="M847" s="288">
        <f>ROUND(IF($A847="E",L847*(1+Assumptions!J$15),L847*(1+Assumptions!J$14)),-2)</f>
        <v>78400</v>
      </c>
      <c r="N847" s="288">
        <f>ROUND(IF($A847="E",M847*(1+Assumptions!K$15),M847*(1+Assumptions!K$14)),-2)</f>
        <v>80400</v>
      </c>
    </row>
    <row r="848" spans="2:14" x14ac:dyDescent="0.25">
      <c r="B848" s="16" t="s">
        <v>43</v>
      </c>
      <c r="C848" s="16" t="s">
        <v>1392</v>
      </c>
      <c r="D848" s="16" t="s">
        <v>1393</v>
      </c>
      <c r="E848" s="288">
        <v>3900</v>
      </c>
      <c r="F848" s="288">
        <f>ROUND(IF($A848="E",E848*(1+Assumptions!C$15),E848*(1+Assumptions!C$14)),-2)</f>
        <v>4000</v>
      </c>
      <c r="G848" s="288">
        <f>ROUND(IF($A848="E",F848*(1+Assumptions!D$15),F848*(1+Assumptions!D$14)),-2)</f>
        <v>4100</v>
      </c>
      <c r="H848" s="288">
        <f>ROUND(IF($A848="E",G848*(1+Assumptions!E$15),G848*(1+Assumptions!E$14)),-2)</f>
        <v>4200</v>
      </c>
      <c r="I848" s="288">
        <f>ROUND(IF($A848="E",H848*(1+Assumptions!F$15),H848*(1+Assumptions!F$14)),-2)</f>
        <v>4300</v>
      </c>
      <c r="J848" s="288">
        <f>ROUND(IF($A848="E",I848*(1+Assumptions!G$15),I848*(1+Assumptions!G$14)),-2)</f>
        <v>4400</v>
      </c>
      <c r="K848" s="288">
        <f>ROUND(IF($A848="E",J848*(1+Assumptions!H$15),J848*(1+Assumptions!H$14)),-2)</f>
        <v>4500</v>
      </c>
      <c r="L848" s="288">
        <f>ROUND(IF($A848="E",K848*(1+Assumptions!I$15),K848*(1+Assumptions!I$14)),-2)</f>
        <v>4600</v>
      </c>
      <c r="M848" s="288">
        <f>ROUND(IF($A848="E",L848*(1+Assumptions!J$15),L848*(1+Assumptions!J$14)),-2)</f>
        <v>4700</v>
      </c>
      <c r="N848" s="288">
        <f>ROUND(IF($A848="E",M848*(1+Assumptions!K$15),M848*(1+Assumptions!K$14)),-2)</f>
        <v>4800</v>
      </c>
    </row>
    <row r="849" spans="2:14" x14ac:dyDescent="0.25">
      <c r="B849" s="16" t="s">
        <v>43</v>
      </c>
      <c r="C849" s="16" t="s">
        <v>1394</v>
      </c>
      <c r="D849" s="16" t="s">
        <v>1395</v>
      </c>
      <c r="E849" s="288">
        <v>19700</v>
      </c>
      <c r="F849" s="288">
        <f>ROUND(IF($A849="E",E849*(1+Assumptions!C$15),E849*(1+Assumptions!C$14)),-2)</f>
        <v>20000</v>
      </c>
      <c r="G849" s="288">
        <f>ROUND(IF($A849="E",F849*(1+Assumptions!D$15),F849*(1+Assumptions!D$14)),-2)</f>
        <v>20400</v>
      </c>
      <c r="H849" s="288">
        <f>ROUND(IF($A849="E",G849*(1+Assumptions!E$15),G849*(1+Assumptions!E$14)),-2)</f>
        <v>20800</v>
      </c>
      <c r="I849" s="288">
        <f>ROUND(IF($A849="E",H849*(1+Assumptions!F$15),H849*(1+Assumptions!F$14)),-2)</f>
        <v>21200</v>
      </c>
      <c r="J849" s="288">
        <f>ROUND(IF($A849="E",I849*(1+Assumptions!G$15),I849*(1+Assumptions!G$14)),-2)</f>
        <v>21600</v>
      </c>
      <c r="K849" s="288">
        <f>ROUND(IF($A849="E",J849*(1+Assumptions!H$15),J849*(1+Assumptions!H$14)),-2)</f>
        <v>22000</v>
      </c>
      <c r="L849" s="288">
        <f>ROUND(IF($A849="E",K849*(1+Assumptions!I$15),K849*(1+Assumptions!I$14)),-2)</f>
        <v>22600</v>
      </c>
      <c r="M849" s="288">
        <f>ROUND(IF($A849="E",L849*(1+Assumptions!J$15),L849*(1+Assumptions!J$14)),-2)</f>
        <v>23200</v>
      </c>
      <c r="N849" s="288">
        <f>ROUND(IF($A849="E",M849*(1+Assumptions!K$15),M849*(1+Assumptions!K$14)),-2)</f>
        <v>23800</v>
      </c>
    </row>
    <row r="850" spans="2:14" x14ac:dyDescent="0.25">
      <c r="B850" s="16" t="s">
        <v>43</v>
      </c>
      <c r="C850" s="16" t="s">
        <v>1396</v>
      </c>
      <c r="D850" s="16" t="s">
        <v>1397</v>
      </c>
      <c r="E850" s="288">
        <v>14600</v>
      </c>
      <c r="F850" s="288">
        <f>ROUND(IF($A850="E",E850*(1+Assumptions!C$15),E850*(1+Assumptions!C$14)),-2)</f>
        <v>14800</v>
      </c>
      <c r="G850" s="288">
        <f>ROUND(IF($A850="E",F850*(1+Assumptions!D$15),F850*(1+Assumptions!D$14)),-2)</f>
        <v>15100</v>
      </c>
      <c r="H850" s="288">
        <f>ROUND(IF($A850="E",G850*(1+Assumptions!E$15),G850*(1+Assumptions!E$14)),-2)</f>
        <v>15400</v>
      </c>
      <c r="I850" s="288">
        <f>ROUND(IF($A850="E",H850*(1+Assumptions!F$15),H850*(1+Assumptions!F$14)),-2)</f>
        <v>15700</v>
      </c>
      <c r="J850" s="288">
        <f>ROUND(IF($A850="E",I850*(1+Assumptions!G$15),I850*(1+Assumptions!G$14)),-2)</f>
        <v>16000</v>
      </c>
      <c r="K850" s="288">
        <f>ROUND(IF($A850="E",J850*(1+Assumptions!H$15),J850*(1+Assumptions!H$14)),-2)</f>
        <v>16300</v>
      </c>
      <c r="L850" s="288">
        <f>ROUND(IF($A850="E",K850*(1+Assumptions!I$15),K850*(1+Assumptions!I$14)),-2)</f>
        <v>16700</v>
      </c>
      <c r="M850" s="288">
        <f>ROUND(IF($A850="E",L850*(1+Assumptions!J$15),L850*(1+Assumptions!J$14)),-2)</f>
        <v>17100</v>
      </c>
      <c r="N850" s="288">
        <f>ROUND(IF($A850="E",M850*(1+Assumptions!K$15),M850*(1+Assumptions!K$14)),-2)</f>
        <v>17500</v>
      </c>
    </row>
    <row r="851" spans="2:14" x14ac:dyDescent="0.25">
      <c r="B851" s="16" t="s">
        <v>43</v>
      </c>
      <c r="C851" s="16" t="s">
        <v>1398</v>
      </c>
      <c r="D851" s="16" t="s">
        <v>1399</v>
      </c>
      <c r="E851" s="288">
        <v>2200</v>
      </c>
      <c r="F851" s="288">
        <f>ROUND(IF($A851="E",E851*(1+Assumptions!C$15),E851*(1+Assumptions!C$14)),-2)</f>
        <v>2200</v>
      </c>
      <c r="G851" s="288">
        <f>ROUND(IF($A851="E",F851*(1+Assumptions!D$15),F851*(1+Assumptions!D$14)),-2)</f>
        <v>2200</v>
      </c>
      <c r="H851" s="288">
        <f>ROUND(IF($A851="E",G851*(1+Assumptions!E$15),G851*(1+Assumptions!E$14)),-2)</f>
        <v>2200</v>
      </c>
      <c r="I851" s="288">
        <f>ROUND(IF($A851="E",H851*(1+Assumptions!F$15),H851*(1+Assumptions!F$14)),-2)</f>
        <v>2200</v>
      </c>
      <c r="J851" s="288">
        <f>ROUND(IF($A851="E",I851*(1+Assumptions!G$15),I851*(1+Assumptions!G$14)),-2)</f>
        <v>2200</v>
      </c>
      <c r="K851" s="288">
        <f>ROUND(IF($A851="E",J851*(1+Assumptions!H$15),J851*(1+Assumptions!H$14)),-2)</f>
        <v>2200</v>
      </c>
      <c r="L851" s="288">
        <f>ROUND(IF($A851="E",K851*(1+Assumptions!I$15),K851*(1+Assumptions!I$14)),-2)</f>
        <v>2300</v>
      </c>
      <c r="M851" s="288">
        <f>ROUND(IF($A851="E",L851*(1+Assumptions!J$15),L851*(1+Assumptions!J$14)),-2)</f>
        <v>2400</v>
      </c>
      <c r="N851" s="288">
        <f>ROUND(IF($A851="E",M851*(1+Assumptions!K$15),M851*(1+Assumptions!K$14)),-2)</f>
        <v>2500</v>
      </c>
    </row>
    <row r="852" spans="2:14" x14ac:dyDescent="0.25">
      <c r="B852" s="16" t="s">
        <v>43</v>
      </c>
      <c r="C852" s="16" t="s">
        <v>1400</v>
      </c>
      <c r="D852" s="16" t="s">
        <v>1401</v>
      </c>
      <c r="E852" s="289"/>
      <c r="F852" s="289"/>
      <c r="G852" s="289"/>
      <c r="H852" s="289"/>
      <c r="I852" s="289"/>
      <c r="J852" s="289"/>
      <c r="K852" s="289"/>
      <c r="L852" s="289"/>
      <c r="M852" s="289"/>
      <c r="N852" s="289"/>
    </row>
    <row r="853" spans="2:14" x14ac:dyDescent="0.25">
      <c r="B853" s="16" t="s">
        <v>43</v>
      </c>
      <c r="C853" s="16" t="s">
        <v>1402</v>
      </c>
      <c r="D853" s="16" t="s">
        <v>1403</v>
      </c>
      <c r="E853" s="288">
        <v>276400</v>
      </c>
      <c r="F853" s="288">
        <f>ROUND(IF($A853="E",E853*(1+Assumptions!C$15),E853*(1+Assumptions!C$14)),-2)</f>
        <v>280500</v>
      </c>
      <c r="G853" s="288">
        <f>ROUND(IF($A853="E",F853*(1+Assumptions!D$15),F853*(1+Assumptions!D$14)),-2)</f>
        <v>286100</v>
      </c>
      <c r="H853" s="288">
        <f>ROUND(IF($A853="E",G853*(1+Assumptions!E$15),G853*(1+Assumptions!E$14)),-2)</f>
        <v>291800</v>
      </c>
      <c r="I853" s="288">
        <f>ROUND(IF($A853="E",H853*(1+Assumptions!F$15),H853*(1+Assumptions!F$14)),-2)</f>
        <v>297600</v>
      </c>
      <c r="J853" s="288">
        <f>ROUND(IF($A853="E",I853*(1+Assumptions!G$15),I853*(1+Assumptions!G$14)),-2)</f>
        <v>303600</v>
      </c>
      <c r="K853" s="288">
        <f>ROUND(IF($A853="E",J853*(1+Assumptions!H$15),J853*(1+Assumptions!H$14)),-2)</f>
        <v>309700</v>
      </c>
      <c r="L853" s="288">
        <f>ROUND(IF($A853="E",K853*(1+Assumptions!I$15),K853*(1+Assumptions!I$14)),-2)</f>
        <v>317400</v>
      </c>
      <c r="M853" s="288">
        <f>ROUND(IF($A853="E",L853*(1+Assumptions!J$15),L853*(1+Assumptions!J$14)),-2)</f>
        <v>325300</v>
      </c>
      <c r="N853" s="288">
        <f>ROUND(IF($A853="E",M853*(1+Assumptions!K$15),M853*(1+Assumptions!K$14)),-2)</f>
        <v>333400</v>
      </c>
    </row>
    <row r="854" spans="2:14" x14ac:dyDescent="0.25">
      <c r="B854" s="16" t="s">
        <v>43</v>
      </c>
      <c r="C854" s="16" t="s">
        <v>1404</v>
      </c>
      <c r="D854" s="16" t="s">
        <v>1405</v>
      </c>
      <c r="E854" s="288">
        <v>10400</v>
      </c>
      <c r="F854" s="288">
        <f>ROUND(IF($A854="E",E854*(1+Assumptions!C$15),E854*(1+Assumptions!C$14)),-2)</f>
        <v>10600</v>
      </c>
      <c r="G854" s="288">
        <f>ROUND(IF($A854="E",F854*(1+Assumptions!D$15),F854*(1+Assumptions!D$14)),-2)</f>
        <v>10800</v>
      </c>
      <c r="H854" s="288">
        <f>ROUND(IF($A854="E",G854*(1+Assumptions!E$15),G854*(1+Assumptions!E$14)),-2)</f>
        <v>11000</v>
      </c>
      <c r="I854" s="288">
        <f>ROUND(IF($A854="E",H854*(1+Assumptions!F$15),H854*(1+Assumptions!F$14)),-2)</f>
        <v>11200</v>
      </c>
      <c r="J854" s="288">
        <f>ROUND(IF($A854="E",I854*(1+Assumptions!G$15),I854*(1+Assumptions!G$14)),-2)</f>
        <v>11400</v>
      </c>
      <c r="K854" s="288">
        <f>ROUND(IF($A854="E",J854*(1+Assumptions!H$15),J854*(1+Assumptions!H$14)),-2)</f>
        <v>11600</v>
      </c>
      <c r="L854" s="288">
        <f>ROUND(IF($A854="E",K854*(1+Assumptions!I$15),K854*(1+Assumptions!I$14)),-2)</f>
        <v>11900</v>
      </c>
      <c r="M854" s="288">
        <f>ROUND(IF($A854="E",L854*(1+Assumptions!J$15),L854*(1+Assumptions!J$14)),-2)</f>
        <v>12200</v>
      </c>
      <c r="N854" s="288">
        <f>ROUND(IF($A854="E",M854*(1+Assumptions!K$15),M854*(1+Assumptions!K$14)),-2)</f>
        <v>12500</v>
      </c>
    </row>
    <row r="855" spans="2:14" x14ac:dyDescent="0.25">
      <c r="B855" s="16" t="s">
        <v>43</v>
      </c>
      <c r="C855" s="16" t="s">
        <v>1406</v>
      </c>
      <c r="D855" s="16" t="s">
        <v>1407</v>
      </c>
      <c r="E855" s="288">
        <v>2800</v>
      </c>
      <c r="F855" s="288">
        <f>ROUND(IF($A855="E",E855*(1+Assumptions!C$15),E855*(1+Assumptions!C$14)),-2)</f>
        <v>2800</v>
      </c>
      <c r="G855" s="288">
        <f>ROUND(IF($A855="E",F855*(1+Assumptions!D$15),F855*(1+Assumptions!D$14)),-2)</f>
        <v>2900</v>
      </c>
      <c r="H855" s="288">
        <f>ROUND(IF($A855="E",G855*(1+Assumptions!E$15),G855*(1+Assumptions!E$14)),-2)</f>
        <v>3000</v>
      </c>
      <c r="I855" s="288">
        <f>ROUND(IF($A855="E",H855*(1+Assumptions!F$15),H855*(1+Assumptions!F$14)),-2)</f>
        <v>3100</v>
      </c>
      <c r="J855" s="288">
        <f>ROUND(IF($A855="E",I855*(1+Assumptions!G$15),I855*(1+Assumptions!G$14)),-2)</f>
        <v>3200</v>
      </c>
      <c r="K855" s="288">
        <f>ROUND(IF($A855="E",J855*(1+Assumptions!H$15),J855*(1+Assumptions!H$14)),-2)</f>
        <v>3300</v>
      </c>
      <c r="L855" s="288">
        <f>ROUND(IF($A855="E",K855*(1+Assumptions!I$15),K855*(1+Assumptions!I$14)),-2)</f>
        <v>3400</v>
      </c>
      <c r="M855" s="288">
        <f>ROUND(IF($A855="E",L855*(1+Assumptions!J$15),L855*(1+Assumptions!J$14)),-2)</f>
        <v>3500</v>
      </c>
      <c r="N855" s="288">
        <f>ROUND(IF($A855="E",M855*(1+Assumptions!K$15),M855*(1+Assumptions!K$14)),-2)</f>
        <v>3600</v>
      </c>
    </row>
    <row r="856" spans="2:14" x14ac:dyDescent="0.25">
      <c r="B856" s="16" t="s">
        <v>43</v>
      </c>
      <c r="C856" s="16" t="s">
        <v>1408</v>
      </c>
      <c r="D856" s="16" t="s">
        <v>1409</v>
      </c>
      <c r="E856" s="288">
        <v>13900</v>
      </c>
      <c r="F856" s="288">
        <f>ROUND(IF($A856="E",E856*(1+Assumptions!C$15),E856*(1+Assumptions!C$14)),-2)</f>
        <v>14100</v>
      </c>
      <c r="G856" s="288">
        <f>ROUND(IF($A856="E",F856*(1+Assumptions!D$15),F856*(1+Assumptions!D$14)),-2)</f>
        <v>14400</v>
      </c>
      <c r="H856" s="288">
        <f>ROUND(IF($A856="E",G856*(1+Assumptions!E$15),G856*(1+Assumptions!E$14)),-2)</f>
        <v>14700</v>
      </c>
      <c r="I856" s="288">
        <f>ROUND(IF($A856="E",H856*(1+Assumptions!F$15),H856*(1+Assumptions!F$14)),-2)</f>
        <v>15000</v>
      </c>
      <c r="J856" s="288">
        <f>ROUND(IF($A856="E",I856*(1+Assumptions!G$15),I856*(1+Assumptions!G$14)),-2)</f>
        <v>15300</v>
      </c>
      <c r="K856" s="288">
        <f>ROUND(IF($A856="E",J856*(1+Assumptions!H$15),J856*(1+Assumptions!H$14)),-2)</f>
        <v>15600</v>
      </c>
      <c r="L856" s="288">
        <f>ROUND(IF($A856="E",K856*(1+Assumptions!I$15),K856*(1+Assumptions!I$14)),-2)</f>
        <v>16000</v>
      </c>
      <c r="M856" s="288">
        <f>ROUND(IF($A856="E",L856*(1+Assumptions!J$15),L856*(1+Assumptions!J$14)),-2)</f>
        <v>16400</v>
      </c>
      <c r="N856" s="288">
        <f>ROUND(IF($A856="E",M856*(1+Assumptions!K$15),M856*(1+Assumptions!K$14)),-2)</f>
        <v>16800</v>
      </c>
    </row>
    <row r="857" spans="2:14" x14ac:dyDescent="0.25">
      <c r="B857" s="16" t="s">
        <v>43</v>
      </c>
      <c r="C857" s="16" t="s">
        <v>1410</v>
      </c>
      <c r="D857" s="16" t="s">
        <v>1411</v>
      </c>
      <c r="E857" s="288">
        <v>6400</v>
      </c>
      <c r="F857" s="288">
        <f>ROUND(IF($A857="E",E857*(1+Assumptions!C$15),E857*(1+Assumptions!C$14)),-2)</f>
        <v>6500</v>
      </c>
      <c r="G857" s="288">
        <f>ROUND(IF($A857="E",F857*(1+Assumptions!D$15),F857*(1+Assumptions!D$14)),-2)</f>
        <v>6600</v>
      </c>
      <c r="H857" s="288">
        <f>ROUND(IF($A857="E",G857*(1+Assumptions!E$15),G857*(1+Assumptions!E$14)),-2)</f>
        <v>6700</v>
      </c>
      <c r="I857" s="288">
        <f>ROUND(IF($A857="E",H857*(1+Assumptions!F$15),H857*(1+Assumptions!F$14)),-2)</f>
        <v>6800</v>
      </c>
      <c r="J857" s="288">
        <f>ROUND(IF($A857="E",I857*(1+Assumptions!G$15),I857*(1+Assumptions!G$14)),-2)</f>
        <v>6900</v>
      </c>
      <c r="K857" s="288">
        <f>ROUND(IF($A857="E",J857*(1+Assumptions!H$15),J857*(1+Assumptions!H$14)),-2)</f>
        <v>7000</v>
      </c>
      <c r="L857" s="288">
        <f>ROUND(IF($A857="E",K857*(1+Assumptions!I$15),K857*(1+Assumptions!I$14)),-2)</f>
        <v>7200</v>
      </c>
      <c r="M857" s="288">
        <f>ROUND(IF($A857="E",L857*(1+Assumptions!J$15),L857*(1+Assumptions!J$14)),-2)</f>
        <v>7400</v>
      </c>
      <c r="N857" s="288">
        <f>ROUND(IF($A857="E",M857*(1+Assumptions!K$15),M857*(1+Assumptions!K$14)),-2)</f>
        <v>7600</v>
      </c>
    </row>
    <row r="858" spans="2:14" x14ac:dyDescent="0.25">
      <c r="B858" s="16" t="s">
        <v>43</v>
      </c>
      <c r="C858" s="16" t="s">
        <v>1412</v>
      </c>
      <c r="D858" s="16" t="s">
        <v>1413</v>
      </c>
      <c r="E858" s="288">
        <v>14400</v>
      </c>
      <c r="F858" s="288">
        <f>ROUND(IF($A858="E",E858*(1+Assumptions!C$15),E858*(1+Assumptions!C$14)),-2)</f>
        <v>14600</v>
      </c>
      <c r="G858" s="288">
        <f>ROUND(IF($A858="E",F858*(1+Assumptions!D$15),F858*(1+Assumptions!D$14)),-2)</f>
        <v>14900</v>
      </c>
      <c r="H858" s="288">
        <f>ROUND(IF($A858="E",G858*(1+Assumptions!E$15),G858*(1+Assumptions!E$14)),-2)</f>
        <v>15200</v>
      </c>
      <c r="I858" s="288">
        <f>ROUND(IF($A858="E",H858*(1+Assumptions!F$15),H858*(1+Assumptions!F$14)),-2)</f>
        <v>15500</v>
      </c>
      <c r="J858" s="288">
        <f>ROUND(IF($A858="E",I858*(1+Assumptions!G$15),I858*(1+Assumptions!G$14)),-2)</f>
        <v>15800</v>
      </c>
      <c r="K858" s="288">
        <f>ROUND(IF($A858="E",J858*(1+Assumptions!H$15),J858*(1+Assumptions!H$14)),-2)</f>
        <v>16100</v>
      </c>
      <c r="L858" s="288">
        <f>ROUND(IF($A858="E",K858*(1+Assumptions!I$15),K858*(1+Assumptions!I$14)),-2)</f>
        <v>16500</v>
      </c>
      <c r="M858" s="288">
        <f>ROUND(IF($A858="E",L858*(1+Assumptions!J$15),L858*(1+Assumptions!J$14)),-2)</f>
        <v>16900</v>
      </c>
      <c r="N858" s="288">
        <f>ROUND(IF($A858="E",M858*(1+Assumptions!K$15),M858*(1+Assumptions!K$14)),-2)</f>
        <v>17300</v>
      </c>
    </row>
    <row r="859" spans="2:14" x14ac:dyDescent="0.25">
      <c r="B859" s="16" t="s">
        <v>43</v>
      </c>
      <c r="C859" s="16" t="s">
        <v>1414</v>
      </c>
      <c r="D859" s="16" t="s">
        <v>1415</v>
      </c>
      <c r="E859" s="288">
        <v>900</v>
      </c>
      <c r="F859" s="288">
        <f>ROUND(IF($A859="E",E859*(1+Assumptions!C$15),E859*(1+Assumptions!C$14)),-2)</f>
        <v>900</v>
      </c>
      <c r="G859" s="288">
        <f>ROUND(IF($A859="E",F859*(1+Assumptions!D$15),F859*(1+Assumptions!D$14)),-2)</f>
        <v>900</v>
      </c>
      <c r="H859" s="288">
        <f>ROUND(IF($A859="E",G859*(1+Assumptions!E$15),G859*(1+Assumptions!E$14)),-2)</f>
        <v>900</v>
      </c>
      <c r="I859" s="288">
        <f>ROUND(IF($A859="E",H859*(1+Assumptions!F$15),H859*(1+Assumptions!F$14)),-2)</f>
        <v>900</v>
      </c>
      <c r="J859" s="288">
        <f>ROUND(IF($A859="E",I859*(1+Assumptions!G$15),I859*(1+Assumptions!G$14)),-2)</f>
        <v>900</v>
      </c>
      <c r="K859" s="288">
        <f>ROUND(IF($A859="E",J859*(1+Assumptions!H$15),J859*(1+Assumptions!H$14)),-2)</f>
        <v>900</v>
      </c>
      <c r="L859" s="288">
        <f>ROUND(IF($A859="E",K859*(1+Assumptions!I$15),K859*(1+Assumptions!I$14)),-2)</f>
        <v>900</v>
      </c>
      <c r="M859" s="288">
        <f>ROUND(IF($A859="E",L859*(1+Assumptions!J$15),L859*(1+Assumptions!J$14)),-2)</f>
        <v>900</v>
      </c>
      <c r="N859" s="288">
        <f>ROUND(IF($A859="E",M859*(1+Assumptions!K$15),M859*(1+Assumptions!K$14)),-2)</f>
        <v>900</v>
      </c>
    </row>
    <row r="860" spans="2:14" x14ac:dyDescent="0.25">
      <c r="B860" s="16" t="s">
        <v>43</v>
      </c>
      <c r="C860" s="16" t="s">
        <v>1416</v>
      </c>
      <c r="D860" s="16" t="s">
        <v>1417</v>
      </c>
      <c r="E860" s="288">
        <v>5300</v>
      </c>
      <c r="F860" s="288">
        <f>ROUND(IF($A860="E",E860*(1+Assumptions!C$15),E860*(1+Assumptions!C$14)),-2)</f>
        <v>5400</v>
      </c>
      <c r="G860" s="288">
        <f>ROUND(IF($A860="E",F860*(1+Assumptions!D$15),F860*(1+Assumptions!D$14)),-2)</f>
        <v>5500</v>
      </c>
      <c r="H860" s="288">
        <f>ROUND(IF($A860="E",G860*(1+Assumptions!E$15),G860*(1+Assumptions!E$14)),-2)</f>
        <v>5600</v>
      </c>
      <c r="I860" s="288">
        <f>ROUND(IF($A860="E",H860*(1+Assumptions!F$15),H860*(1+Assumptions!F$14)),-2)</f>
        <v>5700</v>
      </c>
      <c r="J860" s="288">
        <f>ROUND(IF($A860="E",I860*(1+Assumptions!G$15),I860*(1+Assumptions!G$14)),-2)</f>
        <v>5800</v>
      </c>
      <c r="K860" s="288">
        <f>ROUND(IF($A860="E",J860*(1+Assumptions!H$15),J860*(1+Assumptions!H$14)),-2)</f>
        <v>5900</v>
      </c>
      <c r="L860" s="288">
        <f>ROUND(IF($A860="E",K860*(1+Assumptions!I$15),K860*(1+Assumptions!I$14)),-2)</f>
        <v>6000</v>
      </c>
      <c r="M860" s="288">
        <f>ROUND(IF($A860="E",L860*(1+Assumptions!J$15),L860*(1+Assumptions!J$14)),-2)</f>
        <v>6200</v>
      </c>
      <c r="N860" s="288">
        <f>ROUND(IF($A860="E",M860*(1+Assumptions!K$15),M860*(1+Assumptions!K$14)),-2)</f>
        <v>6400</v>
      </c>
    </row>
    <row r="861" spans="2:14" x14ac:dyDescent="0.25">
      <c r="B861" s="16" t="s">
        <v>43</v>
      </c>
      <c r="C861" s="16" t="s">
        <v>1418</v>
      </c>
      <c r="D861" s="16" t="s">
        <v>1419</v>
      </c>
      <c r="E861" s="288">
        <v>16900</v>
      </c>
      <c r="F861" s="288">
        <f>ROUND(IF($A861="E",E861*(1+Assumptions!C$15),E861*(1+Assumptions!C$14)),-2)</f>
        <v>17200</v>
      </c>
      <c r="G861" s="288">
        <f>ROUND(IF($A861="E",F861*(1+Assumptions!D$15),F861*(1+Assumptions!D$14)),-2)</f>
        <v>17500</v>
      </c>
      <c r="H861" s="288">
        <f>ROUND(IF($A861="E",G861*(1+Assumptions!E$15),G861*(1+Assumptions!E$14)),-2)</f>
        <v>17900</v>
      </c>
      <c r="I861" s="288">
        <f>ROUND(IF($A861="E",H861*(1+Assumptions!F$15),H861*(1+Assumptions!F$14)),-2)</f>
        <v>18300</v>
      </c>
      <c r="J861" s="288">
        <f>ROUND(IF($A861="E",I861*(1+Assumptions!G$15),I861*(1+Assumptions!G$14)),-2)</f>
        <v>18700</v>
      </c>
      <c r="K861" s="288">
        <f>ROUND(IF($A861="E",J861*(1+Assumptions!H$15),J861*(1+Assumptions!H$14)),-2)</f>
        <v>19100</v>
      </c>
      <c r="L861" s="288">
        <f>ROUND(IF($A861="E",K861*(1+Assumptions!I$15),K861*(1+Assumptions!I$14)),-2)</f>
        <v>19600</v>
      </c>
      <c r="M861" s="288">
        <f>ROUND(IF($A861="E",L861*(1+Assumptions!J$15),L861*(1+Assumptions!J$14)),-2)</f>
        <v>20100</v>
      </c>
      <c r="N861" s="288">
        <f>ROUND(IF($A861="E",M861*(1+Assumptions!K$15),M861*(1+Assumptions!K$14)),-2)</f>
        <v>20600</v>
      </c>
    </row>
    <row r="862" spans="2:14" x14ac:dyDescent="0.25">
      <c r="B862" s="16" t="s">
        <v>43</v>
      </c>
      <c r="C862" s="16" t="s">
        <v>1420</v>
      </c>
      <c r="D862" s="16" t="s">
        <v>1421</v>
      </c>
      <c r="E862" s="289"/>
      <c r="F862" s="289"/>
      <c r="G862" s="289"/>
      <c r="H862" s="289"/>
      <c r="I862" s="289"/>
      <c r="J862" s="289"/>
      <c r="K862" s="289"/>
      <c r="L862" s="289"/>
      <c r="M862" s="289"/>
      <c r="N862" s="289"/>
    </row>
    <row r="863" spans="2:14" x14ac:dyDescent="0.25">
      <c r="B863" s="16" t="s">
        <v>43</v>
      </c>
      <c r="C863" s="16" t="s">
        <v>1422</v>
      </c>
      <c r="D863" s="16" t="s">
        <v>1423</v>
      </c>
      <c r="E863" s="288">
        <v>88600</v>
      </c>
      <c r="F863" s="288">
        <f>ROUND(IF($A863="E",E863*(1+Assumptions!C$15),E863*(1+Assumptions!C$14)),-2)</f>
        <v>89900</v>
      </c>
      <c r="G863" s="288">
        <f>ROUND(IF($A863="E",F863*(1+Assumptions!D$15),F863*(1+Assumptions!D$14)),-2)</f>
        <v>91700</v>
      </c>
      <c r="H863" s="288">
        <f>ROUND(IF($A863="E",G863*(1+Assumptions!E$15),G863*(1+Assumptions!E$14)),-2)</f>
        <v>93500</v>
      </c>
      <c r="I863" s="288">
        <f>ROUND(IF($A863="E",H863*(1+Assumptions!F$15),H863*(1+Assumptions!F$14)),-2)</f>
        <v>95400</v>
      </c>
      <c r="J863" s="288">
        <f>ROUND(IF($A863="E",I863*(1+Assumptions!G$15),I863*(1+Assumptions!G$14)),-2)</f>
        <v>97300</v>
      </c>
      <c r="K863" s="288">
        <f>ROUND(IF($A863="E",J863*(1+Assumptions!H$15),J863*(1+Assumptions!H$14)),-2)</f>
        <v>99200</v>
      </c>
      <c r="L863" s="288">
        <f>ROUND(IF($A863="E",K863*(1+Assumptions!I$15),K863*(1+Assumptions!I$14)),-2)</f>
        <v>101700</v>
      </c>
      <c r="M863" s="288">
        <f>ROUND(IF($A863="E",L863*(1+Assumptions!J$15),L863*(1+Assumptions!J$14)),-2)</f>
        <v>104200</v>
      </c>
      <c r="N863" s="288">
        <f>ROUND(IF($A863="E",M863*(1+Assumptions!K$15),M863*(1+Assumptions!K$14)),-2)</f>
        <v>106800</v>
      </c>
    </row>
    <row r="864" spans="2:14" x14ac:dyDescent="0.25">
      <c r="B864" s="16" t="s">
        <v>43</v>
      </c>
      <c r="C864" s="16" t="s">
        <v>1424</v>
      </c>
      <c r="D864" s="16" t="s">
        <v>1425</v>
      </c>
      <c r="E864" s="288">
        <v>6100</v>
      </c>
      <c r="F864" s="288">
        <f>ROUND(IF($A864="E",E864*(1+Assumptions!C$15),E864*(1+Assumptions!C$14)),-2)</f>
        <v>6200</v>
      </c>
      <c r="G864" s="288">
        <f>ROUND(IF($A864="E",F864*(1+Assumptions!D$15),F864*(1+Assumptions!D$14)),-2)</f>
        <v>6300</v>
      </c>
      <c r="H864" s="288">
        <f>ROUND(IF($A864="E",G864*(1+Assumptions!E$15),G864*(1+Assumptions!E$14)),-2)</f>
        <v>6400</v>
      </c>
      <c r="I864" s="288">
        <f>ROUND(IF($A864="E",H864*(1+Assumptions!F$15),H864*(1+Assumptions!F$14)),-2)</f>
        <v>6500</v>
      </c>
      <c r="J864" s="288">
        <f>ROUND(IF($A864="E",I864*(1+Assumptions!G$15),I864*(1+Assumptions!G$14)),-2)</f>
        <v>6600</v>
      </c>
      <c r="K864" s="288">
        <f>ROUND(IF($A864="E",J864*(1+Assumptions!H$15),J864*(1+Assumptions!H$14)),-2)</f>
        <v>6700</v>
      </c>
      <c r="L864" s="288">
        <f>ROUND(IF($A864="E",K864*(1+Assumptions!I$15),K864*(1+Assumptions!I$14)),-2)</f>
        <v>6900</v>
      </c>
      <c r="M864" s="288">
        <f>ROUND(IF($A864="E",L864*(1+Assumptions!J$15),L864*(1+Assumptions!J$14)),-2)</f>
        <v>7100</v>
      </c>
      <c r="N864" s="288">
        <f>ROUND(IF($A864="E",M864*(1+Assumptions!K$15),M864*(1+Assumptions!K$14)),-2)</f>
        <v>7300</v>
      </c>
    </row>
    <row r="865" spans="2:14" x14ac:dyDescent="0.25">
      <c r="B865" s="16" t="s">
        <v>43</v>
      </c>
      <c r="C865" s="16" t="s">
        <v>1426</v>
      </c>
      <c r="D865" s="16" t="s">
        <v>1427</v>
      </c>
      <c r="E865" s="288">
        <v>5200</v>
      </c>
      <c r="F865" s="288">
        <f>ROUND(IF($A865="E",E865*(1+Assumptions!C$15),E865*(1+Assumptions!C$14)),-2)</f>
        <v>5300</v>
      </c>
      <c r="G865" s="288">
        <f>ROUND(IF($A865="E",F865*(1+Assumptions!D$15),F865*(1+Assumptions!D$14)),-2)</f>
        <v>5400</v>
      </c>
      <c r="H865" s="288">
        <f>ROUND(IF($A865="E",G865*(1+Assumptions!E$15),G865*(1+Assumptions!E$14)),-2)</f>
        <v>5500</v>
      </c>
      <c r="I865" s="288">
        <f>ROUND(IF($A865="E",H865*(1+Assumptions!F$15),H865*(1+Assumptions!F$14)),-2)</f>
        <v>5600</v>
      </c>
      <c r="J865" s="288">
        <f>ROUND(IF($A865="E",I865*(1+Assumptions!G$15),I865*(1+Assumptions!G$14)),-2)</f>
        <v>5700</v>
      </c>
      <c r="K865" s="288">
        <f>ROUND(IF($A865="E",J865*(1+Assumptions!H$15),J865*(1+Assumptions!H$14)),-2)</f>
        <v>5800</v>
      </c>
      <c r="L865" s="288">
        <f>ROUND(IF($A865="E",K865*(1+Assumptions!I$15),K865*(1+Assumptions!I$14)),-2)</f>
        <v>5900</v>
      </c>
      <c r="M865" s="288">
        <f>ROUND(IF($A865="E",L865*(1+Assumptions!J$15),L865*(1+Assumptions!J$14)),-2)</f>
        <v>6000</v>
      </c>
      <c r="N865" s="288">
        <f>ROUND(IF($A865="E",M865*(1+Assumptions!K$15),M865*(1+Assumptions!K$14)),-2)</f>
        <v>6200</v>
      </c>
    </row>
    <row r="866" spans="2:14" x14ac:dyDescent="0.25">
      <c r="B866" s="16" t="s">
        <v>43</v>
      </c>
      <c r="C866" s="16" t="s">
        <v>1428</v>
      </c>
      <c r="D866" s="16" t="s">
        <v>1429</v>
      </c>
      <c r="E866" s="289"/>
      <c r="F866" s="289"/>
      <c r="G866" s="289"/>
      <c r="H866" s="289"/>
      <c r="I866" s="289"/>
      <c r="J866" s="289"/>
      <c r="K866" s="289"/>
      <c r="L866" s="289"/>
      <c r="M866" s="289"/>
      <c r="N866" s="289"/>
    </row>
    <row r="867" spans="2:14" x14ac:dyDescent="0.25">
      <c r="B867" s="16" t="s">
        <v>43</v>
      </c>
      <c r="C867" s="16" t="s">
        <v>1430</v>
      </c>
      <c r="D867" s="16" t="s">
        <v>1431</v>
      </c>
      <c r="E867" s="288">
        <v>31300</v>
      </c>
      <c r="F867" s="288">
        <f>ROUND(IF($A867="E",E867*(1+Assumptions!C$15),E867*(1+Assumptions!C$14)),-2)</f>
        <v>31800</v>
      </c>
      <c r="G867" s="288">
        <f>ROUND(IF($A867="E",F867*(1+Assumptions!D$15),F867*(1+Assumptions!D$14)),-2)</f>
        <v>32400</v>
      </c>
      <c r="H867" s="288">
        <f>ROUND(IF($A867="E",G867*(1+Assumptions!E$15),G867*(1+Assumptions!E$14)),-2)</f>
        <v>33000</v>
      </c>
      <c r="I867" s="288">
        <f>ROUND(IF($A867="E",H867*(1+Assumptions!F$15),H867*(1+Assumptions!F$14)),-2)</f>
        <v>33700</v>
      </c>
      <c r="J867" s="288">
        <f>ROUND(IF($A867="E",I867*(1+Assumptions!G$15),I867*(1+Assumptions!G$14)),-2)</f>
        <v>34400</v>
      </c>
      <c r="K867" s="288">
        <f>ROUND(IF($A867="E",J867*(1+Assumptions!H$15),J867*(1+Assumptions!H$14)),-2)</f>
        <v>35100</v>
      </c>
      <c r="L867" s="288">
        <f>ROUND(IF($A867="E",K867*(1+Assumptions!I$15),K867*(1+Assumptions!I$14)),-2)</f>
        <v>36000</v>
      </c>
      <c r="M867" s="288">
        <f>ROUND(IF($A867="E",L867*(1+Assumptions!J$15),L867*(1+Assumptions!J$14)),-2)</f>
        <v>36900</v>
      </c>
      <c r="N867" s="288">
        <f>ROUND(IF($A867="E",M867*(1+Assumptions!K$15),M867*(1+Assumptions!K$14)),-2)</f>
        <v>37800</v>
      </c>
    </row>
    <row r="868" spans="2:14" x14ac:dyDescent="0.25">
      <c r="B868" s="16" t="s">
        <v>43</v>
      </c>
      <c r="C868" s="16" t="s">
        <v>1432</v>
      </c>
      <c r="D868" s="16" t="s">
        <v>1433</v>
      </c>
      <c r="E868" s="289"/>
      <c r="F868" s="289"/>
      <c r="G868" s="289"/>
      <c r="H868" s="289"/>
      <c r="I868" s="289"/>
      <c r="J868" s="289"/>
      <c r="K868" s="289"/>
      <c r="L868" s="289"/>
      <c r="M868" s="289"/>
      <c r="N868" s="289"/>
    </row>
    <row r="869" spans="2:14" x14ac:dyDescent="0.25">
      <c r="B869" s="16" t="s">
        <v>43</v>
      </c>
      <c r="C869" s="16" t="s">
        <v>1434</v>
      </c>
      <c r="D869" s="16" t="s">
        <v>1435</v>
      </c>
      <c r="E869" s="288">
        <v>131300</v>
      </c>
      <c r="F869" s="288">
        <f>ROUND(IF($A869="E",E869*(1+Assumptions!C$15),E869*(1+Assumptions!C$14)),-2)</f>
        <v>133300</v>
      </c>
      <c r="G869" s="288">
        <f>ROUND(IF($A869="E",F869*(1+Assumptions!D$15),F869*(1+Assumptions!D$14)),-2)</f>
        <v>136000</v>
      </c>
      <c r="H869" s="288">
        <f>ROUND(IF($A869="E",G869*(1+Assumptions!E$15),G869*(1+Assumptions!E$14)),-2)</f>
        <v>138700</v>
      </c>
      <c r="I869" s="288">
        <f>ROUND(IF($A869="E",H869*(1+Assumptions!F$15),H869*(1+Assumptions!F$14)),-2)</f>
        <v>141500</v>
      </c>
      <c r="J869" s="288">
        <f>ROUND(IF($A869="E",I869*(1+Assumptions!G$15),I869*(1+Assumptions!G$14)),-2)</f>
        <v>144300</v>
      </c>
      <c r="K869" s="288">
        <f>ROUND(IF($A869="E",J869*(1+Assumptions!H$15),J869*(1+Assumptions!H$14)),-2)</f>
        <v>147200</v>
      </c>
      <c r="L869" s="288">
        <f>ROUND(IF($A869="E",K869*(1+Assumptions!I$15),K869*(1+Assumptions!I$14)),-2)</f>
        <v>150900</v>
      </c>
      <c r="M869" s="288">
        <f>ROUND(IF($A869="E",L869*(1+Assumptions!J$15),L869*(1+Assumptions!J$14)),-2)</f>
        <v>154700</v>
      </c>
      <c r="N869" s="288">
        <f>ROUND(IF($A869="E",M869*(1+Assumptions!K$15),M869*(1+Assumptions!K$14)),-2)</f>
        <v>158600</v>
      </c>
    </row>
    <row r="870" spans="2:14" x14ac:dyDescent="0.25">
      <c r="B870" s="16" t="s">
        <v>43</v>
      </c>
      <c r="C870" s="16" t="s">
        <v>1436</v>
      </c>
      <c r="D870" s="16" t="s">
        <v>1437</v>
      </c>
      <c r="E870" s="288">
        <v>23000</v>
      </c>
      <c r="F870" s="288">
        <f>ROUND(IF($A870="E",E870*(1+Assumptions!C$15),E870*(1+Assumptions!C$14)),-2)</f>
        <v>23300</v>
      </c>
      <c r="G870" s="288">
        <f>ROUND(IF($A870="E",F870*(1+Assumptions!D$15),F870*(1+Assumptions!D$14)),-2)</f>
        <v>23800</v>
      </c>
      <c r="H870" s="288">
        <f>ROUND(IF($A870="E",G870*(1+Assumptions!E$15),G870*(1+Assumptions!E$14)),-2)</f>
        <v>24300</v>
      </c>
      <c r="I870" s="288">
        <f>ROUND(IF($A870="E",H870*(1+Assumptions!F$15),H870*(1+Assumptions!F$14)),-2)</f>
        <v>24800</v>
      </c>
      <c r="J870" s="288">
        <f>ROUND(IF($A870="E",I870*(1+Assumptions!G$15),I870*(1+Assumptions!G$14)),-2)</f>
        <v>25300</v>
      </c>
      <c r="K870" s="288">
        <f>ROUND(IF($A870="E",J870*(1+Assumptions!H$15),J870*(1+Assumptions!H$14)),-2)</f>
        <v>25800</v>
      </c>
      <c r="L870" s="288">
        <f>ROUND(IF($A870="E",K870*(1+Assumptions!I$15),K870*(1+Assumptions!I$14)),-2)</f>
        <v>26400</v>
      </c>
      <c r="M870" s="288">
        <f>ROUND(IF($A870="E",L870*(1+Assumptions!J$15),L870*(1+Assumptions!J$14)),-2)</f>
        <v>27100</v>
      </c>
      <c r="N870" s="288">
        <f>ROUND(IF($A870="E",M870*(1+Assumptions!K$15),M870*(1+Assumptions!K$14)),-2)</f>
        <v>27800</v>
      </c>
    </row>
    <row r="871" spans="2:14" x14ac:dyDescent="0.25">
      <c r="B871" s="16" t="s">
        <v>43</v>
      </c>
      <c r="C871" s="16" t="s">
        <v>1438</v>
      </c>
      <c r="D871" s="16" t="s">
        <v>1439</v>
      </c>
      <c r="E871" s="289"/>
      <c r="F871" s="289"/>
      <c r="G871" s="289"/>
      <c r="H871" s="289"/>
      <c r="I871" s="289"/>
      <c r="J871" s="289"/>
      <c r="K871" s="289"/>
      <c r="L871" s="289"/>
      <c r="M871" s="289"/>
      <c r="N871" s="289"/>
    </row>
    <row r="872" spans="2:14" x14ac:dyDescent="0.25">
      <c r="B872" s="16" t="s">
        <v>43</v>
      </c>
      <c r="C872" s="16" t="s">
        <v>1440</v>
      </c>
      <c r="D872" s="16" t="s">
        <v>1441</v>
      </c>
      <c r="E872" s="288">
        <v>10000</v>
      </c>
      <c r="F872" s="288">
        <f>ROUND(IF($A872="E",E872*(1+Assumptions!C$15),E872*(1+Assumptions!C$14)),-2)</f>
        <v>10200</v>
      </c>
      <c r="G872" s="288">
        <f>ROUND(IF($A872="E",F872*(1+Assumptions!D$15),F872*(1+Assumptions!D$14)),-2)</f>
        <v>10400</v>
      </c>
      <c r="H872" s="288">
        <f>ROUND(IF($A872="E",G872*(1+Assumptions!E$15),G872*(1+Assumptions!E$14)),-2)</f>
        <v>10600</v>
      </c>
      <c r="I872" s="288">
        <f>ROUND(IF($A872="E",H872*(1+Assumptions!F$15),H872*(1+Assumptions!F$14)),-2)</f>
        <v>10800</v>
      </c>
      <c r="J872" s="288">
        <f>ROUND(IF($A872="E",I872*(1+Assumptions!G$15),I872*(1+Assumptions!G$14)),-2)</f>
        <v>11000</v>
      </c>
      <c r="K872" s="288">
        <f>ROUND(IF($A872="E",J872*(1+Assumptions!H$15),J872*(1+Assumptions!H$14)),-2)</f>
        <v>11200</v>
      </c>
      <c r="L872" s="288">
        <f>ROUND(IF($A872="E",K872*(1+Assumptions!I$15),K872*(1+Assumptions!I$14)),-2)</f>
        <v>11500</v>
      </c>
      <c r="M872" s="288">
        <f>ROUND(IF($A872="E",L872*(1+Assumptions!J$15),L872*(1+Assumptions!J$14)),-2)</f>
        <v>11800</v>
      </c>
      <c r="N872" s="288">
        <f>ROUND(IF($A872="E",M872*(1+Assumptions!K$15),M872*(1+Assumptions!K$14)),-2)</f>
        <v>12100</v>
      </c>
    </row>
    <row r="873" spans="2:14" x14ac:dyDescent="0.25">
      <c r="B873" s="16" t="s">
        <v>43</v>
      </c>
      <c r="C873" s="16" t="s">
        <v>1442</v>
      </c>
      <c r="D873" s="16" t="s">
        <v>1443</v>
      </c>
      <c r="E873" s="288">
        <v>0</v>
      </c>
      <c r="F873" s="288">
        <f>ROUND(IF($A873="E",E873*(1+Assumptions!C$15),E873*(1+Assumptions!C$14)),-2)</f>
        <v>0</v>
      </c>
      <c r="G873" s="288">
        <f>ROUND(IF($A873="E",F873*(1+Assumptions!D$15),F873*(1+Assumptions!D$14)),-2)</f>
        <v>0</v>
      </c>
      <c r="H873" s="288">
        <f>ROUND(IF($A873="E",G873*(1+Assumptions!E$15),G873*(1+Assumptions!E$14)),-2)</f>
        <v>0</v>
      </c>
      <c r="I873" s="288">
        <f>ROUND(IF($A873="E",H873*(1+Assumptions!F$15),H873*(1+Assumptions!F$14)),-2)</f>
        <v>0</v>
      </c>
      <c r="J873" s="288">
        <f>ROUND(IF($A873="E",I873*(1+Assumptions!G$15),I873*(1+Assumptions!G$14)),-2)</f>
        <v>0</v>
      </c>
      <c r="K873" s="288">
        <f>ROUND(IF($A873="E",J873*(1+Assumptions!H$15),J873*(1+Assumptions!H$14)),-2)</f>
        <v>0</v>
      </c>
      <c r="L873" s="288">
        <f>ROUND(IF($A873="E",K873*(1+Assumptions!I$15),K873*(1+Assumptions!I$14)),-2)</f>
        <v>0</v>
      </c>
      <c r="M873" s="288">
        <f>ROUND(IF($A873="E",L873*(1+Assumptions!J$15),L873*(1+Assumptions!J$14)),-2)</f>
        <v>0</v>
      </c>
      <c r="N873" s="288">
        <f>ROUND(IF($A873="E",M873*(1+Assumptions!K$15),M873*(1+Assumptions!K$14)),-2)</f>
        <v>0</v>
      </c>
    </row>
    <row r="874" spans="2:14" x14ac:dyDescent="0.25">
      <c r="B874" s="16" t="s">
        <v>43</v>
      </c>
      <c r="C874" s="16" t="s">
        <v>1444</v>
      </c>
      <c r="D874" s="16" t="s">
        <v>1445</v>
      </c>
      <c r="E874" s="288">
        <v>0</v>
      </c>
      <c r="F874" s="288">
        <f>ROUND(IF($A874="E",E874*(1+Assumptions!C$15),E874*(1+Assumptions!C$14)),-2)</f>
        <v>0</v>
      </c>
      <c r="G874" s="288">
        <f>ROUND(IF($A874="E",F874*(1+Assumptions!D$15),F874*(1+Assumptions!D$14)),-2)</f>
        <v>0</v>
      </c>
      <c r="H874" s="288">
        <f>ROUND(IF($A874="E",G874*(1+Assumptions!E$15),G874*(1+Assumptions!E$14)),-2)</f>
        <v>0</v>
      </c>
      <c r="I874" s="288">
        <f>ROUND(IF($A874="E",H874*(1+Assumptions!F$15),H874*(1+Assumptions!F$14)),-2)</f>
        <v>0</v>
      </c>
      <c r="J874" s="288">
        <f>ROUND(IF($A874="E",I874*(1+Assumptions!G$15),I874*(1+Assumptions!G$14)),-2)</f>
        <v>0</v>
      </c>
      <c r="K874" s="288">
        <f>ROUND(IF($A874="E",J874*(1+Assumptions!H$15),J874*(1+Assumptions!H$14)),-2)</f>
        <v>0</v>
      </c>
      <c r="L874" s="288">
        <f>ROUND(IF($A874="E",K874*(1+Assumptions!I$15),K874*(1+Assumptions!I$14)),-2)</f>
        <v>0</v>
      </c>
      <c r="M874" s="288">
        <f>ROUND(IF($A874="E",L874*(1+Assumptions!J$15),L874*(1+Assumptions!J$14)),-2)</f>
        <v>0</v>
      </c>
      <c r="N874" s="288">
        <f>ROUND(IF($A874="E",M874*(1+Assumptions!K$15),M874*(1+Assumptions!K$14)),-2)</f>
        <v>0</v>
      </c>
    </row>
    <row r="875" spans="2:14" x14ac:dyDescent="0.25">
      <c r="B875" s="16" t="s">
        <v>43</v>
      </c>
      <c r="C875" s="16" t="s">
        <v>1446</v>
      </c>
      <c r="D875" s="16" t="s">
        <v>1447</v>
      </c>
      <c r="E875" s="289"/>
      <c r="F875" s="289"/>
      <c r="G875" s="289"/>
      <c r="H875" s="289"/>
      <c r="I875" s="289"/>
      <c r="J875" s="289"/>
      <c r="K875" s="289"/>
      <c r="L875" s="289"/>
      <c r="M875" s="289"/>
      <c r="N875" s="289"/>
    </row>
    <row r="876" spans="2:14" x14ac:dyDescent="0.25">
      <c r="B876" s="16" t="s">
        <v>43</v>
      </c>
      <c r="C876" s="16" t="s">
        <v>1448</v>
      </c>
      <c r="D876" s="16" t="s">
        <v>1449</v>
      </c>
      <c r="E876" s="288">
        <v>516300</v>
      </c>
      <c r="F876" s="288">
        <f>ROUND(IF($A876="E",E876*(1+Assumptions!C$15),E876*(1+Assumptions!C$14)),-2)</f>
        <v>524000</v>
      </c>
      <c r="G876" s="288">
        <f>ROUND(IF($A876="E",F876*(1+Assumptions!D$15),F876*(1+Assumptions!D$14)),-2)</f>
        <v>534500</v>
      </c>
      <c r="H876" s="288">
        <f>ROUND(IF($A876="E",G876*(1+Assumptions!E$15),G876*(1+Assumptions!E$14)),-2)</f>
        <v>545200</v>
      </c>
      <c r="I876" s="288">
        <f>ROUND(IF($A876="E",H876*(1+Assumptions!F$15),H876*(1+Assumptions!F$14)),-2)</f>
        <v>556100</v>
      </c>
      <c r="J876" s="288">
        <f>ROUND(IF($A876="E",I876*(1+Assumptions!G$15),I876*(1+Assumptions!G$14)),-2)</f>
        <v>567200</v>
      </c>
      <c r="K876" s="288">
        <f>ROUND(IF($A876="E",J876*(1+Assumptions!H$15),J876*(1+Assumptions!H$14)),-2)</f>
        <v>578500</v>
      </c>
      <c r="L876" s="288">
        <f>ROUND(IF($A876="E",K876*(1+Assumptions!I$15),K876*(1+Assumptions!I$14)),-2)</f>
        <v>593000</v>
      </c>
      <c r="M876" s="288">
        <f>ROUND(IF($A876="E",L876*(1+Assumptions!J$15),L876*(1+Assumptions!J$14)),-2)</f>
        <v>607800</v>
      </c>
      <c r="N876" s="288">
        <f>ROUND(IF($A876="E",M876*(1+Assumptions!K$15),M876*(1+Assumptions!K$14)),-2)</f>
        <v>623000</v>
      </c>
    </row>
    <row r="877" spans="2:14" x14ac:dyDescent="0.25">
      <c r="B877" s="16" t="s">
        <v>43</v>
      </c>
      <c r="C877" s="16" t="s">
        <v>1450</v>
      </c>
      <c r="D877" s="16" t="s">
        <v>1451</v>
      </c>
      <c r="E877" s="288">
        <v>0</v>
      </c>
      <c r="F877" s="288">
        <f>ROUND(IF($A877="E",E877*(1+Assumptions!C$15),E877*(1+Assumptions!C$14)),-2)</f>
        <v>0</v>
      </c>
      <c r="G877" s="288">
        <f>ROUND(IF($A877="E",F877*(1+Assumptions!D$15),F877*(1+Assumptions!D$14)),-2)</f>
        <v>0</v>
      </c>
      <c r="H877" s="288">
        <f>ROUND(IF($A877="E",G877*(1+Assumptions!E$15),G877*(1+Assumptions!E$14)),-2)</f>
        <v>0</v>
      </c>
      <c r="I877" s="288">
        <f>ROUND(IF($A877="E",H877*(1+Assumptions!F$15),H877*(1+Assumptions!F$14)),-2)</f>
        <v>0</v>
      </c>
      <c r="J877" s="288">
        <f>ROUND(IF($A877="E",I877*(1+Assumptions!G$15),I877*(1+Assumptions!G$14)),-2)</f>
        <v>0</v>
      </c>
      <c r="K877" s="288">
        <f>ROUND(IF($A877="E",J877*(1+Assumptions!H$15),J877*(1+Assumptions!H$14)),-2)</f>
        <v>0</v>
      </c>
      <c r="L877" s="288">
        <f>ROUND(IF($A877="E",K877*(1+Assumptions!I$15),K877*(1+Assumptions!I$14)),-2)</f>
        <v>0</v>
      </c>
      <c r="M877" s="288">
        <f>ROUND(IF($A877="E",L877*(1+Assumptions!J$15),L877*(1+Assumptions!J$14)),-2)</f>
        <v>0</v>
      </c>
      <c r="N877" s="288">
        <f>ROUND(IF($A877="E",M877*(1+Assumptions!K$15),M877*(1+Assumptions!K$14)),-2)</f>
        <v>0</v>
      </c>
    </row>
    <row r="878" spans="2:14" x14ac:dyDescent="0.25">
      <c r="B878" s="16" t="s">
        <v>43</v>
      </c>
      <c r="C878" s="16" t="s">
        <v>1452</v>
      </c>
      <c r="D878" s="16" t="s">
        <v>45</v>
      </c>
      <c r="E878" s="288">
        <v>0</v>
      </c>
      <c r="F878" s="288">
        <f>ROUND(IF($A878="E",E878*(1+Assumptions!C$15),E878*(1+Assumptions!C$14)),-2)</f>
        <v>0</v>
      </c>
      <c r="G878" s="288">
        <f>ROUND(IF($A878="E",F878*(1+Assumptions!D$15),F878*(1+Assumptions!D$14)),-2)</f>
        <v>0</v>
      </c>
      <c r="H878" s="288">
        <f>ROUND(IF($A878="E",G878*(1+Assumptions!E$15),G878*(1+Assumptions!E$14)),-2)</f>
        <v>0</v>
      </c>
      <c r="I878" s="288">
        <f>ROUND(IF($A878="E",H878*(1+Assumptions!F$15),H878*(1+Assumptions!F$14)),-2)</f>
        <v>0</v>
      </c>
      <c r="J878" s="288">
        <f>ROUND(IF($A878="E",I878*(1+Assumptions!G$15),I878*(1+Assumptions!G$14)),-2)</f>
        <v>0</v>
      </c>
      <c r="K878" s="288">
        <f>ROUND(IF($A878="E",J878*(1+Assumptions!H$15),J878*(1+Assumptions!H$14)),-2)</f>
        <v>0</v>
      </c>
      <c r="L878" s="288">
        <f>ROUND(IF($A878="E",K878*(1+Assumptions!I$15),K878*(1+Assumptions!I$14)),-2)</f>
        <v>0</v>
      </c>
      <c r="M878" s="288">
        <f>ROUND(IF($A878="E",L878*(1+Assumptions!J$15),L878*(1+Assumptions!J$14)),-2)</f>
        <v>0</v>
      </c>
      <c r="N878" s="288">
        <f>ROUND(IF($A878="E",M878*(1+Assumptions!K$15),M878*(1+Assumptions!K$14)),-2)</f>
        <v>0</v>
      </c>
    </row>
    <row r="879" spans="2:14" x14ac:dyDescent="0.25">
      <c r="B879" s="16" t="s">
        <v>43</v>
      </c>
      <c r="C879" s="16" t="s">
        <v>1453</v>
      </c>
      <c r="D879" s="16" t="s">
        <v>1454</v>
      </c>
      <c r="E879" s="288">
        <v>0</v>
      </c>
      <c r="F879" s="288">
        <f>ROUND(IF($A879="E",E879*(1+Assumptions!C$15),E879*(1+Assumptions!C$14)),-2)</f>
        <v>0</v>
      </c>
      <c r="G879" s="288">
        <f>ROUND(IF($A879="E",F879*(1+Assumptions!D$15),F879*(1+Assumptions!D$14)),-2)</f>
        <v>0</v>
      </c>
      <c r="H879" s="288">
        <f>ROUND(IF($A879="E",G879*(1+Assumptions!E$15),G879*(1+Assumptions!E$14)),-2)</f>
        <v>0</v>
      </c>
      <c r="I879" s="288">
        <f>ROUND(IF($A879="E",H879*(1+Assumptions!F$15),H879*(1+Assumptions!F$14)),-2)</f>
        <v>0</v>
      </c>
      <c r="J879" s="288">
        <f>ROUND(IF($A879="E",I879*(1+Assumptions!G$15),I879*(1+Assumptions!G$14)),-2)</f>
        <v>0</v>
      </c>
      <c r="K879" s="288">
        <f>ROUND(IF($A879="E",J879*(1+Assumptions!H$15),J879*(1+Assumptions!H$14)),-2)</f>
        <v>0</v>
      </c>
      <c r="L879" s="288">
        <f>ROUND(IF($A879="E",K879*(1+Assumptions!I$15),K879*(1+Assumptions!I$14)),-2)</f>
        <v>0</v>
      </c>
      <c r="M879" s="288">
        <f>ROUND(IF($A879="E",L879*(1+Assumptions!J$15),L879*(1+Assumptions!J$14)),-2)</f>
        <v>0</v>
      </c>
      <c r="N879" s="288">
        <f>ROUND(IF($A879="E",M879*(1+Assumptions!K$15),M879*(1+Assumptions!K$14)),-2)</f>
        <v>0</v>
      </c>
    </row>
    <row r="880" spans="2:14" x14ac:dyDescent="0.25">
      <c r="B880" s="16" t="s">
        <v>43</v>
      </c>
      <c r="C880" s="16" t="s">
        <v>1455</v>
      </c>
      <c r="D880" s="16" t="s">
        <v>1456</v>
      </c>
      <c r="E880" s="288">
        <v>0</v>
      </c>
      <c r="F880" s="288">
        <f>ROUND(IF($A880="E",E880*(1+Assumptions!C$15),E880*(1+Assumptions!C$14)),-2)</f>
        <v>0</v>
      </c>
      <c r="G880" s="288">
        <f>ROUND(IF($A880="E",F880*(1+Assumptions!D$15),F880*(1+Assumptions!D$14)),-2)</f>
        <v>0</v>
      </c>
      <c r="H880" s="288">
        <f>ROUND(IF($A880="E",G880*(1+Assumptions!E$15),G880*(1+Assumptions!E$14)),-2)</f>
        <v>0</v>
      </c>
      <c r="I880" s="288">
        <f>ROUND(IF($A880="E",H880*(1+Assumptions!F$15),H880*(1+Assumptions!F$14)),-2)</f>
        <v>0</v>
      </c>
      <c r="J880" s="288">
        <f>ROUND(IF($A880="E",I880*(1+Assumptions!G$15),I880*(1+Assumptions!G$14)),-2)</f>
        <v>0</v>
      </c>
      <c r="K880" s="288">
        <f>ROUND(IF($A880="E",J880*(1+Assumptions!H$15),J880*(1+Assumptions!H$14)),-2)</f>
        <v>0</v>
      </c>
      <c r="L880" s="288">
        <f>ROUND(IF($A880="E",K880*(1+Assumptions!I$15),K880*(1+Assumptions!I$14)),-2)</f>
        <v>0</v>
      </c>
      <c r="M880" s="288">
        <f>ROUND(IF($A880="E",L880*(1+Assumptions!J$15),L880*(1+Assumptions!J$14)),-2)</f>
        <v>0</v>
      </c>
      <c r="N880" s="288">
        <f>ROUND(IF($A880="E",M880*(1+Assumptions!K$15),M880*(1+Assumptions!K$14)),-2)</f>
        <v>0</v>
      </c>
    </row>
    <row r="881" spans="2:14" x14ac:dyDescent="0.25">
      <c r="B881" s="16" t="s">
        <v>43</v>
      </c>
      <c r="C881" s="16" t="s">
        <v>1457</v>
      </c>
      <c r="D881" s="16" t="s">
        <v>1458</v>
      </c>
      <c r="E881" s="288">
        <v>0</v>
      </c>
      <c r="F881" s="288">
        <f>ROUND(IF($A881="E",E881*(1+Assumptions!C$15),E881*(1+Assumptions!C$14)),-2)</f>
        <v>0</v>
      </c>
      <c r="G881" s="288">
        <f>ROUND(IF($A881="E",F881*(1+Assumptions!D$15),F881*(1+Assumptions!D$14)),-2)</f>
        <v>0</v>
      </c>
      <c r="H881" s="288">
        <f>ROUND(IF($A881="E",G881*(1+Assumptions!E$15),G881*(1+Assumptions!E$14)),-2)</f>
        <v>0</v>
      </c>
      <c r="I881" s="288">
        <f>ROUND(IF($A881="E",H881*(1+Assumptions!F$15),H881*(1+Assumptions!F$14)),-2)</f>
        <v>0</v>
      </c>
      <c r="J881" s="288">
        <f>ROUND(IF($A881="E",I881*(1+Assumptions!G$15),I881*(1+Assumptions!G$14)),-2)</f>
        <v>0</v>
      </c>
      <c r="K881" s="288">
        <f>ROUND(IF($A881="E",J881*(1+Assumptions!H$15),J881*(1+Assumptions!H$14)),-2)</f>
        <v>0</v>
      </c>
      <c r="L881" s="288">
        <f>ROUND(IF($A881="E",K881*(1+Assumptions!I$15),K881*(1+Assumptions!I$14)),-2)</f>
        <v>0</v>
      </c>
      <c r="M881" s="288">
        <f>ROUND(IF($A881="E",L881*(1+Assumptions!J$15),L881*(1+Assumptions!J$14)),-2)</f>
        <v>0</v>
      </c>
      <c r="N881" s="288">
        <f>ROUND(IF($A881="E",M881*(1+Assumptions!K$15),M881*(1+Assumptions!K$14)),-2)</f>
        <v>0</v>
      </c>
    </row>
    <row r="882" spans="2:14" x14ac:dyDescent="0.25">
      <c r="B882" s="16" t="s">
        <v>43</v>
      </c>
      <c r="C882" s="16" t="s">
        <v>1459</v>
      </c>
      <c r="D882" s="16" t="s">
        <v>1460</v>
      </c>
      <c r="E882" s="288">
        <v>0</v>
      </c>
      <c r="F882" s="288">
        <f>ROUND(IF($A882="E",E882*(1+Assumptions!C$15),E882*(1+Assumptions!C$14)),-2)</f>
        <v>0</v>
      </c>
      <c r="G882" s="288">
        <f>ROUND(IF($A882="E",F882*(1+Assumptions!D$15),F882*(1+Assumptions!D$14)),-2)</f>
        <v>0</v>
      </c>
      <c r="H882" s="288">
        <f>ROUND(IF($A882="E",G882*(1+Assumptions!E$15),G882*(1+Assumptions!E$14)),-2)</f>
        <v>0</v>
      </c>
      <c r="I882" s="288">
        <f>ROUND(IF($A882="E",H882*(1+Assumptions!F$15),H882*(1+Assumptions!F$14)),-2)</f>
        <v>0</v>
      </c>
      <c r="J882" s="288">
        <f>ROUND(IF($A882="E",I882*(1+Assumptions!G$15),I882*(1+Assumptions!G$14)),-2)</f>
        <v>0</v>
      </c>
      <c r="K882" s="288">
        <f>ROUND(IF($A882="E",J882*(1+Assumptions!H$15),J882*(1+Assumptions!H$14)),-2)</f>
        <v>0</v>
      </c>
      <c r="L882" s="288">
        <f>ROUND(IF($A882="E",K882*(1+Assumptions!I$15),K882*(1+Assumptions!I$14)),-2)</f>
        <v>0</v>
      </c>
      <c r="M882" s="288">
        <f>ROUND(IF($A882="E",L882*(1+Assumptions!J$15),L882*(1+Assumptions!J$14)),-2)</f>
        <v>0</v>
      </c>
      <c r="N882" s="288">
        <f>ROUND(IF($A882="E",M882*(1+Assumptions!K$15),M882*(1+Assumptions!K$14)),-2)</f>
        <v>0</v>
      </c>
    </row>
    <row r="883" spans="2:14" x14ac:dyDescent="0.25">
      <c r="B883" s="16" t="s">
        <v>43</v>
      </c>
      <c r="C883" s="16" t="s">
        <v>1461</v>
      </c>
      <c r="D883" s="16" t="s">
        <v>1462</v>
      </c>
      <c r="E883" s="289"/>
      <c r="F883" s="289"/>
      <c r="G883" s="289"/>
      <c r="H883" s="289"/>
      <c r="I883" s="289"/>
      <c r="J883" s="289"/>
      <c r="K883" s="289"/>
      <c r="L883" s="289"/>
      <c r="M883" s="289"/>
      <c r="N883" s="289"/>
    </row>
    <row r="884" spans="2:14" x14ac:dyDescent="0.25">
      <c r="B884" s="16" t="s">
        <v>43</v>
      </c>
      <c r="C884" s="16" t="s">
        <v>1463</v>
      </c>
      <c r="D884" s="16" t="s">
        <v>1464</v>
      </c>
      <c r="E884" s="288">
        <v>4400</v>
      </c>
      <c r="F884" s="288">
        <f>ROUND(IF($A884="E",E884*(1+Assumptions!C$15),E884*(1+Assumptions!C$14)),-2)</f>
        <v>4500</v>
      </c>
      <c r="G884" s="288">
        <f>ROUND(IF($A884="E",F884*(1+Assumptions!D$15),F884*(1+Assumptions!D$14)),-2)</f>
        <v>4600</v>
      </c>
      <c r="H884" s="288">
        <f>ROUND(IF($A884="E",G884*(1+Assumptions!E$15),G884*(1+Assumptions!E$14)),-2)</f>
        <v>4700</v>
      </c>
      <c r="I884" s="288">
        <f>ROUND(IF($A884="E",H884*(1+Assumptions!F$15),H884*(1+Assumptions!F$14)),-2)</f>
        <v>4800</v>
      </c>
      <c r="J884" s="288">
        <f>ROUND(IF($A884="E",I884*(1+Assumptions!G$15),I884*(1+Assumptions!G$14)),-2)</f>
        <v>4900</v>
      </c>
      <c r="K884" s="288">
        <f>ROUND(IF($A884="E",J884*(1+Assumptions!H$15),J884*(1+Assumptions!H$14)),-2)</f>
        <v>5000</v>
      </c>
      <c r="L884" s="288">
        <f>ROUND(IF($A884="E",K884*(1+Assumptions!I$15),K884*(1+Assumptions!I$14)),-2)</f>
        <v>5100</v>
      </c>
      <c r="M884" s="288">
        <f>ROUND(IF($A884="E",L884*(1+Assumptions!J$15),L884*(1+Assumptions!J$14)),-2)</f>
        <v>5200</v>
      </c>
      <c r="N884" s="288">
        <f>ROUND(IF($A884="E",M884*(1+Assumptions!K$15),M884*(1+Assumptions!K$14)),-2)</f>
        <v>5300</v>
      </c>
    </row>
    <row r="885" spans="2:14" x14ac:dyDescent="0.25">
      <c r="B885" s="16" t="s">
        <v>43</v>
      </c>
      <c r="C885" s="16" t="s">
        <v>1465</v>
      </c>
      <c r="D885" s="16" t="s">
        <v>1466</v>
      </c>
      <c r="E885" s="288">
        <v>37200</v>
      </c>
      <c r="F885" s="288">
        <f>ROUND(IF($A885="E",E885*(1+Assumptions!C$15),E885*(1+Assumptions!C$14)),-2)</f>
        <v>37800</v>
      </c>
      <c r="G885" s="288">
        <f>ROUND(IF($A885="E",F885*(1+Assumptions!D$15),F885*(1+Assumptions!D$14)),-2)</f>
        <v>38600</v>
      </c>
      <c r="H885" s="288">
        <f>ROUND(IF($A885="E",G885*(1+Assumptions!E$15),G885*(1+Assumptions!E$14)),-2)</f>
        <v>39400</v>
      </c>
      <c r="I885" s="288">
        <f>ROUND(IF($A885="E",H885*(1+Assumptions!F$15),H885*(1+Assumptions!F$14)),-2)</f>
        <v>40200</v>
      </c>
      <c r="J885" s="288">
        <f>ROUND(IF($A885="E",I885*(1+Assumptions!G$15),I885*(1+Assumptions!G$14)),-2)</f>
        <v>41000</v>
      </c>
      <c r="K885" s="288">
        <f>ROUND(IF($A885="E",J885*(1+Assumptions!H$15),J885*(1+Assumptions!H$14)),-2)</f>
        <v>41800</v>
      </c>
      <c r="L885" s="288">
        <f>ROUND(IF($A885="E",K885*(1+Assumptions!I$15),K885*(1+Assumptions!I$14)),-2)</f>
        <v>42800</v>
      </c>
      <c r="M885" s="288">
        <f>ROUND(IF($A885="E",L885*(1+Assumptions!J$15),L885*(1+Assumptions!J$14)),-2)</f>
        <v>43900</v>
      </c>
      <c r="N885" s="288">
        <f>ROUND(IF($A885="E",M885*(1+Assumptions!K$15),M885*(1+Assumptions!K$14)),-2)</f>
        <v>45000</v>
      </c>
    </row>
    <row r="886" spans="2:14" x14ac:dyDescent="0.25">
      <c r="B886" s="16" t="s">
        <v>43</v>
      </c>
      <c r="C886" s="16" t="s">
        <v>1467</v>
      </c>
      <c r="D886" s="16" t="s">
        <v>1468</v>
      </c>
      <c r="E886" s="288">
        <v>2100</v>
      </c>
      <c r="F886" s="288">
        <f>ROUND(IF($A886="E",E886*(1+Assumptions!C$15),E886*(1+Assumptions!C$14)),-2)</f>
        <v>2100</v>
      </c>
      <c r="G886" s="288">
        <f>ROUND(IF($A886="E",F886*(1+Assumptions!D$15),F886*(1+Assumptions!D$14)),-2)</f>
        <v>2100</v>
      </c>
      <c r="H886" s="288">
        <f>ROUND(IF($A886="E",G886*(1+Assumptions!E$15),G886*(1+Assumptions!E$14)),-2)</f>
        <v>2100</v>
      </c>
      <c r="I886" s="288">
        <f>ROUND(IF($A886="E",H886*(1+Assumptions!F$15),H886*(1+Assumptions!F$14)),-2)</f>
        <v>2100</v>
      </c>
      <c r="J886" s="288">
        <f>ROUND(IF($A886="E",I886*(1+Assumptions!G$15),I886*(1+Assumptions!G$14)),-2)</f>
        <v>2100</v>
      </c>
      <c r="K886" s="288">
        <f>ROUND(IF($A886="E",J886*(1+Assumptions!H$15),J886*(1+Assumptions!H$14)),-2)</f>
        <v>2100</v>
      </c>
      <c r="L886" s="288">
        <f>ROUND(IF($A886="E",K886*(1+Assumptions!I$15),K886*(1+Assumptions!I$14)),-2)</f>
        <v>2200</v>
      </c>
      <c r="M886" s="288">
        <f>ROUND(IF($A886="E",L886*(1+Assumptions!J$15),L886*(1+Assumptions!J$14)),-2)</f>
        <v>2300</v>
      </c>
      <c r="N886" s="288">
        <f>ROUND(IF($A886="E",M886*(1+Assumptions!K$15),M886*(1+Assumptions!K$14)),-2)</f>
        <v>2400</v>
      </c>
    </row>
    <row r="887" spans="2:14" x14ac:dyDescent="0.25">
      <c r="B887" s="16" t="s">
        <v>43</v>
      </c>
      <c r="C887" s="16" t="s">
        <v>1469</v>
      </c>
      <c r="D887" s="16" t="s">
        <v>1470</v>
      </c>
      <c r="E887" s="288">
        <v>50500</v>
      </c>
      <c r="F887" s="288">
        <f>ROUND(IF($A887="E",E887*(1+Assumptions!C$15),E887*(1+Assumptions!C$14)),-2)</f>
        <v>51300</v>
      </c>
      <c r="G887" s="288">
        <f>ROUND(IF($A887="E",F887*(1+Assumptions!D$15),F887*(1+Assumptions!D$14)),-2)</f>
        <v>52300</v>
      </c>
      <c r="H887" s="288">
        <f>ROUND(IF($A887="E",G887*(1+Assumptions!E$15),G887*(1+Assumptions!E$14)),-2)</f>
        <v>53300</v>
      </c>
      <c r="I887" s="288">
        <f>ROUND(IF($A887="E",H887*(1+Assumptions!F$15),H887*(1+Assumptions!F$14)),-2)</f>
        <v>54400</v>
      </c>
      <c r="J887" s="288">
        <f>ROUND(IF($A887="E",I887*(1+Assumptions!G$15),I887*(1+Assumptions!G$14)),-2)</f>
        <v>55500</v>
      </c>
      <c r="K887" s="288">
        <f>ROUND(IF($A887="E",J887*(1+Assumptions!H$15),J887*(1+Assumptions!H$14)),-2)</f>
        <v>56600</v>
      </c>
      <c r="L887" s="288">
        <f>ROUND(IF($A887="E",K887*(1+Assumptions!I$15),K887*(1+Assumptions!I$14)),-2)</f>
        <v>58000</v>
      </c>
      <c r="M887" s="288">
        <f>ROUND(IF($A887="E",L887*(1+Assumptions!J$15),L887*(1+Assumptions!J$14)),-2)</f>
        <v>59500</v>
      </c>
      <c r="N887" s="288">
        <f>ROUND(IF($A887="E",M887*(1+Assumptions!K$15),M887*(1+Assumptions!K$14)),-2)</f>
        <v>61000</v>
      </c>
    </row>
    <row r="888" spans="2:14" x14ac:dyDescent="0.25">
      <c r="B888" s="16" t="s">
        <v>43</v>
      </c>
      <c r="C888" s="16" t="s">
        <v>1471</v>
      </c>
      <c r="D888" s="16" t="s">
        <v>1472</v>
      </c>
      <c r="E888" s="288">
        <v>5900</v>
      </c>
      <c r="F888" s="288">
        <f>ROUND(IF($A888="E",E888*(1+Assumptions!C$15),E888*(1+Assumptions!C$14)),-2)</f>
        <v>6000</v>
      </c>
      <c r="G888" s="288">
        <f>ROUND(IF($A888="E",F888*(1+Assumptions!D$15),F888*(1+Assumptions!D$14)),-2)</f>
        <v>6100</v>
      </c>
      <c r="H888" s="288">
        <f>ROUND(IF($A888="E",G888*(1+Assumptions!E$15),G888*(1+Assumptions!E$14)),-2)</f>
        <v>6200</v>
      </c>
      <c r="I888" s="288">
        <f>ROUND(IF($A888="E",H888*(1+Assumptions!F$15),H888*(1+Assumptions!F$14)),-2)</f>
        <v>6300</v>
      </c>
      <c r="J888" s="288">
        <f>ROUND(IF($A888="E",I888*(1+Assumptions!G$15),I888*(1+Assumptions!G$14)),-2)</f>
        <v>6400</v>
      </c>
      <c r="K888" s="288">
        <f>ROUND(IF($A888="E",J888*(1+Assumptions!H$15),J888*(1+Assumptions!H$14)),-2)</f>
        <v>6500</v>
      </c>
      <c r="L888" s="288">
        <f>ROUND(IF($A888="E",K888*(1+Assumptions!I$15),K888*(1+Assumptions!I$14)),-2)</f>
        <v>6700</v>
      </c>
      <c r="M888" s="288">
        <f>ROUND(IF($A888="E",L888*(1+Assumptions!J$15),L888*(1+Assumptions!J$14)),-2)</f>
        <v>6900</v>
      </c>
      <c r="N888" s="288">
        <f>ROUND(IF($A888="E",M888*(1+Assumptions!K$15),M888*(1+Assumptions!K$14)),-2)</f>
        <v>7100</v>
      </c>
    </row>
    <row r="889" spans="2:14" x14ac:dyDescent="0.25">
      <c r="B889" s="16" t="s">
        <v>43</v>
      </c>
      <c r="C889" s="16" t="s">
        <v>1473</v>
      </c>
      <c r="D889" s="16" t="s">
        <v>1474</v>
      </c>
      <c r="E889" s="288">
        <v>10200</v>
      </c>
      <c r="F889" s="288">
        <f>ROUND(IF($A889="E",E889*(1+Assumptions!C$15),E889*(1+Assumptions!C$14)),-2)</f>
        <v>10400</v>
      </c>
      <c r="G889" s="288">
        <f>ROUND(IF($A889="E",F889*(1+Assumptions!D$15),F889*(1+Assumptions!D$14)),-2)</f>
        <v>10600</v>
      </c>
      <c r="H889" s="288">
        <f>ROUND(IF($A889="E",G889*(1+Assumptions!E$15),G889*(1+Assumptions!E$14)),-2)</f>
        <v>10800</v>
      </c>
      <c r="I889" s="288">
        <f>ROUND(IF($A889="E",H889*(1+Assumptions!F$15),H889*(1+Assumptions!F$14)),-2)</f>
        <v>11000</v>
      </c>
      <c r="J889" s="288">
        <f>ROUND(IF($A889="E",I889*(1+Assumptions!G$15),I889*(1+Assumptions!G$14)),-2)</f>
        <v>11200</v>
      </c>
      <c r="K889" s="288">
        <f>ROUND(IF($A889="E",J889*(1+Assumptions!H$15),J889*(1+Assumptions!H$14)),-2)</f>
        <v>11400</v>
      </c>
      <c r="L889" s="288">
        <f>ROUND(IF($A889="E",K889*(1+Assumptions!I$15),K889*(1+Assumptions!I$14)),-2)</f>
        <v>11700</v>
      </c>
      <c r="M889" s="288">
        <f>ROUND(IF($A889="E",L889*(1+Assumptions!J$15),L889*(1+Assumptions!J$14)),-2)</f>
        <v>12000</v>
      </c>
      <c r="N889" s="288">
        <f>ROUND(IF($A889="E",M889*(1+Assumptions!K$15),M889*(1+Assumptions!K$14)),-2)</f>
        <v>12300</v>
      </c>
    </row>
    <row r="890" spans="2:14" x14ac:dyDescent="0.25">
      <c r="B890" s="16" t="s">
        <v>43</v>
      </c>
      <c r="C890" s="16" t="s">
        <v>1475</v>
      </c>
      <c r="D890" s="16" t="s">
        <v>1476</v>
      </c>
      <c r="E890" s="288">
        <v>11400</v>
      </c>
      <c r="F890" s="288">
        <f>ROUND(IF($A890="E",E890*(1+Assumptions!C$15),E890*(1+Assumptions!C$14)),-2)</f>
        <v>11600</v>
      </c>
      <c r="G890" s="288">
        <f>ROUND(IF($A890="E",F890*(1+Assumptions!D$15),F890*(1+Assumptions!D$14)),-2)</f>
        <v>11800</v>
      </c>
      <c r="H890" s="288">
        <f>ROUND(IF($A890="E",G890*(1+Assumptions!E$15),G890*(1+Assumptions!E$14)),-2)</f>
        <v>12000</v>
      </c>
      <c r="I890" s="288">
        <f>ROUND(IF($A890="E",H890*(1+Assumptions!F$15),H890*(1+Assumptions!F$14)),-2)</f>
        <v>12200</v>
      </c>
      <c r="J890" s="288">
        <f>ROUND(IF($A890="E",I890*(1+Assumptions!G$15),I890*(1+Assumptions!G$14)),-2)</f>
        <v>12400</v>
      </c>
      <c r="K890" s="288">
        <f>ROUND(IF($A890="E",J890*(1+Assumptions!H$15),J890*(1+Assumptions!H$14)),-2)</f>
        <v>12600</v>
      </c>
      <c r="L890" s="288">
        <f>ROUND(IF($A890="E",K890*(1+Assumptions!I$15),K890*(1+Assumptions!I$14)),-2)</f>
        <v>12900</v>
      </c>
      <c r="M890" s="288">
        <f>ROUND(IF($A890="E",L890*(1+Assumptions!J$15),L890*(1+Assumptions!J$14)),-2)</f>
        <v>13200</v>
      </c>
      <c r="N890" s="288">
        <f>ROUND(IF($A890="E",M890*(1+Assumptions!K$15),M890*(1+Assumptions!K$14)),-2)</f>
        <v>13500</v>
      </c>
    </row>
    <row r="891" spans="2:14" x14ac:dyDescent="0.25">
      <c r="B891" s="16" t="s">
        <v>43</v>
      </c>
      <c r="C891" s="16" t="s">
        <v>1477</v>
      </c>
      <c r="D891" s="16" t="s">
        <v>1478</v>
      </c>
      <c r="E891" s="288">
        <v>1400</v>
      </c>
      <c r="F891" s="288">
        <f>ROUND(IF($A891="E",E891*(1+Assumptions!C$15),E891*(1+Assumptions!C$14)),-2)</f>
        <v>1400</v>
      </c>
      <c r="G891" s="288">
        <f>ROUND(IF($A891="E",F891*(1+Assumptions!D$15),F891*(1+Assumptions!D$14)),-2)</f>
        <v>1400</v>
      </c>
      <c r="H891" s="288">
        <f>ROUND(IF($A891="E",G891*(1+Assumptions!E$15),G891*(1+Assumptions!E$14)),-2)</f>
        <v>1400</v>
      </c>
      <c r="I891" s="288">
        <f>ROUND(IF($A891="E",H891*(1+Assumptions!F$15),H891*(1+Assumptions!F$14)),-2)</f>
        <v>1400</v>
      </c>
      <c r="J891" s="288">
        <f>ROUND(IF($A891="E",I891*(1+Assumptions!G$15),I891*(1+Assumptions!G$14)),-2)</f>
        <v>1400</v>
      </c>
      <c r="K891" s="288">
        <f>ROUND(IF($A891="E",J891*(1+Assumptions!H$15),J891*(1+Assumptions!H$14)),-2)</f>
        <v>1400</v>
      </c>
      <c r="L891" s="288">
        <f>ROUND(IF($A891="E",K891*(1+Assumptions!I$15),K891*(1+Assumptions!I$14)),-2)</f>
        <v>1400</v>
      </c>
      <c r="M891" s="288">
        <f>ROUND(IF($A891="E",L891*(1+Assumptions!J$15),L891*(1+Assumptions!J$14)),-2)</f>
        <v>1400</v>
      </c>
      <c r="N891" s="288">
        <f>ROUND(IF($A891="E",M891*(1+Assumptions!K$15),M891*(1+Assumptions!K$14)),-2)</f>
        <v>1400</v>
      </c>
    </row>
    <row r="892" spans="2:14" x14ac:dyDescent="0.25">
      <c r="B892" s="16" t="s">
        <v>43</v>
      </c>
      <c r="C892" s="16" t="s">
        <v>1479</v>
      </c>
      <c r="D892" s="16" t="s">
        <v>1480</v>
      </c>
      <c r="E892" s="288">
        <v>2100</v>
      </c>
      <c r="F892" s="288">
        <f>ROUND(IF($A892="E",E892*(1+Assumptions!C$15),E892*(1+Assumptions!C$14)),-2)</f>
        <v>2100</v>
      </c>
      <c r="G892" s="288">
        <f>ROUND(IF($A892="E",F892*(1+Assumptions!D$15),F892*(1+Assumptions!D$14)),-2)</f>
        <v>2100</v>
      </c>
      <c r="H892" s="288">
        <f>ROUND(IF($A892="E",G892*(1+Assumptions!E$15),G892*(1+Assumptions!E$14)),-2)</f>
        <v>2100</v>
      </c>
      <c r="I892" s="288">
        <f>ROUND(IF($A892="E",H892*(1+Assumptions!F$15),H892*(1+Assumptions!F$14)),-2)</f>
        <v>2100</v>
      </c>
      <c r="J892" s="288">
        <f>ROUND(IF($A892="E",I892*(1+Assumptions!G$15),I892*(1+Assumptions!G$14)),-2)</f>
        <v>2100</v>
      </c>
      <c r="K892" s="288">
        <f>ROUND(IF($A892="E",J892*(1+Assumptions!H$15),J892*(1+Assumptions!H$14)),-2)</f>
        <v>2100</v>
      </c>
      <c r="L892" s="288">
        <f>ROUND(IF($A892="E",K892*(1+Assumptions!I$15),K892*(1+Assumptions!I$14)),-2)</f>
        <v>2200</v>
      </c>
      <c r="M892" s="288">
        <f>ROUND(IF($A892="E",L892*(1+Assumptions!J$15),L892*(1+Assumptions!J$14)),-2)</f>
        <v>2300</v>
      </c>
      <c r="N892" s="288">
        <f>ROUND(IF($A892="E",M892*(1+Assumptions!K$15),M892*(1+Assumptions!K$14)),-2)</f>
        <v>2400</v>
      </c>
    </row>
    <row r="893" spans="2:14" x14ac:dyDescent="0.25">
      <c r="B893" s="16" t="s">
        <v>43</v>
      </c>
      <c r="C893" s="16" t="s">
        <v>1481</v>
      </c>
      <c r="D893" s="16" t="s">
        <v>1482</v>
      </c>
      <c r="E893" s="288">
        <v>13500</v>
      </c>
      <c r="F893" s="288">
        <f>ROUND(IF($A893="E",E893*(1+Assumptions!C$15),E893*(1+Assumptions!C$14)),-2)</f>
        <v>13700</v>
      </c>
      <c r="G893" s="288">
        <f>ROUND(IF($A893="E",F893*(1+Assumptions!D$15),F893*(1+Assumptions!D$14)),-2)</f>
        <v>14000</v>
      </c>
      <c r="H893" s="288">
        <f>ROUND(IF($A893="E",G893*(1+Assumptions!E$15),G893*(1+Assumptions!E$14)),-2)</f>
        <v>14300</v>
      </c>
      <c r="I893" s="288">
        <f>ROUND(IF($A893="E",H893*(1+Assumptions!F$15),H893*(1+Assumptions!F$14)),-2)</f>
        <v>14600</v>
      </c>
      <c r="J893" s="288">
        <f>ROUND(IF($A893="E",I893*(1+Assumptions!G$15),I893*(1+Assumptions!G$14)),-2)</f>
        <v>14900</v>
      </c>
      <c r="K893" s="288">
        <f>ROUND(IF($A893="E",J893*(1+Assumptions!H$15),J893*(1+Assumptions!H$14)),-2)</f>
        <v>15200</v>
      </c>
      <c r="L893" s="288">
        <f>ROUND(IF($A893="E",K893*(1+Assumptions!I$15),K893*(1+Assumptions!I$14)),-2)</f>
        <v>15600</v>
      </c>
      <c r="M893" s="288">
        <f>ROUND(IF($A893="E",L893*(1+Assumptions!J$15),L893*(1+Assumptions!J$14)),-2)</f>
        <v>16000</v>
      </c>
      <c r="N893" s="288">
        <f>ROUND(IF($A893="E",M893*(1+Assumptions!K$15),M893*(1+Assumptions!K$14)),-2)</f>
        <v>16400</v>
      </c>
    </row>
    <row r="894" spans="2:14" x14ac:dyDescent="0.25">
      <c r="B894" s="16" t="s">
        <v>43</v>
      </c>
      <c r="C894" s="16" t="s">
        <v>1483</v>
      </c>
      <c r="D894" s="16" t="s">
        <v>1484</v>
      </c>
      <c r="E894" s="288">
        <v>3500</v>
      </c>
      <c r="F894" s="288">
        <f>ROUND(IF($A894="E",E894*(1+Assumptions!C$15),E894*(1+Assumptions!C$14)),-2)</f>
        <v>3600</v>
      </c>
      <c r="G894" s="288">
        <f>ROUND(IF($A894="E",F894*(1+Assumptions!D$15),F894*(1+Assumptions!D$14)),-2)</f>
        <v>3700</v>
      </c>
      <c r="H894" s="288">
        <f>ROUND(IF($A894="E",G894*(1+Assumptions!E$15),G894*(1+Assumptions!E$14)),-2)</f>
        <v>3800</v>
      </c>
      <c r="I894" s="288">
        <f>ROUND(IF($A894="E",H894*(1+Assumptions!F$15),H894*(1+Assumptions!F$14)),-2)</f>
        <v>3900</v>
      </c>
      <c r="J894" s="288">
        <f>ROUND(IF($A894="E",I894*(1+Assumptions!G$15),I894*(1+Assumptions!G$14)),-2)</f>
        <v>4000</v>
      </c>
      <c r="K894" s="288">
        <f>ROUND(IF($A894="E",J894*(1+Assumptions!H$15),J894*(1+Assumptions!H$14)),-2)</f>
        <v>4100</v>
      </c>
      <c r="L894" s="288">
        <f>ROUND(IF($A894="E",K894*(1+Assumptions!I$15),K894*(1+Assumptions!I$14)),-2)</f>
        <v>4200</v>
      </c>
      <c r="M894" s="288">
        <f>ROUND(IF($A894="E",L894*(1+Assumptions!J$15),L894*(1+Assumptions!J$14)),-2)</f>
        <v>4300</v>
      </c>
      <c r="N894" s="288">
        <f>ROUND(IF($A894="E",M894*(1+Assumptions!K$15),M894*(1+Assumptions!K$14)),-2)</f>
        <v>4400</v>
      </c>
    </row>
    <row r="895" spans="2:14" x14ac:dyDescent="0.25">
      <c r="B895" s="16" t="s">
        <v>43</v>
      </c>
      <c r="C895" s="16" t="s">
        <v>1485</v>
      </c>
      <c r="D895" s="16" t="s">
        <v>1486</v>
      </c>
      <c r="E895" s="288">
        <v>800</v>
      </c>
      <c r="F895" s="288">
        <f>ROUND(IF($A895="E",E895*(1+Assumptions!C$15),E895*(1+Assumptions!C$14)),-2)</f>
        <v>800</v>
      </c>
      <c r="G895" s="288">
        <f>ROUND(IF($A895="E",F895*(1+Assumptions!D$15),F895*(1+Assumptions!D$14)),-2)</f>
        <v>800</v>
      </c>
      <c r="H895" s="288">
        <f>ROUND(IF($A895="E",G895*(1+Assumptions!E$15),G895*(1+Assumptions!E$14)),-2)</f>
        <v>800</v>
      </c>
      <c r="I895" s="288">
        <f>ROUND(IF($A895="E",H895*(1+Assumptions!F$15),H895*(1+Assumptions!F$14)),-2)</f>
        <v>800</v>
      </c>
      <c r="J895" s="288">
        <f>ROUND(IF($A895="E",I895*(1+Assumptions!G$15),I895*(1+Assumptions!G$14)),-2)</f>
        <v>800</v>
      </c>
      <c r="K895" s="288">
        <f>ROUND(IF($A895="E",J895*(1+Assumptions!H$15),J895*(1+Assumptions!H$14)),-2)</f>
        <v>800</v>
      </c>
      <c r="L895" s="288">
        <f>ROUND(IF($A895="E",K895*(1+Assumptions!I$15),K895*(1+Assumptions!I$14)),-2)</f>
        <v>800</v>
      </c>
      <c r="M895" s="288">
        <f>ROUND(IF($A895="E",L895*(1+Assumptions!J$15),L895*(1+Assumptions!J$14)),-2)</f>
        <v>800</v>
      </c>
      <c r="N895" s="288">
        <f>ROUND(IF($A895="E",M895*(1+Assumptions!K$15),M895*(1+Assumptions!K$14)),-2)</f>
        <v>800</v>
      </c>
    </row>
    <row r="896" spans="2:14" x14ac:dyDescent="0.25">
      <c r="B896" s="16" t="s">
        <v>43</v>
      </c>
      <c r="C896" s="16" t="s">
        <v>1487</v>
      </c>
      <c r="D896" s="16" t="s">
        <v>1488</v>
      </c>
      <c r="E896" s="288">
        <v>0</v>
      </c>
      <c r="F896" s="288">
        <f>ROUND(IF($A896="E",E896*(1+Assumptions!C$15),E896*(1+Assumptions!C$14)),-2)</f>
        <v>0</v>
      </c>
      <c r="G896" s="288">
        <f>ROUND(IF($A896="E",F896*(1+Assumptions!D$15),F896*(1+Assumptions!D$14)),-2)</f>
        <v>0</v>
      </c>
      <c r="H896" s="288">
        <f>ROUND(IF($A896="E",G896*(1+Assumptions!E$15),G896*(1+Assumptions!E$14)),-2)</f>
        <v>0</v>
      </c>
      <c r="I896" s="288">
        <f>ROUND(IF($A896="E",H896*(1+Assumptions!F$15),H896*(1+Assumptions!F$14)),-2)</f>
        <v>0</v>
      </c>
      <c r="J896" s="288">
        <f>ROUND(IF($A896="E",I896*(1+Assumptions!G$15),I896*(1+Assumptions!G$14)),-2)</f>
        <v>0</v>
      </c>
      <c r="K896" s="288">
        <f>ROUND(IF($A896="E",J896*(1+Assumptions!H$15),J896*(1+Assumptions!H$14)),-2)</f>
        <v>0</v>
      </c>
      <c r="L896" s="288">
        <f>ROUND(IF($A896="E",K896*(1+Assumptions!I$15),K896*(1+Assumptions!I$14)),-2)</f>
        <v>0</v>
      </c>
      <c r="M896" s="288">
        <f>ROUND(IF($A896="E",L896*(1+Assumptions!J$15),L896*(1+Assumptions!J$14)),-2)</f>
        <v>0</v>
      </c>
      <c r="N896" s="288">
        <f>ROUND(IF($A896="E",M896*(1+Assumptions!K$15),M896*(1+Assumptions!K$14)),-2)</f>
        <v>0</v>
      </c>
    </row>
    <row r="897" spans="1:14" x14ac:dyDescent="0.25">
      <c r="B897" s="16" t="s">
        <v>43</v>
      </c>
      <c r="C897" s="16" t="s">
        <v>1489</v>
      </c>
      <c r="D897" s="16" t="s">
        <v>1490</v>
      </c>
      <c r="E897" s="288">
        <v>0</v>
      </c>
      <c r="F897" s="288">
        <f>ROUND(IF($A897="E",E897*(1+Assumptions!C$15),E897*(1+Assumptions!C$14)),-2)</f>
        <v>0</v>
      </c>
      <c r="G897" s="288">
        <f>ROUND(IF($A897="E",F897*(1+Assumptions!D$15),F897*(1+Assumptions!D$14)),-2)</f>
        <v>0</v>
      </c>
      <c r="H897" s="288">
        <f>ROUND(IF($A897="E",G897*(1+Assumptions!E$15),G897*(1+Assumptions!E$14)),-2)</f>
        <v>0</v>
      </c>
      <c r="I897" s="288">
        <f>ROUND(IF($A897="E",H897*(1+Assumptions!F$15),H897*(1+Assumptions!F$14)),-2)</f>
        <v>0</v>
      </c>
      <c r="J897" s="288">
        <f>ROUND(IF($A897="E",I897*(1+Assumptions!G$15),I897*(1+Assumptions!G$14)),-2)</f>
        <v>0</v>
      </c>
      <c r="K897" s="288">
        <f>ROUND(IF($A897="E",J897*(1+Assumptions!H$15),J897*(1+Assumptions!H$14)),-2)</f>
        <v>0</v>
      </c>
      <c r="L897" s="288">
        <f>ROUND(IF($A897="E",K897*(1+Assumptions!I$15),K897*(1+Assumptions!I$14)),-2)</f>
        <v>0</v>
      </c>
      <c r="M897" s="288">
        <f>ROUND(IF($A897="E",L897*(1+Assumptions!J$15),L897*(1+Assumptions!J$14)),-2)</f>
        <v>0</v>
      </c>
      <c r="N897" s="288">
        <f>ROUND(IF($A897="E",M897*(1+Assumptions!K$15),M897*(1+Assumptions!K$14)),-2)</f>
        <v>0</v>
      </c>
    </row>
    <row r="898" spans="1:14" x14ac:dyDescent="0.25">
      <c r="B898" s="16" t="s">
        <v>43</v>
      </c>
      <c r="C898" s="16" t="s">
        <v>1491</v>
      </c>
      <c r="D898" s="16" t="s">
        <v>1492</v>
      </c>
      <c r="E898" s="288">
        <v>4100</v>
      </c>
      <c r="F898" s="288">
        <f>ROUND(IF($A898="E",E898*(1+Assumptions!C$15),E898*(1+Assumptions!C$14)),-2)</f>
        <v>4200</v>
      </c>
      <c r="G898" s="288">
        <f>ROUND(IF($A898="E",F898*(1+Assumptions!D$15),F898*(1+Assumptions!D$14)),-2)</f>
        <v>4300</v>
      </c>
      <c r="H898" s="288">
        <f>ROUND(IF($A898="E",G898*(1+Assumptions!E$15),G898*(1+Assumptions!E$14)),-2)</f>
        <v>4400</v>
      </c>
      <c r="I898" s="288">
        <f>ROUND(IF($A898="E",H898*(1+Assumptions!F$15),H898*(1+Assumptions!F$14)),-2)</f>
        <v>4500</v>
      </c>
      <c r="J898" s="288">
        <f>ROUND(IF($A898="E",I898*(1+Assumptions!G$15),I898*(1+Assumptions!G$14)),-2)</f>
        <v>4600</v>
      </c>
      <c r="K898" s="288">
        <f>ROUND(IF($A898="E",J898*(1+Assumptions!H$15),J898*(1+Assumptions!H$14)),-2)</f>
        <v>4700</v>
      </c>
      <c r="L898" s="288">
        <f>ROUND(IF($A898="E",K898*(1+Assumptions!I$15),K898*(1+Assumptions!I$14)),-2)</f>
        <v>4800</v>
      </c>
      <c r="M898" s="288">
        <f>ROUND(IF($A898="E",L898*(1+Assumptions!J$15),L898*(1+Assumptions!J$14)),-2)</f>
        <v>4900</v>
      </c>
      <c r="N898" s="288">
        <f>ROUND(IF($A898="E",M898*(1+Assumptions!K$15),M898*(1+Assumptions!K$14)),-2)</f>
        <v>5000</v>
      </c>
    </row>
    <row r="899" spans="1:14" x14ac:dyDescent="0.25">
      <c r="B899" s="16" t="s">
        <v>43</v>
      </c>
      <c r="C899" s="16" t="s">
        <v>1493</v>
      </c>
      <c r="D899" s="16" t="s">
        <v>1494</v>
      </c>
      <c r="E899" s="288">
        <v>1100</v>
      </c>
      <c r="F899" s="288">
        <f>ROUND(IF($A899="E",E899*(1+Assumptions!C$15),E899*(1+Assumptions!C$14)),-2)</f>
        <v>1100</v>
      </c>
      <c r="G899" s="288">
        <f>ROUND(IF($A899="E",F899*(1+Assumptions!D$15),F899*(1+Assumptions!D$14)),-2)</f>
        <v>1100</v>
      </c>
      <c r="H899" s="288">
        <f>ROUND(IF($A899="E",G899*(1+Assumptions!E$15),G899*(1+Assumptions!E$14)),-2)</f>
        <v>1100</v>
      </c>
      <c r="I899" s="288">
        <f>ROUND(IF($A899="E",H899*(1+Assumptions!F$15),H899*(1+Assumptions!F$14)),-2)</f>
        <v>1100</v>
      </c>
      <c r="J899" s="288">
        <f>ROUND(IF($A899="E",I899*(1+Assumptions!G$15),I899*(1+Assumptions!G$14)),-2)</f>
        <v>1100</v>
      </c>
      <c r="K899" s="288">
        <f>ROUND(IF($A899="E",J899*(1+Assumptions!H$15),J899*(1+Assumptions!H$14)),-2)</f>
        <v>1100</v>
      </c>
      <c r="L899" s="288">
        <f>ROUND(IF($A899="E",K899*(1+Assumptions!I$15),K899*(1+Assumptions!I$14)),-2)</f>
        <v>1100</v>
      </c>
      <c r="M899" s="288">
        <f>ROUND(IF($A899="E",L899*(1+Assumptions!J$15),L899*(1+Assumptions!J$14)),-2)</f>
        <v>1100</v>
      </c>
      <c r="N899" s="288">
        <f>ROUND(IF($A899="E",M899*(1+Assumptions!K$15),M899*(1+Assumptions!K$14)),-2)</f>
        <v>1100</v>
      </c>
    </row>
    <row r="900" spans="1:14" x14ac:dyDescent="0.25">
      <c r="B900" s="16" t="s">
        <v>43</v>
      </c>
      <c r="C900" s="16" t="s">
        <v>1495</v>
      </c>
      <c r="D900" s="16" t="s">
        <v>1496</v>
      </c>
      <c r="E900" s="289"/>
      <c r="F900" s="289"/>
      <c r="G900" s="289"/>
      <c r="H900" s="289"/>
      <c r="I900" s="289"/>
      <c r="J900" s="289"/>
      <c r="K900" s="289"/>
      <c r="L900" s="289"/>
      <c r="M900" s="289"/>
      <c r="N900" s="289"/>
    </row>
    <row r="901" spans="1:14" x14ac:dyDescent="0.25">
      <c r="B901" s="16" t="s">
        <v>43</v>
      </c>
      <c r="C901" s="16" t="s">
        <v>1497</v>
      </c>
      <c r="D901" s="16" t="s">
        <v>1498</v>
      </c>
      <c r="E901" s="288">
        <v>3000</v>
      </c>
      <c r="F901" s="288">
        <f>ROUND(IF($A901="E",E901*(1+Assumptions!C$15),E901*(1+Assumptions!C$14)),-2)</f>
        <v>3000</v>
      </c>
      <c r="G901" s="288">
        <f>ROUND(IF($A901="E",F901*(1+Assumptions!D$15),F901*(1+Assumptions!D$14)),-2)</f>
        <v>3100</v>
      </c>
      <c r="H901" s="288">
        <f>ROUND(IF($A901="E",G901*(1+Assumptions!E$15),G901*(1+Assumptions!E$14)),-2)</f>
        <v>3200</v>
      </c>
      <c r="I901" s="288">
        <f>ROUND(IF($A901="E",H901*(1+Assumptions!F$15),H901*(1+Assumptions!F$14)),-2)</f>
        <v>3300</v>
      </c>
      <c r="J901" s="288">
        <f>ROUND(IF($A901="E",I901*(1+Assumptions!G$15),I901*(1+Assumptions!G$14)),-2)</f>
        <v>3400</v>
      </c>
      <c r="K901" s="288">
        <f>ROUND(IF($A901="E",J901*(1+Assumptions!H$15),J901*(1+Assumptions!H$14)),-2)</f>
        <v>3500</v>
      </c>
      <c r="L901" s="288">
        <f>ROUND(IF($A901="E",K901*(1+Assumptions!I$15),K901*(1+Assumptions!I$14)),-2)</f>
        <v>3600</v>
      </c>
      <c r="M901" s="288">
        <f>ROUND(IF($A901="E",L901*(1+Assumptions!J$15),L901*(1+Assumptions!J$14)),-2)</f>
        <v>3700</v>
      </c>
      <c r="N901" s="288">
        <f>ROUND(IF($A901="E",M901*(1+Assumptions!K$15),M901*(1+Assumptions!K$14)),-2)</f>
        <v>3800</v>
      </c>
    </row>
    <row r="902" spans="1:14" x14ac:dyDescent="0.25">
      <c r="B902" s="16" t="s">
        <v>43</v>
      </c>
      <c r="C902" s="16" t="s">
        <v>1499</v>
      </c>
      <c r="D902" s="16" t="s">
        <v>1500</v>
      </c>
      <c r="E902" s="289"/>
      <c r="F902" s="289"/>
      <c r="G902" s="289"/>
      <c r="H902" s="289"/>
      <c r="I902" s="289"/>
      <c r="J902" s="289"/>
      <c r="K902" s="289"/>
      <c r="L902" s="289"/>
      <c r="M902" s="289"/>
      <c r="N902" s="289"/>
    </row>
    <row r="903" spans="1:14" x14ac:dyDescent="0.25">
      <c r="B903" s="16" t="s">
        <v>43</v>
      </c>
      <c r="C903" s="16" t="s">
        <v>1501</v>
      </c>
      <c r="D903" s="16" t="s">
        <v>1502</v>
      </c>
      <c r="E903" s="288">
        <v>0</v>
      </c>
      <c r="F903" s="288">
        <f>ROUND(IF($A903="E",E903*(1+Assumptions!C$15),E903*(1+Assumptions!C$14)),-2)</f>
        <v>0</v>
      </c>
      <c r="G903" s="288">
        <f>ROUND(IF($A903="E",F903*(1+Assumptions!D$15),F903*(1+Assumptions!D$14)),-2)</f>
        <v>0</v>
      </c>
      <c r="H903" s="288">
        <f>ROUND(IF($A903="E",G903*(1+Assumptions!E$15),G903*(1+Assumptions!E$14)),-2)</f>
        <v>0</v>
      </c>
      <c r="I903" s="288">
        <f>ROUND(IF($A903="E",H903*(1+Assumptions!F$15),H903*(1+Assumptions!F$14)),-2)</f>
        <v>0</v>
      </c>
      <c r="J903" s="288">
        <f>ROUND(IF($A903="E",I903*(1+Assumptions!G$15),I903*(1+Assumptions!G$14)),-2)</f>
        <v>0</v>
      </c>
      <c r="K903" s="288">
        <f>ROUND(IF($A903="E",J903*(1+Assumptions!H$15),J903*(1+Assumptions!H$14)),-2)</f>
        <v>0</v>
      </c>
      <c r="L903" s="288">
        <f>ROUND(IF($A903="E",K903*(1+Assumptions!I$15),K903*(1+Assumptions!I$14)),-2)</f>
        <v>0</v>
      </c>
      <c r="M903" s="288">
        <f>ROUND(IF($A903="E",L903*(1+Assumptions!J$15),L903*(1+Assumptions!J$14)),-2)</f>
        <v>0</v>
      </c>
      <c r="N903" s="288">
        <f>ROUND(IF($A903="E",M903*(1+Assumptions!K$15),M903*(1+Assumptions!K$14)),-2)</f>
        <v>0</v>
      </c>
    </row>
    <row r="904" spans="1:14" x14ac:dyDescent="0.25">
      <c r="B904" s="16" t="s">
        <v>42</v>
      </c>
      <c r="C904" s="16" t="s">
        <v>1503</v>
      </c>
      <c r="D904" s="16" t="s">
        <v>404</v>
      </c>
      <c r="E904" s="289"/>
      <c r="F904" s="289"/>
      <c r="G904" s="289"/>
      <c r="H904" s="289"/>
      <c r="I904" s="289"/>
      <c r="J904" s="289"/>
      <c r="K904" s="289"/>
      <c r="L904" s="289"/>
      <c r="M904" s="289"/>
      <c r="N904" s="289"/>
    </row>
    <row r="905" spans="1:14" x14ac:dyDescent="0.25">
      <c r="B905" s="16" t="s">
        <v>42</v>
      </c>
      <c r="C905" s="16" t="s">
        <v>1504</v>
      </c>
      <c r="D905" s="16" t="s">
        <v>406</v>
      </c>
      <c r="E905" s="302">
        <v>150300</v>
      </c>
      <c r="F905" s="302">
        <f>ROUND(loans!U41,-2)</f>
        <v>243600</v>
      </c>
      <c r="G905" s="302">
        <f>ROUND(loans!Y41,-2)</f>
        <v>334800</v>
      </c>
      <c r="H905" s="302">
        <f>ROUND(loans!AC41,-2)</f>
        <v>424000</v>
      </c>
      <c r="I905" s="302">
        <f>ROUND(loans!AG41,-2)</f>
        <v>411500</v>
      </c>
      <c r="J905" s="302">
        <f>ROUND(loans!AK41,-2)</f>
        <v>399000</v>
      </c>
      <c r="K905" s="302">
        <f>ROUND(loans!AO41,-2)</f>
        <v>385700</v>
      </c>
      <c r="L905" s="302">
        <f>ROUND(loans!AS41,-2)</f>
        <v>371800</v>
      </c>
      <c r="M905" s="302">
        <f>ROUND(loans!AW41,-2)</f>
        <v>356900</v>
      </c>
      <c r="N905" s="302">
        <f>ROUND(loans!BA41,-2)</f>
        <v>338000</v>
      </c>
    </row>
    <row r="906" spans="1:14" x14ac:dyDescent="0.25">
      <c r="B906" s="16" t="s">
        <v>43</v>
      </c>
      <c r="C906" s="16" t="s">
        <v>1505</v>
      </c>
      <c r="D906" s="16" t="s">
        <v>187</v>
      </c>
      <c r="E906" s="289"/>
      <c r="F906" s="289"/>
      <c r="G906" s="289"/>
      <c r="H906" s="289"/>
      <c r="I906" s="289"/>
      <c r="J906" s="289"/>
      <c r="K906" s="289"/>
      <c r="L906" s="289"/>
      <c r="M906" s="289"/>
      <c r="N906" s="289"/>
    </row>
    <row r="907" spans="1:14" x14ac:dyDescent="0.25">
      <c r="B907" s="16" t="s">
        <v>43</v>
      </c>
      <c r="C907" s="16" t="s">
        <v>1506</v>
      </c>
      <c r="D907" s="16" t="s">
        <v>193</v>
      </c>
      <c r="E907" s="288">
        <v>2073700</v>
      </c>
      <c r="F907" s="288">
        <f>ROUND(IF($A907="E",E907*(1+Assumptions!C$15),E907*(1+Assumptions!C$14)),-2)</f>
        <v>2104800</v>
      </c>
      <c r="G907" s="288">
        <f>ROUND(IF($A907="E",F907*(1+Assumptions!D$15),F907*(1+Assumptions!D$14)),-2)</f>
        <v>2146900</v>
      </c>
      <c r="H907" s="288">
        <f>ROUND(IF($A907="E",G907*(1+Assumptions!E$15),G907*(1+Assumptions!E$14)),-2)</f>
        <v>2189800</v>
      </c>
      <c r="I907" s="288">
        <f>ROUND(IF($A907="E",H907*(1+Assumptions!F$15),H907*(1+Assumptions!F$14)),-2)</f>
        <v>2233600</v>
      </c>
      <c r="J907" s="288">
        <f>ROUND(IF($A907="E",I907*(1+Assumptions!G$15),I907*(1+Assumptions!G$14)),-2)</f>
        <v>2278300</v>
      </c>
      <c r="K907" s="288">
        <f>ROUND(IF($A907="E",J907*(1+Assumptions!H$15),J907*(1+Assumptions!H$14)),-2)</f>
        <v>2323900</v>
      </c>
      <c r="L907" s="288">
        <f>ROUND(IF($A907="E",K907*(1+Assumptions!I$15),K907*(1+Assumptions!I$14)),-2)</f>
        <v>2382000</v>
      </c>
      <c r="M907" s="288">
        <f>ROUND(IF($A907="E",L907*(1+Assumptions!J$15),L907*(1+Assumptions!J$14)),-2)</f>
        <v>2441600</v>
      </c>
      <c r="N907" s="288">
        <f>ROUND(IF($A907="E",M907*(1+Assumptions!K$15),M907*(1+Assumptions!K$14)),-2)</f>
        <v>2502600</v>
      </c>
    </row>
    <row r="908" spans="1:14" x14ac:dyDescent="0.25">
      <c r="B908" s="16" t="s">
        <v>43</v>
      </c>
      <c r="C908" s="16" t="s">
        <v>1507</v>
      </c>
      <c r="D908" s="16" t="s">
        <v>1508</v>
      </c>
      <c r="E908" s="289"/>
      <c r="F908" s="289"/>
      <c r="G908" s="289"/>
      <c r="H908" s="289"/>
      <c r="I908" s="289"/>
      <c r="J908" s="289"/>
      <c r="K908" s="289"/>
      <c r="L908" s="289"/>
      <c r="M908" s="289"/>
      <c r="N908" s="289"/>
    </row>
    <row r="909" spans="1:14" x14ac:dyDescent="0.25">
      <c r="B909" s="16" t="s">
        <v>43</v>
      </c>
      <c r="C909" s="16" t="s">
        <v>1509</v>
      </c>
      <c r="D909" s="16" t="s">
        <v>1510</v>
      </c>
      <c r="E909" s="288">
        <v>53000</v>
      </c>
      <c r="F909" s="288">
        <f>ROUND(IF($A909="E",E909*(1+Assumptions!C$15),E909*(1+Assumptions!C$14)),-2)</f>
        <v>53800</v>
      </c>
      <c r="G909" s="288">
        <f>ROUND(IF($A909="E",F909*(1+Assumptions!D$15),F909*(1+Assumptions!D$14)),-2)</f>
        <v>54900</v>
      </c>
      <c r="H909" s="288">
        <f>ROUND(IF($A909="E",G909*(1+Assumptions!E$15),G909*(1+Assumptions!E$14)),-2)</f>
        <v>56000</v>
      </c>
      <c r="I909" s="288">
        <f>ROUND(IF($A909="E",H909*(1+Assumptions!F$15),H909*(1+Assumptions!F$14)),-2)</f>
        <v>57100</v>
      </c>
      <c r="J909" s="288">
        <f>ROUND(IF($A909="E",I909*(1+Assumptions!G$15),I909*(1+Assumptions!G$14)),-2)</f>
        <v>58200</v>
      </c>
      <c r="K909" s="288">
        <f>ROUND(IF($A909="E",J909*(1+Assumptions!H$15),J909*(1+Assumptions!H$14)),-2)</f>
        <v>59400</v>
      </c>
      <c r="L909" s="288">
        <f>ROUND(IF($A909="E",K909*(1+Assumptions!I$15),K909*(1+Assumptions!I$14)),-2)</f>
        <v>60900</v>
      </c>
      <c r="M909" s="288">
        <f>ROUND(IF($A909="E",L909*(1+Assumptions!J$15),L909*(1+Assumptions!J$14)),-2)</f>
        <v>62400</v>
      </c>
      <c r="N909" s="288">
        <f>ROUND(IF($A909="E",M909*(1+Assumptions!K$15),M909*(1+Assumptions!K$14)),-2)</f>
        <v>64000</v>
      </c>
    </row>
    <row r="910" spans="1:14" x14ac:dyDescent="0.25">
      <c r="B910" s="16" t="s">
        <v>43</v>
      </c>
      <c r="C910" s="16" t="s">
        <v>1511</v>
      </c>
      <c r="D910" s="16" t="s">
        <v>1512</v>
      </c>
      <c r="E910" s="289"/>
      <c r="F910" s="289"/>
      <c r="G910" s="289"/>
      <c r="H910" s="289"/>
      <c r="I910" s="289"/>
      <c r="J910" s="289"/>
      <c r="K910" s="289"/>
      <c r="L910" s="289"/>
      <c r="M910" s="289"/>
      <c r="N910" s="289"/>
    </row>
    <row r="911" spans="1:14" x14ac:dyDescent="0.25">
      <c r="B911" s="16" t="s">
        <v>43</v>
      </c>
      <c r="C911" s="16" t="s">
        <v>1513</v>
      </c>
      <c r="D911" s="16" t="s">
        <v>1514</v>
      </c>
      <c r="E911" s="288">
        <v>10000</v>
      </c>
      <c r="F911" s="288">
        <f>ROUND(IF($A911="E",E911*(1+Assumptions!C$15),E911*(1+Assumptions!C$14)),-2)</f>
        <v>10200</v>
      </c>
      <c r="G911" s="288">
        <f>ROUND(IF($A911="E",F911*(1+Assumptions!D$15),F911*(1+Assumptions!D$14)),-2)</f>
        <v>10400</v>
      </c>
      <c r="H911" s="288">
        <f>ROUND(IF($A911="E",G911*(1+Assumptions!E$15),G911*(1+Assumptions!E$14)),-2)</f>
        <v>10600</v>
      </c>
      <c r="I911" s="288">
        <f>ROUND(IF($A911="E",H911*(1+Assumptions!F$15),H911*(1+Assumptions!F$14)),-2)</f>
        <v>10800</v>
      </c>
      <c r="J911" s="288">
        <f>ROUND(IF($A911="E",I911*(1+Assumptions!G$15),I911*(1+Assumptions!G$14)),-2)</f>
        <v>11000</v>
      </c>
      <c r="K911" s="288">
        <f>ROUND(IF($A911="E",J911*(1+Assumptions!H$15),J911*(1+Assumptions!H$14)),-2)</f>
        <v>11200</v>
      </c>
      <c r="L911" s="288">
        <f>ROUND(IF($A911="E",K911*(1+Assumptions!I$15),K911*(1+Assumptions!I$14)),-2)</f>
        <v>11500</v>
      </c>
      <c r="M911" s="288">
        <f>ROUND(IF($A911="E",L911*(1+Assumptions!J$15),L911*(1+Assumptions!J$14)),-2)</f>
        <v>11800</v>
      </c>
      <c r="N911" s="288">
        <f>ROUND(IF($A911="E",M911*(1+Assumptions!K$15),M911*(1+Assumptions!K$14)),-2)</f>
        <v>12100</v>
      </c>
    </row>
    <row r="912" spans="1:14" x14ac:dyDescent="0.25">
      <c r="A912" s="16" t="s">
        <v>4591</v>
      </c>
      <c r="B912" s="397" t="s">
        <v>3231</v>
      </c>
      <c r="C912" s="43" t="s">
        <v>3243</v>
      </c>
      <c r="D912" s="16" t="s">
        <v>3244</v>
      </c>
      <c r="E912" s="288">
        <v>579600</v>
      </c>
      <c r="F912" s="288">
        <f>ROUND(IF($A912="E",E912*(1+Assumptions!C$15),E912*(1+Assumptions!C$17)),-2)</f>
        <v>585400</v>
      </c>
      <c r="G912" s="288">
        <f>ROUND(IF($A912="E",F912*(1+Assumptions!D$15),F912*(1+Assumptions!D$17)),-2)</f>
        <v>591300</v>
      </c>
      <c r="H912" s="288">
        <f>ROUND(IF($A912="E",G912*(1+Assumptions!E$15),G912*(1+Assumptions!E$17)),-2)</f>
        <v>597200</v>
      </c>
      <c r="I912" s="288">
        <f>ROUND(IF($A912="E",H912*(1+Assumptions!F$15),H912*(1+Assumptions!F$17)),-2)</f>
        <v>603200</v>
      </c>
      <c r="J912" s="288">
        <f>ROUND(IF($A912="E",I912*(1+Assumptions!G$15),I912*(1+Assumptions!G$17)),-2)</f>
        <v>609200</v>
      </c>
      <c r="K912" s="288">
        <f>ROUND(IF($A912="E",J912*(1+Assumptions!H$15),J912*(1+Assumptions!H$17)),-2)</f>
        <v>615300</v>
      </c>
      <c r="L912" s="288">
        <f>ROUND(IF($A912="E",K912*(1+Assumptions!I$15),K912*(1+Assumptions!I$17)),-2)</f>
        <v>621500</v>
      </c>
      <c r="M912" s="288">
        <f>ROUND(IF($A912="E",L912*(1+Assumptions!J$15),L912*(1+Assumptions!J$17)),-2)</f>
        <v>627700</v>
      </c>
      <c r="N912" s="288">
        <f>ROUND(IF($A912="E",M912*(1+Assumptions!K$15),M912*(1+Assumptions!K$17)),-2)</f>
        <v>634000</v>
      </c>
    </row>
    <row r="913" spans="1:14" x14ac:dyDescent="0.25">
      <c r="A913" s="16" t="s">
        <v>4591</v>
      </c>
      <c r="B913" s="397" t="s">
        <v>3231</v>
      </c>
      <c r="C913" s="43" t="s">
        <v>3245</v>
      </c>
      <c r="D913" s="16" t="s">
        <v>3246</v>
      </c>
      <c r="E913" s="288">
        <v>1884200</v>
      </c>
      <c r="F913" s="288">
        <f>ROUND(IF($A913="E",E913*(1+Assumptions!C$15),E913*(1+Assumptions!C$17)),-2)</f>
        <v>1903000</v>
      </c>
      <c r="G913" s="288">
        <f>ROUND(IF($A913="E",F913*(1+Assumptions!D$15),F913*(1+Assumptions!D$17)),-2)</f>
        <v>1922000</v>
      </c>
      <c r="H913" s="288">
        <f>ROUND(IF($A913="E",G913*(1+Assumptions!E$15),G913*(1+Assumptions!E$17)),-2)</f>
        <v>1941200</v>
      </c>
      <c r="I913" s="288">
        <f>ROUND(IF($A913="E",H913*(1+Assumptions!F$15),H913*(1+Assumptions!F$17)),-2)</f>
        <v>1960600</v>
      </c>
      <c r="J913" s="288">
        <f>ROUND(IF($A913="E",I913*(1+Assumptions!G$15),I913*(1+Assumptions!G$17)),-2)</f>
        <v>1980200</v>
      </c>
      <c r="K913" s="288">
        <f>ROUND(IF($A913="E",J913*(1+Assumptions!H$15),J913*(1+Assumptions!H$17)),-2)</f>
        <v>2000000</v>
      </c>
      <c r="L913" s="288">
        <f>ROUND(IF($A913="E",K913*(1+Assumptions!I$15),K913*(1+Assumptions!I$17)),-2)</f>
        <v>2020000</v>
      </c>
      <c r="M913" s="288">
        <f>ROUND(IF($A913="E",L913*(1+Assumptions!J$15),L913*(1+Assumptions!J$17)),-2)</f>
        <v>2040200</v>
      </c>
      <c r="N913" s="288">
        <f>ROUND(IF($A913="E",M913*(1+Assumptions!K$15),M913*(1+Assumptions!K$17)),-2)</f>
        <v>2060600</v>
      </c>
    </row>
    <row r="914" spans="1:14" x14ac:dyDescent="0.25">
      <c r="A914" s="16" t="s">
        <v>4591</v>
      </c>
      <c r="B914" s="397" t="s">
        <v>3231</v>
      </c>
      <c r="C914" s="43" t="s">
        <v>3248</v>
      </c>
      <c r="D914" s="16" t="s">
        <v>3247</v>
      </c>
      <c r="E914" s="288">
        <v>1546900</v>
      </c>
      <c r="F914" s="288">
        <f>ROUND(IF($A914="E",E914*(1+Assumptions!C$15),E914*(1+Assumptions!C$17)),-2)</f>
        <v>1562400</v>
      </c>
      <c r="G914" s="288">
        <f>ROUND(IF($A914="E",F914*(1+Assumptions!D$15),F914*(1+Assumptions!D$17)),-2)</f>
        <v>1578000</v>
      </c>
      <c r="H914" s="288">
        <f>ROUND(IF($A914="E",G914*(1+Assumptions!E$15),G914*(1+Assumptions!E$17)),-2)</f>
        <v>1593800</v>
      </c>
      <c r="I914" s="288">
        <f>ROUND(IF($A914="E",H914*(1+Assumptions!F$15),H914*(1+Assumptions!F$17)),-2)</f>
        <v>1609700</v>
      </c>
      <c r="J914" s="288">
        <f>ROUND(IF($A914="E",I914*(1+Assumptions!G$15),I914*(1+Assumptions!G$17)),-2)</f>
        <v>1625800</v>
      </c>
      <c r="K914" s="288">
        <f>ROUND(IF($A914="E",J914*(1+Assumptions!H$15),J914*(1+Assumptions!H$17)),-2)</f>
        <v>1642100</v>
      </c>
      <c r="L914" s="288">
        <f>ROUND(IF($A914="E",K914*(1+Assumptions!I$15),K914*(1+Assumptions!I$17)),-2)</f>
        <v>1658500</v>
      </c>
      <c r="M914" s="288">
        <f>ROUND(IF($A914="E",L914*(1+Assumptions!J$15),L914*(1+Assumptions!J$17)),-2)</f>
        <v>1675100</v>
      </c>
      <c r="N914" s="288">
        <f>ROUND(IF($A914="E",M914*(1+Assumptions!K$15),M914*(1+Assumptions!K$17)),-2)</f>
        <v>1691900</v>
      </c>
    </row>
    <row r="915" spans="1:14" x14ac:dyDescent="0.25">
      <c r="A915" s="16" t="s">
        <v>4591</v>
      </c>
      <c r="B915" s="397" t="s">
        <v>3231</v>
      </c>
      <c r="C915" s="43" t="s">
        <v>3250</v>
      </c>
      <c r="D915" s="16" t="s">
        <v>3249</v>
      </c>
      <c r="E915" s="288">
        <v>116000</v>
      </c>
      <c r="F915" s="288">
        <f>ROUND(IF($A915="E",E915*(1+Assumptions!C$15),E915*(1+Assumptions!C$17)),-2)</f>
        <v>117200</v>
      </c>
      <c r="G915" s="288">
        <f>ROUND(IF($A915="E",F915*(1+Assumptions!D$15),F915*(1+Assumptions!D$17)),-2)</f>
        <v>118400</v>
      </c>
      <c r="H915" s="288">
        <f>ROUND(IF($A915="E",G915*(1+Assumptions!E$15),G915*(1+Assumptions!E$17)),-2)</f>
        <v>119600</v>
      </c>
      <c r="I915" s="288">
        <f>ROUND(IF($A915="E",H915*(1+Assumptions!F$15),H915*(1+Assumptions!F$17)),-2)</f>
        <v>120800</v>
      </c>
      <c r="J915" s="288">
        <f>ROUND(IF($A915="E",I915*(1+Assumptions!G$15),I915*(1+Assumptions!G$17)),-2)</f>
        <v>122000</v>
      </c>
      <c r="K915" s="288">
        <f>ROUND(IF($A915="E",J915*(1+Assumptions!H$15),J915*(1+Assumptions!H$17)),-2)</f>
        <v>123200</v>
      </c>
      <c r="L915" s="288">
        <f>ROUND(IF($A915="E",K915*(1+Assumptions!I$15),K915*(1+Assumptions!I$17)),-2)</f>
        <v>124400</v>
      </c>
      <c r="M915" s="288">
        <f>ROUND(IF($A915="E",L915*(1+Assumptions!J$15),L915*(1+Assumptions!J$17)),-2)</f>
        <v>125600</v>
      </c>
      <c r="N915" s="288">
        <f>ROUND(IF($A915="E",M915*(1+Assumptions!K$15),M915*(1+Assumptions!K$17)),-2)</f>
        <v>126900</v>
      </c>
    </row>
    <row r="916" spans="1:14" x14ac:dyDescent="0.25">
      <c r="A916" s="16" t="s">
        <v>4591</v>
      </c>
      <c r="B916" s="397" t="s">
        <v>3231</v>
      </c>
      <c r="C916" s="43" t="s">
        <v>3253</v>
      </c>
      <c r="D916" s="16" t="s">
        <v>3251</v>
      </c>
      <c r="E916" s="288">
        <v>20400</v>
      </c>
      <c r="F916" s="288">
        <f>ROUND(IF($A916="E",E916*(1+Assumptions!C$15),E916*(1+Assumptions!C$17)),-2)</f>
        <v>20600</v>
      </c>
      <c r="G916" s="288">
        <f>ROUND(IF($A916="E",F916*(1+Assumptions!D$15),F916*(1+Assumptions!D$17)),-2)</f>
        <v>20800</v>
      </c>
      <c r="H916" s="288">
        <f>ROUND(IF($A916="E",G916*(1+Assumptions!E$15),G916*(1+Assumptions!E$17)),-2)</f>
        <v>21000</v>
      </c>
      <c r="I916" s="288">
        <f>ROUND(IF($A916="E",H916*(1+Assumptions!F$15),H916*(1+Assumptions!F$17)),-2)</f>
        <v>21200</v>
      </c>
      <c r="J916" s="288">
        <f>ROUND(IF($A916="E",I916*(1+Assumptions!G$15),I916*(1+Assumptions!G$17)),-2)</f>
        <v>21400</v>
      </c>
      <c r="K916" s="288">
        <f>ROUND(IF($A916="E",J916*(1+Assumptions!H$15),J916*(1+Assumptions!H$17)),-2)</f>
        <v>21600</v>
      </c>
      <c r="L916" s="288">
        <f>ROUND(IF($A916="E",K916*(1+Assumptions!I$15),K916*(1+Assumptions!I$17)),-2)</f>
        <v>21800</v>
      </c>
      <c r="M916" s="288">
        <f>ROUND(IF($A916="E",L916*(1+Assumptions!J$15),L916*(1+Assumptions!J$17)),-2)</f>
        <v>22000</v>
      </c>
      <c r="N916" s="288">
        <f>ROUND(IF($A916="E",M916*(1+Assumptions!K$15),M916*(1+Assumptions!K$17)),-2)</f>
        <v>22200</v>
      </c>
    </row>
    <row r="917" spans="1:14" x14ac:dyDescent="0.25">
      <c r="A917" s="16" t="s">
        <v>4591</v>
      </c>
      <c r="B917" s="397" t="s">
        <v>3231</v>
      </c>
      <c r="C917" s="43" t="s">
        <v>3254</v>
      </c>
      <c r="D917" s="16" t="s">
        <v>3252</v>
      </c>
      <c r="E917" s="288">
        <v>272500</v>
      </c>
      <c r="F917" s="288">
        <f>ROUND(IF($A917="E",E917*(1+Assumptions!C$15),E917*(1+Assumptions!C$17)),-2)</f>
        <v>275200</v>
      </c>
      <c r="G917" s="288">
        <f>ROUND(IF($A917="E",F917*(1+Assumptions!D$15),F917*(1+Assumptions!D$17)),-2)</f>
        <v>278000</v>
      </c>
      <c r="H917" s="288">
        <f>ROUND(IF($A917="E",G917*(1+Assumptions!E$15),G917*(1+Assumptions!E$17)),-2)</f>
        <v>280800</v>
      </c>
      <c r="I917" s="288">
        <f>ROUND(IF($A917="E",H917*(1+Assumptions!F$15),H917*(1+Assumptions!F$17)),-2)</f>
        <v>283600</v>
      </c>
      <c r="J917" s="288">
        <f>ROUND(IF($A917="E",I917*(1+Assumptions!G$15),I917*(1+Assumptions!G$17)),-2)</f>
        <v>286400</v>
      </c>
      <c r="K917" s="288">
        <f>ROUND(IF($A917="E",J917*(1+Assumptions!H$15),J917*(1+Assumptions!H$17)),-2)</f>
        <v>289300</v>
      </c>
      <c r="L917" s="288">
        <f>ROUND(IF($A917="E",K917*(1+Assumptions!I$15),K917*(1+Assumptions!I$17)),-2)</f>
        <v>292200</v>
      </c>
      <c r="M917" s="288">
        <f>ROUND(IF($A917="E",L917*(1+Assumptions!J$15),L917*(1+Assumptions!J$17)),-2)</f>
        <v>295100</v>
      </c>
      <c r="N917" s="288">
        <f>ROUND(IF($A917="E",M917*(1+Assumptions!K$15),M917*(1+Assumptions!K$17)),-2)</f>
        <v>298100</v>
      </c>
    </row>
    <row r="918" spans="1:14" x14ac:dyDescent="0.25">
      <c r="A918" s="16" t="s">
        <v>4591</v>
      </c>
      <c r="B918" s="397" t="s">
        <v>3231</v>
      </c>
      <c r="C918" s="43" t="s">
        <v>3256</v>
      </c>
      <c r="D918" s="16" t="s">
        <v>3255</v>
      </c>
      <c r="E918" s="288">
        <v>125800</v>
      </c>
      <c r="F918" s="288">
        <f>ROUND(IF($A918="E",E918*(1+Assumptions!C$15),E918*(1+Assumptions!C$17)),-2)</f>
        <v>127100</v>
      </c>
      <c r="G918" s="288">
        <f>ROUND(IF($A918="E",F918*(1+Assumptions!D$15),F918*(1+Assumptions!D$17)),-2)</f>
        <v>128400</v>
      </c>
      <c r="H918" s="288">
        <f>ROUND(IF($A918="E",G918*(1+Assumptions!E$15),G918*(1+Assumptions!E$17)),-2)</f>
        <v>129700</v>
      </c>
      <c r="I918" s="288">
        <f>ROUND(IF($A918="E",H918*(1+Assumptions!F$15),H918*(1+Assumptions!F$17)),-2)</f>
        <v>131000</v>
      </c>
      <c r="J918" s="288">
        <f>ROUND(IF($A918="E",I918*(1+Assumptions!G$15),I918*(1+Assumptions!G$17)),-2)</f>
        <v>132300</v>
      </c>
      <c r="K918" s="288">
        <f>ROUND(IF($A918="E",J918*(1+Assumptions!H$15),J918*(1+Assumptions!H$17)),-2)</f>
        <v>133600</v>
      </c>
      <c r="L918" s="288">
        <f>ROUND(IF($A918="E",K918*(1+Assumptions!I$15),K918*(1+Assumptions!I$17)),-2)</f>
        <v>134900</v>
      </c>
      <c r="M918" s="288">
        <f>ROUND(IF($A918="E",L918*(1+Assumptions!J$15),L918*(1+Assumptions!J$17)),-2)</f>
        <v>136200</v>
      </c>
      <c r="N918" s="288">
        <f>ROUND(IF($A918="E",M918*(1+Assumptions!K$15),M918*(1+Assumptions!K$17)),-2)</f>
        <v>137600</v>
      </c>
    </row>
    <row r="919" spans="1:14" ht="12.75" customHeight="1" x14ac:dyDescent="0.25">
      <c r="A919" s="16" t="s">
        <v>4591</v>
      </c>
      <c r="B919" s="397" t="s">
        <v>3231</v>
      </c>
      <c r="C919" s="43" t="s">
        <v>3259</v>
      </c>
      <c r="D919" s="16" t="s">
        <v>3257</v>
      </c>
      <c r="E919" s="288">
        <v>68100</v>
      </c>
      <c r="F919" s="288">
        <f>ROUND(IF($A919="E",E919*(1+Assumptions!C$15),E919*(1+Assumptions!C$17)),-2)</f>
        <v>68800</v>
      </c>
      <c r="G919" s="288">
        <f>ROUND(IF($A919="E",F919*(1+Assumptions!D$15),F919*(1+Assumptions!D$17)),-2)</f>
        <v>69500</v>
      </c>
      <c r="H919" s="288">
        <f>ROUND(IF($A919="E",G919*(1+Assumptions!E$15),G919*(1+Assumptions!E$17)),-2)</f>
        <v>70200</v>
      </c>
      <c r="I919" s="288">
        <f>ROUND(IF($A919="E",H919*(1+Assumptions!F$15),H919*(1+Assumptions!F$17)),-2)</f>
        <v>70900</v>
      </c>
      <c r="J919" s="288">
        <f>ROUND(IF($A919="E",I919*(1+Assumptions!G$15),I919*(1+Assumptions!G$17)),-2)</f>
        <v>71600</v>
      </c>
      <c r="K919" s="288">
        <f>ROUND(IF($A919="E",J919*(1+Assumptions!H$15),J919*(1+Assumptions!H$17)),-2)</f>
        <v>72300</v>
      </c>
      <c r="L919" s="288">
        <f>ROUND(IF($A919="E",K919*(1+Assumptions!I$15),K919*(1+Assumptions!I$17)),-2)</f>
        <v>73000</v>
      </c>
      <c r="M919" s="288">
        <f>ROUND(IF($A919="E",L919*(1+Assumptions!J$15),L919*(1+Assumptions!J$17)),-2)</f>
        <v>73700</v>
      </c>
      <c r="N919" s="288">
        <f>ROUND(IF($A919="E",M919*(1+Assumptions!K$15),M919*(1+Assumptions!K$17)),-2)</f>
        <v>74400</v>
      </c>
    </row>
    <row r="920" spans="1:14" ht="12.75" customHeight="1" x14ac:dyDescent="0.25">
      <c r="A920" s="16" t="s">
        <v>4591</v>
      </c>
      <c r="B920" s="397" t="s">
        <v>3231</v>
      </c>
      <c r="C920" s="43" t="s">
        <v>3260</v>
      </c>
      <c r="D920" s="16" t="s">
        <v>3258</v>
      </c>
      <c r="E920" s="288">
        <v>4000</v>
      </c>
      <c r="F920" s="288">
        <f>ROUND(IF($A920="E",E920*(1+Assumptions!C$15),E920*(1+Assumptions!C$17)),-2)</f>
        <v>4000</v>
      </c>
      <c r="G920" s="288">
        <f>ROUND(IF($A920="E",F920*(1+Assumptions!D$15),F920*(1+Assumptions!D$17)),-2)</f>
        <v>4000</v>
      </c>
      <c r="H920" s="288">
        <f>ROUND(IF($A920="E",G920*(1+Assumptions!E$15),G920*(1+Assumptions!E$17)),-2)</f>
        <v>4000</v>
      </c>
      <c r="I920" s="288">
        <f>ROUND(IF($A920="E",H920*(1+Assumptions!F$15),H920*(1+Assumptions!F$17)),-2)</f>
        <v>4000</v>
      </c>
      <c r="J920" s="288">
        <f>ROUND(IF($A920="E",I920*(1+Assumptions!G$15),I920*(1+Assumptions!G$17)),-2)</f>
        <v>4000</v>
      </c>
      <c r="K920" s="288">
        <f>ROUND(IF($A920="E",J920*(1+Assumptions!H$15),J920*(1+Assumptions!H$17)),-2)</f>
        <v>4000</v>
      </c>
      <c r="L920" s="288">
        <f>ROUND(IF($A920="E",K920*(1+Assumptions!I$15),K920*(1+Assumptions!I$17)),-2)</f>
        <v>4000</v>
      </c>
      <c r="M920" s="288">
        <f>ROUND(IF($A920="E",L920*(1+Assumptions!J$15),L920*(1+Assumptions!J$17)),-2)</f>
        <v>4000</v>
      </c>
      <c r="N920" s="288">
        <f>ROUND(IF($A920="E",M920*(1+Assumptions!K$15),M920*(1+Assumptions!K$17)),-2)</f>
        <v>4000</v>
      </c>
    </row>
    <row r="921" spans="1:14" ht="12.75" customHeight="1" x14ac:dyDescent="0.25">
      <c r="A921" s="16" t="s">
        <v>4591</v>
      </c>
      <c r="B921" s="397" t="s">
        <v>3231</v>
      </c>
      <c r="C921" s="43" t="s">
        <v>3261</v>
      </c>
      <c r="D921" s="16" t="s">
        <v>44</v>
      </c>
      <c r="E921" s="288">
        <v>1338300</v>
      </c>
      <c r="F921" s="288">
        <f>ROUND(IF($A921="E",E921*(1+Assumptions!C$15),E921*(1+Assumptions!C$17)),-2)</f>
        <v>1351700</v>
      </c>
      <c r="G921" s="288">
        <f>ROUND(IF($A921="E",F921*(1+Assumptions!D$15),F921*(1+Assumptions!D$17)),-2)</f>
        <v>1365200</v>
      </c>
      <c r="H921" s="288">
        <f>ROUND(IF($A921="E",G921*(1+Assumptions!E$15),G921*(1+Assumptions!E$17)),-2)</f>
        <v>1378900</v>
      </c>
      <c r="I921" s="288">
        <f>ROUND(IF($A921="E",H921*(1+Assumptions!F$15),H921*(1+Assumptions!F$17)),-2)</f>
        <v>1392700</v>
      </c>
      <c r="J921" s="288">
        <f>ROUND(IF($A921="E",I921*(1+Assumptions!G$15),I921*(1+Assumptions!G$17)),-2)</f>
        <v>1406600</v>
      </c>
      <c r="K921" s="288">
        <f>ROUND(IF($A921="E",J921*(1+Assumptions!H$15),J921*(1+Assumptions!H$17)),-2)</f>
        <v>1420700</v>
      </c>
      <c r="L921" s="288">
        <f>ROUND(IF($A921="E",K921*(1+Assumptions!I$15),K921*(1+Assumptions!I$17)),-2)</f>
        <v>1434900</v>
      </c>
      <c r="M921" s="288">
        <f>ROUND(IF($A921="E",L921*(1+Assumptions!J$15),L921*(1+Assumptions!J$17)),-2)</f>
        <v>1449200</v>
      </c>
      <c r="N921" s="288">
        <f>ROUND(IF($A921="E",M921*(1+Assumptions!K$15),M921*(1+Assumptions!K$17)),-2)</f>
        <v>1463700</v>
      </c>
    </row>
    <row r="922" spans="1:14" ht="12.75" customHeight="1" x14ac:dyDescent="0.25">
      <c r="B922" s="16" t="s">
        <v>43</v>
      </c>
      <c r="C922" s="43"/>
      <c r="D922" s="471" t="s">
        <v>4634</v>
      </c>
      <c r="E922" s="472"/>
      <c r="F922" s="472"/>
      <c r="G922" s="472">
        <f>154700-48300</f>
        <v>106400</v>
      </c>
      <c r="H922" s="472">
        <f>344700-85700</f>
        <v>259000</v>
      </c>
      <c r="I922" s="472">
        <f>725600-145100</f>
        <v>580500</v>
      </c>
      <c r="J922" s="472">
        <f>834500-230300</f>
        <v>604200</v>
      </c>
      <c r="K922" s="472">
        <f>946600-317600</f>
        <v>629000</v>
      </c>
      <c r="L922" s="472">
        <f>1062100-407200</f>
        <v>654900</v>
      </c>
      <c r="M922" s="472">
        <f>1181300-506400+7400</f>
        <v>682300</v>
      </c>
      <c r="N922" s="472">
        <f>1299500-593100</f>
        <v>706400</v>
      </c>
    </row>
    <row r="923" spans="1:14" ht="12.75" customHeight="1" x14ac:dyDescent="0.25">
      <c r="B923" s="46"/>
      <c r="C923" s="43"/>
      <c r="E923" s="288"/>
      <c r="F923" s="288"/>
      <c r="G923" s="288"/>
      <c r="H923" s="288"/>
      <c r="I923" s="288"/>
      <c r="J923" s="288"/>
      <c r="K923" s="288"/>
      <c r="L923" s="288"/>
      <c r="M923" s="288"/>
      <c r="N923" s="288"/>
    </row>
    <row r="924" spans="1:14" ht="12.75" customHeight="1" x14ac:dyDescent="0.25">
      <c r="B924" s="16" t="s">
        <v>43</v>
      </c>
      <c r="C924" s="43"/>
      <c r="D924" s="469" t="s">
        <v>4621</v>
      </c>
      <c r="E924" s="288">
        <v>0</v>
      </c>
      <c r="F924" s="288">
        <f>-'reservecalc-internal'!B1519-'reservecalc-internal'!B1520-'reservecalc-internal'!B1521</f>
        <v>79100</v>
      </c>
      <c r="G924" s="288">
        <f>-'reservecalc-internal'!C1519-'reservecalc-internal'!C1520-'reservecalc-internal'!C1521</f>
        <v>152000</v>
      </c>
      <c r="H924" s="288">
        <f>-'reservecalc-internal'!D1519-'reservecalc-internal'!D1520-'reservecalc-internal'!D1521</f>
        <v>232100</v>
      </c>
      <c r="I924" s="288">
        <f>-'reservecalc-internal'!E1519-'reservecalc-internal'!E1520-'reservecalc-internal'!E1521</f>
        <v>319800</v>
      </c>
      <c r="J924" s="288">
        <f>-'reservecalc-internal'!F1519-'reservecalc-internal'!F1520-'reservecalc-internal'!F1521</f>
        <v>327800</v>
      </c>
      <c r="K924" s="288">
        <f>-'reservecalc-internal'!G1519-'reservecalc-internal'!G1520-'reservecalc-internal'!G1521</f>
        <v>336000</v>
      </c>
      <c r="L924" s="288">
        <f>-'reservecalc-internal'!H1519-'reservecalc-internal'!H1520-'reservecalc-internal'!H1521</f>
        <v>344400</v>
      </c>
      <c r="M924" s="288">
        <f>-'reservecalc-internal'!I1519-'reservecalc-internal'!I1520-'reservecalc-internal'!I1521</f>
        <v>353000</v>
      </c>
      <c r="N924" s="288">
        <f>-'reservecalc-internal'!J1519-'reservecalc-internal'!J1520-'reservecalc-internal'!J1521</f>
        <v>361800</v>
      </c>
    </row>
    <row r="925" spans="1:14" ht="12.75" customHeight="1" x14ac:dyDescent="0.25">
      <c r="B925" s="46"/>
      <c r="C925" s="43"/>
      <c r="E925" s="288"/>
      <c r="F925" s="288"/>
      <c r="G925" s="288"/>
      <c r="H925" s="288"/>
      <c r="I925" s="288"/>
      <c r="J925" s="288"/>
      <c r="K925" s="288"/>
      <c r="L925" s="288"/>
      <c r="M925" s="288"/>
      <c r="N925" s="288"/>
    </row>
    <row r="926" spans="1:14" ht="12.75" customHeight="1" x14ac:dyDescent="0.25">
      <c r="E926" s="288"/>
      <c r="F926" s="288"/>
      <c r="G926" s="288"/>
      <c r="H926" s="288"/>
      <c r="I926" s="288"/>
      <c r="J926" s="288"/>
      <c r="K926" s="288"/>
      <c r="L926" s="288"/>
      <c r="M926" s="288"/>
      <c r="N926" s="288"/>
    </row>
    <row r="927" spans="1:14" ht="12.75" customHeight="1" x14ac:dyDescent="0.25">
      <c r="D927" s="19" t="s">
        <v>3234</v>
      </c>
      <c r="E927" s="291">
        <f>SUM(E812:E926)</f>
        <v>12498700</v>
      </c>
      <c r="F927" s="291">
        <f t="shared" ref="F927:N927" si="27">SUM(F812:F926)</f>
        <v>12826800</v>
      </c>
      <c r="G927" s="291">
        <f t="shared" si="27"/>
        <v>13287100</v>
      </c>
      <c r="H927" s="291">
        <f t="shared" si="27"/>
        <v>13801800</v>
      </c>
      <c r="I927" s="291">
        <f t="shared" si="27"/>
        <v>14394500</v>
      </c>
      <c r="J927" s="291">
        <f t="shared" si="27"/>
        <v>14612700</v>
      </c>
      <c r="K927" s="291">
        <f t="shared" si="27"/>
        <v>14835200</v>
      </c>
      <c r="L927" s="291">
        <f t="shared" si="27"/>
        <v>15097900</v>
      </c>
      <c r="M927" s="291">
        <f t="shared" si="27"/>
        <v>15366300</v>
      </c>
      <c r="N927" s="291">
        <f t="shared" si="27"/>
        <v>15633200</v>
      </c>
    </row>
    <row r="928" spans="1:14" ht="12.75" customHeight="1" x14ac:dyDescent="0.25">
      <c r="E928" s="288"/>
      <c r="F928" s="288"/>
      <c r="G928" s="288"/>
      <c r="H928" s="288"/>
      <c r="I928" s="288"/>
      <c r="J928" s="288"/>
      <c r="K928" s="288"/>
      <c r="L928" s="288"/>
      <c r="M928" s="288"/>
      <c r="N928" s="288"/>
    </row>
    <row r="929" spans="2:14" x14ac:dyDescent="0.25">
      <c r="C929" s="16" t="s">
        <v>315</v>
      </c>
      <c r="E929" s="288"/>
      <c r="F929" s="288"/>
      <c r="G929" s="288"/>
      <c r="H929" s="288"/>
      <c r="I929" s="288"/>
      <c r="J929" s="288"/>
      <c r="K929" s="288"/>
      <c r="L929" s="288"/>
      <c r="M929" s="288"/>
      <c r="N929" s="288"/>
    </row>
    <row r="930" spans="2:14" x14ac:dyDescent="0.25">
      <c r="B930" s="16" t="s">
        <v>3229</v>
      </c>
      <c r="C930" s="16" t="s">
        <v>1515</v>
      </c>
      <c r="D930" s="16" t="s">
        <v>1230</v>
      </c>
      <c r="E930" s="289"/>
      <c r="F930" s="289"/>
      <c r="G930" s="289"/>
      <c r="H930" s="289"/>
      <c r="I930" s="289"/>
      <c r="J930" s="289"/>
      <c r="K930" s="289"/>
      <c r="L930" s="289"/>
      <c r="M930" s="289"/>
      <c r="N930" s="289"/>
    </row>
    <row r="931" spans="2:14" x14ac:dyDescent="0.25">
      <c r="B931" s="16" t="s">
        <v>3229</v>
      </c>
      <c r="C931" s="16" t="s">
        <v>1516</v>
      </c>
      <c r="D931" s="16" t="s">
        <v>1517</v>
      </c>
      <c r="E931" s="288">
        <v>-53500</v>
      </c>
      <c r="F931" s="288">
        <f>ROUND(E931+(E931*Assumptions!C$13),-2)</f>
        <v>-54600</v>
      </c>
      <c r="G931" s="288">
        <f>ROUND(F931+(F931*Assumptions!D$13),-2)</f>
        <v>-56000</v>
      </c>
      <c r="H931" s="288">
        <f>ROUND(G931+(G931*Assumptions!E$13),-2)</f>
        <v>-57400</v>
      </c>
      <c r="I931" s="288">
        <f>ROUND(H931+(H931*Assumptions!F$13),-2)</f>
        <v>-58800</v>
      </c>
      <c r="J931" s="288">
        <f>ROUND(I931+(I931*Assumptions!G$13),-2)</f>
        <v>-60300</v>
      </c>
      <c r="K931" s="288">
        <f>ROUND(J931+(J931*Assumptions!H$13),-2)</f>
        <v>-61800</v>
      </c>
      <c r="L931" s="288">
        <f>ROUND(K931+(K931*Assumptions!I$13),-2)</f>
        <v>-63300</v>
      </c>
      <c r="M931" s="288">
        <f>ROUND(L931+(L931*Assumptions!J$13),-2)</f>
        <v>-64900</v>
      </c>
      <c r="N931" s="288">
        <f>ROUND(M931+(M931*Assumptions!K$13),-2)</f>
        <v>-66500</v>
      </c>
    </row>
    <row r="932" spans="2:14" x14ac:dyDescent="0.25">
      <c r="B932" s="16" t="s">
        <v>3229</v>
      </c>
      <c r="D932" s="16" t="s">
        <v>3429</v>
      </c>
      <c r="E932" s="288">
        <f>capitalrevdata!E109</f>
        <v>-730000</v>
      </c>
      <c r="F932" s="288">
        <f>capitalrevdata!F109</f>
        <v>-1260000</v>
      </c>
      <c r="G932" s="288">
        <f>capitalrevdata!G109</f>
        <v>0</v>
      </c>
      <c r="H932" s="288">
        <f>capitalrevdata!H109</f>
        <v>-500000</v>
      </c>
      <c r="I932" s="288">
        <f>capitalrevdata!I109</f>
        <v>-220000</v>
      </c>
      <c r="J932" s="288">
        <f>capitalrevdata!J109</f>
        <v>-350000</v>
      </c>
      <c r="K932" s="288">
        <f>capitalrevdata!K109</f>
        <v>0</v>
      </c>
      <c r="L932" s="288">
        <f>capitalrevdata!L109</f>
        <v>0</v>
      </c>
      <c r="M932" s="288">
        <f>capitalrevdata!M109</f>
        <v>0</v>
      </c>
      <c r="N932" s="288">
        <f>capitalrevdata!N109</f>
        <v>0</v>
      </c>
    </row>
    <row r="933" spans="2:14" x14ac:dyDescent="0.25">
      <c r="B933" s="16" t="s">
        <v>3228</v>
      </c>
      <c r="C933" s="16" t="s">
        <v>1518</v>
      </c>
      <c r="D933" s="16" t="s">
        <v>1519</v>
      </c>
      <c r="E933" s="289"/>
      <c r="F933" s="289"/>
      <c r="G933" s="289"/>
      <c r="H933" s="289"/>
      <c r="I933" s="289"/>
      <c r="J933" s="289"/>
      <c r="K933" s="289"/>
      <c r="L933" s="289"/>
      <c r="M933" s="289"/>
      <c r="N933" s="289"/>
    </row>
    <row r="934" spans="2:14" x14ac:dyDescent="0.25">
      <c r="B934" s="16" t="s">
        <v>3228</v>
      </c>
      <c r="C934" s="16" t="s">
        <v>1520</v>
      </c>
      <c r="D934" s="16" t="s">
        <v>1521</v>
      </c>
      <c r="E934" s="288">
        <v>-2300000</v>
      </c>
      <c r="F934" s="290">
        <v>-2900000</v>
      </c>
      <c r="G934" s="290">
        <f t="shared" ref="G934:N934" si="28">F934</f>
        <v>-2900000</v>
      </c>
      <c r="H934" s="290">
        <f t="shared" si="28"/>
        <v>-2900000</v>
      </c>
      <c r="I934" s="290">
        <v>-3000000</v>
      </c>
      <c r="J934" s="290">
        <f t="shared" si="28"/>
        <v>-3000000</v>
      </c>
      <c r="K934" s="290">
        <f t="shared" si="28"/>
        <v>-3000000</v>
      </c>
      <c r="L934" s="290">
        <f t="shared" si="28"/>
        <v>-3000000</v>
      </c>
      <c r="M934" s="290">
        <f t="shared" si="28"/>
        <v>-3000000</v>
      </c>
      <c r="N934" s="290">
        <f t="shared" si="28"/>
        <v>-3000000</v>
      </c>
    </row>
    <row r="935" spans="2:14" x14ac:dyDescent="0.25">
      <c r="B935" s="16" t="s">
        <v>3228</v>
      </c>
      <c r="C935" s="16" t="s">
        <v>1522</v>
      </c>
      <c r="D935" s="16" t="s">
        <v>1523</v>
      </c>
      <c r="E935" s="288">
        <v>0</v>
      </c>
      <c r="F935" s="288">
        <f>ROUND(E935+(E935*Assumptions!C$13),-2)</f>
        <v>0</v>
      </c>
      <c r="G935" s="288">
        <f>ROUND(F935+(F935*Assumptions!D$13),-2)</f>
        <v>0</v>
      </c>
      <c r="H935" s="288">
        <f>ROUND(G935+(G935*Assumptions!E$13),-2)</f>
        <v>0</v>
      </c>
      <c r="I935" s="288">
        <f>ROUND(H935+(H935*Assumptions!F$13),-2)</f>
        <v>0</v>
      </c>
      <c r="J935" s="288">
        <f>ROUND(I935+(I935*Assumptions!G$13),-2)</f>
        <v>0</v>
      </c>
      <c r="K935" s="288">
        <f>ROUND(J935+(J935*Assumptions!H$13),-2)</f>
        <v>0</v>
      </c>
      <c r="L935" s="288">
        <f>ROUND(K935+(K935*Assumptions!I$13),-2)</f>
        <v>0</v>
      </c>
      <c r="M935" s="288">
        <f>ROUND(L935+(L935*Assumptions!J$13),-2)</f>
        <v>0</v>
      </c>
      <c r="N935" s="288">
        <f>ROUND(M935+(M935*Assumptions!K$13),-2)</f>
        <v>0</v>
      </c>
    </row>
    <row r="936" spans="2:14" x14ac:dyDescent="0.25">
      <c r="B936" s="16" t="s">
        <v>3227</v>
      </c>
      <c r="C936" s="16" t="s">
        <v>1524</v>
      </c>
      <c r="D936" s="16" t="s">
        <v>1525</v>
      </c>
      <c r="E936" s="289"/>
      <c r="F936" s="289"/>
      <c r="G936" s="289"/>
      <c r="H936" s="289"/>
      <c r="I936" s="289"/>
      <c r="J936" s="289"/>
      <c r="K936" s="289"/>
      <c r="L936" s="289"/>
      <c r="M936" s="289"/>
      <c r="N936" s="289"/>
    </row>
    <row r="937" spans="2:14" x14ac:dyDescent="0.25">
      <c r="B937" s="16" t="s">
        <v>3227</v>
      </c>
      <c r="C937" s="16" t="s">
        <v>1526</v>
      </c>
      <c r="D937" s="16" t="s">
        <v>1527</v>
      </c>
      <c r="E937" s="288">
        <v>-292000</v>
      </c>
      <c r="F937" s="288">
        <f t="shared" ref="F937:N937" si="29">E937</f>
        <v>-292000</v>
      </c>
      <c r="G937" s="288">
        <f t="shared" si="29"/>
        <v>-292000</v>
      </c>
      <c r="H937" s="288">
        <f t="shared" si="29"/>
        <v>-292000</v>
      </c>
      <c r="I937" s="288">
        <f t="shared" si="29"/>
        <v>-292000</v>
      </c>
      <c r="J937" s="288">
        <f t="shared" si="29"/>
        <v>-292000</v>
      </c>
      <c r="K937" s="288">
        <f t="shared" si="29"/>
        <v>-292000</v>
      </c>
      <c r="L937" s="288">
        <f t="shared" si="29"/>
        <v>-292000</v>
      </c>
      <c r="M937" s="288">
        <f t="shared" si="29"/>
        <v>-292000</v>
      </c>
      <c r="N937" s="288">
        <f t="shared" si="29"/>
        <v>-292000</v>
      </c>
    </row>
    <row r="938" spans="2:14" x14ac:dyDescent="0.25">
      <c r="B938" s="16" t="s">
        <v>3228</v>
      </c>
      <c r="C938" s="16" t="s">
        <v>1528</v>
      </c>
      <c r="D938" s="16" t="s">
        <v>1529</v>
      </c>
      <c r="E938" s="289"/>
      <c r="F938" s="289"/>
      <c r="G938" s="289"/>
      <c r="H938" s="289"/>
      <c r="I938" s="289"/>
      <c r="J938" s="289"/>
      <c r="K938" s="289"/>
      <c r="L938" s="289"/>
      <c r="M938" s="289"/>
      <c r="N938" s="289"/>
    </row>
    <row r="939" spans="2:14" x14ac:dyDescent="0.25">
      <c r="B939" s="16" t="s">
        <v>3228</v>
      </c>
      <c r="C939" s="16" t="s">
        <v>1530</v>
      </c>
      <c r="D939" s="16" t="s">
        <v>1531</v>
      </c>
      <c r="E939" s="288">
        <v>-300000</v>
      </c>
      <c r="F939" s="288">
        <f>ROUND(E939+(E939*Assumptions!C$13),-2)</f>
        <v>-306000</v>
      </c>
      <c r="G939" s="288">
        <f>ROUND(F939+(F939*Assumptions!D$13),-2)</f>
        <v>-313700</v>
      </c>
      <c r="H939" s="288">
        <f>ROUND(G939+(G939*Assumptions!E$13),-2)</f>
        <v>-321500</v>
      </c>
      <c r="I939" s="288">
        <f>ROUND(H939+(H939*Assumptions!F$13),-2)</f>
        <v>-329500</v>
      </c>
      <c r="J939" s="288">
        <f>ROUND(I939+(I939*Assumptions!G$13),-2)</f>
        <v>-337700</v>
      </c>
      <c r="K939" s="288">
        <f>ROUND(J939+(J939*Assumptions!H$13),-2)</f>
        <v>-346100</v>
      </c>
      <c r="L939" s="288">
        <f>ROUND(K939+(K939*Assumptions!I$13),-2)</f>
        <v>-354800</v>
      </c>
      <c r="M939" s="288">
        <f>ROUND(L939+(L939*Assumptions!J$13),-2)</f>
        <v>-363700</v>
      </c>
      <c r="N939" s="288">
        <f>ROUND(M939+(M939*Assumptions!K$13),-2)</f>
        <v>-372800</v>
      </c>
    </row>
    <row r="940" spans="2:14" x14ac:dyDescent="0.25">
      <c r="B940" s="16" t="s">
        <v>3228</v>
      </c>
      <c r="C940" s="16" t="s">
        <v>1532</v>
      </c>
      <c r="D940" s="16" t="s">
        <v>1533</v>
      </c>
      <c r="E940" s="289"/>
      <c r="F940" s="289"/>
      <c r="G940" s="289"/>
      <c r="H940" s="289"/>
      <c r="I940" s="289"/>
      <c r="J940" s="289"/>
      <c r="K940" s="289"/>
      <c r="L940" s="289"/>
      <c r="M940" s="289"/>
      <c r="N940" s="289"/>
    </row>
    <row r="941" spans="2:14" x14ac:dyDescent="0.25">
      <c r="B941" s="16" t="s">
        <v>3228</v>
      </c>
      <c r="C941" s="16" t="s">
        <v>1534</v>
      </c>
      <c r="D941" s="16" t="s">
        <v>1535</v>
      </c>
      <c r="E941" s="288">
        <v>-1200</v>
      </c>
      <c r="F941" s="288">
        <f>ROUND(E941+(E941*Assumptions!C$13),-2)</f>
        <v>-1200</v>
      </c>
      <c r="G941" s="288">
        <f>ROUND(F941+(F941*Assumptions!D$13),-2)</f>
        <v>-1200</v>
      </c>
      <c r="H941" s="288">
        <f>ROUND(G941+(G941*Assumptions!E$13),-2)</f>
        <v>-1200</v>
      </c>
      <c r="I941" s="288">
        <f>ROUND(H941+(H941*Assumptions!F$13),-2)</f>
        <v>-1200</v>
      </c>
      <c r="J941" s="288">
        <f>ROUND(I941+(I941*Assumptions!G$13),-2)</f>
        <v>-1200</v>
      </c>
      <c r="K941" s="288">
        <f>ROUND(J941+(J941*Assumptions!H$13),-2)</f>
        <v>-1200</v>
      </c>
      <c r="L941" s="288">
        <f>ROUND(K941+(K941*Assumptions!I$13),-2)</f>
        <v>-1200</v>
      </c>
      <c r="M941" s="288">
        <f>ROUND(L941+(L941*Assumptions!J$13),-2)</f>
        <v>-1200</v>
      </c>
      <c r="N941" s="288">
        <f>ROUND(M941+(M941*Assumptions!K$13),-2)</f>
        <v>-1200</v>
      </c>
    </row>
    <row r="942" spans="2:14" x14ac:dyDescent="0.25">
      <c r="B942" s="16" t="s">
        <v>3228</v>
      </c>
      <c r="C942" s="16" t="s">
        <v>1536</v>
      </c>
      <c r="D942" s="16" t="s">
        <v>1537</v>
      </c>
      <c r="E942" s="288">
        <v>-6500</v>
      </c>
      <c r="F942" s="288">
        <f>ROUND(E942+(E942*Assumptions!C$13),-2)</f>
        <v>-6600</v>
      </c>
      <c r="G942" s="288">
        <f>ROUND(F942+(F942*Assumptions!D$13),-2)</f>
        <v>-6800</v>
      </c>
      <c r="H942" s="288">
        <f>ROUND(G942+(G942*Assumptions!E$13),-2)</f>
        <v>-7000</v>
      </c>
      <c r="I942" s="288">
        <f>ROUND(H942+(H942*Assumptions!F$13),-2)</f>
        <v>-7200</v>
      </c>
      <c r="J942" s="288">
        <f>ROUND(I942+(I942*Assumptions!G$13),-2)</f>
        <v>-7400</v>
      </c>
      <c r="K942" s="288">
        <f>ROUND(J942+(J942*Assumptions!H$13),-2)</f>
        <v>-7600</v>
      </c>
      <c r="L942" s="288">
        <f>ROUND(K942+(K942*Assumptions!I$13),-2)</f>
        <v>-7800</v>
      </c>
      <c r="M942" s="288">
        <f>ROUND(L942+(L942*Assumptions!J$13),-2)</f>
        <v>-8000</v>
      </c>
      <c r="N942" s="288">
        <f>ROUND(M942+(M942*Assumptions!K$13),-2)</f>
        <v>-8200</v>
      </c>
    </row>
    <row r="943" spans="2:14" x14ac:dyDescent="0.25">
      <c r="B943" s="16" t="s">
        <v>3228</v>
      </c>
      <c r="C943" s="16" t="s">
        <v>1538</v>
      </c>
      <c r="D943" s="16" t="s">
        <v>1539</v>
      </c>
      <c r="E943" s="288">
        <v>-1100</v>
      </c>
      <c r="F943" s="288">
        <f>ROUND(E943+(E943*Assumptions!C$13),-2)</f>
        <v>-1100</v>
      </c>
      <c r="G943" s="288">
        <f>ROUND(F943+(F943*Assumptions!D$13),-2)</f>
        <v>-1100</v>
      </c>
      <c r="H943" s="288">
        <f>ROUND(G943+(G943*Assumptions!E$13),-2)</f>
        <v>-1100</v>
      </c>
      <c r="I943" s="288">
        <f>ROUND(H943+(H943*Assumptions!F$13),-2)</f>
        <v>-1100</v>
      </c>
      <c r="J943" s="288">
        <f>ROUND(I943+(I943*Assumptions!G$13),-2)</f>
        <v>-1100</v>
      </c>
      <c r="K943" s="288">
        <f>ROUND(J943+(J943*Assumptions!H$13),-2)</f>
        <v>-1100</v>
      </c>
      <c r="L943" s="288">
        <f>ROUND(K943+(K943*Assumptions!I$13),-2)</f>
        <v>-1100</v>
      </c>
      <c r="M943" s="288">
        <f>ROUND(L943+(L943*Assumptions!J$13),-2)</f>
        <v>-1100</v>
      </c>
      <c r="N943" s="288">
        <f>ROUND(M943+(M943*Assumptions!K$13),-2)</f>
        <v>-1100</v>
      </c>
    </row>
    <row r="944" spans="2:14" x14ac:dyDescent="0.25">
      <c r="B944" s="16" t="s">
        <v>3228</v>
      </c>
      <c r="C944" s="16" t="s">
        <v>1540</v>
      </c>
      <c r="D944" s="16" t="s">
        <v>1541</v>
      </c>
      <c r="E944" s="289"/>
      <c r="F944" s="289"/>
      <c r="G944" s="289"/>
      <c r="H944" s="289"/>
      <c r="I944" s="289"/>
      <c r="J944" s="289"/>
      <c r="K944" s="289"/>
      <c r="L944" s="289"/>
      <c r="M944" s="289"/>
      <c r="N944" s="289"/>
    </row>
    <row r="945" spans="2:14" x14ac:dyDescent="0.25">
      <c r="B945" s="16" t="s">
        <v>3228</v>
      </c>
      <c r="C945" s="16" t="s">
        <v>1542</v>
      </c>
      <c r="D945" s="16" t="s">
        <v>1543</v>
      </c>
      <c r="E945" s="288">
        <v>-10000</v>
      </c>
      <c r="F945" s="288">
        <f>ROUND(E945+(E945*Assumptions!C$13),-2)</f>
        <v>-10200</v>
      </c>
      <c r="G945" s="288">
        <f>ROUND(F945+(F945*Assumptions!D$13),-2)</f>
        <v>-10500</v>
      </c>
      <c r="H945" s="288">
        <f>ROUND(G945+(G945*Assumptions!E$13),-2)</f>
        <v>-10800</v>
      </c>
      <c r="I945" s="288">
        <f>ROUND(H945+(H945*Assumptions!F$13),-2)</f>
        <v>-11100</v>
      </c>
      <c r="J945" s="288">
        <f>ROUND(I945+(I945*Assumptions!G$13),-2)</f>
        <v>-11400</v>
      </c>
      <c r="K945" s="288">
        <f>ROUND(J945+(J945*Assumptions!H$13),-2)</f>
        <v>-11700</v>
      </c>
      <c r="L945" s="288">
        <f>ROUND(K945+(K945*Assumptions!I$13),-2)</f>
        <v>-12000</v>
      </c>
      <c r="M945" s="288">
        <f>ROUND(L945+(L945*Assumptions!J$13),-2)</f>
        <v>-12300</v>
      </c>
      <c r="N945" s="288">
        <f>ROUND(M945+(M945*Assumptions!K$13),-2)</f>
        <v>-12600</v>
      </c>
    </row>
    <row r="946" spans="2:14" ht="12.75" customHeight="1" x14ac:dyDescent="0.25">
      <c r="E946" s="288"/>
      <c r="F946" s="288"/>
      <c r="G946" s="288"/>
      <c r="H946" s="288"/>
      <c r="I946" s="288"/>
      <c r="J946" s="288"/>
      <c r="K946" s="288"/>
      <c r="L946" s="288"/>
      <c r="M946" s="288"/>
      <c r="N946" s="288"/>
    </row>
    <row r="947" spans="2:14" ht="12.75" customHeight="1" x14ac:dyDescent="0.25">
      <c r="D947" s="19" t="s">
        <v>3234</v>
      </c>
      <c r="E947" s="291">
        <f>SUM(E930:E946)</f>
        <v>-3694300</v>
      </c>
      <c r="F947" s="291">
        <f t="shared" ref="F947:N947" si="30">SUM(F930:F946)</f>
        <v>-4831700</v>
      </c>
      <c r="G947" s="291">
        <f t="shared" si="30"/>
        <v>-3581300</v>
      </c>
      <c r="H947" s="291">
        <f t="shared" si="30"/>
        <v>-4091000</v>
      </c>
      <c r="I947" s="291">
        <f t="shared" si="30"/>
        <v>-3920900</v>
      </c>
      <c r="J947" s="291">
        <f t="shared" si="30"/>
        <v>-4061100</v>
      </c>
      <c r="K947" s="291">
        <f t="shared" si="30"/>
        <v>-3721500</v>
      </c>
      <c r="L947" s="291">
        <f t="shared" si="30"/>
        <v>-3732200</v>
      </c>
      <c r="M947" s="291">
        <f t="shared" si="30"/>
        <v>-3743200</v>
      </c>
      <c r="N947" s="291">
        <f t="shared" si="30"/>
        <v>-3754400</v>
      </c>
    </row>
    <row r="948" spans="2:14" ht="12.75" customHeight="1" x14ac:dyDescent="0.25">
      <c r="E948" s="288"/>
      <c r="F948" s="288"/>
      <c r="G948" s="288"/>
      <c r="H948" s="288"/>
      <c r="I948" s="288"/>
      <c r="J948" s="288"/>
      <c r="K948" s="288"/>
      <c r="L948" s="288"/>
      <c r="M948" s="288"/>
      <c r="N948" s="288"/>
    </row>
    <row r="949" spans="2:14" x14ac:dyDescent="0.25">
      <c r="C949" s="19" t="s">
        <v>1544</v>
      </c>
      <c r="E949" s="288"/>
      <c r="F949" s="288"/>
      <c r="G949" s="288"/>
      <c r="H949" s="288"/>
      <c r="I949" s="288"/>
      <c r="J949" s="288"/>
      <c r="K949" s="288"/>
      <c r="L949" s="288"/>
      <c r="M949" s="288"/>
      <c r="N949" s="288"/>
    </row>
    <row r="950" spans="2:14" ht="12.75" customHeight="1" x14ac:dyDescent="0.25">
      <c r="E950" s="288"/>
      <c r="F950" s="288"/>
      <c r="G950" s="288"/>
      <c r="H950" s="288"/>
      <c r="I950" s="288"/>
      <c r="J950" s="288"/>
      <c r="K950" s="288"/>
      <c r="L950" s="288"/>
      <c r="M950" s="288"/>
      <c r="N950" s="288"/>
    </row>
    <row r="951" spans="2:14" x14ac:dyDescent="0.25">
      <c r="B951" s="16" t="s">
        <v>43</v>
      </c>
      <c r="C951" s="16" t="s">
        <v>87</v>
      </c>
      <c r="E951" s="288"/>
      <c r="F951" s="288"/>
      <c r="G951" s="288"/>
      <c r="H951" s="288"/>
      <c r="I951" s="288"/>
      <c r="J951" s="288"/>
      <c r="K951" s="288"/>
      <c r="L951" s="288"/>
      <c r="M951" s="288"/>
      <c r="N951" s="288"/>
    </row>
    <row r="952" spans="2:14" x14ac:dyDescent="0.25">
      <c r="B952" s="16" t="s">
        <v>43</v>
      </c>
      <c r="C952" s="16" t="s">
        <v>1545</v>
      </c>
      <c r="D952" s="16" t="s">
        <v>1546</v>
      </c>
      <c r="E952" s="289"/>
      <c r="F952" s="289"/>
      <c r="G952" s="289"/>
      <c r="H952" s="289"/>
      <c r="I952" s="289"/>
      <c r="J952" s="289"/>
      <c r="K952" s="289"/>
      <c r="L952" s="289"/>
      <c r="M952" s="289"/>
      <c r="N952" s="289"/>
    </row>
    <row r="953" spans="2:14" x14ac:dyDescent="0.25">
      <c r="B953" s="16" t="s">
        <v>43</v>
      </c>
      <c r="C953" s="16" t="s">
        <v>1547</v>
      </c>
      <c r="D953" s="16" t="s">
        <v>1548</v>
      </c>
      <c r="E953" s="288">
        <v>81900</v>
      </c>
      <c r="F953" s="288">
        <f>ROUND(IF($A953="E",E953*(1+Assumptions!C$15),E953*(1+Assumptions!C$14)),-2)</f>
        <v>83100</v>
      </c>
      <c r="G953" s="288">
        <f>ROUND(IF($A953="E",F953*(1+Assumptions!D$15),F953*(1+Assumptions!D$14)),-2)</f>
        <v>84800</v>
      </c>
      <c r="H953" s="288">
        <f>ROUND(IF($A953="E",G953*(1+Assumptions!E$15),G953*(1+Assumptions!E$14)),-2)</f>
        <v>86500</v>
      </c>
      <c r="I953" s="288">
        <f>ROUND(IF($A953="E",H953*(1+Assumptions!F$15),H953*(1+Assumptions!F$14)),-2)</f>
        <v>88200</v>
      </c>
      <c r="J953" s="288">
        <f>ROUND(IF($A953="E",I953*(1+Assumptions!G$15),I953*(1+Assumptions!G$14)),-2)</f>
        <v>90000</v>
      </c>
      <c r="K953" s="288">
        <f>ROUND(IF($A953="E",J953*(1+Assumptions!H$15),J953*(1+Assumptions!H$14)),-2)</f>
        <v>91800</v>
      </c>
      <c r="L953" s="288">
        <f>ROUND(IF($A953="E",K953*(1+Assumptions!I$15),K953*(1+Assumptions!I$14)),-2)</f>
        <v>94100</v>
      </c>
      <c r="M953" s="288">
        <f>ROUND(IF($A953="E",L953*(1+Assumptions!J$15),L953*(1+Assumptions!J$14)),-2)</f>
        <v>96500</v>
      </c>
      <c r="N953" s="288">
        <f>ROUND(IF($A953="E",M953*(1+Assumptions!K$15),M953*(1+Assumptions!K$14)),-2)</f>
        <v>98900</v>
      </c>
    </row>
    <row r="954" spans="2:14" x14ac:dyDescent="0.25">
      <c r="B954" s="16" t="s">
        <v>43</v>
      </c>
      <c r="C954" s="16" t="s">
        <v>1549</v>
      </c>
      <c r="D954" s="16" t="s">
        <v>1550</v>
      </c>
      <c r="E954" s="288">
        <v>17200</v>
      </c>
      <c r="F954" s="288">
        <f>ROUND(IF($A954="E",E954*(1+Assumptions!C$15),E954*(1+Assumptions!C$14)),-2)</f>
        <v>17500</v>
      </c>
      <c r="G954" s="288">
        <f>ROUND(IF($A954="E",F954*(1+Assumptions!D$15),F954*(1+Assumptions!D$14)),-2)</f>
        <v>17900</v>
      </c>
      <c r="H954" s="288">
        <f>ROUND(IF($A954="E",G954*(1+Assumptions!E$15),G954*(1+Assumptions!E$14)),-2)</f>
        <v>18300</v>
      </c>
      <c r="I954" s="288">
        <f>ROUND(IF($A954="E",H954*(1+Assumptions!F$15),H954*(1+Assumptions!F$14)),-2)</f>
        <v>18700</v>
      </c>
      <c r="J954" s="288">
        <f>ROUND(IF($A954="E",I954*(1+Assumptions!G$15),I954*(1+Assumptions!G$14)),-2)</f>
        <v>19100</v>
      </c>
      <c r="K954" s="288">
        <f>ROUND(IF($A954="E",J954*(1+Assumptions!H$15),J954*(1+Assumptions!H$14)),-2)</f>
        <v>19500</v>
      </c>
      <c r="L954" s="288">
        <f>ROUND(IF($A954="E",K954*(1+Assumptions!I$15),K954*(1+Assumptions!I$14)),-2)</f>
        <v>20000</v>
      </c>
      <c r="M954" s="288">
        <f>ROUND(IF($A954="E",L954*(1+Assumptions!J$15),L954*(1+Assumptions!J$14)),-2)</f>
        <v>20500</v>
      </c>
      <c r="N954" s="288">
        <f>ROUND(IF($A954="E",M954*(1+Assumptions!K$15),M954*(1+Assumptions!K$14)),-2)</f>
        <v>21000</v>
      </c>
    </row>
    <row r="955" spans="2:14" x14ac:dyDescent="0.25">
      <c r="B955" s="16" t="s">
        <v>43</v>
      </c>
      <c r="C955" s="16" t="s">
        <v>1551</v>
      </c>
      <c r="D955" s="16" t="s">
        <v>1552</v>
      </c>
      <c r="E955" s="288">
        <v>14200</v>
      </c>
      <c r="F955" s="288">
        <f>ROUND(IF($A955="E",E955*(1+Assumptions!C$15),E955*(1+Assumptions!C$14)),-2)</f>
        <v>14400</v>
      </c>
      <c r="G955" s="288">
        <f>ROUND(IF($A955="E",F955*(1+Assumptions!D$15),F955*(1+Assumptions!D$14)),-2)</f>
        <v>14700</v>
      </c>
      <c r="H955" s="288">
        <f>ROUND(IF($A955="E",G955*(1+Assumptions!E$15),G955*(1+Assumptions!E$14)),-2)</f>
        <v>15000</v>
      </c>
      <c r="I955" s="288">
        <f>ROUND(IF($A955="E",H955*(1+Assumptions!F$15),H955*(1+Assumptions!F$14)),-2)</f>
        <v>15300</v>
      </c>
      <c r="J955" s="288">
        <f>ROUND(IF($A955="E",I955*(1+Assumptions!G$15),I955*(1+Assumptions!G$14)),-2)</f>
        <v>15600</v>
      </c>
      <c r="K955" s="288">
        <f>ROUND(IF($A955="E",J955*(1+Assumptions!H$15),J955*(1+Assumptions!H$14)),-2)</f>
        <v>15900</v>
      </c>
      <c r="L955" s="288">
        <f>ROUND(IF($A955="E",K955*(1+Assumptions!I$15),K955*(1+Assumptions!I$14)),-2)</f>
        <v>16300</v>
      </c>
      <c r="M955" s="288">
        <f>ROUND(IF($A955="E",L955*(1+Assumptions!J$15),L955*(1+Assumptions!J$14)),-2)</f>
        <v>16700</v>
      </c>
      <c r="N955" s="288">
        <f>ROUND(IF($A955="E",M955*(1+Assumptions!K$15),M955*(1+Assumptions!K$14)),-2)</f>
        <v>17100</v>
      </c>
    </row>
    <row r="956" spans="2:14" x14ac:dyDescent="0.25">
      <c r="B956" s="16" t="s">
        <v>43</v>
      </c>
      <c r="C956" s="16" t="s">
        <v>1553</v>
      </c>
      <c r="D956" s="16" t="s">
        <v>1554</v>
      </c>
      <c r="E956" s="288">
        <v>42500</v>
      </c>
      <c r="F956" s="288">
        <f>ROUND(IF($A956="E",E956*(1+Assumptions!C$15),E956*(1+Assumptions!C$14)),-2)</f>
        <v>43100</v>
      </c>
      <c r="G956" s="288">
        <f>ROUND(IF($A956="E",F956*(1+Assumptions!D$15),F956*(1+Assumptions!D$14)),-2)</f>
        <v>44000</v>
      </c>
      <c r="H956" s="288">
        <f>ROUND(IF($A956="E",G956*(1+Assumptions!E$15),G956*(1+Assumptions!E$14)),-2)</f>
        <v>44900</v>
      </c>
      <c r="I956" s="288">
        <f>ROUND(IF($A956="E",H956*(1+Assumptions!F$15),H956*(1+Assumptions!F$14)),-2)</f>
        <v>45800</v>
      </c>
      <c r="J956" s="288">
        <f>ROUND(IF($A956="E",I956*(1+Assumptions!G$15),I956*(1+Assumptions!G$14)),-2)</f>
        <v>46700</v>
      </c>
      <c r="K956" s="288">
        <f>ROUND(IF($A956="E",J956*(1+Assumptions!H$15),J956*(1+Assumptions!H$14)),-2)</f>
        <v>47600</v>
      </c>
      <c r="L956" s="288">
        <f>ROUND(IF($A956="E",K956*(1+Assumptions!I$15),K956*(1+Assumptions!I$14)),-2)</f>
        <v>48800</v>
      </c>
      <c r="M956" s="288">
        <f>ROUND(IF($A956="E",L956*(1+Assumptions!J$15),L956*(1+Assumptions!J$14)),-2)</f>
        <v>50000</v>
      </c>
      <c r="N956" s="288">
        <f>ROUND(IF($A956="E",M956*(1+Assumptions!K$15),M956*(1+Assumptions!K$14)),-2)</f>
        <v>51300</v>
      </c>
    </row>
    <row r="957" spans="2:14" x14ac:dyDescent="0.25">
      <c r="B957" s="16" t="s">
        <v>43</v>
      </c>
      <c r="C957" s="16" t="s">
        <v>1555</v>
      </c>
      <c r="D957" s="16" t="s">
        <v>1556</v>
      </c>
      <c r="E957" s="288">
        <v>13000</v>
      </c>
      <c r="F957" s="288">
        <f>ROUND(IF($A957="E",E957*(1+Assumptions!C$15),E957*(1+Assumptions!C$14)),-2)</f>
        <v>13200</v>
      </c>
      <c r="G957" s="288">
        <f>ROUND(IF($A957="E",F957*(1+Assumptions!D$15),F957*(1+Assumptions!D$14)),-2)</f>
        <v>13500</v>
      </c>
      <c r="H957" s="288">
        <f>ROUND(IF($A957="E",G957*(1+Assumptions!E$15),G957*(1+Assumptions!E$14)),-2)</f>
        <v>13800</v>
      </c>
      <c r="I957" s="288">
        <f>ROUND(IF($A957="E",H957*(1+Assumptions!F$15),H957*(1+Assumptions!F$14)),-2)</f>
        <v>14100</v>
      </c>
      <c r="J957" s="288">
        <f>ROUND(IF($A957="E",I957*(1+Assumptions!G$15),I957*(1+Assumptions!G$14)),-2)</f>
        <v>14400</v>
      </c>
      <c r="K957" s="288">
        <f>ROUND(IF($A957="E",J957*(1+Assumptions!H$15),J957*(1+Assumptions!H$14)),-2)</f>
        <v>14700</v>
      </c>
      <c r="L957" s="288">
        <f>ROUND(IF($A957="E",K957*(1+Assumptions!I$15),K957*(1+Assumptions!I$14)),-2)</f>
        <v>15100</v>
      </c>
      <c r="M957" s="288">
        <f>ROUND(IF($A957="E",L957*(1+Assumptions!J$15),L957*(1+Assumptions!J$14)),-2)</f>
        <v>15500</v>
      </c>
      <c r="N957" s="288">
        <f>ROUND(IF($A957="E",M957*(1+Assumptions!K$15),M957*(1+Assumptions!K$14)),-2)</f>
        <v>15900</v>
      </c>
    </row>
    <row r="958" spans="2:14" x14ac:dyDescent="0.25">
      <c r="B958" s="16" t="s">
        <v>43</v>
      </c>
      <c r="C958" s="16" t="s">
        <v>1557</v>
      </c>
      <c r="D958" s="16" t="s">
        <v>1558</v>
      </c>
      <c r="E958" s="288">
        <v>8400</v>
      </c>
      <c r="F958" s="288">
        <f>ROUND(IF($A958="E",E958*(1+Assumptions!C$15),E958*(1+Assumptions!C$14)),-2)</f>
        <v>8500</v>
      </c>
      <c r="G958" s="288">
        <f>ROUND(IF($A958="E",F958*(1+Assumptions!D$15),F958*(1+Assumptions!D$14)),-2)</f>
        <v>8700</v>
      </c>
      <c r="H958" s="288">
        <f>ROUND(IF($A958="E",G958*(1+Assumptions!E$15),G958*(1+Assumptions!E$14)),-2)</f>
        <v>8900</v>
      </c>
      <c r="I958" s="288">
        <f>ROUND(IF($A958="E",H958*(1+Assumptions!F$15),H958*(1+Assumptions!F$14)),-2)</f>
        <v>9100</v>
      </c>
      <c r="J958" s="288">
        <f>ROUND(IF($A958="E",I958*(1+Assumptions!G$15),I958*(1+Assumptions!G$14)),-2)</f>
        <v>9300</v>
      </c>
      <c r="K958" s="288">
        <f>ROUND(IF($A958="E",J958*(1+Assumptions!H$15),J958*(1+Assumptions!H$14)),-2)</f>
        <v>9500</v>
      </c>
      <c r="L958" s="288">
        <f>ROUND(IF($A958="E",K958*(1+Assumptions!I$15),K958*(1+Assumptions!I$14)),-2)</f>
        <v>9700</v>
      </c>
      <c r="M958" s="288">
        <f>ROUND(IF($A958="E",L958*(1+Assumptions!J$15),L958*(1+Assumptions!J$14)),-2)</f>
        <v>9900</v>
      </c>
      <c r="N958" s="288">
        <f>ROUND(IF($A958="E",M958*(1+Assumptions!K$15),M958*(1+Assumptions!K$14)),-2)</f>
        <v>10100</v>
      </c>
    </row>
    <row r="959" spans="2:14" x14ac:dyDescent="0.25">
      <c r="B959" s="16" t="s">
        <v>43</v>
      </c>
      <c r="C959" s="16" t="s">
        <v>1559</v>
      </c>
      <c r="D959" s="16" t="s">
        <v>1560</v>
      </c>
      <c r="E959" s="288">
        <v>42400</v>
      </c>
      <c r="F959" s="288">
        <f>ROUND(IF($A959="E",E959*(1+Assumptions!C$15),E959*(1+Assumptions!C$14)),-2)</f>
        <v>43000</v>
      </c>
      <c r="G959" s="288">
        <f>ROUND(IF($A959="E",F959*(1+Assumptions!D$15),F959*(1+Assumptions!D$14)),-2)</f>
        <v>43900</v>
      </c>
      <c r="H959" s="288">
        <f>ROUND(IF($A959="E",G959*(1+Assumptions!E$15),G959*(1+Assumptions!E$14)),-2)</f>
        <v>44800</v>
      </c>
      <c r="I959" s="288">
        <f>ROUND(IF($A959="E",H959*(1+Assumptions!F$15),H959*(1+Assumptions!F$14)),-2)</f>
        <v>45700</v>
      </c>
      <c r="J959" s="288">
        <f>ROUND(IF($A959="E",I959*(1+Assumptions!G$15),I959*(1+Assumptions!G$14)),-2)</f>
        <v>46600</v>
      </c>
      <c r="K959" s="288">
        <f>ROUND(IF($A959="E",J959*(1+Assumptions!H$15),J959*(1+Assumptions!H$14)),-2)</f>
        <v>47500</v>
      </c>
      <c r="L959" s="288">
        <f>ROUND(IF($A959="E",K959*(1+Assumptions!I$15),K959*(1+Assumptions!I$14)),-2)</f>
        <v>48700</v>
      </c>
      <c r="M959" s="288">
        <f>ROUND(IF($A959="E",L959*(1+Assumptions!J$15),L959*(1+Assumptions!J$14)),-2)</f>
        <v>49900</v>
      </c>
      <c r="N959" s="288">
        <f>ROUND(IF($A959="E",M959*(1+Assumptions!K$15),M959*(1+Assumptions!K$14)),-2)</f>
        <v>51100</v>
      </c>
    </row>
    <row r="960" spans="2:14" x14ac:dyDescent="0.25">
      <c r="B960" s="16" t="s">
        <v>43</v>
      </c>
      <c r="C960" s="16" t="s">
        <v>1561</v>
      </c>
      <c r="D960" s="16" t="s">
        <v>1562</v>
      </c>
      <c r="E960" s="288">
        <v>20900</v>
      </c>
      <c r="F960" s="288">
        <f>ROUND(IF($A960="E",E960*(1+Assumptions!C$15),E960*(1+Assumptions!C$14)),-2)</f>
        <v>21200</v>
      </c>
      <c r="G960" s="288">
        <f>ROUND(IF($A960="E",F960*(1+Assumptions!D$15),F960*(1+Assumptions!D$14)),-2)</f>
        <v>21600</v>
      </c>
      <c r="H960" s="288">
        <f>ROUND(IF($A960="E",G960*(1+Assumptions!E$15),G960*(1+Assumptions!E$14)),-2)</f>
        <v>22000</v>
      </c>
      <c r="I960" s="288">
        <f>ROUND(IF($A960="E",H960*(1+Assumptions!F$15),H960*(1+Assumptions!F$14)),-2)</f>
        <v>22400</v>
      </c>
      <c r="J960" s="288">
        <f>ROUND(IF($A960="E",I960*(1+Assumptions!G$15),I960*(1+Assumptions!G$14)),-2)</f>
        <v>22800</v>
      </c>
      <c r="K960" s="288">
        <f>ROUND(IF($A960="E",J960*(1+Assumptions!H$15),J960*(1+Assumptions!H$14)),-2)</f>
        <v>23300</v>
      </c>
      <c r="L960" s="288">
        <f>ROUND(IF($A960="E",K960*(1+Assumptions!I$15),K960*(1+Assumptions!I$14)),-2)</f>
        <v>23900</v>
      </c>
      <c r="M960" s="288">
        <f>ROUND(IF($A960="E",L960*(1+Assumptions!J$15),L960*(1+Assumptions!J$14)),-2)</f>
        <v>24500</v>
      </c>
      <c r="N960" s="288">
        <f>ROUND(IF($A960="E",M960*(1+Assumptions!K$15),M960*(1+Assumptions!K$14)),-2)</f>
        <v>25100</v>
      </c>
    </row>
    <row r="961" spans="2:14" x14ac:dyDescent="0.25">
      <c r="B961" s="16" t="s">
        <v>43</v>
      </c>
      <c r="C961" s="16" t="s">
        <v>1563</v>
      </c>
      <c r="D961" s="16" t="s">
        <v>1564</v>
      </c>
      <c r="E961" s="288">
        <v>8600</v>
      </c>
      <c r="F961" s="288">
        <f>ROUND(IF($A961="E",E961*(1+Assumptions!C$15),E961*(1+Assumptions!C$14)),-2)</f>
        <v>8700</v>
      </c>
      <c r="G961" s="288">
        <f>ROUND(IF($A961="E",F961*(1+Assumptions!D$15),F961*(1+Assumptions!D$14)),-2)</f>
        <v>8900</v>
      </c>
      <c r="H961" s="288">
        <f>ROUND(IF($A961="E",G961*(1+Assumptions!E$15),G961*(1+Assumptions!E$14)),-2)</f>
        <v>9100</v>
      </c>
      <c r="I961" s="288">
        <f>ROUND(IF($A961="E",H961*(1+Assumptions!F$15),H961*(1+Assumptions!F$14)),-2)</f>
        <v>9300</v>
      </c>
      <c r="J961" s="288">
        <f>ROUND(IF($A961="E",I961*(1+Assumptions!G$15),I961*(1+Assumptions!G$14)),-2)</f>
        <v>9500</v>
      </c>
      <c r="K961" s="288">
        <f>ROUND(IF($A961="E",J961*(1+Assumptions!H$15),J961*(1+Assumptions!H$14)),-2)</f>
        <v>9700</v>
      </c>
      <c r="L961" s="288">
        <f>ROUND(IF($A961="E",K961*(1+Assumptions!I$15),K961*(1+Assumptions!I$14)),-2)</f>
        <v>9900</v>
      </c>
      <c r="M961" s="288">
        <f>ROUND(IF($A961="E",L961*(1+Assumptions!J$15),L961*(1+Assumptions!J$14)),-2)</f>
        <v>10100</v>
      </c>
      <c r="N961" s="288">
        <f>ROUND(IF($A961="E",M961*(1+Assumptions!K$15),M961*(1+Assumptions!K$14)),-2)</f>
        <v>10400</v>
      </c>
    </row>
    <row r="962" spans="2:14" x14ac:dyDescent="0.25">
      <c r="B962" s="16" t="s">
        <v>43</v>
      </c>
      <c r="C962" s="16" t="s">
        <v>1565</v>
      </c>
      <c r="D962" s="16" t="s">
        <v>1566</v>
      </c>
      <c r="E962" s="288">
        <v>1600</v>
      </c>
      <c r="F962" s="288">
        <f>ROUND(IF($A962="E",E962*(1+Assumptions!C$15),E962*(1+Assumptions!C$14)),-2)</f>
        <v>1600</v>
      </c>
      <c r="G962" s="288">
        <f>ROUND(IF($A962="E",F962*(1+Assumptions!D$15),F962*(1+Assumptions!D$14)),-2)</f>
        <v>1600</v>
      </c>
      <c r="H962" s="288">
        <f>ROUND(IF($A962="E",G962*(1+Assumptions!E$15),G962*(1+Assumptions!E$14)),-2)</f>
        <v>1600</v>
      </c>
      <c r="I962" s="288">
        <f>ROUND(IF($A962="E",H962*(1+Assumptions!F$15),H962*(1+Assumptions!F$14)),-2)</f>
        <v>1600</v>
      </c>
      <c r="J962" s="288">
        <f>ROUND(IF($A962="E",I962*(1+Assumptions!G$15),I962*(1+Assumptions!G$14)),-2)</f>
        <v>1600</v>
      </c>
      <c r="K962" s="288">
        <f>ROUND(IF($A962="E",J962*(1+Assumptions!H$15),J962*(1+Assumptions!H$14)),-2)</f>
        <v>1600</v>
      </c>
      <c r="L962" s="288">
        <f>ROUND(IF($A962="E",K962*(1+Assumptions!I$15),K962*(1+Assumptions!I$14)),-2)</f>
        <v>1600</v>
      </c>
      <c r="M962" s="288">
        <f>ROUND(IF($A962="E",L962*(1+Assumptions!J$15),L962*(1+Assumptions!J$14)),-2)</f>
        <v>1600</v>
      </c>
      <c r="N962" s="288">
        <f>ROUND(IF($A962="E",M962*(1+Assumptions!K$15),M962*(1+Assumptions!K$14)),-2)</f>
        <v>1600</v>
      </c>
    </row>
    <row r="963" spans="2:14" x14ac:dyDescent="0.25">
      <c r="B963" s="16" t="s">
        <v>43</v>
      </c>
      <c r="C963" s="16" t="s">
        <v>1567</v>
      </c>
      <c r="D963" s="16" t="s">
        <v>1568</v>
      </c>
      <c r="E963" s="288">
        <v>22900</v>
      </c>
      <c r="F963" s="288">
        <f>ROUND(IF($A963="E",E963*(1+Assumptions!C$15),E963*(1+Assumptions!C$14)),-2)</f>
        <v>23200</v>
      </c>
      <c r="G963" s="288">
        <f>ROUND(IF($A963="E",F963*(1+Assumptions!D$15),F963*(1+Assumptions!D$14)),-2)</f>
        <v>23700</v>
      </c>
      <c r="H963" s="288">
        <f>ROUND(IF($A963="E",G963*(1+Assumptions!E$15),G963*(1+Assumptions!E$14)),-2)</f>
        <v>24200</v>
      </c>
      <c r="I963" s="288">
        <f>ROUND(IF($A963="E",H963*(1+Assumptions!F$15),H963*(1+Assumptions!F$14)),-2)</f>
        <v>24700</v>
      </c>
      <c r="J963" s="288">
        <f>ROUND(IF($A963="E",I963*(1+Assumptions!G$15),I963*(1+Assumptions!G$14)),-2)</f>
        <v>25200</v>
      </c>
      <c r="K963" s="288">
        <f>ROUND(IF($A963="E",J963*(1+Assumptions!H$15),J963*(1+Assumptions!H$14)),-2)</f>
        <v>25700</v>
      </c>
      <c r="L963" s="288">
        <f>ROUND(IF($A963="E",K963*(1+Assumptions!I$15),K963*(1+Assumptions!I$14)),-2)</f>
        <v>26300</v>
      </c>
      <c r="M963" s="288">
        <f>ROUND(IF($A963="E",L963*(1+Assumptions!J$15),L963*(1+Assumptions!J$14)),-2)</f>
        <v>27000</v>
      </c>
      <c r="N963" s="288">
        <f>ROUND(IF($A963="E",M963*(1+Assumptions!K$15),M963*(1+Assumptions!K$14)),-2)</f>
        <v>27700</v>
      </c>
    </row>
    <row r="964" spans="2:14" x14ac:dyDescent="0.25">
      <c r="B964" s="16" t="s">
        <v>43</v>
      </c>
      <c r="C964" s="16" t="s">
        <v>1569</v>
      </c>
      <c r="D964" s="16" t="s">
        <v>1570</v>
      </c>
      <c r="E964" s="288">
        <v>15600</v>
      </c>
      <c r="F964" s="288">
        <f>ROUND(IF($A964="E",E964*(1+Assumptions!C$15),E964*(1+Assumptions!C$14)),-2)</f>
        <v>15800</v>
      </c>
      <c r="G964" s="288">
        <f>ROUND(IF($A964="E",F964*(1+Assumptions!D$15),F964*(1+Assumptions!D$14)),-2)</f>
        <v>16100</v>
      </c>
      <c r="H964" s="288">
        <f>ROUND(IF($A964="E",G964*(1+Assumptions!E$15),G964*(1+Assumptions!E$14)),-2)</f>
        <v>16400</v>
      </c>
      <c r="I964" s="288">
        <f>ROUND(IF($A964="E",H964*(1+Assumptions!F$15),H964*(1+Assumptions!F$14)),-2)</f>
        <v>16700</v>
      </c>
      <c r="J964" s="288">
        <f>ROUND(IF($A964="E",I964*(1+Assumptions!G$15),I964*(1+Assumptions!G$14)),-2)</f>
        <v>17000</v>
      </c>
      <c r="K964" s="288">
        <f>ROUND(IF($A964="E",J964*(1+Assumptions!H$15),J964*(1+Assumptions!H$14)),-2)</f>
        <v>17300</v>
      </c>
      <c r="L964" s="288">
        <f>ROUND(IF($A964="E",K964*(1+Assumptions!I$15),K964*(1+Assumptions!I$14)),-2)</f>
        <v>17700</v>
      </c>
      <c r="M964" s="288">
        <f>ROUND(IF($A964="E",L964*(1+Assumptions!J$15),L964*(1+Assumptions!J$14)),-2)</f>
        <v>18100</v>
      </c>
      <c r="N964" s="288">
        <f>ROUND(IF($A964="E",M964*(1+Assumptions!K$15),M964*(1+Assumptions!K$14)),-2)</f>
        <v>18600</v>
      </c>
    </row>
    <row r="965" spans="2:14" x14ac:dyDescent="0.25">
      <c r="B965" s="16" t="s">
        <v>43</v>
      </c>
      <c r="C965" s="16" t="s">
        <v>1571</v>
      </c>
      <c r="D965" s="16" t="s">
        <v>1572</v>
      </c>
      <c r="E965" s="288">
        <v>5500</v>
      </c>
      <c r="F965" s="288">
        <f>ROUND(IF($A965="E",E965*(1+Assumptions!C$15),E965*(1+Assumptions!C$14)),-2)</f>
        <v>5600</v>
      </c>
      <c r="G965" s="288">
        <f>ROUND(IF($A965="E",F965*(1+Assumptions!D$15),F965*(1+Assumptions!D$14)),-2)</f>
        <v>5700</v>
      </c>
      <c r="H965" s="288">
        <f>ROUND(IF($A965="E",G965*(1+Assumptions!E$15),G965*(1+Assumptions!E$14)),-2)</f>
        <v>5800</v>
      </c>
      <c r="I965" s="288">
        <f>ROUND(IF($A965="E",H965*(1+Assumptions!F$15),H965*(1+Assumptions!F$14)),-2)</f>
        <v>5900</v>
      </c>
      <c r="J965" s="288">
        <f>ROUND(IF($A965="E",I965*(1+Assumptions!G$15),I965*(1+Assumptions!G$14)),-2)</f>
        <v>6000</v>
      </c>
      <c r="K965" s="288">
        <f>ROUND(IF($A965="E",J965*(1+Assumptions!H$15),J965*(1+Assumptions!H$14)),-2)</f>
        <v>6100</v>
      </c>
      <c r="L965" s="288">
        <f>ROUND(IF($A965="E",K965*(1+Assumptions!I$15),K965*(1+Assumptions!I$14)),-2)</f>
        <v>6300</v>
      </c>
      <c r="M965" s="288">
        <f>ROUND(IF($A965="E",L965*(1+Assumptions!J$15),L965*(1+Assumptions!J$14)),-2)</f>
        <v>6500</v>
      </c>
      <c r="N965" s="288">
        <f>ROUND(IF($A965="E",M965*(1+Assumptions!K$15),M965*(1+Assumptions!K$14)),-2)</f>
        <v>6700</v>
      </c>
    </row>
    <row r="966" spans="2:14" x14ac:dyDescent="0.25">
      <c r="B966" s="16" t="s">
        <v>43</v>
      </c>
      <c r="C966" s="16" t="s">
        <v>1573</v>
      </c>
      <c r="D966" s="16" t="s">
        <v>1574</v>
      </c>
      <c r="E966" s="288">
        <v>6800</v>
      </c>
      <c r="F966" s="288">
        <f>ROUND(IF($A966="E",E966*(1+Assumptions!C$15),E966*(1+Assumptions!C$14)),-2)</f>
        <v>6900</v>
      </c>
      <c r="G966" s="288">
        <f>ROUND(IF($A966="E",F966*(1+Assumptions!D$15),F966*(1+Assumptions!D$14)),-2)</f>
        <v>7000</v>
      </c>
      <c r="H966" s="288">
        <f>ROUND(IF($A966="E",G966*(1+Assumptions!E$15),G966*(1+Assumptions!E$14)),-2)</f>
        <v>7100</v>
      </c>
      <c r="I966" s="288">
        <f>ROUND(IF($A966="E",H966*(1+Assumptions!F$15),H966*(1+Assumptions!F$14)),-2)</f>
        <v>7200</v>
      </c>
      <c r="J966" s="288">
        <f>ROUND(IF($A966="E",I966*(1+Assumptions!G$15),I966*(1+Assumptions!G$14)),-2)</f>
        <v>7300</v>
      </c>
      <c r="K966" s="288">
        <f>ROUND(IF($A966="E",J966*(1+Assumptions!H$15),J966*(1+Assumptions!H$14)),-2)</f>
        <v>7400</v>
      </c>
      <c r="L966" s="288">
        <f>ROUND(IF($A966="E",K966*(1+Assumptions!I$15),K966*(1+Assumptions!I$14)),-2)</f>
        <v>7600</v>
      </c>
      <c r="M966" s="288">
        <f>ROUND(IF($A966="E",L966*(1+Assumptions!J$15),L966*(1+Assumptions!J$14)),-2)</f>
        <v>7800</v>
      </c>
      <c r="N966" s="288">
        <f>ROUND(IF($A966="E",M966*(1+Assumptions!K$15),M966*(1+Assumptions!K$14)),-2)</f>
        <v>8000</v>
      </c>
    </row>
    <row r="967" spans="2:14" x14ac:dyDescent="0.25">
      <c r="B967" s="16" t="s">
        <v>43</v>
      </c>
      <c r="C967" s="16" t="s">
        <v>1575</v>
      </c>
      <c r="D967" s="16" t="s">
        <v>1576</v>
      </c>
      <c r="E967" s="289"/>
      <c r="F967" s="289"/>
      <c r="G967" s="289"/>
      <c r="H967" s="289"/>
      <c r="I967" s="289"/>
      <c r="J967" s="289"/>
      <c r="K967" s="289"/>
      <c r="L967" s="289"/>
      <c r="M967" s="289"/>
      <c r="N967" s="289"/>
    </row>
    <row r="968" spans="2:14" x14ac:dyDescent="0.25">
      <c r="B968" s="16" t="s">
        <v>43</v>
      </c>
      <c r="C968" s="16" t="s">
        <v>1577</v>
      </c>
      <c r="D968" s="16" t="s">
        <v>1578</v>
      </c>
      <c r="E968" s="288">
        <v>36700</v>
      </c>
      <c r="F968" s="288">
        <f>ROUND(IF($A968="E",E968*(1+Assumptions!C$15),E968*(1+Assumptions!C$14)),-2)</f>
        <v>37300</v>
      </c>
      <c r="G968" s="288">
        <f>ROUND(IF($A968="E",F968*(1+Assumptions!D$15),F968*(1+Assumptions!D$14)),-2)</f>
        <v>38000</v>
      </c>
      <c r="H968" s="288">
        <f>ROUND(IF($A968="E",G968*(1+Assumptions!E$15),G968*(1+Assumptions!E$14)),-2)</f>
        <v>38800</v>
      </c>
      <c r="I968" s="288">
        <f>ROUND(IF($A968="E",H968*(1+Assumptions!F$15),H968*(1+Assumptions!F$14)),-2)</f>
        <v>39600</v>
      </c>
      <c r="J968" s="288">
        <f>ROUND(IF($A968="E",I968*(1+Assumptions!G$15),I968*(1+Assumptions!G$14)),-2)</f>
        <v>40400</v>
      </c>
      <c r="K968" s="288">
        <f>ROUND(IF($A968="E",J968*(1+Assumptions!H$15),J968*(1+Assumptions!H$14)),-2)</f>
        <v>41200</v>
      </c>
      <c r="L968" s="288">
        <f>ROUND(IF($A968="E",K968*(1+Assumptions!I$15),K968*(1+Assumptions!I$14)),-2)</f>
        <v>42200</v>
      </c>
      <c r="M968" s="288">
        <f>ROUND(IF($A968="E",L968*(1+Assumptions!J$15),L968*(1+Assumptions!J$14)),-2)</f>
        <v>43300</v>
      </c>
      <c r="N968" s="288">
        <f>ROUND(IF($A968="E",M968*(1+Assumptions!K$15),M968*(1+Assumptions!K$14)),-2)</f>
        <v>44400</v>
      </c>
    </row>
    <row r="969" spans="2:14" x14ac:dyDescent="0.25">
      <c r="B969" s="16" t="s">
        <v>43</v>
      </c>
      <c r="C969" s="16" t="s">
        <v>1579</v>
      </c>
      <c r="D969" s="16" t="s">
        <v>1580</v>
      </c>
      <c r="E969" s="288">
        <v>84900</v>
      </c>
      <c r="F969" s="288">
        <f>ROUND(IF($A969="E",E969*(1+Assumptions!C$15),E969*(1+Assumptions!C$14)),-2)</f>
        <v>86200</v>
      </c>
      <c r="G969" s="288">
        <f>ROUND(IF($A969="E",F969*(1+Assumptions!D$15),F969*(1+Assumptions!D$14)),-2)</f>
        <v>87900</v>
      </c>
      <c r="H969" s="288">
        <f>ROUND(IF($A969="E",G969*(1+Assumptions!E$15),G969*(1+Assumptions!E$14)),-2)</f>
        <v>89700</v>
      </c>
      <c r="I969" s="288">
        <f>ROUND(IF($A969="E",H969*(1+Assumptions!F$15),H969*(1+Assumptions!F$14)),-2)</f>
        <v>91500</v>
      </c>
      <c r="J969" s="288">
        <f>ROUND(IF($A969="E",I969*(1+Assumptions!G$15),I969*(1+Assumptions!G$14)),-2)</f>
        <v>93300</v>
      </c>
      <c r="K969" s="288">
        <f>ROUND(IF($A969="E",J969*(1+Assumptions!H$15),J969*(1+Assumptions!H$14)),-2)</f>
        <v>95200</v>
      </c>
      <c r="L969" s="288">
        <f>ROUND(IF($A969="E",K969*(1+Assumptions!I$15),K969*(1+Assumptions!I$14)),-2)</f>
        <v>97600</v>
      </c>
      <c r="M969" s="288">
        <f>ROUND(IF($A969="E",L969*(1+Assumptions!J$15),L969*(1+Assumptions!J$14)),-2)</f>
        <v>100000</v>
      </c>
      <c r="N969" s="288">
        <f>ROUND(IF($A969="E",M969*(1+Assumptions!K$15),M969*(1+Assumptions!K$14)),-2)</f>
        <v>102500</v>
      </c>
    </row>
    <row r="970" spans="2:14" x14ac:dyDescent="0.25">
      <c r="B970" s="16" t="s">
        <v>43</v>
      </c>
      <c r="C970" s="16" t="s">
        <v>1581</v>
      </c>
      <c r="D970" s="16" t="s">
        <v>1582</v>
      </c>
      <c r="E970" s="288">
        <v>2400</v>
      </c>
      <c r="F970" s="288">
        <f>ROUND(IF($A970="E",E970*(1+Assumptions!C$15),E970*(1+Assumptions!C$14)),-2)</f>
        <v>2400</v>
      </c>
      <c r="G970" s="288">
        <f>ROUND(IF($A970="E",F970*(1+Assumptions!D$15),F970*(1+Assumptions!D$14)),-2)</f>
        <v>2400</v>
      </c>
      <c r="H970" s="288">
        <f>ROUND(IF($A970="E",G970*(1+Assumptions!E$15),G970*(1+Assumptions!E$14)),-2)</f>
        <v>2400</v>
      </c>
      <c r="I970" s="288">
        <f>ROUND(IF($A970="E",H970*(1+Assumptions!F$15),H970*(1+Assumptions!F$14)),-2)</f>
        <v>2400</v>
      </c>
      <c r="J970" s="288">
        <f>ROUND(IF($A970="E",I970*(1+Assumptions!G$15),I970*(1+Assumptions!G$14)),-2)</f>
        <v>2400</v>
      </c>
      <c r="K970" s="288">
        <f>ROUND(IF($A970="E",J970*(1+Assumptions!H$15),J970*(1+Assumptions!H$14)),-2)</f>
        <v>2400</v>
      </c>
      <c r="L970" s="288">
        <f>ROUND(IF($A970="E",K970*(1+Assumptions!I$15),K970*(1+Assumptions!I$14)),-2)</f>
        <v>2500</v>
      </c>
      <c r="M970" s="288">
        <f>ROUND(IF($A970="E",L970*(1+Assumptions!J$15),L970*(1+Assumptions!J$14)),-2)</f>
        <v>2600</v>
      </c>
      <c r="N970" s="288">
        <f>ROUND(IF($A970="E",M970*(1+Assumptions!K$15),M970*(1+Assumptions!K$14)),-2)</f>
        <v>2700</v>
      </c>
    </row>
    <row r="971" spans="2:14" x14ac:dyDescent="0.25">
      <c r="B971" s="16" t="s">
        <v>43</v>
      </c>
      <c r="C971" s="16" t="s">
        <v>1583</v>
      </c>
      <c r="D971" s="16" t="s">
        <v>1584</v>
      </c>
      <c r="E971" s="288">
        <v>2200</v>
      </c>
      <c r="F971" s="288">
        <f>ROUND(IF($A971="E",E971*(1+Assumptions!C$15),E971*(1+Assumptions!C$14)),-2)</f>
        <v>2200</v>
      </c>
      <c r="G971" s="288">
        <f>ROUND(IF($A971="E",F971*(1+Assumptions!D$15),F971*(1+Assumptions!D$14)),-2)</f>
        <v>2200</v>
      </c>
      <c r="H971" s="288">
        <f>ROUND(IF($A971="E",G971*(1+Assumptions!E$15),G971*(1+Assumptions!E$14)),-2)</f>
        <v>2200</v>
      </c>
      <c r="I971" s="288">
        <f>ROUND(IF($A971="E",H971*(1+Assumptions!F$15),H971*(1+Assumptions!F$14)),-2)</f>
        <v>2200</v>
      </c>
      <c r="J971" s="288">
        <f>ROUND(IF($A971="E",I971*(1+Assumptions!G$15),I971*(1+Assumptions!G$14)),-2)</f>
        <v>2200</v>
      </c>
      <c r="K971" s="288">
        <f>ROUND(IF($A971="E",J971*(1+Assumptions!H$15),J971*(1+Assumptions!H$14)),-2)</f>
        <v>2200</v>
      </c>
      <c r="L971" s="288">
        <f>ROUND(IF($A971="E",K971*(1+Assumptions!I$15),K971*(1+Assumptions!I$14)),-2)</f>
        <v>2300</v>
      </c>
      <c r="M971" s="288">
        <f>ROUND(IF($A971="E",L971*(1+Assumptions!J$15),L971*(1+Assumptions!J$14)),-2)</f>
        <v>2400</v>
      </c>
      <c r="N971" s="288">
        <f>ROUND(IF($A971="E",M971*(1+Assumptions!K$15),M971*(1+Assumptions!K$14)),-2)</f>
        <v>2500</v>
      </c>
    </row>
    <row r="972" spans="2:14" x14ac:dyDescent="0.25">
      <c r="B972" s="16" t="s">
        <v>43</v>
      </c>
      <c r="C972" s="16" t="s">
        <v>1585</v>
      </c>
      <c r="D972" s="16" t="s">
        <v>1586</v>
      </c>
      <c r="E972" s="288">
        <v>5400</v>
      </c>
      <c r="F972" s="288">
        <f>ROUND(IF($A972="E",E972*(1+Assumptions!C$15),E972*(1+Assumptions!C$14)),-2)</f>
        <v>5500</v>
      </c>
      <c r="G972" s="288">
        <f>ROUND(IF($A972="E",F972*(1+Assumptions!D$15),F972*(1+Assumptions!D$14)),-2)</f>
        <v>5600</v>
      </c>
      <c r="H972" s="288">
        <f>ROUND(IF($A972="E",G972*(1+Assumptions!E$15),G972*(1+Assumptions!E$14)),-2)</f>
        <v>5700</v>
      </c>
      <c r="I972" s="288">
        <f>ROUND(IF($A972="E",H972*(1+Assumptions!F$15),H972*(1+Assumptions!F$14)),-2)</f>
        <v>5800</v>
      </c>
      <c r="J972" s="288">
        <f>ROUND(IF($A972="E",I972*(1+Assumptions!G$15),I972*(1+Assumptions!G$14)),-2)</f>
        <v>5900</v>
      </c>
      <c r="K972" s="288">
        <f>ROUND(IF($A972="E",J972*(1+Assumptions!H$15),J972*(1+Assumptions!H$14)),-2)</f>
        <v>6000</v>
      </c>
      <c r="L972" s="288">
        <f>ROUND(IF($A972="E",K972*(1+Assumptions!I$15),K972*(1+Assumptions!I$14)),-2)</f>
        <v>6200</v>
      </c>
      <c r="M972" s="288">
        <f>ROUND(IF($A972="E",L972*(1+Assumptions!J$15),L972*(1+Assumptions!J$14)),-2)</f>
        <v>6400</v>
      </c>
      <c r="N972" s="288">
        <f>ROUND(IF($A972="E",M972*(1+Assumptions!K$15),M972*(1+Assumptions!K$14)),-2)</f>
        <v>6600</v>
      </c>
    </row>
    <row r="973" spans="2:14" x14ac:dyDescent="0.25">
      <c r="B973" s="16" t="s">
        <v>43</v>
      </c>
      <c r="C973" s="16" t="s">
        <v>1587</v>
      </c>
      <c r="D973" s="16" t="s">
        <v>1588</v>
      </c>
      <c r="E973" s="288">
        <v>14300</v>
      </c>
      <c r="F973" s="288">
        <f>ROUND(IF($A973="E",E973*(1+Assumptions!C$15),E973*(1+Assumptions!C$14)),-2)</f>
        <v>14500</v>
      </c>
      <c r="G973" s="288">
        <f>ROUND(IF($A973="E",F973*(1+Assumptions!D$15),F973*(1+Assumptions!D$14)),-2)</f>
        <v>14800</v>
      </c>
      <c r="H973" s="288">
        <f>ROUND(IF($A973="E",G973*(1+Assumptions!E$15),G973*(1+Assumptions!E$14)),-2)</f>
        <v>15100</v>
      </c>
      <c r="I973" s="288">
        <f>ROUND(IF($A973="E",H973*(1+Assumptions!F$15),H973*(1+Assumptions!F$14)),-2)</f>
        <v>15400</v>
      </c>
      <c r="J973" s="288">
        <f>ROUND(IF($A973="E",I973*(1+Assumptions!G$15),I973*(1+Assumptions!G$14)),-2)</f>
        <v>15700</v>
      </c>
      <c r="K973" s="288">
        <f>ROUND(IF($A973="E",J973*(1+Assumptions!H$15),J973*(1+Assumptions!H$14)),-2)</f>
        <v>16000</v>
      </c>
      <c r="L973" s="288">
        <f>ROUND(IF($A973="E",K973*(1+Assumptions!I$15),K973*(1+Assumptions!I$14)),-2)</f>
        <v>16400</v>
      </c>
      <c r="M973" s="288">
        <f>ROUND(IF($A973="E",L973*(1+Assumptions!J$15),L973*(1+Assumptions!J$14)),-2)</f>
        <v>16800</v>
      </c>
      <c r="N973" s="288">
        <f>ROUND(IF($A973="E",M973*(1+Assumptions!K$15),M973*(1+Assumptions!K$14)),-2)</f>
        <v>17200</v>
      </c>
    </row>
    <row r="974" spans="2:14" x14ac:dyDescent="0.25">
      <c r="B974" s="16" t="s">
        <v>43</v>
      </c>
      <c r="C974" s="16" t="s">
        <v>1589</v>
      </c>
      <c r="D974" s="16" t="s">
        <v>1590</v>
      </c>
      <c r="E974" s="288">
        <v>2400</v>
      </c>
      <c r="F974" s="288">
        <f>ROUND(IF($A974="E",E974*(1+Assumptions!C$15),E974*(1+Assumptions!C$14)),-2)</f>
        <v>2400</v>
      </c>
      <c r="G974" s="288">
        <f>ROUND(IF($A974="E",F974*(1+Assumptions!D$15),F974*(1+Assumptions!D$14)),-2)</f>
        <v>2400</v>
      </c>
      <c r="H974" s="288">
        <f>ROUND(IF($A974="E",G974*(1+Assumptions!E$15),G974*(1+Assumptions!E$14)),-2)</f>
        <v>2400</v>
      </c>
      <c r="I974" s="288">
        <f>ROUND(IF($A974="E",H974*(1+Assumptions!F$15),H974*(1+Assumptions!F$14)),-2)</f>
        <v>2400</v>
      </c>
      <c r="J974" s="288">
        <f>ROUND(IF($A974="E",I974*(1+Assumptions!G$15),I974*(1+Assumptions!G$14)),-2)</f>
        <v>2400</v>
      </c>
      <c r="K974" s="288">
        <f>ROUND(IF($A974="E",J974*(1+Assumptions!H$15),J974*(1+Assumptions!H$14)),-2)</f>
        <v>2400</v>
      </c>
      <c r="L974" s="288">
        <f>ROUND(IF($A974="E",K974*(1+Assumptions!I$15),K974*(1+Assumptions!I$14)),-2)</f>
        <v>2500</v>
      </c>
      <c r="M974" s="288">
        <f>ROUND(IF($A974="E",L974*(1+Assumptions!J$15),L974*(1+Assumptions!J$14)),-2)</f>
        <v>2600</v>
      </c>
      <c r="N974" s="288">
        <f>ROUND(IF($A974="E",M974*(1+Assumptions!K$15),M974*(1+Assumptions!K$14)),-2)</f>
        <v>2700</v>
      </c>
    </row>
    <row r="975" spans="2:14" x14ac:dyDescent="0.25">
      <c r="B975" s="16" t="s">
        <v>43</v>
      </c>
      <c r="C975" s="16" t="s">
        <v>1591</v>
      </c>
      <c r="D975" s="16" t="s">
        <v>1592</v>
      </c>
      <c r="E975" s="288">
        <v>33900</v>
      </c>
      <c r="F975" s="288">
        <f>ROUND(IF($A975="E",E975*(1+Assumptions!C$15),E975*(1+Assumptions!C$14)),-2)</f>
        <v>34400</v>
      </c>
      <c r="G975" s="288">
        <f>ROUND(IF($A975="E",F975*(1+Assumptions!D$15),F975*(1+Assumptions!D$14)),-2)</f>
        <v>35100</v>
      </c>
      <c r="H975" s="288">
        <f>ROUND(IF($A975="E",G975*(1+Assumptions!E$15),G975*(1+Assumptions!E$14)),-2)</f>
        <v>35800</v>
      </c>
      <c r="I975" s="288">
        <f>ROUND(IF($A975="E",H975*(1+Assumptions!F$15),H975*(1+Assumptions!F$14)),-2)</f>
        <v>36500</v>
      </c>
      <c r="J975" s="288">
        <f>ROUND(IF($A975="E",I975*(1+Assumptions!G$15),I975*(1+Assumptions!G$14)),-2)</f>
        <v>37200</v>
      </c>
      <c r="K975" s="288">
        <f>ROUND(IF($A975="E",J975*(1+Assumptions!H$15),J975*(1+Assumptions!H$14)),-2)</f>
        <v>37900</v>
      </c>
      <c r="L975" s="288">
        <f>ROUND(IF($A975="E",K975*(1+Assumptions!I$15),K975*(1+Assumptions!I$14)),-2)</f>
        <v>38800</v>
      </c>
      <c r="M975" s="288">
        <f>ROUND(IF($A975="E",L975*(1+Assumptions!J$15),L975*(1+Assumptions!J$14)),-2)</f>
        <v>39800</v>
      </c>
      <c r="N975" s="288">
        <f>ROUND(IF($A975="E",M975*(1+Assumptions!K$15),M975*(1+Assumptions!K$14)),-2)</f>
        <v>40800</v>
      </c>
    </row>
    <row r="976" spans="2:14" x14ac:dyDescent="0.25">
      <c r="B976" s="16" t="s">
        <v>43</v>
      </c>
      <c r="C976" s="16" t="s">
        <v>1593</v>
      </c>
      <c r="D976" s="16" t="s">
        <v>1594</v>
      </c>
      <c r="E976" s="288">
        <v>1100</v>
      </c>
      <c r="F976" s="288">
        <f>ROUND(IF($A976="E",E976*(1+Assumptions!C$15),E976*(1+Assumptions!C$14)),-2)</f>
        <v>1100</v>
      </c>
      <c r="G976" s="288">
        <f>ROUND(IF($A976="E",F976*(1+Assumptions!D$15),F976*(1+Assumptions!D$14)),-2)</f>
        <v>1100</v>
      </c>
      <c r="H976" s="288">
        <f>ROUND(IF($A976="E",G976*(1+Assumptions!E$15),G976*(1+Assumptions!E$14)),-2)</f>
        <v>1100</v>
      </c>
      <c r="I976" s="288">
        <f>ROUND(IF($A976="E",H976*(1+Assumptions!F$15),H976*(1+Assumptions!F$14)),-2)</f>
        <v>1100</v>
      </c>
      <c r="J976" s="288">
        <f>ROUND(IF($A976="E",I976*(1+Assumptions!G$15),I976*(1+Assumptions!G$14)),-2)</f>
        <v>1100</v>
      </c>
      <c r="K976" s="288">
        <f>ROUND(IF($A976="E",J976*(1+Assumptions!H$15),J976*(1+Assumptions!H$14)),-2)</f>
        <v>1100</v>
      </c>
      <c r="L976" s="288">
        <f>ROUND(IF($A976="E",K976*(1+Assumptions!I$15),K976*(1+Assumptions!I$14)),-2)</f>
        <v>1100</v>
      </c>
      <c r="M976" s="288">
        <f>ROUND(IF($A976="E",L976*(1+Assumptions!J$15),L976*(1+Assumptions!J$14)),-2)</f>
        <v>1100</v>
      </c>
      <c r="N976" s="288">
        <f>ROUND(IF($A976="E",M976*(1+Assumptions!K$15),M976*(1+Assumptions!K$14)),-2)</f>
        <v>1100</v>
      </c>
    </row>
    <row r="977" spans="2:14" x14ac:dyDescent="0.25">
      <c r="B977" s="16" t="s">
        <v>43</v>
      </c>
      <c r="C977" s="16" t="s">
        <v>1595</v>
      </c>
      <c r="D977" s="16" t="s">
        <v>1596</v>
      </c>
      <c r="E977" s="288">
        <v>1100</v>
      </c>
      <c r="F977" s="288">
        <f>ROUND(IF($A977="E",E977*(1+Assumptions!C$15),E977*(1+Assumptions!C$14)),-2)</f>
        <v>1100</v>
      </c>
      <c r="G977" s="288">
        <f>ROUND(IF($A977="E",F977*(1+Assumptions!D$15),F977*(1+Assumptions!D$14)),-2)</f>
        <v>1100</v>
      </c>
      <c r="H977" s="288">
        <f>ROUND(IF($A977="E",G977*(1+Assumptions!E$15),G977*(1+Assumptions!E$14)),-2)</f>
        <v>1100</v>
      </c>
      <c r="I977" s="288">
        <f>ROUND(IF($A977="E",H977*(1+Assumptions!F$15),H977*(1+Assumptions!F$14)),-2)</f>
        <v>1100</v>
      </c>
      <c r="J977" s="288">
        <f>ROUND(IF($A977="E",I977*(1+Assumptions!G$15),I977*(1+Assumptions!G$14)),-2)</f>
        <v>1100</v>
      </c>
      <c r="K977" s="288">
        <f>ROUND(IF($A977="E",J977*(1+Assumptions!H$15),J977*(1+Assumptions!H$14)),-2)</f>
        <v>1100</v>
      </c>
      <c r="L977" s="288">
        <f>ROUND(IF($A977="E",K977*(1+Assumptions!I$15),K977*(1+Assumptions!I$14)),-2)</f>
        <v>1100</v>
      </c>
      <c r="M977" s="288">
        <f>ROUND(IF($A977="E",L977*(1+Assumptions!J$15),L977*(1+Assumptions!J$14)),-2)</f>
        <v>1100</v>
      </c>
      <c r="N977" s="288">
        <f>ROUND(IF($A977="E",M977*(1+Assumptions!K$15),M977*(1+Assumptions!K$14)),-2)</f>
        <v>1100</v>
      </c>
    </row>
    <row r="978" spans="2:14" x14ac:dyDescent="0.25">
      <c r="B978" s="16" t="s">
        <v>43</v>
      </c>
      <c r="C978" s="16" t="s">
        <v>1597</v>
      </c>
      <c r="D978" s="16" t="s">
        <v>1598</v>
      </c>
      <c r="E978" s="288">
        <v>3000</v>
      </c>
      <c r="F978" s="288">
        <f>ROUND(IF($A978="E",E978*(1+Assumptions!C$15),E978*(1+Assumptions!C$14)),-2)</f>
        <v>3000</v>
      </c>
      <c r="G978" s="288">
        <f>ROUND(IF($A978="E",F978*(1+Assumptions!D$15),F978*(1+Assumptions!D$14)),-2)</f>
        <v>3100</v>
      </c>
      <c r="H978" s="288">
        <f>ROUND(IF($A978="E",G978*(1+Assumptions!E$15),G978*(1+Assumptions!E$14)),-2)</f>
        <v>3200</v>
      </c>
      <c r="I978" s="288">
        <f>ROUND(IF($A978="E",H978*(1+Assumptions!F$15),H978*(1+Assumptions!F$14)),-2)</f>
        <v>3300</v>
      </c>
      <c r="J978" s="288">
        <f>ROUND(IF($A978="E",I978*(1+Assumptions!G$15),I978*(1+Assumptions!G$14)),-2)</f>
        <v>3400</v>
      </c>
      <c r="K978" s="288">
        <f>ROUND(IF($A978="E",J978*(1+Assumptions!H$15),J978*(1+Assumptions!H$14)),-2)</f>
        <v>3500</v>
      </c>
      <c r="L978" s="288">
        <f>ROUND(IF($A978="E",K978*(1+Assumptions!I$15),K978*(1+Assumptions!I$14)),-2)</f>
        <v>3600</v>
      </c>
      <c r="M978" s="288">
        <f>ROUND(IF($A978="E",L978*(1+Assumptions!J$15),L978*(1+Assumptions!J$14)),-2)</f>
        <v>3700</v>
      </c>
      <c r="N978" s="288">
        <f>ROUND(IF($A978="E",M978*(1+Assumptions!K$15),M978*(1+Assumptions!K$14)),-2)</f>
        <v>3800</v>
      </c>
    </row>
    <row r="979" spans="2:14" x14ac:dyDescent="0.25">
      <c r="B979" s="16" t="s">
        <v>43</v>
      </c>
      <c r="C979" s="16" t="s">
        <v>1599</v>
      </c>
      <c r="D979" s="16" t="s">
        <v>1600</v>
      </c>
      <c r="E979" s="288">
        <v>35000</v>
      </c>
      <c r="F979" s="288">
        <f>ROUND(IF($A979="E",E979*(1+Assumptions!C$15),E979*(1+Assumptions!C$14)),-2)</f>
        <v>35500</v>
      </c>
      <c r="G979" s="288">
        <f>ROUND(IF($A979="E",F979*(1+Assumptions!D$15),F979*(1+Assumptions!D$14)),-2)</f>
        <v>36200</v>
      </c>
      <c r="H979" s="288">
        <f>ROUND(IF($A979="E",G979*(1+Assumptions!E$15),G979*(1+Assumptions!E$14)),-2)</f>
        <v>36900</v>
      </c>
      <c r="I979" s="288">
        <f>ROUND(IF($A979="E",H979*(1+Assumptions!F$15),H979*(1+Assumptions!F$14)),-2)</f>
        <v>37600</v>
      </c>
      <c r="J979" s="288">
        <f>ROUND(IF($A979="E",I979*(1+Assumptions!G$15),I979*(1+Assumptions!G$14)),-2)</f>
        <v>38400</v>
      </c>
      <c r="K979" s="288">
        <f>ROUND(IF($A979="E",J979*(1+Assumptions!H$15),J979*(1+Assumptions!H$14)),-2)</f>
        <v>39200</v>
      </c>
      <c r="L979" s="288">
        <f>ROUND(IF($A979="E",K979*(1+Assumptions!I$15),K979*(1+Assumptions!I$14)),-2)</f>
        <v>40200</v>
      </c>
      <c r="M979" s="288">
        <f>ROUND(IF($A979="E",L979*(1+Assumptions!J$15),L979*(1+Assumptions!J$14)),-2)</f>
        <v>41200</v>
      </c>
      <c r="N979" s="288">
        <f>ROUND(IF($A979="E",M979*(1+Assumptions!K$15),M979*(1+Assumptions!K$14)),-2)</f>
        <v>42200</v>
      </c>
    </row>
    <row r="980" spans="2:14" x14ac:dyDescent="0.25">
      <c r="B980" s="16" t="s">
        <v>43</v>
      </c>
      <c r="C980" s="16" t="s">
        <v>1601</v>
      </c>
      <c r="D980" s="16" t="s">
        <v>1602</v>
      </c>
      <c r="E980" s="288">
        <v>2700</v>
      </c>
      <c r="F980" s="288">
        <f>ROUND(IF($A980="E",E980*(1+Assumptions!C$15),E980*(1+Assumptions!C$14)),-2)</f>
        <v>2700</v>
      </c>
      <c r="G980" s="288">
        <f>ROUND(IF($A980="E",F980*(1+Assumptions!D$15),F980*(1+Assumptions!D$14)),-2)</f>
        <v>2800</v>
      </c>
      <c r="H980" s="288">
        <f>ROUND(IF($A980="E",G980*(1+Assumptions!E$15),G980*(1+Assumptions!E$14)),-2)</f>
        <v>2900</v>
      </c>
      <c r="I980" s="288">
        <f>ROUND(IF($A980="E",H980*(1+Assumptions!F$15),H980*(1+Assumptions!F$14)),-2)</f>
        <v>3000</v>
      </c>
      <c r="J980" s="288">
        <f>ROUND(IF($A980="E",I980*(1+Assumptions!G$15),I980*(1+Assumptions!G$14)),-2)</f>
        <v>3100</v>
      </c>
      <c r="K980" s="288">
        <f>ROUND(IF($A980="E",J980*(1+Assumptions!H$15),J980*(1+Assumptions!H$14)),-2)</f>
        <v>3200</v>
      </c>
      <c r="L980" s="288">
        <f>ROUND(IF($A980="E",K980*(1+Assumptions!I$15),K980*(1+Assumptions!I$14)),-2)</f>
        <v>3300</v>
      </c>
      <c r="M980" s="288">
        <f>ROUND(IF($A980="E",L980*(1+Assumptions!J$15),L980*(1+Assumptions!J$14)),-2)</f>
        <v>3400</v>
      </c>
      <c r="N980" s="288">
        <f>ROUND(IF($A980="E",M980*(1+Assumptions!K$15),M980*(1+Assumptions!K$14)),-2)</f>
        <v>3500</v>
      </c>
    </row>
    <row r="981" spans="2:14" x14ac:dyDescent="0.25">
      <c r="B981" s="16" t="s">
        <v>43</v>
      </c>
      <c r="C981" s="16" t="s">
        <v>1603</v>
      </c>
      <c r="D981" s="16" t="s">
        <v>1604</v>
      </c>
      <c r="E981" s="288">
        <v>50800</v>
      </c>
      <c r="F981" s="288">
        <f>ROUND(IF($A981="E",E981*(1+Assumptions!C$15),E981*(1+Assumptions!C$14)),-2)</f>
        <v>51600</v>
      </c>
      <c r="G981" s="288">
        <f>ROUND(IF($A981="E",F981*(1+Assumptions!D$15),F981*(1+Assumptions!D$14)),-2)</f>
        <v>52600</v>
      </c>
      <c r="H981" s="288">
        <f>ROUND(IF($A981="E",G981*(1+Assumptions!E$15),G981*(1+Assumptions!E$14)),-2)</f>
        <v>53700</v>
      </c>
      <c r="I981" s="288">
        <f>ROUND(IF($A981="E",H981*(1+Assumptions!F$15),H981*(1+Assumptions!F$14)),-2)</f>
        <v>54800</v>
      </c>
      <c r="J981" s="288">
        <f>ROUND(IF($A981="E",I981*(1+Assumptions!G$15),I981*(1+Assumptions!G$14)),-2)</f>
        <v>55900</v>
      </c>
      <c r="K981" s="288">
        <f>ROUND(IF($A981="E",J981*(1+Assumptions!H$15),J981*(1+Assumptions!H$14)),-2)</f>
        <v>57000</v>
      </c>
      <c r="L981" s="288">
        <f>ROUND(IF($A981="E",K981*(1+Assumptions!I$15),K981*(1+Assumptions!I$14)),-2)</f>
        <v>58400</v>
      </c>
      <c r="M981" s="288">
        <f>ROUND(IF($A981="E",L981*(1+Assumptions!J$15),L981*(1+Assumptions!J$14)),-2)</f>
        <v>59900</v>
      </c>
      <c r="N981" s="288">
        <f>ROUND(IF($A981="E",M981*(1+Assumptions!K$15),M981*(1+Assumptions!K$14)),-2)</f>
        <v>61400</v>
      </c>
    </row>
    <row r="982" spans="2:14" x14ac:dyDescent="0.25">
      <c r="B982" s="16" t="s">
        <v>43</v>
      </c>
      <c r="C982" s="16" t="s">
        <v>1605</v>
      </c>
      <c r="D982" s="16" t="s">
        <v>1606</v>
      </c>
      <c r="E982" s="288">
        <v>3000</v>
      </c>
      <c r="F982" s="288">
        <f>ROUND(IF($A982="E",E982*(1+Assumptions!C$15),E982*(1+Assumptions!C$14)),-2)</f>
        <v>3000</v>
      </c>
      <c r="G982" s="288">
        <f>ROUND(IF($A982="E",F982*(1+Assumptions!D$15),F982*(1+Assumptions!D$14)),-2)</f>
        <v>3100</v>
      </c>
      <c r="H982" s="288">
        <f>ROUND(IF($A982="E",G982*(1+Assumptions!E$15),G982*(1+Assumptions!E$14)),-2)</f>
        <v>3200</v>
      </c>
      <c r="I982" s="288">
        <f>ROUND(IF($A982="E",H982*(1+Assumptions!F$15),H982*(1+Assumptions!F$14)),-2)</f>
        <v>3300</v>
      </c>
      <c r="J982" s="288">
        <f>ROUND(IF($A982="E",I982*(1+Assumptions!G$15),I982*(1+Assumptions!G$14)),-2)</f>
        <v>3400</v>
      </c>
      <c r="K982" s="288">
        <f>ROUND(IF($A982="E",J982*(1+Assumptions!H$15),J982*(1+Assumptions!H$14)),-2)</f>
        <v>3500</v>
      </c>
      <c r="L982" s="288">
        <f>ROUND(IF($A982="E",K982*(1+Assumptions!I$15),K982*(1+Assumptions!I$14)),-2)</f>
        <v>3600</v>
      </c>
      <c r="M982" s="288">
        <f>ROUND(IF($A982="E",L982*(1+Assumptions!J$15),L982*(1+Assumptions!J$14)),-2)</f>
        <v>3700</v>
      </c>
      <c r="N982" s="288">
        <f>ROUND(IF($A982="E",M982*(1+Assumptions!K$15),M982*(1+Assumptions!K$14)),-2)</f>
        <v>3800</v>
      </c>
    </row>
    <row r="983" spans="2:14" x14ac:dyDescent="0.25">
      <c r="B983" s="16" t="s">
        <v>43</v>
      </c>
      <c r="C983" s="16" t="s">
        <v>1607</v>
      </c>
      <c r="D983" s="16" t="s">
        <v>1608</v>
      </c>
      <c r="E983" s="288">
        <v>8000</v>
      </c>
      <c r="F983" s="288">
        <f>ROUND(IF($A983="E",E983*(1+Assumptions!C$15),E983*(1+Assumptions!C$14)),-2)</f>
        <v>8100</v>
      </c>
      <c r="G983" s="288">
        <f>ROUND(IF($A983="E",F983*(1+Assumptions!D$15),F983*(1+Assumptions!D$14)),-2)</f>
        <v>8300</v>
      </c>
      <c r="H983" s="288">
        <f>ROUND(IF($A983="E",G983*(1+Assumptions!E$15),G983*(1+Assumptions!E$14)),-2)</f>
        <v>8500</v>
      </c>
      <c r="I983" s="288">
        <f>ROUND(IF($A983="E",H983*(1+Assumptions!F$15),H983*(1+Assumptions!F$14)),-2)</f>
        <v>8700</v>
      </c>
      <c r="J983" s="288">
        <f>ROUND(IF($A983="E",I983*(1+Assumptions!G$15),I983*(1+Assumptions!G$14)),-2)</f>
        <v>8900</v>
      </c>
      <c r="K983" s="288">
        <f>ROUND(IF($A983="E",J983*(1+Assumptions!H$15),J983*(1+Assumptions!H$14)),-2)</f>
        <v>9100</v>
      </c>
      <c r="L983" s="288">
        <f>ROUND(IF($A983="E",K983*(1+Assumptions!I$15),K983*(1+Assumptions!I$14)),-2)</f>
        <v>9300</v>
      </c>
      <c r="M983" s="288">
        <f>ROUND(IF($A983="E",L983*(1+Assumptions!J$15),L983*(1+Assumptions!J$14)),-2)</f>
        <v>9500</v>
      </c>
      <c r="N983" s="288">
        <f>ROUND(IF($A983="E",M983*(1+Assumptions!K$15),M983*(1+Assumptions!K$14)),-2)</f>
        <v>9700</v>
      </c>
    </row>
    <row r="984" spans="2:14" x14ac:dyDescent="0.25">
      <c r="B984" s="16" t="s">
        <v>43</v>
      </c>
      <c r="C984" s="16" t="s">
        <v>1609</v>
      </c>
      <c r="D984" s="16" t="s">
        <v>1610</v>
      </c>
      <c r="E984" s="289"/>
      <c r="F984" s="289"/>
      <c r="G984" s="289"/>
      <c r="H984" s="289"/>
      <c r="I984" s="289"/>
      <c r="J984" s="289"/>
      <c r="K984" s="289"/>
      <c r="L984" s="289"/>
      <c r="M984" s="289"/>
      <c r="N984" s="289"/>
    </row>
    <row r="985" spans="2:14" x14ac:dyDescent="0.25">
      <c r="B985" s="16" t="s">
        <v>43</v>
      </c>
      <c r="C985" s="16" t="s">
        <v>1611</v>
      </c>
      <c r="D985" s="16" t="s">
        <v>1612</v>
      </c>
      <c r="E985" s="288">
        <v>12800</v>
      </c>
      <c r="F985" s="288">
        <f>ROUND(IF($A985="E",E985*(1+Assumptions!C$15),E985*(1+Assumptions!C$14)),-2)</f>
        <v>13000</v>
      </c>
      <c r="G985" s="288">
        <f>ROUND(IF($A985="E",F985*(1+Assumptions!D$15),F985*(1+Assumptions!D$14)),-2)</f>
        <v>13300</v>
      </c>
      <c r="H985" s="288">
        <f>ROUND(IF($A985="E",G985*(1+Assumptions!E$15),G985*(1+Assumptions!E$14)),-2)</f>
        <v>13600</v>
      </c>
      <c r="I985" s="288">
        <f>ROUND(IF($A985="E",H985*(1+Assumptions!F$15),H985*(1+Assumptions!F$14)),-2)</f>
        <v>13900</v>
      </c>
      <c r="J985" s="288">
        <f>ROUND(IF($A985="E",I985*(1+Assumptions!G$15),I985*(1+Assumptions!G$14)),-2)</f>
        <v>14200</v>
      </c>
      <c r="K985" s="288">
        <f>ROUND(IF($A985="E",J985*(1+Assumptions!H$15),J985*(1+Assumptions!H$14)),-2)</f>
        <v>14500</v>
      </c>
      <c r="L985" s="288">
        <f>ROUND(IF($A985="E",K985*(1+Assumptions!I$15),K985*(1+Assumptions!I$14)),-2)</f>
        <v>14900</v>
      </c>
      <c r="M985" s="288">
        <f>ROUND(IF($A985="E",L985*(1+Assumptions!J$15),L985*(1+Assumptions!J$14)),-2)</f>
        <v>15300</v>
      </c>
      <c r="N985" s="288">
        <f>ROUND(IF($A985="E",M985*(1+Assumptions!K$15),M985*(1+Assumptions!K$14)),-2)</f>
        <v>15700</v>
      </c>
    </row>
    <row r="986" spans="2:14" x14ac:dyDescent="0.25">
      <c r="B986" s="16" t="s">
        <v>43</v>
      </c>
      <c r="C986" s="16" t="s">
        <v>1613</v>
      </c>
      <c r="D986" s="16" t="s">
        <v>1614</v>
      </c>
      <c r="E986" s="288">
        <v>5000</v>
      </c>
      <c r="F986" s="288">
        <f>ROUND(IF($A986="E",E986*(1+Assumptions!C$15),E986*(1+Assumptions!C$14)),-2)</f>
        <v>5100</v>
      </c>
      <c r="G986" s="288">
        <f>ROUND(IF($A986="E",F986*(1+Assumptions!D$15),F986*(1+Assumptions!D$14)),-2)</f>
        <v>5200</v>
      </c>
      <c r="H986" s="288">
        <f>ROUND(IF($A986="E",G986*(1+Assumptions!E$15),G986*(1+Assumptions!E$14)),-2)</f>
        <v>5300</v>
      </c>
      <c r="I986" s="288">
        <f>ROUND(IF($A986="E",H986*(1+Assumptions!F$15),H986*(1+Assumptions!F$14)),-2)</f>
        <v>5400</v>
      </c>
      <c r="J986" s="288">
        <f>ROUND(IF($A986="E",I986*(1+Assumptions!G$15),I986*(1+Assumptions!G$14)),-2)</f>
        <v>5500</v>
      </c>
      <c r="K986" s="288">
        <f>ROUND(IF($A986="E",J986*(1+Assumptions!H$15),J986*(1+Assumptions!H$14)),-2)</f>
        <v>5600</v>
      </c>
      <c r="L986" s="288">
        <f>ROUND(IF($A986="E",K986*(1+Assumptions!I$15),K986*(1+Assumptions!I$14)),-2)</f>
        <v>5700</v>
      </c>
      <c r="M986" s="288">
        <f>ROUND(IF($A986="E",L986*(1+Assumptions!J$15),L986*(1+Assumptions!J$14)),-2)</f>
        <v>5800</v>
      </c>
      <c r="N986" s="288">
        <f>ROUND(IF($A986="E",M986*(1+Assumptions!K$15),M986*(1+Assumptions!K$14)),-2)</f>
        <v>5900</v>
      </c>
    </row>
    <row r="987" spans="2:14" x14ac:dyDescent="0.25">
      <c r="B987" s="16" t="s">
        <v>43</v>
      </c>
      <c r="C987" s="16" t="s">
        <v>1615</v>
      </c>
      <c r="D987" s="16" t="s">
        <v>1616</v>
      </c>
      <c r="E987" s="288">
        <v>3800</v>
      </c>
      <c r="F987" s="288">
        <f>ROUND(IF($A987="E",E987*(1+Assumptions!C$15),E987*(1+Assumptions!C$14)),-2)</f>
        <v>3900</v>
      </c>
      <c r="G987" s="288">
        <f>ROUND(IF($A987="E",F987*(1+Assumptions!D$15),F987*(1+Assumptions!D$14)),-2)</f>
        <v>4000</v>
      </c>
      <c r="H987" s="288">
        <f>ROUND(IF($A987="E",G987*(1+Assumptions!E$15),G987*(1+Assumptions!E$14)),-2)</f>
        <v>4100</v>
      </c>
      <c r="I987" s="288">
        <f>ROUND(IF($A987="E",H987*(1+Assumptions!F$15),H987*(1+Assumptions!F$14)),-2)</f>
        <v>4200</v>
      </c>
      <c r="J987" s="288">
        <f>ROUND(IF($A987="E",I987*(1+Assumptions!G$15),I987*(1+Assumptions!G$14)),-2)</f>
        <v>4300</v>
      </c>
      <c r="K987" s="288">
        <f>ROUND(IF($A987="E",J987*(1+Assumptions!H$15),J987*(1+Assumptions!H$14)),-2)</f>
        <v>4400</v>
      </c>
      <c r="L987" s="288">
        <f>ROUND(IF($A987="E",K987*(1+Assumptions!I$15),K987*(1+Assumptions!I$14)),-2)</f>
        <v>4500</v>
      </c>
      <c r="M987" s="288">
        <f>ROUND(IF($A987="E",L987*(1+Assumptions!J$15),L987*(1+Assumptions!J$14)),-2)</f>
        <v>4600</v>
      </c>
      <c r="N987" s="288">
        <f>ROUND(IF($A987="E",M987*(1+Assumptions!K$15),M987*(1+Assumptions!K$14)),-2)</f>
        <v>4700</v>
      </c>
    </row>
    <row r="988" spans="2:14" x14ac:dyDescent="0.25">
      <c r="B988" s="16" t="s">
        <v>43</v>
      </c>
      <c r="C988" s="16" t="s">
        <v>1617</v>
      </c>
      <c r="D988" s="16" t="s">
        <v>1618</v>
      </c>
      <c r="E988" s="288">
        <v>1200</v>
      </c>
      <c r="F988" s="288">
        <f>ROUND(IF($A988="E",E988*(1+Assumptions!C$15),E988*(1+Assumptions!C$14)),-2)</f>
        <v>1200</v>
      </c>
      <c r="G988" s="288">
        <f>ROUND(IF($A988="E",F988*(1+Assumptions!D$15),F988*(1+Assumptions!D$14)),-2)</f>
        <v>1200</v>
      </c>
      <c r="H988" s="288">
        <f>ROUND(IF($A988="E",G988*(1+Assumptions!E$15),G988*(1+Assumptions!E$14)),-2)</f>
        <v>1200</v>
      </c>
      <c r="I988" s="288">
        <f>ROUND(IF($A988="E",H988*(1+Assumptions!F$15),H988*(1+Assumptions!F$14)),-2)</f>
        <v>1200</v>
      </c>
      <c r="J988" s="288">
        <f>ROUND(IF($A988="E",I988*(1+Assumptions!G$15),I988*(1+Assumptions!G$14)),-2)</f>
        <v>1200</v>
      </c>
      <c r="K988" s="288">
        <f>ROUND(IF($A988="E",J988*(1+Assumptions!H$15),J988*(1+Assumptions!H$14)),-2)</f>
        <v>1200</v>
      </c>
      <c r="L988" s="288">
        <f>ROUND(IF($A988="E",K988*(1+Assumptions!I$15),K988*(1+Assumptions!I$14)),-2)</f>
        <v>1200</v>
      </c>
      <c r="M988" s="288">
        <f>ROUND(IF($A988="E",L988*(1+Assumptions!J$15),L988*(1+Assumptions!J$14)),-2)</f>
        <v>1200</v>
      </c>
      <c r="N988" s="288">
        <f>ROUND(IF($A988="E",M988*(1+Assumptions!K$15),M988*(1+Assumptions!K$14)),-2)</f>
        <v>1200</v>
      </c>
    </row>
    <row r="989" spans="2:14" x14ac:dyDescent="0.25">
      <c r="B989" s="16" t="s">
        <v>43</v>
      </c>
      <c r="C989" s="16" t="s">
        <v>1619</v>
      </c>
      <c r="D989" s="16" t="s">
        <v>1620</v>
      </c>
      <c r="E989" s="288">
        <v>4500</v>
      </c>
      <c r="F989" s="288">
        <f>ROUND(IF($A989="E",E989*(1+Assumptions!C$15),E989*(1+Assumptions!C$14)),-2)</f>
        <v>4600</v>
      </c>
      <c r="G989" s="288">
        <f>ROUND(IF($A989="E",F989*(1+Assumptions!D$15),F989*(1+Assumptions!D$14)),-2)</f>
        <v>4700</v>
      </c>
      <c r="H989" s="288">
        <f>ROUND(IF($A989="E",G989*(1+Assumptions!E$15),G989*(1+Assumptions!E$14)),-2)</f>
        <v>4800</v>
      </c>
      <c r="I989" s="288">
        <f>ROUND(IF($A989="E",H989*(1+Assumptions!F$15),H989*(1+Assumptions!F$14)),-2)</f>
        <v>4900</v>
      </c>
      <c r="J989" s="288">
        <f>ROUND(IF($A989="E",I989*(1+Assumptions!G$15),I989*(1+Assumptions!G$14)),-2)</f>
        <v>5000</v>
      </c>
      <c r="K989" s="288">
        <f>ROUND(IF($A989="E",J989*(1+Assumptions!H$15),J989*(1+Assumptions!H$14)),-2)</f>
        <v>5100</v>
      </c>
      <c r="L989" s="288">
        <f>ROUND(IF($A989="E",K989*(1+Assumptions!I$15),K989*(1+Assumptions!I$14)),-2)</f>
        <v>5200</v>
      </c>
      <c r="M989" s="288">
        <f>ROUND(IF($A989="E",L989*(1+Assumptions!J$15),L989*(1+Assumptions!J$14)),-2)</f>
        <v>5300</v>
      </c>
      <c r="N989" s="288">
        <f>ROUND(IF($A989="E",M989*(1+Assumptions!K$15),M989*(1+Assumptions!K$14)),-2)</f>
        <v>5400</v>
      </c>
    </row>
    <row r="990" spans="2:14" x14ac:dyDescent="0.25">
      <c r="B990" s="16" t="s">
        <v>43</v>
      </c>
      <c r="C990" s="16" t="s">
        <v>1621</v>
      </c>
      <c r="D990" s="16" t="s">
        <v>1622</v>
      </c>
      <c r="E990" s="288">
        <v>1800</v>
      </c>
      <c r="F990" s="288">
        <f>ROUND(IF($A990="E",E990*(1+Assumptions!C$15),E990*(1+Assumptions!C$14)),-2)</f>
        <v>1800</v>
      </c>
      <c r="G990" s="288">
        <f>ROUND(IF($A990="E",F990*(1+Assumptions!D$15),F990*(1+Assumptions!D$14)),-2)</f>
        <v>1800</v>
      </c>
      <c r="H990" s="288">
        <f>ROUND(IF($A990="E",G990*(1+Assumptions!E$15),G990*(1+Assumptions!E$14)),-2)</f>
        <v>1800</v>
      </c>
      <c r="I990" s="288">
        <f>ROUND(IF($A990="E",H990*(1+Assumptions!F$15),H990*(1+Assumptions!F$14)),-2)</f>
        <v>1800</v>
      </c>
      <c r="J990" s="288">
        <f>ROUND(IF($A990="E",I990*(1+Assumptions!G$15),I990*(1+Assumptions!G$14)),-2)</f>
        <v>1800</v>
      </c>
      <c r="K990" s="288">
        <f>ROUND(IF($A990="E",J990*(1+Assumptions!H$15),J990*(1+Assumptions!H$14)),-2)</f>
        <v>1800</v>
      </c>
      <c r="L990" s="288">
        <f>ROUND(IF($A990="E",K990*(1+Assumptions!I$15),K990*(1+Assumptions!I$14)),-2)</f>
        <v>1800</v>
      </c>
      <c r="M990" s="288">
        <f>ROUND(IF($A990="E",L990*(1+Assumptions!J$15),L990*(1+Assumptions!J$14)),-2)</f>
        <v>1800</v>
      </c>
      <c r="N990" s="288">
        <f>ROUND(IF($A990="E",M990*(1+Assumptions!K$15),M990*(1+Assumptions!K$14)),-2)</f>
        <v>1800</v>
      </c>
    </row>
    <row r="991" spans="2:14" x14ac:dyDescent="0.25">
      <c r="B991" s="16" t="s">
        <v>43</v>
      </c>
      <c r="C991" s="16" t="s">
        <v>1623</v>
      </c>
      <c r="D991" s="16" t="s">
        <v>1624</v>
      </c>
      <c r="E991" s="288">
        <v>700</v>
      </c>
      <c r="F991" s="288">
        <f>ROUND(IF($A991="E",E991*(1+Assumptions!C$15),E991*(1+Assumptions!C$14)),-2)</f>
        <v>700</v>
      </c>
      <c r="G991" s="288">
        <f>ROUND(IF($A991="E",F991*(1+Assumptions!D$15),F991*(1+Assumptions!D$14)),-2)</f>
        <v>700</v>
      </c>
      <c r="H991" s="288">
        <f>ROUND(IF($A991="E",G991*(1+Assumptions!E$15),G991*(1+Assumptions!E$14)),-2)</f>
        <v>700</v>
      </c>
      <c r="I991" s="288">
        <f>ROUND(IF($A991="E",H991*(1+Assumptions!F$15),H991*(1+Assumptions!F$14)),-2)</f>
        <v>700</v>
      </c>
      <c r="J991" s="288">
        <f>ROUND(IF($A991="E",I991*(1+Assumptions!G$15),I991*(1+Assumptions!G$14)),-2)</f>
        <v>700</v>
      </c>
      <c r="K991" s="288">
        <f>ROUND(IF($A991="E",J991*(1+Assumptions!H$15),J991*(1+Assumptions!H$14)),-2)</f>
        <v>700</v>
      </c>
      <c r="L991" s="288">
        <f>ROUND(IF($A991="E",K991*(1+Assumptions!I$15),K991*(1+Assumptions!I$14)),-2)</f>
        <v>700</v>
      </c>
      <c r="M991" s="288">
        <f>ROUND(IF($A991="E",L991*(1+Assumptions!J$15),L991*(1+Assumptions!J$14)),-2)</f>
        <v>700</v>
      </c>
      <c r="N991" s="288">
        <f>ROUND(IF($A991="E",M991*(1+Assumptions!K$15),M991*(1+Assumptions!K$14)),-2)</f>
        <v>700</v>
      </c>
    </row>
    <row r="992" spans="2:14" x14ac:dyDescent="0.25">
      <c r="B992" s="16" t="s">
        <v>43</v>
      </c>
      <c r="C992" s="16" t="s">
        <v>1625</v>
      </c>
      <c r="D992" s="16" t="s">
        <v>1626</v>
      </c>
      <c r="E992" s="288">
        <v>1200</v>
      </c>
      <c r="F992" s="288">
        <f>ROUND(IF($A992="E",E992*(1+Assumptions!C$15),E992*(1+Assumptions!C$14)),-2)</f>
        <v>1200</v>
      </c>
      <c r="G992" s="288">
        <f>ROUND(IF($A992="E",F992*(1+Assumptions!D$15),F992*(1+Assumptions!D$14)),-2)</f>
        <v>1200</v>
      </c>
      <c r="H992" s="288">
        <f>ROUND(IF($A992="E",G992*(1+Assumptions!E$15),G992*(1+Assumptions!E$14)),-2)</f>
        <v>1200</v>
      </c>
      <c r="I992" s="288">
        <f>ROUND(IF($A992="E",H992*(1+Assumptions!F$15),H992*(1+Assumptions!F$14)),-2)</f>
        <v>1200</v>
      </c>
      <c r="J992" s="288">
        <f>ROUND(IF($A992="E",I992*(1+Assumptions!G$15),I992*(1+Assumptions!G$14)),-2)</f>
        <v>1200</v>
      </c>
      <c r="K992" s="288">
        <f>ROUND(IF($A992="E",J992*(1+Assumptions!H$15),J992*(1+Assumptions!H$14)),-2)</f>
        <v>1200</v>
      </c>
      <c r="L992" s="288">
        <f>ROUND(IF($A992="E",K992*(1+Assumptions!I$15),K992*(1+Assumptions!I$14)),-2)</f>
        <v>1200</v>
      </c>
      <c r="M992" s="288">
        <f>ROUND(IF($A992="E",L992*(1+Assumptions!J$15),L992*(1+Assumptions!J$14)),-2)</f>
        <v>1200</v>
      </c>
      <c r="N992" s="288">
        <f>ROUND(IF($A992="E",M992*(1+Assumptions!K$15),M992*(1+Assumptions!K$14)),-2)</f>
        <v>1200</v>
      </c>
    </row>
    <row r="993" spans="2:14" x14ac:dyDescent="0.25">
      <c r="B993" s="16" t="s">
        <v>43</v>
      </c>
      <c r="C993" s="16" t="s">
        <v>1627</v>
      </c>
      <c r="D993" s="16" t="s">
        <v>1628</v>
      </c>
      <c r="E993" s="288">
        <v>1100</v>
      </c>
      <c r="F993" s="288">
        <f>ROUND(IF($A993="E",E993*(1+Assumptions!C$15),E993*(1+Assumptions!C$14)),-2)</f>
        <v>1100</v>
      </c>
      <c r="G993" s="288">
        <f>ROUND(IF($A993="E",F993*(1+Assumptions!D$15),F993*(1+Assumptions!D$14)),-2)</f>
        <v>1100</v>
      </c>
      <c r="H993" s="288">
        <f>ROUND(IF($A993="E",G993*(1+Assumptions!E$15),G993*(1+Assumptions!E$14)),-2)</f>
        <v>1100</v>
      </c>
      <c r="I993" s="288">
        <f>ROUND(IF($A993="E",H993*(1+Assumptions!F$15),H993*(1+Assumptions!F$14)),-2)</f>
        <v>1100</v>
      </c>
      <c r="J993" s="288">
        <f>ROUND(IF($A993="E",I993*(1+Assumptions!G$15),I993*(1+Assumptions!G$14)),-2)</f>
        <v>1100</v>
      </c>
      <c r="K993" s="288">
        <f>ROUND(IF($A993="E",J993*(1+Assumptions!H$15),J993*(1+Assumptions!H$14)),-2)</f>
        <v>1100</v>
      </c>
      <c r="L993" s="288">
        <f>ROUND(IF($A993="E",K993*(1+Assumptions!I$15),K993*(1+Assumptions!I$14)),-2)</f>
        <v>1100</v>
      </c>
      <c r="M993" s="288">
        <f>ROUND(IF($A993="E",L993*(1+Assumptions!J$15),L993*(1+Assumptions!J$14)),-2)</f>
        <v>1100</v>
      </c>
      <c r="N993" s="288">
        <f>ROUND(IF($A993="E",M993*(1+Assumptions!K$15),M993*(1+Assumptions!K$14)),-2)</f>
        <v>1100</v>
      </c>
    </row>
    <row r="994" spans="2:14" x14ac:dyDescent="0.25">
      <c r="B994" s="16" t="s">
        <v>43</v>
      </c>
      <c r="C994" s="16" t="s">
        <v>1629</v>
      </c>
      <c r="D994" s="16" t="s">
        <v>1630</v>
      </c>
      <c r="E994" s="288">
        <v>4800</v>
      </c>
      <c r="F994" s="288">
        <f>ROUND(IF($A994="E",E994*(1+Assumptions!C$15),E994*(1+Assumptions!C$14)),-2)</f>
        <v>4900</v>
      </c>
      <c r="G994" s="288">
        <f>ROUND(IF($A994="E",F994*(1+Assumptions!D$15),F994*(1+Assumptions!D$14)),-2)</f>
        <v>5000</v>
      </c>
      <c r="H994" s="288">
        <f>ROUND(IF($A994="E",G994*(1+Assumptions!E$15),G994*(1+Assumptions!E$14)),-2)</f>
        <v>5100</v>
      </c>
      <c r="I994" s="288">
        <f>ROUND(IF($A994="E",H994*(1+Assumptions!F$15),H994*(1+Assumptions!F$14)),-2)</f>
        <v>5200</v>
      </c>
      <c r="J994" s="288">
        <f>ROUND(IF($A994="E",I994*(1+Assumptions!G$15),I994*(1+Assumptions!G$14)),-2)</f>
        <v>5300</v>
      </c>
      <c r="K994" s="288">
        <f>ROUND(IF($A994="E",J994*(1+Assumptions!H$15),J994*(1+Assumptions!H$14)),-2)</f>
        <v>5400</v>
      </c>
      <c r="L994" s="288">
        <f>ROUND(IF($A994="E",K994*(1+Assumptions!I$15),K994*(1+Assumptions!I$14)),-2)</f>
        <v>5500</v>
      </c>
      <c r="M994" s="288">
        <f>ROUND(IF($A994="E",L994*(1+Assumptions!J$15),L994*(1+Assumptions!J$14)),-2)</f>
        <v>5600</v>
      </c>
      <c r="N994" s="288">
        <f>ROUND(IF($A994="E",M994*(1+Assumptions!K$15),M994*(1+Assumptions!K$14)),-2)</f>
        <v>5700</v>
      </c>
    </row>
    <row r="995" spans="2:14" x14ac:dyDescent="0.25">
      <c r="B995" s="16" t="s">
        <v>43</v>
      </c>
      <c r="C995" s="16" t="s">
        <v>1631</v>
      </c>
      <c r="D995" s="16" t="s">
        <v>1632</v>
      </c>
      <c r="E995" s="288">
        <v>10100</v>
      </c>
      <c r="F995" s="288">
        <f>ROUND(IF($A995="E",E995*(1+Assumptions!C$15),E995*(1+Assumptions!C$14)),-2)</f>
        <v>10300</v>
      </c>
      <c r="G995" s="288">
        <f>ROUND(IF($A995="E",F995*(1+Assumptions!D$15),F995*(1+Assumptions!D$14)),-2)</f>
        <v>10500</v>
      </c>
      <c r="H995" s="288">
        <f>ROUND(IF($A995="E",G995*(1+Assumptions!E$15),G995*(1+Assumptions!E$14)),-2)</f>
        <v>10700</v>
      </c>
      <c r="I995" s="288">
        <f>ROUND(IF($A995="E",H995*(1+Assumptions!F$15),H995*(1+Assumptions!F$14)),-2)</f>
        <v>10900</v>
      </c>
      <c r="J995" s="288">
        <f>ROUND(IF($A995="E",I995*(1+Assumptions!G$15),I995*(1+Assumptions!G$14)),-2)</f>
        <v>11100</v>
      </c>
      <c r="K995" s="288">
        <f>ROUND(IF($A995="E",J995*(1+Assumptions!H$15),J995*(1+Assumptions!H$14)),-2)</f>
        <v>11300</v>
      </c>
      <c r="L995" s="288">
        <f>ROUND(IF($A995="E",K995*(1+Assumptions!I$15),K995*(1+Assumptions!I$14)),-2)</f>
        <v>11600</v>
      </c>
      <c r="M995" s="288">
        <f>ROUND(IF($A995="E",L995*(1+Assumptions!J$15),L995*(1+Assumptions!J$14)),-2)</f>
        <v>11900</v>
      </c>
      <c r="N995" s="288">
        <f>ROUND(IF($A995="E",M995*(1+Assumptions!K$15),M995*(1+Assumptions!K$14)),-2)</f>
        <v>12200</v>
      </c>
    </row>
    <row r="996" spans="2:14" x14ac:dyDescent="0.25">
      <c r="B996" s="16" t="s">
        <v>43</v>
      </c>
      <c r="C996" s="16" t="s">
        <v>1633</v>
      </c>
      <c r="D996" s="16" t="s">
        <v>1634</v>
      </c>
      <c r="E996" s="289"/>
      <c r="F996" s="289"/>
      <c r="G996" s="289"/>
      <c r="H996" s="289"/>
      <c r="I996" s="289"/>
      <c r="J996" s="289"/>
      <c r="K996" s="289"/>
      <c r="L996" s="289"/>
      <c r="M996" s="289"/>
      <c r="N996" s="289"/>
    </row>
    <row r="997" spans="2:14" x14ac:dyDescent="0.25">
      <c r="B997" s="16" t="s">
        <v>43</v>
      </c>
      <c r="C997" s="16" t="s">
        <v>1635</v>
      </c>
      <c r="D997" s="16" t="s">
        <v>1636</v>
      </c>
      <c r="E997" s="288">
        <v>24200</v>
      </c>
      <c r="F997" s="288">
        <f>ROUND(IF($A997="E",E997*(1+Assumptions!C$15),E997*(1+Assumptions!C$14)),-2)</f>
        <v>24600</v>
      </c>
      <c r="G997" s="288">
        <f>ROUND(IF($A997="E",F997*(1+Assumptions!D$15),F997*(1+Assumptions!D$14)),-2)</f>
        <v>25100</v>
      </c>
      <c r="H997" s="288">
        <f>ROUND(IF($A997="E",G997*(1+Assumptions!E$15),G997*(1+Assumptions!E$14)),-2)</f>
        <v>25600</v>
      </c>
      <c r="I997" s="288">
        <f>ROUND(IF($A997="E",H997*(1+Assumptions!F$15),H997*(1+Assumptions!F$14)),-2)</f>
        <v>26100</v>
      </c>
      <c r="J997" s="288">
        <f>ROUND(IF($A997="E",I997*(1+Assumptions!G$15),I997*(1+Assumptions!G$14)),-2)</f>
        <v>26600</v>
      </c>
      <c r="K997" s="288">
        <f>ROUND(IF($A997="E",J997*(1+Assumptions!H$15),J997*(1+Assumptions!H$14)),-2)</f>
        <v>27100</v>
      </c>
      <c r="L997" s="288">
        <f>ROUND(IF($A997="E",K997*(1+Assumptions!I$15),K997*(1+Assumptions!I$14)),-2)</f>
        <v>27800</v>
      </c>
      <c r="M997" s="288">
        <f>ROUND(IF($A997="E",L997*(1+Assumptions!J$15),L997*(1+Assumptions!J$14)),-2)</f>
        <v>28500</v>
      </c>
      <c r="N997" s="288">
        <f>ROUND(IF($A997="E",M997*(1+Assumptions!K$15),M997*(1+Assumptions!K$14)),-2)</f>
        <v>29200</v>
      </c>
    </row>
    <row r="998" spans="2:14" x14ac:dyDescent="0.25">
      <c r="B998" s="16" t="s">
        <v>43</v>
      </c>
      <c r="C998" s="16" t="s">
        <v>1637</v>
      </c>
      <c r="D998" s="16" t="s">
        <v>1638</v>
      </c>
      <c r="E998" s="288">
        <v>0</v>
      </c>
      <c r="F998" s="288">
        <f>ROUND(IF($A998="E",E998*(1+Assumptions!C$15),E998*(1+Assumptions!C$14)),-2)</f>
        <v>0</v>
      </c>
      <c r="G998" s="288">
        <f>ROUND(IF($A998="E",F998*(1+Assumptions!D$15),F998*(1+Assumptions!D$14)),-2)</f>
        <v>0</v>
      </c>
      <c r="H998" s="288">
        <f>ROUND(IF($A998="E",G998*(1+Assumptions!E$15),G998*(1+Assumptions!E$14)),-2)</f>
        <v>0</v>
      </c>
      <c r="I998" s="288">
        <f>ROUND(IF($A998="E",H998*(1+Assumptions!F$15),H998*(1+Assumptions!F$14)),-2)</f>
        <v>0</v>
      </c>
      <c r="J998" s="288">
        <f>ROUND(IF($A998="E",I998*(1+Assumptions!G$15),I998*(1+Assumptions!G$14)),-2)</f>
        <v>0</v>
      </c>
      <c r="K998" s="288">
        <f>ROUND(IF($A998="E",J998*(1+Assumptions!H$15),J998*(1+Assumptions!H$14)),-2)</f>
        <v>0</v>
      </c>
      <c r="L998" s="288">
        <f>ROUND(IF($A998="E",K998*(1+Assumptions!I$15),K998*(1+Assumptions!I$14)),-2)</f>
        <v>0</v>
      </c>
      <c r="M998" s="288">
        <f>ROUND(IF($A998="E",L998*(1+Assumptions!J$15),L998*(1+Assumptions!J$14)),-2)</f>
        <v>0</v>
      </c>
      <c r="N998" s="288">
        <f>ROUND(IF($A998="E",M998*(1+Assumptions!K$15),M998*(1+Assumptions!K$14)),-2)</f>
        <v>0</v>
      </c>
    </row>
    <row r="999" spans="2:14" x14ac:dyDescent="0.25">
      <c r="B999" s="16" t="s">
        <v>43</v>
      </c>
      <c r="C999" s="16" t="s">
        <v>1639</v>
      </c>
      <c r="D999" s="16" t="s">
        <v>187</v>
      </c>
      <c r="E999" s="289"/>
      <c r="F999" s="289"/>
      <c r="G999" s="289"/>
      <c r="H999" s="289"/>
      <c r="I999" s="289"/>
      <c r="J999" s="289"/>
      <c r="K999" s="289"/>
      <c r="L999" s="289"/>
      <c r="M999" s="289"/>
      <c r="N999" s="289"/>
    </row>
    <row r="1000" spans="2:14" x14ac:dyDescent="0.25">
      <c r="B1000" s="16" t="s">
        <v>43</v>
      </c>
      <c r="C1000" s="16" t="s">
        <v>1640</v>
      </c>
      <c r="D1000" s="16" t="s">
        <v>193</v>
      </c>
      <c r="E1000" s="288">
        <v>346300</v>
      </c>
      <c r="F1000" s="288">
        <f>ROUND(IF($A1000="E",E1000*(1+Assumptions!C$15),E1000*(1+Assumptions!C$14)),-2)</f>
        <v>351500</v>
      </c>
      <c r="G1000" s="288">
        <f>ROUND(IF($A1000="E",F1000*(1+Assumptions!D$15),F1000*(1+Assumptions!D$14)),-2)</f>
        <v>358500</v>
      </c>
      <c r="H1000" s="288">
        <f>ROUND(IF($A1000="E",G1000*(1+Assumptions!E$15),G1000*(1+Assumptions!E$14)),-2)</f>
        <v>365700</v>
      </c>
      <c r="I1000" s="288">
        <f>ROUND(IF($A1000="E",H1000*(1+Assumptions!F$15),H1000*(1+Assumptions!F$14)),-2)</f>
        <v>373000</v>
      </c>
      <c r="J1000" s="288">
        <f>ROUND(IF($A1000="E",I1000*(1+Assumptions!G$15),I1000*(1+Assumptions!G$14)),-2)</f>
        <v>380500</v>
      </c>
      <c r="K1000" s="288">
        <f>ROUND(IF($A1000="E",J1000*(1+Assumptions!H$15),J1000*(1+Assumptions!H$14)),-2)</f>
        <v>388100</v>
      </c>
      <c r="L1000" s="288">
        <f>ROUND(IF($A1000="E",K1000*(1+Assumptions!I$15),K1000*(1+Assumptions!I$14)),-2)</f>
        <v>397800</v>
      </c>
      <c r="M1000" s="288">
        <f>ROUND(IF($A1000="E",L1000*(1+Assumptions!J$15),L1000*(1+Assumptions!J$14)),-2)</f>
        <v>407700</v>
      </c>
      <c r="N1000" s="288">
        <f>ROUND(IF($A1000="E",M1000*(1+Assumptions!K$15),M1000*(1+Assumptions!K$14)),-2)</f>
        <v>417900</v>
      </c>
    </row>
    <row r="1001" spans="2:14" ht="12.75" customHeight="1" x14ac:dyDescent="0.25">
      <c r="E1001" s="288"/>
      <c r="F1001" s="288"/>
      <c r="G1001" s="288"/>
      <c r="H1001" s="288"/>
      <c r="I1001" s="288"/>
      <c r="J1001" s="288"/>
      <c r="K1001" s="288"/>
      <c r="L1001" s="288"/>
      <c r="M1001" s="288"/>
      <c r="N1001" s="288"/>
    </row>
    <row r="1002" spans="2:14" ht="12.75" customHeight="1" x14ac:dyDescent="0.25">
      <c r="D1002" s="19" t="s">
        <v>3234</v>
      </c>
      <c r="E1002" s="291">
        <f>SUM(E952:E1001)</f>
        <v>1005900</v>
      </c>
      <c r="F1002" s="291">
        <f t="shared" ref="F1002:N1002" si="31">SUM(F952:F1001)</f>
        <v>1020700</v>
      </c>
      <c r="G1002" s="291">
        <f t="shared" si="31"/>
        <v>1041100</v>
      </c>
      <c r="H1002" s="291">
        <f t="shared" si="31"/>
        <v>1062000</v>
      </c>
      <c r="I1002" s="291">
        <f t="shared" si="31"/>
        <v>1083000</v>
      </c>
      <c r="J1002" s="291">
        <f t="shared" si="31"/>
        <v>1104400</v>
      </c>
      <c r="K1002" s="291">
        <f t="shared" si="31"/>
        <v>1126100</v>
      </c>
      <c r="L1002" s="291">
        <f t="shared" si="31"/>
        <v>1154100</v>
      </c>
      <c r="M1002" s="291">
        <f t="shared" si="31"/>
        <v>1182800</v>
      </c>
      <c r="N1002" s="291">
        <f t="shared" si="31"/>
        <v>1212200</v>
      </c>
    </row>
    <row r="1003" spans="2:14" ht="12.75" customHeight="1" x14ac:dyDescent="0.25">
      <c r="E1003" s="288"/>
      <c r="F1003" s="288"/>
      <c r="G1003" s="288"/>
      <c r="H1003" s="288"/>
      <c r="I1003" s="288"/>
      <c r="J1003" s="288"/>
      <c r="K1003" s="288"/>
      <c r="L1003" s="288"/>
      <c r="M1003" s="288"/>
      <c r="N1003" s="288"/>
    </row>
    <row r="1004" spans="2:14" x14ac:dyDescent="0.25">
      <c r="C1004" s="16" t="s">
        <v>315</v>
      </c>
      <c r="E1004" s="288"/>
      <c r="F1004" s="288"/>
      <c r="G1004" s="288"/>
      <c r="H1004" s="288"/>
      <c r="I1004" s="288"/>
      <c r="J1004" s="288"/>
      <c r="K1004" s="288"/>
      <c r="L1004" s="288"/>
      <c r="M1004" s="288"/>
      <c r="N1004" s="288"/>
    </row>
    <row r="1005" spans="2:14" x14ac:dyDescent="0.25">
      <c r="B1005" s="16" t="s">
        <v>3229</v>
      </c>
      <c r="C1005" s="16" t="s">
        <v>1642</v>
      </c>
      <c r="D1005" s="16" t="s">
        <v>1643</v>
      </c>
      <c r="E1005" s="289"/>
      <c r="F1005" s="289"/>
      <c r="G1005" s="289"/>
      <c r="H1005" s="289"/>
      <c r="I1005" s="289"/>
      <c r="J1005" s="289"/>
      <c r="K1005" s="289"/>
      <c r="L1005" s="289"/>
      <c r="M1005" s="289"/>
      <c r="N1005" s="289"/>
    </row>
    <row r="1006" spans="2:14" x14ac:dyDescent="0.25">
      <c r="B1006" s="16" t="s">
        <v>3229</v>
      </c>
      <c r="C1006" s="16" t="s">
        <v>1644</v>
      </c>
      <c r="D1006" s="16" t="s">
        <v>1645</v>
      </c>
      <c r="E1006" s="288">
        <v>-659800</v>
      </c>
      <c r="F1006" s="288">
        <f>ROUND(E1006+(E1006*Assumptions!C$13),-2)</f>
        <v>-673000</v>
      </c>
      <c r="G1006" s="288">
        <f>ROUND(F1006+(F1006*Assumptions!D$13),-2)</f>
        <v>-689800</v>
      </c>
      <c r="H1006" s="288">
        <f>ROUND(G1006+(G1006*Assumptions!E$13),-2)</f>
        <v>-707000</v>
      </c>
      <c r="I1006" s="288">
        <f>ROUND(H1006+(H1006*Assumptions!F$13),-2)</f>
        <v>-724700</v>
      </c>
      <c r="J1006" s="288">
        <f>ROUND(I1006+(I1006*Assumptions!G$13),-2)</f>
        <v>-742800</v>
      </c>
      <c r="K1006" s="288">
        <f>ROUND(J1006+(J1006*Assumptions!H$13),-2)</f>
        <v>-761400</v>
      </c>
      <c r="L1006" s="288">
        <f>ROUND(K1006+(K1006*Assumptions!I$13),-2)</f>
        <v>-780400</v>
      </c>
      <c r="M1006" s="288">
        <f>ROUND(L1006+(L1006*Assumptions!J$13),-2)</f>
        <v>-799900</v>
      </c>
      <c r="N1006" s="288">
        <f>ROUND(M1006+(M1006*Assumptions!K$13),-2)</f>
        <v>-819900</v>
      </c>
    </row>
    <row r="1007" spans="2:14" ht="12.75" customHeight="1" x14ac:dyDescent="0.25">
      <c r="E1007" s="288"/>
      <c r="F1007" s="288"/>
      <c r="G1007" s="288"/>
      <c r="H1007" s="288"/>
      <c r="I1007" s="288"/>
      <c r="J1007" s="288"/>
      <c r="K1007" s="288"/>
      <c r="L1007" s="288"/>
      <c r="M1007" s="288"/>
      <c r="N1007" s="288"/>
    </row>
    <row r="1008" spans="2:14" ht="12.75" customHeight="1" x14ac:dyDescent="0.25">
      <c r="D1008" s="19" t="s">
        <v>3234</v>
      </c>
      <c r="E1008" s="291">
        <f>SUM(E1005:E1007)</f>
        <v>-659800</v>
      </c>
      <c r="F1008" s="291">
        <f t="shared" ref="F1008:N1008" si="32">SUM(F1005:F1007)</f>
        <v>-673000</v>
      </c>
      <c r="G1008" s="291">
        <f t="shared" si="32"/>
        <v>-689800</v>
      </c>
      <c r="H1008" s="291">
        <f t="shared" si="32"/>
        <v>-707000</v>
      </c>
      <c r="I1008" s="291">
        <f t="shared" si="32"/>
        <v>-724700</v>
      </c>
      <c r="J1008" s="291">
        <f t="shared" si="32"/>
        <v>-742800</v>
      </c>
      <c r="K1008" s="291">
        <f t="shared" si="32"/>
        <v>-761400</v>
      </c>
      <c r="L1008" s="291">
        <f t="shared" si="32"/>
        <v>-780400</v>
      </c>
      <c r="M1008" s="291">
        <f t="shared" si="32"/>
        <v>-799900</v>
      </c>
      <c r="N1008" s="291">
        <f t="shared" si="32"/>
        <v>-819900</v>
      </c>
    </row>
    <row r="1009" spans="2:14" ht="12.75" customHeight="1" x14ac:dyDescent="0.25">
      <c r="E1009" s="288"/>
      <c r="F1009" s="288"/>
      <c r="G1009" s="288"/>
      <c r="H1009" s="288"/>
      <c r="I1009" s="288"/>
      <c r="J1009" s="288"/>
      <c r="K1009" s="288"/>
      <c r="L1009" s="288"/>
      <c r="M1009" s="288"/>
      <c r="N1009" s="288"/>
    </row>
    <row r="1010" spans="2:14" x14ac:dyDescent="0.25">
      <c r="C1010" s="19" t="s">
        <v>1646</v>
      </c>
      <c r="E1010" s="288"/>
      <c r="F1010" s="288"/>
      <c r="G1010" s="288"/>
      <c r="H1010" s="288"/>
      <c r="I1010" s="288"/>
      <c r="J1010" s="288"/>
      <c r="K1010" s="288"/>
      <c r="L1010" s="288"/>
      <c r="M1010" s="288"/>
      <c r="N1010" s="288"/>
    </row>
    <row r="1011" spans="2:14" ht="12.75" customHeight="1" x14ac:dyDescent="0.25">
      <c r="E1011" s="288"/>
      <c r="F1011" s="288"/>
      <c r="G1011" s="288"/>
      <c r="H1011" s="288"/>
      <c r="I1011" s="288"/>
      <c r="J1011" s="288"/>
      <c r="K1011" s="288"/>
      <c r="L1011" s="288"/>
      <c r="M1011" s="288"/>
      <c r="N1011" s="288"/>
    </row>
    <row r="1012" spans="2:14" x14ac:dyDescent="0.25">
      <c r="B1012" s="16" t="s">
        <v>43</v>
      </c>
      <c r="C1012" s="16" t="s">
        <v>87</v>
      </c>
      <c r="E1012" s="288"/>
      <c r="F1012" s="288"/>
      <c r="G1012" s="288"/>
      <c r="H1012" s="288"/>
      <c r="I1012" s="288"/>
      <c r="J1012" s="288"/>
      <c r="K1012" s="288"/>
      <c r="L1012" s="288"/>
      <c r="M1012" s="288"/>
      <c r="N1012" s="288"/>
    </row>
    <row r="1013" spans="2:14" x14ac:dyDescent="0.25">
      <c r="B1013" s="16" t="s">
        <v>43</v>
      </c>
      <c r="C1013" s="16" t="s">
        <v>1647</v>
      </c>
      <c r="D1013" s="16" t="s">
        <v>1648</v>
      </c>
      <c r="E1013" s="289"/>
      <c r="F1013" s="289"/>
      <c r="G1013" s="289"/>
      <c r="H1013" s="289"/>
      <c r="I1013" s="289"/>
      <c r="J1013" s="289"/>
      <c r="K1013" s="289"/>
      <c r="L1013" s="289"/>
      <c r="M1013" s="289"/>
      <c r="N1013" s="289"/>
    </row>
    <row r="1014" spans="2:14" x14ac:dyDescent="0.25">
      <c r="B1014" s="16" t="s">
        <v>43</v>
      </c>
      <c r="C1014" s="16" t="s">
        <v>1649</v>
      </c>
      <c r="D1014" s="16" t="s">
        <v>1650</v>
      </c>
      <c r="E1014" s="288">
        <v>6900</v>
      </c>
      <c r="F1014" s="288">
        <f>ROUND(IF($A1014="E",E1014*(1+Assumptions!C$15),E1014*(1+Assumptions!C$14)),-2)</f>
        <v>7000</v>
      </c>
      <c r="G1014" s="288">
        <f>ROUND(IF($A1014="E",F1014*(1+Assumptions!D$15),F1014*(1+Assumptions!D$14)),-2)</f>
        <v>7100</v>
      </c>
      <c r="H1014" s="288">
        <f>ROUND(IF($A1014="E",G1014*(1+Assumptions!E$15),G1014*(1+Assumptions!E$14)),-2)</f>
        <v>7200</v>
      </c>
      <c r="I1014" s="288">
        <f>ROUND(IF($A1014="E",H1014*(1+Assumptions!F$15),H1014*(1+Assumptions!F$14)),-2)</f>
        <v>7300</v>
      </c>
      <c r="J1014" s="288">
        <f>ROUND(IF($A1014="E",I1014*(1+Assumptions!G$15),I1014*(1+Assumptions!G$14)),-2)</f>
        <v>7400</v>
      </c>
      <c r="K1014" s="288">
        <f>ROUND(IF($A1014="E",J1014*(1+Assumptions!H$15),J1014*(1+Assumptions!H$14)),-2)</f>
        <v>7500</v>
      </c>
      <c r="L1014" s="288">
        <f>ROUND(IF($A1014="E",K1014*(1+Assumptions!I$15),K1014*(1+Assumptions!I$14)),-2)</f>
        <v>7700</v>
      </c>
      <c r="M1014" s="288">
        <f>ROUND(IF($A1014="E",L1014*(1+Assumptions!J$15),L1014*(1+Assumptions!J$14)),-2)</f>
        <v>7900</v>
      </c>
      <c r="N1014" s="288">
        <f>ROUND(IF($A1014="E",M1014*(1+Assumptions!K$15),M1014*(1+Assumptions!K$14)),-2)</f>
        <v>8100</v>
      </c>
    </row>
    <row r="1015" spans="2:14" x14ac:dyDescent="0.25">
      <c r="B1015" s="16" t="s">
        <v>43</v>
      </c>
      <c r="C1015" s="16" t="s">
        <v>1651</v>
      </c>
      <c r="D1015" s="16" t="s">
        <v>1652</v>
      </c>
      <c r="E1015" s="289"/>
      <c r="F1015" s="289"/>
      <c r="G1015" s="289"/>
      <c r="H1015" s="289"/>
      <c r="I1015" s="289"/>
      <c r="J1015" s="289"/>
      <c r="K1015" s="289"/>
      <c r="L1015" s="289"/>
      <c r="M1015" s="289"/>
      <c r="N1015" s="289"/>
    </row>
    <row r="1016" spans="2:14" x14ac:dyDescent="0.25">
      <c r="B1016" s="16" t="s">
        <v>43</v>
      </c>
      <c r="C1016" s="16" t="s">
        <v>1653</v>
      </c>
      <c r="D1016" s="16" t="s">
        <v>1654</v>
      </c>
      <c r="E1016" s="288">
        <v>13600</v>
      </c>
      <c r="F1016" s="288">
        <f>ROUND(IF($A1016="E",E1016*(1+Assumptions!C$15),E1016*(1+Assumptions!C$14)),-2)</f>
        <v>13800</v>
      </c>
      <c r="G1016" s="288">
        <f>ROUND(IF($A1016="E",F1016*(1+Assumptions!D$15),F1016*(1+Assumptions!D$14)),-2)</f>
        <v>14100</v>
      </c>
      <c r="H1016" s="288">
        <f>ROUND(IF($A1016="E",G1016*(1+Assumptions!E$15),G1016*(1+Assumptions!E$14)),-2)</f>
        <v>14400</v>
      </c>
      <c r="I1016" s="288">
        <f>ROUND(IF($A1016="E",H1016*(1+Assumptions!F$15),H1016*(1+Assumptions!F$14)),-2)</f>
        <v>14700</v>
      </c>
      <c r="J1016" s="288">
        <f>ROUND(IF($A1016="E",I1016*(1+Assumptions!G$15),I1016*(1+Assumptions!G$14)),-2)</f>
        <v>15000</v>
      </c>
      <c r="K1016" s="288">
        <f>ROUND(IF($A1016="E",J1016*(1+Assumptions!H$15),J1016*(1+Assumptions!H$14)),-2)</f>
        <v>15300</v>
      </c>
      <c r="L1016" s="288">
        <f>ROUND(IF($A1016="E",K1016*(1+Assumptions!I$15),K1016*(1+Assumptions!I$14)),-2)</f>
        <v>15700</v>
      </c>
      <c r="M1016" s="288">
        <f>ROUND(IF($A1016="E",L1016*(1+Assumptions!J$15),L1016*(1+Assumptions!J$14)),-2)</f>
        <v>16100</v>
      </c>
      <c r="N1016" s="288">
        <f>ROUND(IF($A1016="E",M1016*(1+Assumptions!K$15),M1016*(1+Assumptions!K$14)),-2)</f>
        <v>16500</v>
      </c>
    </row>
    <row r="1017" spans="2:14" x14ac:dyDescent="0.25">
      <c r="B1017" s="16" t="s">
        <v>43</v>
      </c>
      <c r="C1017" s="16" t="s">
        <v>1655</v>
      </c>
      <c r="D1017" s="16" t="s">
        <v>1656</v>
      </c>
      <c r="E1017" s="289"/>
      <c r="F1017" s="289"/>
      <c r="G1017" s="289"/>
      <c r="H1017" s="289"/>
      <c r="I1017" s="289"/>
      <c r="J1017" s="289"/>
      <c r="K1017" s="289"/>
      <c r="L1017" s="289"/>
      <c r="M1017" s="289"/>
      <c r="N1017" s="289"/>
    </row>
    <row r="1018" spans="2:14" x14ac:dyDescent="0.25">
      <c r="B1018" s="16" t="s">
        <v>43</v>
      </c>
      <c r="C1018" s="16" t="s">
        <v>1657</v>
      </c>
      <c r="D1018" s="16" t="s">
        <v>1658</v>
      </c>
      <c r="E1018" s="288">
        <v>381200</v>
      </c>
      <c r="F1018" s="288">
        <f>ROUND(IF($A1018="E",E1018*(1+Assumptions!C$15),E1018*(1+Assumptions!C$14)),-2)</f>
        <v>386900</v>
      </c>
      <c r="G1018" s="288">
        <f>ROUND(IF($A1018="E",F1018*(1+Assumptions!D$15),F1018*(1+Assumptions!D$14)),-2)</f>
        <v>394600</v>
      </c>
      <c r="H1018" s="288">
        <f>ROUND(IF($A1018="E",G1018*(1+Assumptions!E$15),G1018*(1+Assumptions!E$14)),-2)</f>
        <v>402500</v>
      </c>
      <c r="I1018" s="288">
        <f>ROUND(IF($A1018="E",H1018*(1+Assumptions!F$15),H1018*(1+Assumptions!F$14)),-2)</f>
        <v>410600</v>
      </c>
      <c r="J1018" s="288">
        <f>ROUND(IF($A1018="E",I1018*(1+Assumptions!G$15),I1018*(1+Assumptions!G$14)),-2)</f>
        <v>418800</v>
      </c>
      <c r="K1018" s="288">
        <f>ROUND(IF($A1018="E",J1018*(1+Assumptions!H$15),J1018*(1+Assumptions!H$14)),-2)</f>
        <v>427200</v>
      </c>
      <c r="L1018" s="288">
        <f>ROUND(IF($A1018="E",K1018*(1+Assumptions!I$15),K1018*(1+Assumptions!I$14)),-2)</f>
        <v>437900</v>
      </c>
      <c r="M1018" s="288">
        <f>ROUND(IF($A1018="E",L1018*(1+Assumptions!J$15),L1018*(1+Assumptions!J$14)),-2)</f>
        <v>448800</v>
      </c>
      <c r="N1018" s="288">
        <f>ROUND(IF($A1018="E",M1018*(1+Assumptions!K$15),M1018*(1+Assumptions!K$14)),-2)</f>
        <v>460000</v>
      </c>
    </row>
    <row r="1019" spans="2:14" x14ac:dyDescent="0.25">
      <c r="B1019" s="16" t="s">
        <v>43</v>
      </c>
      <c r="C1019" s="16" t="s">
        <v>1659</v>
      </c>
      <c r="D1019" s="16" t="s">
        <v>1660</v>
      </c>
      <c r="E1019" s="288">
        <v>-43400</v>
      </c>
      <c r="F1019" s="288">
        <f>ROUND(IF($A1019="E",E1019*(1+Assumptions!C$15),E1019*(1+Assumptions!C$14)),-2)</f>
        <v>-44100</v>
      </c>
      <c r="G1019" s="288">
        <f>ROUND(IF($A1019="E",F1019*(1+Assumptions!D$15),F1019*(1+Assumptions!D$14)),-2)</f>
        <v>-45000</v>
      </c>
      <c r="H1019" s="288">
        <f>ROUND(IF($A1019="E",G1019*(1+Assumptions!E$15),G1019*(1+Assumptions!E$14)),-2)</f>
        <v>-45900</v>
      </c>
      <c r="I1019" s="288">
        <f>ROUND(IF($A1019="E",H1019*(1+Assumptions!F$15),H1019*(1+Assumptions!F$14)),-2)</f>
        <v>-46800</v>
      </c>
      <c r="J1019" s="288">
        <f>ROUND(IF($A1019="E",I1019*(1+Assumptions!G$15),I1019*(1+Assumptions!G$14)),-2)</f>
        <v>-47700</v>
      </c>
      <c r="K1019" s="288">
        <f>ROUND(IF($A1019="E",J1019*(1+Assumptions!H$15),J1019*(1+Assumptions!H$14)),-2)</f>
        <v>-48700</v>
      </c>
      <c r="L1019" s="288">
        <f>ROUND(IF($A1019="E",K1019*(1+Assumptions!I$15),K1019*(1+Assumptions!I$14)),-2)</f>
        <v>-49900</v>
      </c>
      <c r="M1019" s="288">
        <f>ROUND(IF($A1019="E",L1019*(1+Assumptions!J$15),L1019*(1+Assumptions!J$14)),-2)</f>
        <v>-51100</v>
      </c>
      <c r="N1019" s="288">
        <f>ROUND(IF($A1019="E",M1019*(1+Assumptions!K$15),M1019*(1+Assumptions!K$14)),-2)</f>
        <v>-52400</v>
      </c>
    </row>
    <row r="1020" spans="2:14" x14ac:dyDescent="0.25">
      <c r="B1020" s="16" t="s">
        <v>43</v>
      </c>
      <c r="C1020" s="16" t="s">
        <v>1661</v>
      </c>
      <c r="D1020" s="16" t="s">
        <v>1662</v>
      </c>
      <c r="E1020" s="289"/>
      <c r="F1020" s="289"/>
      <c r="G1020" s="289"/>
      <c r="H1020" s="289"/>
      <c r="I1020" s="289"/>
      <c r="J1020" s="289"/>
      <c r="K1020" s="289"/>
      <c r="L1020" s="289"/>
      <c r="M1020" s="289"/>
      <c r="N1020" s="289"/>
    </row>
    <row r="1021" spans="2:14" x14ac:dyDescent="0.25">
      <c r="B1021" s="16" t="s">
        <v>43</v>
      </c>
      <c r="C1021" s="16" t="s">
        <v>1663</v>
      </c>
      <c r="D1021" s="16" t="s">
        <v>1664</v>
      </c>
      <c r="E1021" s="288">
        <v>20800</v>
      </c>
      <c r="F1021" s="288">
        <f>ROUND(IF($A1021="E",E1021*(1+Assumptions!C$15),E1021*(1+Assumptions!C$14)),-2)</f>
        <v>21100</v>
      </c>
      <c r="G1021" s="288">
        <f>ROUND(IF($A1021="E",F1021*(1+Assumptions!D$15),F1021*(1+Assumptions!D$14)),-2)</f>
        <v>21500</v>
      </c>
      <c r="H1021" s="288">
        <f>ROUND(IF($A1021="E",G1021*(1+Assumptions!E$15),G1021*(1+Assumptions!E$14)),-2)</f>
        <v>21900</v>
      </c>
      <c r="I1021" s="288">
        <f>ROUND(IF($A1021="E",H1021*(1+Assumptions!F$15),H1021*(1+Assumptions!F$14)),-2)</f>
        <v>22300</v>
      </c>
      <c r="J1021" s="288">
        <f>ROUND(IF($A1021="E",I1021*(1+Assumptions!G$15),I1021*(1+Assumptions!G$14)),-2)</f>
        <v>22700</v>
      </c>
      <c r="K1021" s="288">
        <f>ROUND(IF($A1021="E",J1021*(1+Assumptions!H$15),J1021*(1+Assumptions!H$14)),-2)</f>
        <v>23200</v>
      </c>
      <c r="L1021" s="288">
        <f>ROUND(IF($A1021="E",K1021*(1+Assumptions!I$15),K1021*(1+Assumptions!I$14)),-2)</f>
        <v>23800</v>
      </c>
      <c r="M1021" s="288">
        <f>ROUND(IF($A1021="E",L1021*(1+Assumptions!J$15),L1021*(1+Assumptions!J$14)),-2)</f>
        <v>24400</v>
      </c>
      <c r="N1021" s="288">
        <f>ROUND(IF($A1021="E",M1021*(1+Assumptions!K$15),M1021*(1+Assumptions!K$14)),-2)</f>
        <v>25000</v>
      </c>
    </row>
    <row r="1022" spans="2:14" x14ac:dyDescent="0.25">
      <c r="B1022" s="16" t="s">
        <v>43</v>
      </c>
      <c r="C1022" s="16" t="s">
        <v>1665</v>
      </c>
      <c r="D1022" s="16" t="s">
        <v>1666</v>
      </c>
      <c r="E1022" s="288">
        <v>428400</v>
      </c>
      <c r="F1022" s="288">
        <f>ROUND(IF($A1022="E",E1022*(1+Assumptions!C$15),E1022*(1+Assumptions!C$14)),-2)</f>
        <v>434800</v>
      </c>
      <c r="G1022" s="288">
        <f>ROUND(IF($A1022="E",F1022*(1+Assumptions!D$15),F1022*(1+Assumptions!D$14)),-2)</f>
        <v>443500</v>
      </c>
      <c r="H1022" s="288">
        <f>ROUND(IF($A1022="E",G1022*(1+Assumptions!E$15),G1022*(1+Assumptions!E$14)),-2)</f>
        <v>452400</v>
      </c>
      <c r="I1022" s="288">
        <f>ROUND(IF($A1022="E",H1022*(1+Assumptions!F$15),H1022*(1+Assumptions!F$14)),-2)</f>
        <v>461400</v>
      </c>
      <c r="J1022" s="288">
        <f>ROUND(IF($A1022="E",I1022*(1+Assumptions!G$15),I1022*(1+Assumptions!G$14)),-2)</f>
        <v>470600</v>
      </c>
      <c r="K1022" s="288">
        <f>ROUND(IF($A1022="E",J1022*(1+Assumptions!H$15),J1022*(1+Assumptions!H$14)),-2)</f>
        <v>480000</v>
      </c>
      <c r="L1022" s="288">
        <f>ROUND(IF($A1022="E",K1022*(1+Assumptions!I$15),K1022*(1+Assumptions!I$14)),-2)</f>
        <v>492000</v>
      </c>
      <c r="M1022" s="288">
        <f>ROUND(IF($A1022="E",L1022*(1+Assumptions!J$15),L1022*(1+Assumptions!J$14)),-2)</f>
        <v>504300</v>
      </c>
      <c r="N1022" s="288">
        <f>ROUND(IF($A1022="E",M1022*(1+Assumptions!K$15),M1022*(1+Assumptions!K$14)),-2)</f>
        <v>516900</v>
      </c>
    </row>
    <row r="1023" spans="2:14" x14ac:dyDescent="0.25">
      <c r="B1023" s="16" t="s">
        <v>43</v>
      </c>
      <c r="C1023" s="16" t="s">
        <v>1667</v>
      </c>
      <c r="D1023" s="16" t="s">
        <v>1668</v>
      </c>
      <c r="E1023" s="288">
        <v>248500</v>
      </c>
      <c r="F1023" s="288">
        <f>ROUND(IF($A1023="E",E1023*(1+Assumptions!C$15),E1023*(1+Assumptions!C$14)),-2)</f>
        <v>252200</v>
      </c>
      <c r="G1023" s="288">
        <f>ROUND(IF($A1023="E",F1023*(1+Assumptions!D$15),F1023*(1+Assumptions!D$14)),-2)</f>
        <v>257200</v>
      </c>
      <c r="H1023" s="288">
        <f>ROUND(IF($A1023="E",G1023*(1+Assumptions!E$15),G1023*(1+Assumptions!E$14)),-2)</f>
        <v>262300</v>
      </c>
      <c r="I1023" s="288">
        <f>ROUND(IF($A1023="E",H1023*(1+Assumptions!F$15),H1023*(1+Assumptions!F$14)),-2)</f>
        <v>267500</v>
      </c>
      <c r="J1023" s="288">
        <f>ROUND(IF($A1023="E",I1023*(1+Assumptions!G$15),I1023*(1+Assumptions!G$14)),-2)</f>
        <v>272900</v>
      </c>
      <c r="K1023" s="288">
        <f>ROUND(IF($A1023="E",J1023*(1+Assumptions!H$15),J1023*(1+Assumptions!H$14)),-2)</f>
        <v>278400</v>
      </c>
      <c r="L1023" s="288">
        <f>ROUND(IF($A1023="E",K1023*(1+Assumptions!I$15),K1023*(1+Assumptions!I$14)),-2)</f>
        <v>285400</v>
      </c>
      <c r="M1023" s="288">
        <f>ROUND(IF($A1023="E",L1023*(1+Assumptions!J$15),L1023*(1+Assumptions!J$14)),-2)</f>
        <v>292500</v>
      </c>
      <c r="N1023" s="288">
        <f>ROUND(IF($A1023="E",M1023*(1+Assumptions!K$15),M1023*(1+Assumptions!K$14)),-2)</f>
        <v>299800</v>
      </c>
    </row>
    <row r="1024" spans="2:14" x14ac:dyDescent="0.25">
      <c r="B1024" s="16" t="s">
        <v>43</v>
      </c>
      <c r="C1024" s="16" t="s">
        <v>1669</v>
      </c>
      <c r="D1024" s="16" t="s">
        <v>1670</v>
      </c>
      <c r="E1024" s="288">
        <v>159800</v>
      </c>
      <c r="F1024" s="288">
        <f>ROUND(IF($A1024="E",E1024*(1+Assumptions!C$15),E1024*(1+Assumptions!C$14)),-2)</f>
        <v>162200</v>
      </c>
      <c r="G1024" s="288">
        <f>ROUND(IF($A1024="E",F1024*(1+Assumptions!D$15),F1024*(1+Assumptions!D$14)),-2)</f>
        <v>165400</v>
      </c>
      <c r="H1024" s="288">
        <f>ROUND(IF($A1024="E",G1024*(1+Assumptions!E$15),G1024*(1+Assumptions!E$14)),-2)</f>
        <v>168700</v>
      </c>
      <c r="I1024" s="288">
        <f>ROUND(IF($A1024="E",H1024*(1+Assumptions!F$15),H1024*(1+Assumptions!F$14)),-2)</f>
        <v>172100</v>
      </c>
      <c r="J1024" s="288">
        <f>ROUND(IF($A1024="E",I1024*(1+Assumptions!G$15),I1024*(1+Assumptions!G$14)),-2)</f>
        <v>175500</v>
      </c>
      <c r="K1024" s="288">
        <f>ROUND(IF($A1024="E",J1024*(1+Assumptions!H$15),J1024*(1+Assumptions!H$14)),-2)</f>
        <v>179000</v>
      </c>
      <c r="L1024" s="288">
        <f>ROUND(IF($A1024="E",K1024*(1+Assumptions!I$15),K1024*(1+Assumptions!I$14)),-2)</f>
        <v>183500</v>
      </c>
      <c r="M1024" s="288">
        <f>ROUND(IF($A1024="E",L1024*(1+Assumptions!J$15),L1024*(1+Assumptions!J$14)),-2)</f>
        <v>188100</v>
      </c>
      <c r="N1024" s="288">
        <f>ROUND(IF($A1024="E",M1024*(1+Assumptions!K$15),M1024*(1+Assumptions!K$14)),-2)</f>
        <v>192800</v>
      </c>
    </row>
    <row r="1025" spans="2:14" x14ac:dyDescent="0.25">
      <c r="B1025" s="16" t="s">
        <v>43</v>
      </c>
      <c r="C1025" s="16" t="s">
        <v>1671</v>
      </c>
      <c r="D1025" s="16" t="s">
        <v>1672</v>
      </c>
      <c r="E1025" s="288">
        <v>67800</v>
      </c>
      <c r="F1025" s="288">
        <f>ROUND(IF($A1025="E",E1025*(1+Assumptions!C$15),E1025*(1+Assumptions!C$14)),-2)</f>
        <v>68800</v>
      </c>
      <c r="G1025" s="288">
        <f>ROUND(IF($A1025="E",F1025*(1+Assumptions!D$15),F1025*(1+Assumptions!D$14)),-2)</f>
        <v>70200</v>
      </c>
      <c r="H1025" s="288">
        <f>ROUND(IF($A1025="E",G1025*(1+Assumptions!E$15),G1025*(1+Assumptions!E$14)),-2)</f>
        <v>71600</v>
      </c>
      <c r="I1025" s="288">
        <f>ROUND(IF($A1025="E",H1025*(1+Assumptions!F$15),H1025*(1+Assumptions!F$14)),-2)</f>
        <v>73000</v>
      </c>
      <c r="J1025" s="288">
        <f>ROUND(IF($A1025="E",I1025*(1+Assumptions!G$15),I1025*(1+Assumptions!G$14)),-2)</f>
        <v>74500</v>
      </c>
      <c r="K1025" s="288">
        <f>ROUND(IF($A1025="E",J1025*(1+Assumptions!H$15),J1025*(1+Assumptions!H$14)),-2)</f>
        <v>76000</v>
      </c>
      <c r="L1025" s="288">
        <f>ROUND(IF($A1025="E",K1025*(1+Assumptions!I$15),K1025*(1+Assumptions!I$14)),-2)</f>
        <v>77900</v>
      </c>
      <c r="M1025" s="288">
        <f>ROUND(IF($A1025="E",L1025*(1+Assumptions!J$15),L1025*(1+Assumptions!J$14)),-2)</f>
        <v>79800</v>
      </c>
      <c r="N1025" s="288">
        <f>ROUND(IF($A1025="E",M1025*(1+Assumptions!K$15),M1025*(1+Assumptions!K$14)),-2)</f>
        <v>81800</v>
      </c>
    </row>
    <row r="1026" spans="2:14" x14ac:dyDescent="0.25">
      <c r="B1026" s="16" t="s">
        <v>43</v>
      </c>
      <c r="C1026" s="16" t="s">
        <v>1673</v>
      </c>
      <c r="D1026" s="16" t="s">
        <v>1674</v>
      </c>
      <c r="E1026" s="288">
        <v>112500</v>
      </c>
      <c r="F1026" s="288">
        <f>ROUND(IF($A1026="E",E1026*(1+Assumptions!C$15),E1026*(1+Assumptions!C$14)),-2)</f>
        <v>114200</v>
      </c>
      <c r="G1026" s="288">
        <f>ROUND(IF($A1026="E",F1026*(1+Assumptions!D$15),F1026*(1+Assumptions!D$14)),-2)</f>
        <v>116500</v>
      </c>
      <c r="H1026" s="288">
        <f>ROUND(IF($A1026="E",G1026*(1+Assumptions!E$15),G1026*(1+Assumptions!E$14)),-2)</f>
        <v>118800</v>
      </c>
      <c r="I1026" s="288">
        <f>ROUND(IF($A1026="E",H1026*(1+Assumptions!F$15),H1026*(1+Assumptions!F$14)),-2)</f>
        <v>121200</v>
      </c>
      <c r="J1026" s="288">
        <f>ROUND(IF($A1026="E",I1026*(1+Assumptions!G$15),I1026*(1+Assumptions!G$14)),-2)</f>
        <v>123600</v>
      </c>
      <c r="K1026" s="288">
        <f>ROUND(IF($A1026="E",J1026*(1+Assumptions!H$15),J1026*(1+Assumptions!H$14)),-2)</f>
        <v>126100</v>
      </c>
      <c r="L1026" s="288">
        <f>ROUND(IF($A1026="E",K1026*(1+Assumptions!I$15),K1026*(1+Assumptions!I$14)),-2)</f>
        <v>129300</v>
      </c>
      <c r="M1026" s="288">
        <f>ROUND(IF($A1026="E",L1026*(1+Assumptions!J$15),L1026*(1+Assumptions!J$14)),-2)</f>
        <v>132500</v>
      </c>
      <c r="N1026" s="288">
        <f>ROUND(IF($A1026="E",M1026*(1+Assumptions!K$15),M1026*(1+Assumptions!K$14)),-2)</f>
        <v>135800</v>
      </c>
    </row>
    <row r="1027" spans="2:14" x14ac:dyDescent="0.25">
      <c r="B1027" s="16" t="s">
        <v>43</v>
      </c>
      <c r="C1027" s="16" t="s">
        <v>1675</v>
      </c>
      <c r="D1027" s="16" t="s">
        <v>1676</v>
      </c>
      <c r="E1027" s="288">
        <v>62700</v>
      </c>
      <c r="F1027" s="288">
        <f>ROUND(IF($A1027="E",E1027*(1+Assumptions!C$15),E1027*(1+Assumptions!C$14)),-2)</f>
        <v>63600</v>
      </c>
      <c r="G1027" s="288">
        <f>ROUND(IF($A1027="E",F1027*(1+Assumptions!D$15),F1027*(1+Assumptions!D$14)),-2)</f>
        <v>64900</v>
      </c>
      <c r="H1027" s="288">
        <f>ROUND(IF($A1027="E",G1027*(1+Assumptions!E$15),G1027*(1+Assumptions!E$14)),-2)</f>
        <v>66200</v>
      </c>
      <c r="I1027" s="288">
        <f>ROUND(IF($A1027="E",H1027*(1+Assumptions!F$15),H1027*(1+Assumptions!F$14)),-2)</f>
        <v>67500</v>
      </c>
      <c r="J1027" s="288">
        <f>ROUND(IF($A1027="E",I1027*(1+Assumptions!G$15),I1027*(1+Assumptions!G$14)),-2)</f>
        <v>68900</v>
      </c>
      <c r="K1027" s="288">
        <f>ROUND(IF($A1027="E",J1027*(1+Assumptions!H$15),J1027*(1+Assumptions!H$14)),-2)</f>
        <v>70300</v>
      </c>
      <c r="L1027" s="288">
        <f>ROUND(IF($A1027="E",K1027*(1+Assumptions!I$15),K1027*(1+Assumptions!I$14)),-2)</f>
        <v>72100</v>
      </c>
      <c r="M1027" s="288">
        <f>ROUND(IF($A1027="E",L1027*(1+Assumptions!J$15),L1027*(1+Assumptions!J$14)),-2)</f>
        <v>73900</v>
      </c>
      <c r="N1027" s="288">
        <f>ROUND(IF($A1027="E",M1027*(1+Assumptions!K$15),M1027*(1+Assumptions!K$14)),-2)</f>
        <v>75700</v>
      </c>
    </row>
    <row r="1028" spans="2:14" x14ac:dyDescent="0.25">
      <c r="B1028" s="16" t="s">
        <v>43</v>
      </c>
      <c r="C1028" s="16" t="s">
        <v>1677</v>
      </c>
      <c r="D1028" s="16" t="s">
        <v>1678</v>
      </c>
      <c r="E1028" s="288">
        <v>5800</v>
      </c>
      <c r="F1028" s="288">
        <f>ROUND(IF($A1028="E",E1028*(1+Assumptions!C$15),E1028*(1+Assumptions!C$14)),-2)</f>
        <v>5900</v>
      </c>
      <c r="G1028" s="288">
        <f>ROUND(IF($A1028="E",F1028*(1+Assumptions!D$15),F1028*(1+Assumptions!D$14)),-2)</f>
        <v>6000</v>
      </c>
      <c r="H1028" s="288">
        <f>ROUND(IF($A1028="E",G1028*(1+Assumptions!E$15),G1028*(1+Assumptions!E$14)),-2)</f>
        <v>6100</v>
      </c>
      <c r="I1028" s="288">
        <f>ROUND(IF($A1028="E",H1028*(1+Assumptions!F$15),H1028*(1+Assumptions!F$14)),-2)</f>
        <v>6200</v>
      </c>
      <c r="J1028" s="288">
        <f>ROUND(IF($A1028="E",I1028*(1+Assumptions!G$15),I1028*(1+Assumptions!G$14)),-2)</f>
        <v>6300</v>
      </c>
      <c r="K1028" s="288">
        <f>ROUND(IF($A1028="E",J1028*(1+Assumptions!H$15),J1028*(1+Assumptions!H$14)),-2)</f>
        <v>6400</v>
      </c>
      <c r="L1028" s="288">
        <f>ROUND(IF($A1028="E",K1028*(1+Assumptions!I$15),K1028*(1+Assumptions!I$14)),-2)</f>
        <v>6600</v>
      </c>
      <c r="M1028" s="288">
        <f>ROUND(IF($A1028="E",L1028*(1+Assumptions!J$15),L1028*(1+Assumptions!J$14)),-2)</f>
        <v>6800</v>
      </c>
      <c r="N1028" s="288">
        <f>ROUND(IF($A1028="E",M1028*(1+Assumptions!K$15),M1028*(1+Assumptions!K$14)),-2)</f>
        <v>7000</v>
      </c>
    </row>
    <row r="1029" spans="2:14" x14ac:dyDescent="0.25">
      <c r="B1029" s="16" t="s">
        <v>43</v>
      </c>
      <c r="C1029" s="16" t="s">
        <v>1679</v>
      </c>
      <c r="D1029" s="16" t="s">
        <v>1680</v>
      </c>
      <c r="E1029" s="288">
        <v>7200</v>
      </c>
      <c r="F1029" s="288">
        <f>ROUND(IF($A1029="E",E1029*(1+Assumptions!C$15),E1029*(1+Assumptions!C$14)),-2)</f>
        <v>7300</v>
      </c>
      <c r="G1029" s="288">
        <f>ROUND(IF($A1029="E",F1029*(1+Assumptions!D$15),F1029*(1+Assumptions!D$14)),-2)</f>
        <v>7400</v>
      </c>
      <c r="H1029" s="288">
        <f>ROUND(IF($A1029="E",G1029*(1+Assumptions!E$15),G1029*(1+Assumptions!E$14)),-2)</f>
        <v>7500</v>
      </c>
      <c r="I1029" s="288">
        <f>ROUND(IF($A1029="E",H1029*(1+Assumptions!F$15),H1029*(1+Assumptions!F$14)),-2)</f>
        <v>7700</v>
      </c>
      <c r="J1029" s="288">
        <f>ROUND(IF($A1029="E",I1029*(1+Assumptions!G$15),I1029*(1+Assumptions!G$14)),-2)</f>
        <v>7900</v>
      </c>
      <c r="K1029" s="288">
        <f>ROUND(IF($A1029="E",J1029*(1+Assumptions!H$15),J1029*(1+Assumptions!H$14)),-2)</f>
        <v>8100</v>
      </c>
      <c r="L1029" s="288">
        <f>ROUND(IF($A1029="E",K1029*(1+Assumptions!I$15),K1029*(1+Assumptions!I$14)),-2)</f>
        <v>8300</v>
      </c>
      <c r="M1029" s="288">
        <f>ROUND(IF($A1029="E",L1029*(1+Assumptions!J$15),L1029*(1+Assumptions!J$14)),-2)</f>
        <v>8500</v>
      </c>
      <c r="N1029" s="288">
        <f>ROUND(IF($A1029="E",M1029*(1+Assumptions!K$15),M1029*(1+Assumptions!K$14)),-2)</f>
        <v>8700</v>
      </c>
    </row>
    <row r="1030" spans="2:14" x14ac:dyDescent="0.25">
      <c r="B1030" s="16" t="s">
        <v>43</v>
      </c>
      <c r="C1030" s="16" t="s">
        <v>1681</v>
      </c>
      <c r="D1030" s="16" t="s">
        <v>1682</v>
      </c>
      <c r="E1030" s="288">
        <v>22800</v>
      </c>
      <c r="F1030" s="288">
        <f>ROUND(IF($A1030="E",E1030*(1+Assumptions!C$15),E1030*(1+Assumptions!C$14)),-2)</f>
        <v>23100</v>
      </c>
      <c r="G1030" s="288">
        <f>ROUND(IF($A1030="E",F1030*(1+Assumptions!D$15),F1030*(1+Assumptions!D$14)),-2)</f>
        <v>23600</v>
      </c>
      <c r="H1030" s="288">
        <f>ROUND(IF($A1030="E",G1030*(1+Assumptions!E$15),G1030*(1+Assumptions!E$14)),-2)</f>
        <v>24100</v>
      </c>
      <c r="I1030" s="288">
        <f>ROUND(IF($A1030="E",H1030*(1+Assumptions!F$15),H1030*(1+Assumptions!F$14)),-2)</f>
        <v>24600</v>
      </c>
      <c r="J1030" s="288">
        <f>ROUND(IF($A1030="E",I1030*(1+Assumptions!G$15),I1030*(1+Assumptions!G$14)),-2)</f>
        <v>25100</v>
      </c>
      <c r="K1030" s="288">
        <f>ROUND(IF($A1030="E",J1030*(1+Assumptions!H$15),J1030*(1+Assumptions!H$14)),-2)</f>
        <v>25600</v>
      </c>
      <c r="L1030" s="288">
        <f>ROUND(IF($A1030="E",K1030*(1+Assumptions!I$15),K1030*(1+Assumptions!I$14)),-2)</f>
        <v>26200</v>
      </c>
      <c r="M1030" s="288">
        <f>ROUND(IF($A1030="E",L1030*(1+Assumptions!J$15),L1030*(1+Assumptions!J$14)),-2)</f>
        <v>26900</v>
      </c>
      <c r="N1030" s="288">
        <f>ROUND(IF($A1030="E",M1030*(1+Assumptions!K$15),M1030*(1+Assumptions!K$14)),-2)</f>
        <v>27600</v>
      </c>
    </row>
    <row r="1031" spans="2:14" x14ac:dyDescent="0.25">
      <c r="B1031" s="16" t="s">
        <v>43</v>
      </c>
      <c r="C1031" s="16" t="s">
        <v>1683</v>
      </c>
      <c r="D1031" s="16" t="s">
        <v>1684</v>
      </c>
      <c r="E1031" s="288">
        <v>129700</v>
      </c>
      <c r="F1031" s="288">
        <f>ROUND(IF($A1031="E",E1031*(1+Assumptions!C$15),E1031*(1+Assumptions!C$14)),-2)</f>
        <v>131600</v>
      </c>
      <c r="G1031" s="288">
        <f>ROUND(IF($A1031="E",F1031*(1+Assumptions!D$15),F1031*(1+Assumptions!D$14)),-2)</f>
        <v>134200</v>
      </c>
      <c r="H1031" s="288">
        <f>ROUND(IF($A1031="E",G1031*(1+Assumptions!E$15),G1031*(1+Assumptions!E$14)),-2)</f>
        <v>136900</v>
      </c>
      <c r="I1031" s="288">
        <f>ROUND(IF($A1031="E",H1031*(1+Assumptions!F$15),H1031*(1+Assumptions!F$14)),-2)</f>
        <v>139600</v>
      </c>
      <c r="J1031" s="288">
        <f>ROUND(IF($A1031="E",I1031*(1+Assumptions!G$15),I1031*(1+Assumptions!G$14)),-2)</f>
        <v>142400</v>
      </c>
      <c r="K1031" s="288">
        <f>ROUND(IF($A1031="E",J1031*(1+Assumptions!H$15),J1031*(1+Assumptions!H$14)),-2)</f>
        <v>145200</v>
      </c>
      <c r="L1031" s="288">
        <f>ROUND(IF($A1031="E",K1031*(1+Assumptions!I$15),K1031*(1+Assumptions!I$14)),-2)</f>
        <v>148800</v>
      </c>
      <c r="M1031" s="288">
        <f>ROUND(IF($A1031="E",L1031*(1+Assumptions!J$15),L1031*(1+Assumptions!J$14)),-2)</f>
        <v>152500</v>
      </c>
      <c r="N1031" s="288">
        <f>ROUND(IF($A1031="E",M1031*(1+Assumptions!K$15),M1031*(1+Assumptions!K$14)),-2)</f>
        <v>156300</v>
      </c>
    </row>
    <row r="1032" spans="2:14" x14ac:dyDescent="0.25">
      <c r="B1032" s="16" t="s">
        <v>43</v>
      </c>
      <c r="C1032" s="16" t="s">
        <v>1685</v>
      </c>
      <c r="D1032" s="16" t="s">
        <v>1686</v>
      </c>
      <c r="E1032" s="288">
        <v>89800</v>
      </c>
      <c r="F1032" s="288">
        <f>ROUND(IF($A1032="E",E1032*(1+Assumptions!C$15),E1032*(1+Assumptions!C$14)),-2)</f>
        <v>91100</v>
      </c>
      <c r="G1032" s="288">
        <f>ROUND(IF($A1032="E",F1032*(1+Assumptions!D$15),F1032*(1+Assumptions!D$14)),-2)</f>
        <v>92900</v>
      </c>
      <c r="H1032" s="288">
        <f>ROUND(IF($A1032="E",G1032*(1+Assumptions!E$15),G1032*(1+Assumptions!E$14)),-2)</f>
        <v>94800</v>
      </c>
      <c r="I1032" s="288">
        <f>ROUND(IF($A1032="E",H1032*(1+Assumptions!F$15),H1032*(1+Assumptions!F$14)),-2)</f>
        <v>96700</v>
      </c>
      <c r="J1032" s="288">
        <f>ROUND(IF($A1032="E",I1032*(1+Assumptions!G$15),I1032*(1+Assumptions!G$14)),-2)</f>
        <v>98600</v>
      </c>
      <c r="K1032" s="288">
        <f>ROUND(IF($A1032="E",J1032*(1+Assumptions!H$15),J1032*(1+Assumptions!H$14)),-2)</f>
        <v>100600</v>
      </c>
      <c r="L1032" s="288">
        <f>ROUND(IF($A1032="E",K1032*(1+Assumptions!I$15),K1032*(1+Assumptions!I$14)),-2)</f>
        <v>103100</v>
      </c>
      <c r="M1032" s="288">
        <f>ROUND(IF($A1032="E",L1032*(1+Assumptions!J$15),L1032*(1+Assumptions!J$14)),-2)</f>
        <v>105700</v>
      </c>
      <c r="N1032" s="288">
        <f>ROUND(IF($A1032="E",M1032*(1+Assumptions!K$15),M1032*(1+Assumptions!K$14)),-2)</f>
        <v>108300</v>
      </c>
    </row>
    <row r="1033" spans="2:14" x14ac:dyDescent="0.25">
      <c r="B1033" s="16" t="s">
        <v>43</v>
      </c>
      <c r="C1033" s="16" t="s">
        <v>1687</v>
      </c>
      <c r="D1033" s="16" t="s">
        <v>1688</v>
      </c>
      <c r="E1033" s="288">
        <v>12900</v>
      </c>
      <c r="F1033" s="288">
        <f>ROUND(IF($A1033="E",E1033*(1+Assumptions!C$15),E1033*(1+Assumptions!C$14)),-2)</f>
        <v>13100</v>
      </c>
      <c r="G1033" s="288">
        <f>ROUND(IF($A1033="E",F1033*(1+Assumptions!D$15),F1033*(1+Assumptions!D$14)),-2)</f>
        <v>13400</v>
      </c>
      <c r="H1033" s="288">
        <f>ROUND(IF($A1033="E",G1033*(1+Assumptions!E$15),G1033*(1+Assumptions!E$14)),-2)</f>
        <v>13700</v>
      </c>
      <c r="I1033" s="288">
        <f>ROUND(IF($A1033="E",H1033*(1+Assumptions!F$15),H1033*(1+Assumptions!F$14)),-2)</f>
        <v>14000</v>
      </c>
      <c r="J1033" s="288">
        <f>ROUND(IF($A1033="E",I1033*(1+Assumptions!G$15),I1033*(1+Assumptions!G$14)),-2)</f>
        <v>14300</v>
      </c>
      <c r="K1033" s="288">
        <f>ROUND(IF($A1033="E",J1033*(1+Assumptions!H$15),J1033*(1+Assumptions!H$14)),-2)</f>
        <v>14600</v>
      </c>
      <c r="L1033" s="288">
        <f>ROUND(IF($A1033="E",K1033*(1+Assumptions!I$15),K1033*(1+Assumptions!I$14)),-2)</f>
        <v>15000</v>
      </c>
      <c r="M1033" s="288">
        <f>ROUND(IF($A1033="E",L1033*(1+Assumptions!J$15),L1033*(1+Assumptions!J$14)),-2)</f>
        <v>15400</v>
      </c>
      <c r="N1033" s="288">
        <f>ROUND(IF($A1033="E",M1033*(1+Assumptions!K$15),M1033*(1+Assumptions!K$14)),-2)</f>
        <v>15800</v>
      </c>
    </row>
    <row r="1034" spans="2:14" x14ac:dyDescent="0.25">
      <c r="B1034" s="16" t="s">
        <v>43</v>
      </c>
      <c r="C1034" s="16" t="s">
        <v>1689</v>
      </c>
      <c r="D1034" s="16" t="s">
        <v>1690</v>
      </c>
      <c r="E1034" s="288">
        <v>108500</v>
      </c>
      <c r="F1034" s="288">
        <f>ROUND(IF($A1034="E",E1034*(1+Assumptions!C$15),E1034*(1+Assumptions!C$14)),-2)</f>
        <v>110100</v>
      </c>
      <c r="G1034" s="288">
        <f>ROUND(IF($A1034="E",F1034*(1+Assumptions!D$15),F1034*(1+Assumptions!D$14)),-2)</f>
        <v>112300</v>
      </c>
      <c r="H1034" s="288">
        <f>ROUND(IF($A1034="E",G1034*(1+Assumptions!E$15),G1034*(1+Assumptions!E$14)),-2)</f>
        <v>114500</v>
      </c>
      <c r="I1034" s="288">
        <f>ROUND(IF($A1034="E",H1034*(1+Assumptions!F$15),H1034*(1+Assumptions!F$14)),-2)</f>
        <v>116800</v>
      </c>
      <c r="J1034" s="288">
        <f>ROUND(IF($A1034="E",I1034*(1+Assumptions!G$15),I1034*(1+Assumptions!G$14)),-2)</f>
        <v>119100</v>
      </c>
      <c r="K1034" s="288">
        <f>ROUND(IF($A1034="E",J1034*(1+Assumptions!H$15),J1034*(1+Assumptions!H$14)),-2)</f>
        <v>121500</v>
      </c>
      <c r="L1034" s="288">
        <f>ROUND(IF($A1034="E",K1034*(1+Assumptions!I$15),K1034*(1+Assumptions!I$14)),-2)</f>
        <v>124500</v>
      </c>
      <c r="M1034" s="288">
        <f>ROUND(IF($A1034="E",L1034*(1+Assumptions!J$15),L1034*(1+Assumptions!J$14)),-2)</f>
        <v>127600</v>
      </c>
      <c r="N1034" s="288">
        <f>ROUND(IF($A1034="E",M1034*(1+Assumptions!K$15),M1034*(1+Assumptions!K$14)),-2)</f>
        <v>130800</v>
      </c>
    </row>
    <row r="1035" spans="2:14" x14ac:dyDescent="0.25">
      <c r="B1035" s="16" t="s">
        <v>43</v>
      </c>
      <c r="C1035" s="16" t="s">
        <v>1691</v>
      </c>
      <c r="D1035" s="16" t="s">
        <v>1692</v>
      </c>
      <c r="E1035" s="289"/>
      <c r="F1035" s="289"/>
      <c r="G1035" s="289"/>
      <c r="H1035" s="289"/>
      <c r="I1035" s="289"/>
      <c r="J1035" s="289"/>
      <c r="K1035" s="289"/>
      <c r="L1035" s="289"/>
      <c r="M1035" s="289"/>
      <c r="N1035" s="289"/>
    </row>
    <row r="1036" spans="2:14" x14ac:dyDescent="0.25">
      <c r="B1036" s="16" t="s">
        <v>43</v>
      </c>
      <c r="C1036" s="16" t="s">
        <v>1693</v>
      </c>
      <c r="D1036" s="16" t="s">
        <v>1694</v>
      </c>
      <c r="E1036" s="288">
        <v>4300</v>
      </c>
      <c r="F1036" s="288">
        <f>ROUND(IF($A1036="E",E1036*(1+Assumptions!C$15),E1036*(1+Assumptions!C$14)),-2)</f>
        <v>4400</v>
      </c>
      <c r="G1036" s="288">
        <f>ROUND(IF($A1036="E",F1036*(1+Assumptions!D$15),F1036*(1+Assumptions!D$14)),-2)</f>
        <v>4500</v>
      </c>
      <c r="H1036" s="288">
        <f>ROUND(IF($A1036="E",G1036*(1+Assumptions!E$15),G1036*(1+Assumptions!E$14)),-2)</f>
        <v>4600</v>
      </c>
      <c r="I1036" s="288">
        <f>ROUND(IF($A1036="E",H1036*(1+Assumptions!F$15),H1036*(1+Assumptions!F$14)),-2)</f>
        <v>4700</v>
      </c>
      <c r="J1036" s="288">
        <f>ROUND(IF($A1036="E",I1036*(1+Assumptions!G$15),I1036*(1+Assumptions!G$14)),-2)</f>
        <v>4800</v>
      </c>
      <c r="K1036" s="288">
        <f>ROUND(IF($A1036="E",J1036*(1+Assumptions!H$15),J1036*(1+Assumptions!H$14)),-2)</f>
        <v>4900</v>
      </c>
      <c r="L1036" s="288">
        <f>ROUND(IF($A1036="E",K1036*(1+Assumptions!I$15),K1036*(1+Assumptions!I$14)),-2)</f>
        <v>5000</v>
      </c>
      <c r="M1036" s="288">
        <f>ROUND(IF($A1036="E",L1036*(1+Assumptions!J$15),L1036*(1+Assumptions!J$14)),-2)</f>
        <v>5100</v>
      </c>
      <c r="N1036" s="288">
        <f>ROUND(IF($A1036="E",M1036*(1+Assumptions!K$15),M1036*(1+Assumptions!K$14)),-2)</f>
        <v>5200</v>
      </c>
    </row>
    <row r="1037" spans="2:14" x14ac:dyDescent="0.25">
      <c r="B1037" s="16" t="s">
        <v>43</v>
      </c>
      <c r="C1037" s="16" t="s">
        <v>1695</v>
      </c>
      <c r="D1037" s="16" t="s">
        <v>1696</v>
      </c>
      <c r="E1037" s="288">
        <v>98200</v>
      </c>
      <c r="F1037" s="288">
        <f>ROUND(IF($A1037="E",E1037*(1+Assumptions!C$15),E1037*(1+Assumptions!C$14)),-2)</f>
        <v>99700</v>
      </c>
      <c r="G1037" s="288">
        <f>ROUND(IF($A1037="E",F1037*(1+Assumptions!D$15),F1037*(1+Assumptions!D$14)),-2)</f>
        <v>101700</v>
      </c>
      <c r="H1037" s="288">
        <f>ROUND(IF($A1037="E",G1037*(1+Assumptions!E$15),G1037*(1+Assumptions!E$14)),-2)</f>
        <v>103700</v>
      </c>
      <c r="I1037" s="288">
        <f>ROUND(IF($A1037="E",H1037*(1+Assumptions!F$15),H1037*(1+Assumptions!F$14)),-2)</f>
        <v>105800</v>
      </c>
      <c r="J1037" s="288">
        <f>ROUND(IF($A1037="E",I1037*(1+Assumptions!G$15),I1037*(1+Assumptions!G$14)),-2)</f>
        <v>107900</v>
      </c>
      <c r="K1037" s="288">
        <f>ROUND(IF($A1037="E",J1037*(1+Assumptions!H$15),J1037*(1+Assumptions!H$14)),-2)</f>
        <v>110100</v>
      </c>
      <c r="L1037" s="288">
        <f>ROUND(IF($A1037="E",K1037*(1+Assumptions!I$15),K1037*(1+Assumptions!I$14)),-2)</f>
        <v>112900</v>
      </c>
      <c r="M1037" s="288">
        <f>ROUND(IF($A1037="E",L1037*(1+Assumptions!J$15),L1037*(1+Assumptions!J$14)),-2)</f>
        <v>115700</v>
      </c>
      <c r="N1037" s="288">
        <f>ROUND(IF($A1037="E",M1037*(1+Assumptions!K$15),M1037*(1+Assumptions!K$14)),-2)</f>
        <v>118600</v>
      </c>
    </row>
    <row r="1038" spans="2:14" x14ac:dyDescent="0.25">
      <c r="B1038" s="16" t="s">
        <v>43</v>
      </c>
      <c r="C1038" s="16" t="s">
        <v>1697</v>
      </c>
      <c r="D1038" s="16" t="s">
        <v>1698</v>
      </c>
      <c r="E1038" s="288">
        <v>21600</v>
      </c>
      <c r="F1038" s="288">
        <f>ROUND(IF($A1038="E",E1038*(1+Assumptions!C$15),E1038*(1+Assumptions!C$14)),-2)</f>
        <v>21900</v>
      </c>
      <c r="G1038" s="288">
        <f>ROUND(IF($A1038="E",F1038*(1+Assumptions!D$15),F1038*(1+Assumptions!D$14)),-2)</f>
        <v>22300</v>
      </c>
      <c r="H1038" s="288">
        <f>ROUND(IF($A1038="E",G1038*(1+Assumptions!E$15),G1038*(1+Assumptions!E$14)),-2)</f>
        <v>22700</v>
      </c>
      <c r="I1038" s="288">
        <f>ROUND(IF($A1038="E",H1038*(1+Assumptions!F$15),H1038*(1+Assumptions!F$14)),-2)</f>
        <v>23200</v>
      </c>
      <c r="J1038" s="288">
        <f>ROUND(IF($A1038="E",I1038*(1+Assumptions!G$15),I1038*(1+Assumptions!G$14)),-2)</f>
        <v>23700</v>
      </c>
      <c r="K1038" s="288">
        <f>ROUND(IF($A1038="E",J1038*(1+Assumptions!H$15),J1038*(1+Assumptions!H$14)),-2)</f>
        <v>24200</v>
      </c>
      <c r="L1038" s="288">
        <f>ROUND(IF($A1038="E",K1038*(1+Assumptions!I$15),K1038*(1+Assumptions!I$14)),-2)</f>
        <v>24800</v>
      </c>
      <c r="M1038" s="288">
        <f>ROUND(IF($A1038="E",L1038*(1+Assumptions!J$15),L1038*(1+Assumptions!J$14)),-2)</f>
        <v>25400</v>
      </c>
      <c r="N1038" s="288">
        <f>ROUND(IF($A1038="E",M1038*(1+Assumptions!K$15),M1038*(1+Assumptions!K$14)),-2)</f>
        <v>26000</v>
      </c>
    </row>
    <row r="1039" spans="2:14" x14ac:dyDescent="0.25">
      <c r="B1039" s="16" t="s">
        <v>43</v>
      </c>
      <c r="C1039" s="16" t="s">
        <v>1699</v>
      </c>
      <c r="D1039" s="16" t="s">
        <v>1700</v>
      </c>
      <c r="E1039" s="288">
        <v>9800</v>
      </c>
      <c r="F1039" s="288">
        <f>ROUND(IF($A1039="E",E1039*(1+Assumptions!C$15),E1039*(1+Assumptions!C$14)),-2)</f>
        <v>9900</v>
      </c>
      <c r="G1039" s="288">
        <f>ROUND(IF($A1039="E",F1039*(1+Assumptions!D$15),F1039*(1+Assumptions!D$14)),-2)</f>
        <v>10100</v>
      </c>
      <c r="H1039" s="288">
        <f>ROUND(IF($A1039="E",G1039*(1+Assumptions!E$15),G1039*(1+Assumptions!E$14)),-2)</f>
        <v>10300</v>
      </c>
      <c r="I1039" s="288">
        <f>ROUND(IF($A1039="E",H1039*(1+Assumptions!F$15),H1039*(1+Assumptions!F$14)),-2)</f>
        <v>10500</v>
      </c>
      <c r="J1039" s="288">
        <f>ROUND(IF($A1039="E",I1039*(1+Assumptions!G$15),I1039*(1+Assumptions!G$14)),-2)</f>
        <v>10700</v>
      </c>
      <c r="K1039" s="288">
        <f>ROUND(IF($A1039="E",J1039*(1+Assumptions!H$15),J1039*(1+Assumptions!H$14)),-2)</f>
        <v>10900</v>
      </c>
      <c r="L1039" s="288">
        <f>ROUND(IF($A1039="E",K1039*(1+Assumptions!I$15),K1039*(1+Assumptions!I$14)),-2)</f>
        <v>11200</v>
      </c>
      <c r="M1039" s="288">
        <f>ROUND(IF($A1039="E",L1039*(1+Assumptions!J$15),L1039*(1+Assumptions!J$14)),-2)</f>
        <v>11500</v>
      </c>
      <c r="N1039" s="288">
        <f>ROUND(IF($A1039="E",M1039*(1+Assumptions!K$15),M1039*(1+Assumptions!K$14)),-2)</f>
        <v>11800</v>
      </c>
    </row>
    <row r="1040" spans="2:14" x14ac:dyDescent="0.25">
      <c r="B1040" s="16" t="s">
        <v>43</v>
      </c>
      <c r="C1040" s="16" t="s">
        <v>1701</v>
      </c>
      <c r="D1040" s="16" t="s">
        <v>1702</v>
      </c>
      <c r="E1040" s="288">
        <v>78300</v>
      </c>
      <c r="F1040" s="288">
        <f>ROUND(IF($A1040="E",E1040*(1+Assumptions!C$15),E1040*(1+Assumptions!C$14)),-2)</f>
        <v>79500</v>
      </c>
      <c r="G1040" s="288">
        <f>ROUND(IF($A1040="E",F1040*(1+Assumptions!D$15),F1040*(1+Assumptions!D$14)),-2)</f>
        <v>81100</v>
      </c>
      <c r="H1040" s="288">
        <f>ROUND(IF($A1040="E",G1040*(1+Assumptions!E$15),G1040*(1+Assumptions!E$14)),-2)</f>
        <v>82700</v>
      </c>
      <c r="I1040" s="288">
        <f>ROUND(IF($A1040="E",H1040*(1+Assumptions!F$15),H1040*(1+Assumptions!F$14)),-2)</f>
        <v>84400</v>
      </c>
      <c r="J1040" s="288">
        <f>ROUND(IF($A1040="E",I1040*(1+Assumptions!G$15),I1040*(1+Assumptions!G$14)),-2)</f>
        <v>86100</v>
      </c>
      <c r="K1040" s="288">
        <f>ROUND(IF($A1040="E",J1040*(1+Assumptions!H$15),J1040*(1+Assumptions!H$14)),-2)</f>
        <v>87800</v>
      </c>
      <c r="L1040" s="288">
        <f>ROUND(IF($A1040="E",K1040*(1+Assumptions!I$15),K1040*(1+Assumptions!I$14)),-2)</f>
        <v>90000</v>
      </c>
      <c r="M1040" s="288">
        <f>ROUND(IF($A1040="E",L1040*(1+Assumptions!J$15),L1040*(1+Assumptions!J$14)),-2)</f>
        <v>92300</v>
      </c>
      <c r="N1040" s="288">
        <f>ROUND(IF($A1040="E",M1040*(1+Assumptions!K$15),M1040*(1+Assumptions!K$14)),-2)</f>
        <v>94600</v>
      </c>
    </row>
    <row r="1041" spans="2:14" x14ac:dyDescent="0.25">
      <c r="B1041" s="16" t="s">
        <v>43</v>
      </c>
      <c r="C1041" s="16" t="s">
        <v>1703</v>
      </c>
      <c r="D1041" s="16" t="s">
        <v>1704</v>
      </c>
      <c r="E1041" s="289"/>
      <c r="F1041" s="289"/>
      <c r="G1041" s="289"/>
      <c r="H1041" s="289"/>
      <c r="I1041" s="289"/>
      <c r="J1041" s="289"/>
      <c r="K1041" s="289"/>
      <c r="L1041" s="289"/>
      <c r="M1041" s="289"/>
      <c r="N1041" s="289"/>
    </row>
    <row r="1042" spans="2:14" x14ac:dyDescent="0.25">
      <c r="B1042" s="16" t="s">
        <v>43</v>
      </c>
      <c r="C1042" s="16" t="s">
        <v>1705</v>
      </c>
      <c r="D1042" s="16" t="s">
        <v>1706</v>
      </c>
      <c r="E1042" s="288">
        <v>3500</v>
      </c>
      <c r="F1042" s="288">
        <f>ROUND(IF($A1042="E",E1042*(1+Assumptions!C$15),E1042*(1+Assumptions!C$14)),-2)</f>
        <v>3600</v>
      </c>
      <c r="G1042" s="288">
        <f>ROUND(IF($A1042="E",F1042*(1+Assumptions!D$15),F1042*(1+Assumptions!D$14)),-2)</f>
        <v>3700</v>
      </c>
      <c r="H1042" s="288">
        <f>ROUND(IF($A1042="E",G1042*(1+Assumptions!E$15),G1042*(1+Assumptions!E$14)),-2)</f>
        <v>3800</v>
      </c>
      <c r="I1042" s="288">
        <f>ROUND(IF($A1042="E",H1042*(1+Assumptions!F$15),H1042*(1+Assumptions!F$14)),-2)</f>
        <v>3900</v>
      </c>
      <c r="J1042" s="288">
        <f>ROUND(IF($A1042="E",I1042*(1+Assumptions!G$15),I1042*(1+Assumptions!G$14)),-2)</f>
        <v>4000</v>
      </c>
      <c r="K1042" s="288">
        <f>ROUND(IF($A1042="E",J1042*(1+Assumptions!H$15),J1042*(1+Assumptions!H$14)),-2)</f>
        <v>4100</v>
      </c>
      <c r="L1042" s="288">
        <f>ROUND(IF($A1042="E",K1042*(1+Assumptions!I$15),K1042*(1+Assumptions!I$14)),-2)</f>
        <v>4200</v>
      </c>
      <c r="M1042" s="288">
        <f>ROUND(IF($A1042="E",L1042*(1+Assumptions!J$15),L1042*(1+Assumptions!J$14)),-2)</f>
        <v>4300</v>
      </c>
      <c r="N1042" s="288">
        <f>ROUND(IF($A1042="E",M1042*(1+Assumptions!K$15),M1042*(1+Assumptions!K$14)),-2)</f>
        <v>4400</v>
      </c>
    </row>
    <row r="1043" spans="2:14" x14ac:dyDescent="0.25">
      <c r="B1043" s="16" t="s">
        <v>43</v>
      </c>
      <c r="C1043" s="16" t="s">
        <v>1707</v>
      </c>
      <c r="D1043" s="16" t="s">
        <v>1708</v>
      </c>
      <c r="E1043" s="289"/>
      <c r="F1043" s="289"/>
      <c r="G1043" s="289"/>
      <c r="H1043" s="289"/>
      <c r="I1043" s="289"/>
      <c r="J1043" s="289"/>
      <c r="K1043" s="289"/>
      <c r="L1043" s="289"/>
      <c r="M1043" s="289"/>
      <c r="N1043" s="289"/>
    </row>
    <row r="1044" spans="2:14" x14ac:dyDescent="0.25">
      <c r="B1044" s="16" t="s">
        <v>43</v>
      </c>
      <c r="C1044" s="16" t="s">
        <v>1709</v>
      </c>
      <c r="D1044" s="16" t="s">
        <v>1710</v>
      </c>
      <c r="E1044" s="288">
        <v>39500</v>
      </c>
      <c r="F1044" s="288">
        <f>ROUND(IF($A1044="E",E1044*(1+Assumptions!C$15),E1044*(1+Assumptions!C$14)),-2)</f>
        <v>40100</v>
      </c>
      <c r="G1044" s="288">
        <f>ROUND(IF($A1044="E",F1044*(1+Assumptions!D$15),F1044*(1+Assumptions!D$14)),-2)</f>
        <v>40900</v>
      </c>
      <c r="H1044" s="288">
        <f>ROUND(IF($A1044="E",G1044*(1+Assumptions!E$15),G1044*(1+Assumptions!E$14)),-2)</f>
        <v>41700</v>
      </c>
      <c r="I1044" s="288">
        <f>ROUND(IF($A1044="E",H1044*(1+Assumptions!F$15),H1044*(1+Assumptions!F$14)),-2)</f>
        <v>42500</v>
      </c>
      <c r="J1044" s="288">
        <f>ROUND(IF($A1044="E",I1044*(1+Assumptions!G$15),I1044*(1+Assumptions!G$14)),-2)</f>
        <v>43400</v>
      </c>
      <c r="K1044" s="288">
        <f>ROUND(IF($A1044="E",J1044*(1+Assumptions!H$15),J1044*(1+Assumptions!H$14)),-2)</f>
        <v>44300</v>
      </c>
      <c r="L1044" s="288">
        <f>ROUND(IF($A1044="E",K1044*(1+Assumptions!I$15),K1044*(1+Assumptions!I$14)),-2)</f>
        <v>45400</v>
      </c>
      <c r="M1044" s="288">
        <f>ROUND(IF($A1044="E",L1044*(1+Assumptions!J$15),L1044*(1+Assumptions!J$14)),-2)</f>
        <v>46500</v>
      </c>
      <c r="N1044" s="288">
        <f>ROUND(IF($A1044="E",M1044*(1+Assumptions!K$15),M1044*(1+Assumptions!K$14)),-2)</f>
        <v>47700</v>
      </c>
    </row>
    <row r="1045" spans="2:14" x14ac:dyDescent="0.25">
      <c r="B1045" s="16" t="s">
        <v>43</v>
      </c>
      <c r="C1045" s="16" t="s">
        <v>1711</v>
      </c>
      <c r="D1045" s="16" t="s">
        <v>1712</v>
      </c>
      <c r="E1045" s="288">
        <v>42700</v>
      </c>
      <c r="F1045" s="288">
        <f>ROUND(IF($A1045="E",E1045*(1+Assumptions!C$15),E1045*(1+Assumptions!C$14)),-2)</f>
        <v>43300</v>
      </c>
      <c r="G1045" s="288">
        <f>ROUND(IF($A1045="E",F1045*(1+Assumptions!D$15),F1045*(1+Assumptions!D$14)),-2)</f>
        <v>44200</v>
      </c>
      <c r="H1045" s="288">
        <f>ROUND(IF($A1045="E",G1045*(1+Assumptions!E$15),G1045*(1+Assumptions!E$14)),-2)</f>
        <v>45100</v>
      </c>
      <c r="I1045" s="288">
        <f>ROUND(IF($A1045="E",H1045*(1+Assumptions!F$15),H1045*(1+Assumptions!F$14)),-2)</f>
        <v>46000</v>
      </c>
      <c r="J1045" s="288">
        <f>ROUND(IF($A1045="E",I1045*(1+Assumptions!G$15),I1045*(1+Assumptions!G$14)),-2)</f>
        <v>46900</v>
      </c>
      <c r="K1045" s="288">
        <f>ROUND(IF($A1045="E",J1045*(1+Assumptions!H$15),J1045*(1+Assumptions!H$14)),-2)</f>
        <v>47800</v>
      </c>
      <c r="L1045" s="288">
        <f>ROUND(IF($A1045="E",K1045*(1+Assumptions!I$15),K1045*(1+Assumptions!I$14)),-2)</f>
        <v>49000</v>
      </c>
      <c r="M1045" s="288">
        <f>ROUND(IF($A1045="E",L1045*(1+Assumptions!J$15),L1045*(1+Assumptions!J$14)),-2)</f>
        <v>50200</v>
      </c>
      <c r="N1045" s="288">
        <f>ROUND(IF($A1045="E",M1045*(1+Assumptions!K$15),M1045*(1+Assumptions!K$14)),-2)</f>
        <v>51500</v>
      </c>
    </row>
    <row r="1046" spans="2:14" x14ac:dyDescent="0.25">
      <c r="B1046" s="16" t="s">
        <v>43</v>
      </c>
      <c r="C1046" s="16" t="s">
        <v>1713</v>
      </c>
      <c r="D1046" s="16" t="s">
        <v>1714</v>
      </c>
      <c r="E1046" s="289"/>
      <c r="F1046" s="289"/>
      <c r="G1046" s="289"/>
      <c r="H1046" s="289"/>
      <c r="I1046" s="289"/>
      <c r="J1046" s="289"/>
      <c r="K1046" s="289"/>
      <c r="L1046" s="289"/>
      <c r="M1046" s="289"/>
      <c r="N1046" s="289"/>
    </row>
    <row r="1047" spans="2:14" x14ac:dyDescent="0.25">
      <c r="B1047" s="16" t="s">
        <v>43</v>
      </c>
      <c r="C1047" s="16" t="s">
        <v>1715</v>
      </c>
      <c r="D1047" s="16" t="s">
        <v>1716</v>
      </c>
      <c r="E1047" s="288">
        <v>13300</v>
      </c>
      <c r="F1047" s="288">
        <f>ROUND(IF($A1047="E",E1047*(1+Assumptions!C$15),E1047*(1+Assumptions!C$14)),-2)</f>
        <v>13500</v>
      </c>
      <c r="G1047" s="288">
        <f>ROUND(IF($A1047="E",F1047*(1+Assumptions!D$15),F1047*(1+Assumptions!D$14)),-2)</f>
        <v>13800</v>
      </c>
      <c r="H1047" s="288">
        <f>ROUND(IF($A1047="E",G1047*(1+Assumptions!E$15),G1047*(1+Assumptions!E$14)),-2)</f>
        <v>14100</v>
      </c>
      <c r="I1047" s="288">
        <f>ROUND(IF($A1047="E",H1047*(1+Assumptions!F$15),H1047*(1+Assumptions!F$14)),-2)</f>
        <v>14400</v>
      </c>
      <c r="J1047" s="288">
        <f>ROUND(IF($A1047="E",I1047*(1+Assumptions!G$15),I1047*(1+Assumptions!G$14)),-2)</f>
        <v>14700</v>
      </c>
      <c r="K1047" s="288">
        <f>ROUND(IF($A1047="E",J1047*(1+Assumptions!H$15),J1047*(1+Assumptions!H$14)),-2)</f>
        <v>15000</v>
      </c>
      <c r="L1047" s="288">
        <f>ROUND(IF($A1047="E",K1047*(1+Assumptions!I$15),K1047*(1+Assumptions!I$14)),-2)</f>
        <v>15400</v>
      </c>
      <c r="M1047" s="288">
        <f>ROUND(IF($A1047="E",L1047*(1+Assumptions!J$15),L1047*(1+Assumptions!J$14)),-2)</f>
        <v>15800</v>
      </c>
      <c r="N1047" s="288">
        <f>ROUND(IF($A1047="E",M1047*(1+Assumptions!K$15),M1047*(1+Assumptions!K$14)),-2)</f>
        <v>16200</v>
      </c>
    </row>
    <row r="1048" spans="2:14" x14ac:dyDescent="0.25">
      <c r="B1048" s="16" t="s">
        <v>43</v>
      </c>
      <c r="C1048" s="16" t="s">
        <v>1717</v>
      </c>
      <c r="D1048" s="16" t="s">
        <v>1718</v>
      </c>
      <c r="E1048" s="288">
        <v>9300</v>
      </c>
      <c r="F1048" s="288">
        <f>ROUND(IF($A1048="E",E1048*(1+Assumptions!C$15),E1048*(1+Assumptions!C$14)),-2)</f>
        <v>9400</v>
      </c>
      <c r="G1048" s="288">
        <f>ROUND(IF($A1048="E",F1048*(1+Assumptions!D$15),F1048*(1+Assumptions!D$14)),-2)</f>
        <v>9600</v>
      </c>
      <c r="H1048" s="288">
        <f>ROUND(IF($A1048="E",G1048*(1+Assumptions!E$15),G1048*(1+Assumptions!E$14)),-2)</f>
        <v>9800</v>
      </c>
      <c r="I1048" s="288">
        <f>ROUND(IF($A1048="E",H1048*(1+Assumptions!F$15),H1048*(1+Assumptions!F$14)),-2)</f>
        <v>10000</v>
      </c>
      <c r="J1048" s="288">
        <f>ROUND(IF($A1048="E",I1048*(1+Assumptions!G$15),I1048*(1+Assumptions!G$14)),-2)</f>
        <v>10200</v>
      </c>
      <c r="K1048" s="288">
        <f>ROUND(IF($A1048="E",J1048*(1+Assumptions!H$15),J1048*(1+Assumptions!H$14)),-2)</f>
        <v>10400</v>
      </c>
      <c r="L1048" s="288">
        <f>ROUND(IF($A1048="E",K1048*(1+Assumptions!I$15),K1048*(1+Assumptions!I$14)),-2)</f>
        <v>10700</v>
      </c>
      <c r="M1048" s="288">
        <f>ROUND(IF($A1048="E",L1048*(1+Assumptions!J$15),L1048*(1+Assumptions!J$14)),-2)</f>
        <v>11000</v>
      </c>
      <c r="N1048" s="288">
        <f>ROUND(IF($A1048="E",M1048*(1+Assumptions!K$15),M1048*(1+Assumptions!K$14)),-2)</f>
        <v>11300</v>
      </c>
    </row>
    <row r="1049" spans="2:14" x14ac:dyDescent="0.25">
      <c r="B1049" s="16" t="s">
        <v>43</v>
      </c>
      <c r="C1049" s="16" t="s">
        <v>1719</v>
      </c>
      <c r="D1049" s="16" t="s">
        <v>1720</v>
      </c>
      <c r="E1049" s="289"/>
      <c r="F1049" s="289"/>
      <c r="G1049" s="289"/>
      <c r="H1049" s="289"/>
      <c r="I1049" s="289"/>
      <c r="J1049" s="289"/>
      <c r="K1049" s="289"/>
      <c r="L1049" s="289"/>
      <c r="M1049" s="289"/>
      <c r="N1049" s="289"/>
    </row>
    <row r="1050" spans="2:14" x14ac:dyDescent="0.25">
      <c r="B1050" s="16" t="s">
        <v>43</v>
      </c>
      <c r="C1050" s="16" t="s">
        <v>1721</v>
      </c>
      <c r="D1050" s="16" t="s">
        <v>1722</v>
      </c>
      <c r="E1050" s="288">
        <v>12200</v>
      </c>
      <c r="F1050" s="288">
        <f>ROUND(IF($A1050="E",E1050*(1+Assumptions!C$15),E1050*(1+Assumptions!C$14)),-2)</f>
        <v>12400</v>
      </c>
      <c r="G1050" s="288">
        <f>ROUND(IF($A1050="E",F1050*(1+Assumptions!D$15),F1050*(1+Assumptions!D$14)),-2)</f>
        <v>12600</v>
      </c>
      <c r="H1050" s="288">
        <f>ROUND(IF($A1050="E",G1050*(1+Assumptions!E$15),G1050*(1+Assumptions!E$14)),-2)</f>
        <v>12900</v>
      </c>
      <c r="I1050" s="288">
        <f>ROUND(IF($A1050="E",H1050*(1+Assumptions!F$15),H1050*(1+Assumptions!F$14)),-2)</f>
        <v>13200</v>
      </c>
      <c r="J1050" s="288">
        <f>ROUND(IF($A1050="E",I1050*(1+Assumptions!G$15),I1050*(1+Assumptions!G$14)),-2)</f>
        <v>13500</v>
      </c>
      <c r="K1050" s="288">
        <f>ROUND(IF($A1050="E",J1050*(1+Assumptions!H$15),J1050*(1+Assumptions!H$14)),-2)</f>
        <v>13800</v>
      </c>
      <c r="L1050" s="288">
        <f>ROUND(IF($A1050="E",K1050*(1+Assumptions!I$15),K1050*(1+Assumptions!I$14)),-2)</f>
        <v>14100</v>
      </c>
      <c r="M1050" s="288">
        <f>ROUND(IF($A1050="E",L1050*(1+Assumptions!J$15),L1050*(1+Assumptions!J$14)),-2)</f>
        <v>14500</v>
      </c>
      <c r="N1050" s="288">
        <f>ROUND(IF($A1050="E",M1050*(1+Assumptions!K$15),M1050*(1+Assumptions!K$14)),-2)</f>
        <v>14900</v>
      </c>
    </row>
    <row r="1051" spans="2:14" x14ac:dyDescent="0.25">
      <c r="B1051" s="16" t="s">
        <v>43</v>
      </c>
      <c r="C1051" s="16" t="s">
        <v>1723</v>
      </c>
      <c r="D1051" s="16" t="s">
        <v>1724</v>
      </c>
      <c r="E1051" s="289"/>
      <c r="F1051" s="289"/>
      <c r="G1051" s="289"/>
      <c r="H1051" s="289"/>
      <c r="I1051" s="289"/>
      <c r="J1051" s="289"/>
      <c r="K1051" s="289"/>
      <c r="L1051" s="289"/>
      <c r="M1051" s="289"/>
      <c r="N1051" s="289"/>
    </row>
    <row r="1052" spans="2:14" x14ac:dyDescent="0.25">
      <c r="B1052" s="16" t="s">
        <v>43</v>
      </c>
      <c r="C1052" s="16" t="s">
        <v>1725</v>
      </c>
      <c r="D1052" s="16" t="s">
        <v>1726</v>
      </c>
      <c r="E1052" s="288">
        <v>37600</v>
      </c>
      <c r="F1052" s="288">
        <f>ROUND(IF($A1052="E",E1052*(1+Assumptions!C$15),E1052*(1+Assumptions!C$14)),-2)</f>
        <v>38200</v>
      </c>
      <c r="G1052" s="288">
        <f>ROUND(IF($A1052="E",F1052*(1+Assumptions!D$15),F1052*(1+Assumptions!D$14)),-2)</f>
        <v>39000</v>
      </c>
      <c r="H1052" s="288">
        <f>ROUND(IF($A1052="E",G1052*(1+Assumptions!E$15),G1052*(1+Assumptions!E$14)),-2)</f>
        <v>39800</v>
      </c>
      <c r="I1052" s="288">
        <f>ROUND(IF($A1052="E",H1052*(1+Assumptions!F$15),H1052*(1+Assumptions!F$14)),-2)</f>
        <v>40600</v>
      </c>
      <c r="J1052" s="288">
        <f>ROUND(IF($A1052="E",I1052*(1+Assumptions!G$15),I1052*(1+Assumptions!G$14)),-2)</f>
        <v>41400</v>
      </c>
      <c r="K1052" s="288">
        <f>ROUND(IF($A1052="E",J1052*(1+Assumptions!H$15),J1052*(1+Assumptions!H$14)),-2)</f>
        <v>42200</v>
      </c>
      <c r="L1052" s="288">
        <f>ROUND(IF($A1052="E",K1052*(1+Assumptions!I$15),K1052*(1+Assumptions!I$14)),-2)</f>
        <v>43300</v>
      </c>
      <c r="M1052" s="288">
        <f>ROUND(IF($A1052="E",L1052*(1+Assumptions!J$15),L1052*(1+Assumptions!J$14)),-2)</f>
        <v>44400</v>
      </c>
      <c r="N1052" s="288">
        <f>ROUND(IF($A1052="E",M1052*(1+Assumptions!K$15),M1052*(1+Assumptions!K$14)),-2)</f>
        <v>45500</v>
      </c>
    </row>
    <row r="1053" spans="2:14" x14ac:dyDescent="0.25">
      <c r="B1053" s="16" t="s">
        <v>43</v>
      </c>
      <c r="C1053" s="16" t="s">
        <v>1727</v>
      </c>
      <c r="D1053" s="16" t="s">
        <v>1728</v>
      </c>
      <c r="E1053" s="288">
        <v>56600</v>
      </c>
      <c r="F1053" s="288">
        <f>ROUND(IF($A1053="E",E1053*(1+Assumptions!C$15),E1053*(1+Assumptions!C$14)),-2)</f>
        <v>57400</v>
      </c>
      <c r="G1053" s="288">
        <f>ROUND(IF($A1053="E",F1053*(1+Assumptions!D$15),F1053*(1+Assumptions!D$14)),-2)</f>
        <v>58500</v>
      </c>
      <c r="H1053" s="288">
        <f>ROUND(IF($A1053="E",G1053*(1+Assumptions!E$15),G1053*(1+Assumptions!E$14)),-2)</f>
        <v>59700</v>
      </c>
      <c r="I1053" s="288">
        <f>ROUND(IF($A1053="E",H1053*(1+Assumptions!F$15),H1053*(1+Assumptions!F$14)),-2)</f>
        <v>60900</v>
      </c>
      <c r="J1053" s="288">
        <f>ROUND(IF($A1053="E",I1053*(1+Assumptions!G$15),I1053*(1+Assumptions!G$14)),-2)</f>
        <v>62100</v>
      </c>
      <c r="K1053" s="288">
        <f>ROUND(IF($A1053="E",J1053*(1+Assumptions!H$15),J1053*(1+Assumptions!H$14)),-2)</f>
        <v>63300</v>
      </c>
      <c r="L1053" s="288">
        <f>ROUND(IF($A1053="E",K1053*(1+Assumptions!I$15),K1053*(1+Assumptions!I$14)),-2)</f>
        <v>64900</v>
      </c>
      <c r="M1053" s="288">
        <f>ROUND(IF($A1053="E",L1053*(1+Assumptions!J$15),L1053*(1+Assumptions!J$14)),-2)</f>
        <v>66500</v>
      </c>
      <c r="N1053" s="288">
        <f>ROUND(IF($A1053="E",M1053*(1+Assumptions!K$15),M1053*(1+Assumptions!K$14)),-2)</f>
        <v>68200</v>
      </c>
    </row>
    <row r="1054" spans="2:14" x14ac:dyDescent="0.25">
      <c r="B1054" s="16" t="s">
        <v>43</v>
      </c>
      <c r="C1054" s="16" t="s">
        <v>1729</v>
      </c>
      <c r="D1054" s="16" t="s">
        <v>1730</v>
      </c>
      <c r="E1054" s="289"/>
      <c r="F1054" s="289"/>
      <c r="G1054" s="289"/>
      <c r="H1054" s="289"/>
      <c r="I1054" s="289"/>
      <c r="J1054" s="289"/>
      <c r="K1054" s="289"/>
      <c r="L1054" s="289"/>
      <c r="M1054" s="289"/>
      <c r="N1054" s="289"/>
    </row>
    <row r="1055" spans="2:14" x14ac:dyDescent="0.25">
      <c r="B1055" s="16" t="s">
        <v>43</v>
      </c>
      <c r="C1055" s="16" t="s">
        <v>1731</v>
      </c>
      <c r="D1055" s="16" t="s">
        <v>1732</v>
      </c>
      <c r="E1055" s="288">
        <v>15300</v>
      </c>
      <c r="F1055" s="288">
        <f>ROUND(IF($A1055="E",E1055*(1+Assumptions!C$15),E1055*(1+Assumptions!C$14)),-2)</f>
        <v>15500</v>
      </c>
      <c r="G1055" s="288">
        <f>ROUND(IF($A1055="E",F1055*(1+Assumptions!D$15),F1055*(1+Assumptions!D$14)),-2)</f>
        <v>15800</v>
      </c>
      <c r="H1055" s="288">
        <f>ROUND(IF($A1055="E",G1055*(1+Assumptions!E$15),G1055*(1+Assumptions!E$14)),-2)</f>
        <v>16100</v>
      </c>
      <c r="I1055" s="288">
        <f>ROUND(IF($A1055="E",H1055*(1+Assumptions!F$15),H1055*(1+Assumptions!F$14)),-2)</f>
        <v>16400</v>
      </c>
      <c r="J1055" s="288">
        <f>ROUND(IF($A1055="E",I1055*(1+Assumptions!G$15),I1055*(1+Assumptions!G$14)),-2)</f>
        <v>16700</v>
      </c>
      <c r="K1055" s="288">
        <f>ROUND(IF($A1055="E",J1055*(1+Assumptions!H$15),J1055*(1+Assumptions!H$14)),-2)</f>
        <v>17000</v>
      </c>
      <c r="L1055" s="288">
        <f>ROUND(IF($A1055="E",K1055*(1+Assumptions!I$15),K1055*(1+Assumptions!I$14)),-2)</f>
        <v>17400</v>
      </c>
      <c r="M1055" s="288">
        <f>ROUND(IF($A1055="E",L1055*(1+Assumptions!J$15),L1055*(1+Assumptions!J$14)),-2)</f>
        <v>17800</v>
      </c>
      <c r="N1055" s="288">
        <f>ROUND(IF($A1055="E",M1055*(1+Assumptions!K$15),M1055*(1+Assumptions!K$14)),-2)</f>
        <v>18200</v>
      </c>
    </row>
    <row r="1056" spans="2:14" x14ac:dyDescent="0.25">
      <c r="B1056" s="16" t="s">
        <v>43</v>
      </c>
      <c r="C1056" s="16" t="s">
        <v>1733</v>
      </c>
      <c r="D1056" s="16" t="s">
        <v>1734</v>
      </c>
      <c r="E1056" s="288">
        <v>8300</v>
      </c>
      <c r="F1056" s="288">
        <f>ROUND(IF($A1056="E",E1056*(1+Assumptions!C$15),E1056*(1+Assumptions!C$14)),-2)</f>
        <v>8400</v>
      </c>
      <c r="G1056" s="288">
        <f>ROUND(IF($A1056="E",F1056*(1+Assumptions!D$15),F1056*(1+Assumptions!D$14)),-2)</f>
        <v>8600</v>
      </c>
      <c r="H1056" s="288">
        <f>ROUND(IF($A1056="E",G1056*(1+Assumptions!E$15),G1056*(1+Assumptions!E$14)),-2)</f>
        <v>8800</v>
      </c>
      <c r="I1056" s="288">
        <f>ROUND(IF($A1056="E",H1056*(1+Assumptions!F$15),H1056*(1+Assumptions!F$14)),-2)</f>
        <v>9000</v>
      </c>
      <c r="J1056" s="288">
        <f>ROUND(IF($A1056="E",I1056*(1+Assumptions!G$15),I1056*(1+Assumptions!G$14)),-2)</f>
        <v>9200</v>
      </c>
      <c r="K1056" s="288">
        <f>ROUND(IF($A1056="E",J1056*(1+Assumptions!H$15),J1056*(1+Assumptions!H$14)),-2)</f>
        <v>9400</v>
      </c>
      <c r="L1056" s="288">
        <f>ROUND(IF($A1056="E",K1056*(1+Assumptions!I$15),K1056*(1+Assumptions!I$14)),-2)</f>
        <v>9600</v>
      </c>
      <c r="M1056" s="288">
        <f>ROUND(IF($A1056="E",L1056*(1+Assumptions!J$15),L1056*(1+Assumptions!J$14)),-2)</f>
        <v>9800</v>
      </c>
      <c r="N1056" s="288">
        <f>ROUND(IF($A1056="E",M1056*(1+Assumptions!K$15),M1056*(1+Assumptions!K$14)),-2)</f>
        <v>10000</v>
      </c>
    </row>
    <row r="1057" spans="2:14" x14ac:dyDescent="0.25">
      <c r="B1057" s="16" t="s">
        <v>43</v>
      </c>
      <c r="C1057" s="16" t="s">
        <v>1735</v>
      </c>
      <c r="D1057" s="16" t="s">
        <v>1736</v>
      </c>
      <c r="E1057" s="289"/>
      <c r="F1057" s="289"/>
      <c r="G1057" s="289"/>
      <c r="H1057" s="289"/>
      <c r="I1057" s="289"/>
      <c r="J1057" s="289"/>
      <c r="K1057" s="289"/>
      <c r="L1057" s="289"/>
      <c r="M1057" s="289"/>
      <c r="N1057" s="289"/>
    </row>
    <row r="1058" spans="2:14" x14ac:dyDescent="0.25">
      <c r="B1058" s="16" t="s">
        <v>43</v>
      </c>
      <c r="C1058" s="16" t="s">
        <v>1737</v>
      </c>
      <c r="D1058" s="16" t="s">
        <v>1738</v>
      </c>
      <c r="E1058" s="288">
        <v>18000</v>
      </c>
      <c r="F1058" s="288">
        <f>ROUND(IF($A1058="E",E1058*(1+Assumptions!C$15),E1058*(1+Assumptions!C$14)),-2)</f>
        <v>18300</v>
      </c>
      <c r="G1058" s="288">
        <f>ROUND(IF($A1058="E",F1058*(1+Assumptions!D$15),F1058*(1+Assumptions!D$14)),-2)</f>
        <v>18700</v>
      </c>
      <c r="H1058" s="288">
        <f>ROUND(IF($A1058="E",G1058*(1+Assumptions!E$15),G1058*(1+Assumptions!E$14)),-2)</f>
        <v>19100</v>
      </c>
      <c r="I1058" s="288">
        <f>ROUND(IF($A1058="E",H1058*(1+Assumptions!F$15),H1058*(1+Assumptions!F$14)),-2)</f>
        <v>19500</v>
      </c>
      <c r="J1058" s="288">
        <f>ROUND(IF($A1058="E",I1058*(1+Assumptions!G$15),I1058*(1+Assumptions!G$14)),-2)</f>
        <v>19900</v>
      </c>
      <c r="K1058" s="288">
        <f>ROUND(IF($A1058="E",J1058*(1+Assumptions!H$15),J1058*(1+Assumptions!H$14)),-2)</f>
        <v>20300</v>
      </c>
      <c r="L1058" s="288">
        <f>ROUND(IF($A1058="E",K1058*(1+Assumptions!I$15),K1058*(1+Assumptions!I$14)),-2)</f>
        <v>20800</v>
      </c>
      <c r="M1058" s="288">
        <f>ROUND(IF($A1058="E",L1058*(1+Assumptions!J$15),L1058*(1+Assumptions!J$14)),-2)</f>
        <v>21300</v>
      </c>
      <c r="N1058" s="288">
        <f>ROUND(IF($A1058="E",M1058*(1+Assumptions!K$15),M1058*(1+Assumptions!K$14)),-2)</f>
        <v>21800</v>
      </c>
    </row>
    <row r="1059" spans="2:14" x14ac:dyDescent="0.25">
      <c r="B1059" s="16" t="s">
        <v>43</v>
      </c>
      <c r="C1059" s="16" t="s">
        <v>1739</v>
      </c>
      <c r="D1059" s="16" t="s">
        <v>1740</v>
      </c>
      <c r="E1059" s="288">
        <v>21300</v>
      </c>
      <c r="F1059" s="288">
        <f>ROUND(IF($A1059="E",E1059*(1+Assumptions!C$15),E1059*(1+Assumptions!C$14)),-2)</f>
        <v>21600</v>
      </c>
      <c r="G1059" s="288">
        <f>ROUND(IF($A1059="E",F1059*(1+Assumptions!D$15),F1059*(1+Assumptions!D$14)),-2)</f>
        <v>22000</v>
      </c>
      <c r="H1059" s="288">
        <f>ROUND(IF($A1059="E",G1059*(1+Assumptions!E$15),G1059*(1+Assumptions!E$14)),-2)</f>
        <v>22400</v>
      </c>
      <c r="I1059" s="288">
        <f>ROUND(IF($A1059="E",H1059*(1+Assumptions!F$15),H1059*(1+Assumptions!F$14)),-2)</f>
        <v>22800</v>
      </c>
      <c r="J1059" s="288">
        <f>ROUND(IF($A1059="E",I1059*(1+Assumptions!G$15),I1059*(1+Assumptions!G$14)),-2)</f>
        <v>23300</v>
      </c>
      <c r="K1059" s="288">
        <f>ROUND(IF($A1059="E",J1059*(1+Assumptions!H$15),J1059*(1+Assumptions!H$14)),-2)</f>
        <v>23800</v>
      </c>
      <c r="L1059" s="288">
        <f>ROUND(IF($A1059="E",K1059*(1+Assumptions!I$15),K1059*(1+Assumptions!I$14)),-2)</f>
        <v>24400</v>
      </c>
      <c r="M1059" s="288">
        <f>ROUND(IF($A1059="E",L1059*(1+Assumptions!J$15),L1059*(1+Assumptions!J$14)),-2)</f>
        <v>25000</v>
      </c>
      <c r="N1059" s="288">
        <f>ROUND(IF($A1059="E",M1059*(1+Assumptions!K$15),M1059*(1+Assumptions!K$14)),-2)</f>
        <v>25600</v>
      </c>
    </row>
    <row r="1060" spans="2:14" x14ac:dyDescent="0.25">
      <c r="B1060" s="16" t="s">
        <v>43</v>
      </c>
      <c r="C1060" s="16" t="s">
        <v>1741</v>
      </c>
      <c r="D1060" s="16" t="s">
        <v>1742</v>
      </c>
      <c r="E1060" s="289"/>
      <c r="F1060" s="289"/>
      <c r="G1060" s="289"/>
      <c r="H1060" s="289"/>
      <c r="I1060" s="289"/>
      <c r="J1060" s="289"/>
      <c r="K1060" s="289"/>
      <c r="L1060" s="289"/>
      <c r="M1060" s="289"/>
      <c r="N1060" s="289"/>
    </row>
    <row r="1061" spans="2:14" x14ac:dyDescent="0.25">
      <c r="B1061" s="16" t="s">
        <v>43</v>
      </c>
      <c r="C1061" s="16" t="s">
        <v>1743</v>
      </c>
      <c r="D1061" s="16" t="s">
        <v>1744</v>
      </c>
      <c r="E1061" s="288">
        <v>1100</v>
      </c>
      <c r="F1061" s="288">
        <f>ROUND(IF($A1061="E",E1061*(1+Assumptions!C$15),E1061*(1+Assumptions!C$14)),-2)</f>
        <v>1100</v>
      </c>
      <c r="G1061" s="288">
        <f>ROUND(IF($A1061="E",F1061*(1+Assumptions!D$15),F1061*(1+Assumptions!D$14)),-2)</f>
        <v>1100</v>
      </c>
      <c r="H1061" s="288">
        <f>ROUND(IF($A1061="E",G1061*(1+Assumptions!E$15),G1061*(1+Assumptions!E$14)),-2)</f>
        <v>1100</v>
      </c>
      <c r="I1061" s="288">
        <f>ROUND(IF($A1061="E",H1061*(1+Assumptions!F$15),H1061*(1+Assumptions!F$14)),-2)</f>
        <v>1100</v>
      </c>
      <c r="J1061" s="288">
        <f>ROUND(IF($A1061="E",I1061*(1+Assumptions!G$15),I1061*(1+Assumptions!G$14)),-2)</f>
        <v>1100</v>
      </c>
      <c r="K1061" s="288">
        <f>ROUND(IF($A1061="E",J1061*(1+Assumptions!H$15),J1061*(1+Assumptions!H$14)),-2)</f>
        <v>1100</v>
      </c>
      <c r="L1061" s="288">
        <f>ROUND(IF($A1061="E",K1061*(1+Assumptions!I$15),K1061*(1+Assumptions!I$14)),-2)</f>
        <v>1100</v>
      </c>
      <c r="M1061" s="288">
        <f>ROUND(IF($A1061="E",L1061*(1+Assumptions!J$15),L1061*(1+Assumptions!J$14)),-2)</f>
        <v>1100</v>
      </c>
      <c r="N1061" s="288">
        <f>ROUND(IF($A1061="E",M1061*(1+Assumptions!K$15),M1061*(1+Assumptions!K$14)),-2)</f>
        <v>1100</v>
      </c>
    </row>
    <row r="1062" spans="2:14" x14ac:dyDescent="0.25">
      <c r="B1062" s="16" t="s">
        <v>43</v>
      </c>
      <c r="C1062" s="16" t="s">
        <v>1745</v>
      </c>
      <c r="D1062" s="16" t="s">
        <v>1746</v>
      </c>
      <c r="E1062" s="289"/>
      <c r="F1062" s="289"/>
      <c r="G1062" s="289"/>
      <c r="H1062" s="289"/>
      <c r="I1062" s="289"/>
      <c r="J1062" s="289"/>
      <c r="K1062" s="289"/>
      <c r="L1062" s="289"/>
      <c r="M1062" s="289"/>
      <c r="N1062" s="289"/>
    </row>
    <row r="1063" spans="2:14" x14ac:dyDescent="0.25">
      <c r="B1063" s="16" t="s">
        <v>43</v>
      </c>
      <c r="C1063" s="16" t="s">
        <v>1747</v>
      </c>
      <c r="D1063" s="16" t="s">
        <v>1748</v>
      </c>
      <c r="E1063" s="288">
        <v>44200</v>
      </c>
      <c r="F1063" s="288">
        <f>ROUND(IF($A1063="E",E1063*(1+Assumptions!C$15),E1063*(1+Assumptions!C$14)),-2)</f>
        <v>44900</v>
      </c>
      <c r="G1063" s="288">
        <f>ROUND(IF($A1063="E",F1063*(1+Assumptions!D$15),F1063*(1+Assumptions!D$14)),-2)</f>
        <v>45800</v>
      </c>
      <c r="H1063" s="288">
        <f>ROUND(IF($A1063="E",G1063*(1+Assumptions!E$15),G1063*(1+Assumptions!E$14)),-2)</f>
        <v>46700</v>
      </c>
      <c r="I1063" s="288">
        <f>ROUND(IF($A1063="E",H1063*(1+Assumptions!F$15),H1063*(1+Assumptions!F$14)),-2)</f>
        <v>47600</v>
      </c>
      <c r="J1063" s="288">
        <f>ROUND(IF($A1063="E",I1063*(1+Assumptions!G$15),I1063*(1+Assumptions!G$14)),-2)</f>
        <v>48600</v>
      </c>
      <c r="K1063" s="288">
        <f>ROUND(IF($A1063="E",J1063*(1+Assumptions!H$15),J1063*(1+Assumptions!H$14)),-2)</f>
        <v>49600</v>
      </c>
      <c r="L1063" s="288">
        <f>ROUND(IF($A1063="E",K1063*(1+Assumptions!I$15),K1063*(1+Assumptions!I$14)),-2)</f>
        <v>50800</v>
      </c>
      <c r="M1063" s="288">
        <f>ROUND(IF($A1063="E",L1063*(1+Assumptions!J$15),L1063*(1+Assumptions!J$14)),-2)</f>
        <v>52100</v>
      </c>
      <c r="N1063" s="288">
        <f>ROUND(IF($A1063="E",M1063*(1+Assumptions!K$15),M1063*(1+Assumptions!K$14)),-2)</f>
        <v>53400</v>
      </c>
    </row>
    <row r="1064" spans="2:14" x14ac:dyDescent="0.25">
      <c r="B1064" s="16" t="s">
        <v>43</v>
      </c>
      <c r="C1064" s="16" t="s">
        <v>1749</v>
      </c>
      <c r="D1064" s="16" t="s">
        <v>1750</v>
      </c>
      <c r="E1064" s="288">
        <v>22700</v>
      </c>
      <c r="F1064" s="288">
        <f>ROUND(IF($A1064="E",E1064*(1+Assumptions!C$15),E1064*(1+Assumptions!C$14)),-2)</f>
        <v>23000</v>
      </c>
      <c r="G1064" s="288">
        <f>ROUND(IF($A1064="E",F1064*(1+Assumptions!D$15),F1064*(1+Assumptions!D$14)),-2)</f>
        <v>23500</v>
      </c>
      <c r="H1064" s="288">
        <f>ROUND(IF($A1064="E",G1064*(1+Assumptions!E$15),G1064*(1+Assumptions!E$14)),-2)</f>
        <v>24000</v>
      </c>
      <c r="I1064" s="288">
        <f>ROUND(IF($A1064="E",H1064*(1+Assumptions!F$15),H1064*(1+Assumptions!F$14)),-2)</f>
        <v>24500</v>
      </c>
      <c r="J1064" s="288">
        <f>ROUND(IF($A1064="E",I1064*(1+Assumptions!G$15),I1064*(1+Assumptions!G$14)),-2)</f>
        <v>25000</v>
      </c>
      <c r="K1064" s="288">
        <f>ROUND(IF($A1064="E",J1064*(1+Assumptions!H$15),J1064*(1+Assumptions!H$14)),-2)</f>
        <v>25500</v>
      </c>
      <c r="L1064" s="288">
        <f>ROUND(IF($A1064="E",K1064*(1+Assumptions!I$15),K1064*(1+Assumptions!I$14)),-2)</f>
        <v>26100</v>
      </c>
      <c r="M1064" s="288">
        <f>ROUND(IF($A1064="E",L1064*(1+Assumptions!J$15),L1064*(1+Assumptions!J$14)),-2)</f>
        <v>26800</v>
      </c>
      <c r="N1064" s="288">
        <f>ROUND(IF($A1064="E",M1064*(1+Assumptions!K$15),M1064*(1+Assumptions!K$14)),-2)</f>
        <v>27500</v>
      </c>
    </row>
    <row r="1065" spans="2:14" x14ac:dyDescent="0.25">
      <c r="B1065" s="16" t="s">
        <v>43</v>
      </c>
      <c r="C1065" s="16" t="s">
        <v>1751</v>
      </c>
      <c r="D1065" s="16" t="s">
        <v>1752</v>
      </c>
      <c r="E1065" s="289"/>
      <c r="F1065" s="289"/>
      <c r="G1065" s="289"/>
      <c r="H1065" s="289"/>
      <c r="I1065" s="289"/>
      <c r="J1065" s="289"/>
      <c r="K1065" s="289"/>
      <c r="L1065" s="289"/>
      <c r="M1065" s="289"/>
      <c r="N1065" s="289"/>
    </row>
    <row r="1066" spans="2:14" x14ac:dyDescent="0.25">
      <c r="B1066" s="16" t="s">
        <v>43</v>
      </c>
      <c r="C1066" s="16" t="s">
        <v>1753</v>
      </c>
      <c r="D1066" s="16" t="s">
        <v>1754</v>
      </c>
      <c r="E1066" s="288">
        <v>151700</v>
      </c>
      <c r="F1066" s="288">
        <f>ROUND(IF($A1066="E",E1066*(1+Assumptions!C$15),E1066*(1+Assumptions!C$14)),-2)</f>
        <v>154000</v>
      </c>
      <c r="G1066" s="288">
        <f>ROUND(IF($A1066="E",F1066*(1+Assumptions!D$15),F1066*(1+Assumptions!D$14)),-2)</f>
        <v>157100</v>
      </c>
      <c r="H1066" s="288">
        <f>ROUND(IF($A1066="E",G1066*(1+Assumptions!E$15),G1066*(1+Assumptions!E$14)),-2)</f>
        <v>160200</v>
      </c>
      <c r="I1066" s="288">
        <f>ROUND(IF($A1066="E",H1066*(1+Assumptions!F$15),H1066*(1+Assumptions!F$14)),-2)</f>
        <v>163400</v>
      </c>
      <c r="J1066" s="288">
        <f>ROUND(IF($A1066="E",I1066*(1+Assumptions!G$15),I1066*(1+Assumptions!G$14)),-2)</f>
        <v>166700</v>
      </c>
      <c r="K1066" s="288">
        <f>ROUND(IF($A1066="E",J1066*(1+Assumptions!H$15),J1066*(1+Assumptions!H$14)),-2)</f>
        <v>170000</v>
      </c>
      <c r="L1066" s="288">
        <f>ROUND(IF($A1066="E",K1066*(1+Assumptions!I$15),K1066*(1+Assumptions!I$14)),-2)</f>
        <v>174300</v>
      </c>
      <c r="M1066" s="288">
        <f>ROUND(IF($A1066="E",L1066*(1+Assumptions!J$15),L1066*(1+Assumptions!J$14)),-2)</f>
        <v>178700</v>
      </c>
      <c r="N1066" s="288">
        <f>ROUND(IF($A1066="E",M1066*(1+Assumptions!K$15),M1066*(1+Assumptions!K$14)),-2)</f>
        <v>183200</v>
      </c>
    </row>
    <row r="1067" spans="2:14" x14ac:dyDescent="0.25">
      <c r="B1067" s="16" t="s">
        <v>43</v>
      </c>
      <c r="C1067" s="16" t="s">
        <v>1755</v>
      </c>
      <c r="D1067" s="16" t="s">
        <v>1756</v>
      </c>
      <c r="E1067" s="288">
        <v>61900</v>
      </c>
      <c r="F1067" s="288">
        <f>ROUND(IF($A1067="E",E1067*(1+Assumptions!C$15),E1067*(1+Assumptions!C$14)),-2)</f>
        <v>62800</v>
      </c>
      <c r="G1067" s="288">
        <f>ROUND(IF($A1067="E",F1067*(1+Assumptions!D$15),F1067*(1+Assumptions!D$14)),-2)</f>
        <v>64100</v>
      </c>
      <c r="H1067" s="288">
        <f>ROUND(IF($A1067="E",G1067*(1+Assumptions!E$15),G1067*(1+Assumptions!E$14)),-2)</f>
        <v>65400</v>
      </c>
      <c r="I1067" s="288">
        <f>ROUND(IF($A1067="E",H1067*(1+Assumptions!F$15),H1067*(1+Assumptions!F$14)),-2)</f>
        <v>66700</v>
      </c>
      <c r="J1067" s="288">
        <f>ROUND(IF($A1067="E",I1067*(1+Assumptions!G$15),I1067*(1+Assumptions!G$14)),-2)</f>
        <v>68000</v>
      </c>
      <c r="K1067" s="288">
        <f>ROUND(IF($A1067="E",J1067*(1+Assumptions!H$15),J1067*(1+Assumptions!H$14)),-2)</f>
        <v>69400</v>
      </c>
      <c r="L1067" s="288">
        <f>ROUND(IF($A1067="E",K1067*(1+Assumptions!I$15),K1067*(1+Assumptions!I$14)),-2)</f>
        <v>71100</v>
      </c>
      <c r="M1067" s="288">
        <f>ROUND(IF($A1067="E",L1067*(1+Assumptions!J$15),L1067*(1+Assumptions!J$14)),-2)</f>
        <v>72900</v>
      </c>
      <c r="N1067" s="288">
        <f>ROUND(IF($A1067="E",M1067*(1+Assumptions!K$15),M1067*(1+Assumptions!K$14)),-2)</f>
        <v>74700</v>
      </c>
    </row>
    <row r="1068" spans="2:14" x14ac:dyDescent="0.25">
      <c r="B1068" s="16" t="s">
        <v>43</v>
      </c>
      <c r="C1068" s="16" t="s">
        <v>1757</v>
      </c>
      <c r="D1068" s="16" t="s">
        <v>1758</v>
      </c>
      <c r="E1068" s="288">
        <v>100800</v>
      </c>
      <c r="F1068" s="288">
        <f>ROUND(IF($A1068="E",E1068*(1+Assumptions!C$15),E1068*(1+Assumptions!C$14)),-2)</f>
        <v>102300</v>
      </c>
      <c r="G1068" s="288">
        <f>ROUND(IF($A1068="E",F1068*(1+Assumptions!D$15),F1068*(1+Assumptions!D$14)),-2)</f>
        <v>104300</v>
      </c>
      <c r="H1068" s="288">
        <f>ROUND(IF($A1068="E",G1068*(1+Assumptions!E$15),G1068*(1+Assumptions!E$14)),-2)</f>
        <v>106400</v>
      </c>
      <c r="I1068" s="288">
        <f>ROUND(IF($A1068="E",H1068*(1+Assumptions!F$15),H1068*(1+Assumptions!F$14)),-2)</f>
        <v>108500</v>
      </c>
      <c r="J1068" s="288">
        <f>ROUND(IF($A1068="E",I1068*(1+Assumptions!G$15),I1068*(1+Assumptions!G$14)),-2)</f>
        <v>110700</v>
      </c>
      <c r="K1068" s="288">
        <f>ROUND(IF($A1068="E",J1068*(1+Assumptions!H$15),J1068*(1+Assumptions!H$14)),-2)</f>
        <v>112900</v>
      </c>
      <c r="L1068" s="288">
        <f>ROUND(IF($A1068="E",K1068*(1+Assumptions!I$15),K1068*(1+Assumptions!I$14)),-2)</f>
        <v>115700</v>
      </c>
      <c r="M1068" s="288">
        <f>ROUND(IF($A1068="E",L1068*(1+Assumptions!J$15),L1068*(1+Assumptions!J$14)),-2)</f>
        <v>118600</v>
      </c>
      <c r="N1068" s="288">
        <f>ROUND(IF($A1068="E",M1068*(1+Assumptions!K$15),M1068*(1+Assumptions!K$14)),-2)</f>
        <v>121600</v>
      </c>
    </row>
    <row r="1069" spans="2:14" x14ac:dyDescent="0.25">
      <c r="B1069" s="16" t="s">
        <v>43</v>
      </c>
      <c r="C1069" s="16" t="s">
        <v>1759</v>
      </c>
      <c r="D1069" s="16" t="s">
        <v>492</v>
      </c>
      <c r="E1069" s="288">
        <v>0</v>
      </c>
      <c r="F1069" s="288">
        <f>ROUND(IF($A1069="E",E1069*(1+Assumptions!C$15),E1069*(1+Assumptions!C$14)),-2)</f>
        <v>0</v>
      </c>
      <c r="G1069" s="288">
        <f>ROUND(IF($A1069="E",F1069*(1+Assumptions!D$15),F1069*(1+Assumptions!D$14)),-2)</f>
        <v>0</v>
      </c>
      <c r="H1069" s="288">
        <f>ROUND(IF($A1069="E",G1069*(1+Assumptions!E$15),G1069*(1+Assumptions!E$14)),-2)</f>
        <v>0</v>
      </c>
      <c r="I1069" s="288">
        <f>ROUND(IF($A1069="E",H1069*(1+Assumptions!F$15),H1069*(1+Assumptions!F$14)),-2)</f>
        <v>0</v>
      </c>
      <c r="J1069" s="288">
        <f>ROUND(IF($A1069="E",I1069*(1+Assumptions!G$15),I1069*(1+Assumptions!G$14)),-2)</f>
        <v>0</v>
      </c>
      <c r="K1069" s="288">
        <f>ROUND(IF($A1069="E",J1069*(1+Assumptions!H$15),J1069*(1+Assumptions!H$14)),-2)</f>
        <v>0</v>
      </c>
      <c r="L1069" s="288">
        <f>ROUND(IF($A1069="E",K1069*(1+Assumptions!I$15),K1069*(1+Assumptions!I$14)),-2)</f>
        <v>0</v>
      </c>
      <c r="M1069" s="288">
        <f>ROUND(IF($A1069="E",L1069*(1+Assumptions!J$15),L1069*(1+Assumptions!J$14)),-2)</f>
        <v>0</v>
      </c>
      <c r="N1069" s="288">
        <f>ROUND(IF($A1069="E",M1069*(1+Assumptions!K$15),M1069*(1+Assumptions!K$14)),-2)</f>
        <v>0</v>
      </c>
    </row>
    <row r="1070" spans="2:14" x14ac:dyDescent="0.25">
      <c r="B1070" s="16" t="s">
        <v>43</v>
      </c>
      <c r="C1070" s="16" t="s">
        <v>1760</v>
      </c>
      <c r="D1070" s="16" t="s">
        <v>1761</v>
      </c>
      <c r="E1070" s="289"/>
      <c r="F1070" s="289"/>
      <c r="G1070" s="289"/>
      <c r="H1070" s="289"/>
      <c r="I1070" s="289"/>
      <c r="J1070" s="289"/>
      <c r="K1070" s="289"/>
      <c r="L1070" s="289"/>
      <c r="M1070" s="289"/>
      <c r="N1070" s="289"/>
    </row>
    <row r="1071" spans="2:14" x14ac:dyDescent="0.25">
      <c r="B1071" s="16" t="s">
        <v>43</v>
      </c>
      <c r="C1071" s="16" t="s">
        <v>1762</v>
      </c>
      <c r="D1071" s="16" t="s">
        <v>1763</v>
      </c>
      <c r="E1071" s="288">
        <v>27700</v>
      </c>
      <c r="F1071" s="288">
        <f>ROUND(IF($A1071="E",E1071*(1+Assumptions!C$15),E1071*(1+Assumptions!C$14)),-2)</f>
        <v>28100</v>
      </c>
      <c r="G1071" s="288">
        <f>ROUND(IF($A1071="E",F1071*(1+Assumptions!D$15),F1071*(1+Assumptions!D$14)),-2)</f>
        <v>28700</v>
      </c>
      <c r="H1071" s="288">
        <f>ROUND(IF($A1071="E",G1071*(1+Assumptions!E$15),G1071*(1+Assumptions!E$14)),-2)</f>
        <v>29300</v>
      </c>
      <c r="I1071" s="288">
        <f>ROUND(IF($A1071="E",H1071*(1+Assumptions!F$15),H1071*(1+Assumptions!F$14)),-2)</f>
        <v>29900</v>
      </c>
      <c r="J1071" s="288">
        <f>ROUND(IF($A1071="E",I1071*(1+Assumptions!G$15),I1071*(1+Assumptions!G$14)),-2)</f>
        <v>30500</v>
      </c>
      <c r="K1071" s="288">
        <f>ROUND(IF($A1071="E",J1071*(1+Assumptions!H$15),J1071*(1+Assumptions!H$14)),-2)</f>
        <v>31100</v>
      </c>
      <c r="L1071" s="288">
        <f>ROUND(IF($A1071="E",K1071*(1+Assumptions!I$15),K1071*(1+Assumptions!I$14)),-2)</f>
        <v>31900</v>
      </c>
      <c r="M1071" s="288">
        <f>ROUND(IF($A1071="E",L1071*(1+Assumptions!J$15),L1071*(1+Assumptions!J$14)),-2)</f>
        <v>32700</v>
      </c>
      <c r="N1071" s="288">
        <f>ROUND(IF($A1071="E",M1071*(1+Assumptions!K$15),M1071*(1+Assumptions!K$14)),-2)</f>
        <v>33500</v>
      </c>
    </row>
    <row r="1072" spans="2:14" x14ac:dyDescent="0.25">
      <c r="B1072" s="16" t="s">
        <v>43</v>
      </c>
      <c r="C1072" s="16" t="s">
        <v>1764</v>
      </c>
      <c r="D1072" s="16" t="s">
        <v>1765</v>
      </c>
      <c r="E1072" s="289"/>
      <c r="F1072" s="289"/>
      <c r="G1072" s="289"/>
      <c r="H1072" s="289"/>
      <c r="I1072" s="289"/>
      <c r="J1072" s="289"/>
      <c r="K1072" s="289"/>
      <c r="L1072" s="289"/>
      <c r="M1072" s="289"/>
      <c r="N1072" s="289"/>
    </row>
    <row r="1073" spans="2:14" x14ac:dyDescent="0.25">
      <c r="B1073" s="16" t="s">
        <v>43</v>
      </c>
      <c r="C1073" s="16" t="s">
        <v>1766</v>
      </c>
      <c r="D1073" s="16" t="s">
        <v>1767</v>
      </c>
      <c r="E1073" s="288">
        <v>510900</v>
      </c>
      <c r="F1073" s="288">
        <f>ROUND(IF($A1073="E",E1073*(1+Assumptions!C$15),E1073*(1+Assumptions!C$14)),-2)</f>
        <v>518600</v>
      </c>
      <c r="G1073" s="288">
        <f>ROUND(IF($A1073="E",F1073*(1+Assumptions!D$15),F1073*(1+Assumptions!D$14)),-2)</f>
        <v>529000</v>
      </c>
      <c r="H1073" s="288">
        <f>ROUND(IF($A1073="E",G1073*(1+Assumptions!E$15),G1073*(1+Assumptions!E$14)),-2)</f>
        <v>539600</v>
      </c>
      <c r="I1073" s="288">
        <f>ROUND(IF($A1073="E",H1073*(1+Assumptions!F$15),H1073*(1+Assumptions!F$14)),-2)</f>
        <v>550400</v>
      </c>
      <c r="J1073" s="288">
        <f>ROUND(IF($A1073="E",I1073*(1+Assumptions!G$15),I1073*(1+Assumptions!G$14)),-2)</f>
        <v>561400</v>
      </c>
      <c r="K1073" s="288">
        <f>ROUND(IF($A1073="E",J1073*(1+Assumptions!H$15),J1073*(1+Assumptions!H$14)),-2)</f>
        <v>572600</v>
      </c>
      <c r="L1073" s="288">
        <f>ROUND(IF($A1073="E",K1073*(1+Assumptions!I$15),K1073*(1+Assumptions!I$14)),-2)</f>
        <v>586900</v>
      </c>
      <c r="M1073" s="288">
        <f>ROUND(IF($A1073="E",L1073*(1+Assumptions!J$15),L1073*(1+Assumptions!J$14)),-2)</f>
        <v>601600</v>
      </c>
      <c r="N1073" s="288">
        <f>ROUND(IF($A1073="E",M1073*(1+Assumptions!K$15),M1073*(1+Assumptions!K$14)),-2)</f>
        <v>616600</v>
      </c>
    </row>
    <row r="1074" spans="2:14" x14ac:dyDescent="0.25">
      <c r="B1074" s="16" t="s">
        <v>43</v>
      </c>
      <c r="C1074" s="16" t="s">
        <v>1768</v>
      </c>
      <c r="D1074" s="16" t="s">
        <v>1769</v>
      </c>
      <c r="E1074" s="288"/>
      <c r="F1074" s="288">
        <f>ROUND(IF($A1074="E",E1074*(1+Assumptions!C$15),E1074*(1+Assumptions!C$14)),-2)</f>
        <v>0</v>
      </c>
      <c r="G1074" s="288">
        <f>ROUND(IF($A1074="E",F1074*(1+Assumptions!D$15),F1074*(1+Assumptions!D$14)),-2)</f>
        <v>0</v>
      </c>
      <c r="H1074" s="288">
        <f>ROUND(IF($A1074="E",G1074*(1+Assumptions!E$15),G1074*(1+Assumptions!E$14)),-2)</f>
        <v>0</v>
      </c>
      <c r="I1074" s="288">
        <f>ROUND(IF($A1074="E",H1074*(1+Assumptions!F$15),H1074*(1+Assumptions!F$14)),-2)</f>
        <v>0</v>
      </c>
      <c r="J1074" s="288">
        <f>ROUND(IF($A1074="E",I1074*(1+Assumptions!G$15),I1074*(1+Assumptions!G$14)),-2)</f>
        <v>0</v>
      </c>
      <c r="K1074" s="288">
        <f>ROUND(IF($A1074="E",J1074*(1+Assumptions!H$15),J1074*(1+Assumptions!H$14)),-2)</f>
        <v>0</v>
      </c>
      <c r="L1074" s="288">
        <f>ROUND(IF($A1074="E",K1074*(1+Assumptions!I$15),K1074*(1+Assumptions!I$14)),-2)</f>
        <v>0</v>
      </c>
      <c r="M1074" s="288">
        <f>ROUND(IF($A1074="E",L1074*(1+Assumptions!J$15),L1074*(1+Assumptions!J$14)),-2)</f>
        <v>0</v>
      </c>
      <c r="N1074" s="288">
        <f>ROUND(IF($A1074="E",M1074*(1+Assumptions!K$15),M1074*(1+Assumptions!K$14)),-2)</f>
        <v>0</v>
      </c>
    </row>
    <row r="1075" spans="2:14" x14ac:dyDescent="0.25">
      <c r="B1075" s="16" t="s">
        <v>43</v>
      </c>
      <c r="C1075" s="16" t="s">
        <v>1770</v>
      </c>
      <c r="D1075" s="16" t="s">
        <v>1771</v>
      </c>
      <c r="E1075" s="288">
        <v>0</v>
      </c>
      <c r="F1075" s="288">
        <f>ROUND(IF($A1075="E",E1075*(1+Assumptions!C$15),E1075*(1+Assumptions!C$14)),-2)</f>
        <v>0</v>
      </c>
      <c r="G1075" s="288">
        <f>ROUND(IF($A1075="E",F1075*(1+Assumptions!D$15),F1075*(1+Assumptions!D$14)),-2)</f>
        <v>0</v>
      </c>
      <c r="H1075" s="288">
        <f>ROUND(IF($A1075="E",G1075*(1+Assumptions!E$15),G1075*(1+Assumptions!E$14)),-2)</f>
        <v>0</v>
      </c>
      <c r="I1075" s="288">
        <f>ROUND(IF($A1075="E",H1075*(1+Assumptions!F$15),H1075*(1+Assumptions!F$14)),-2)</f>
        <v>0</v>
      </c>
      <c r="J1075" s="288">
        <f>ROUND(IF($A1075="E",I1075*(1+Assumptions!G$15),I1075*(1+Assumptions!G$14)),-2)</f>
        <v>0</v>
      </c>
      <c r="K1075" s="288">
        <f>ROUND(IF($A1075="E",J1075*(1+Assumptions!H$15),J1075*(1+Assumptions!H$14)),-2)</f>
        <v>0</v>
      </c>
      <c r="L1075" s="288">
        <f>ROUND(IF($A1075="E",K1075*(1+Assumptions!I$15),K1075*(1+Assumptions!I$14)),-2)</f>
        <v>0</v>
      </c>
      <c r="M1075" s="288">
        <f>ROUND(IF($A1075="E",L1075*(1+Assumptions!J$15),L1075*(1+Assumptions!J$14)),-2)</f>
        <v>0</v>
      </c>
      <c r="N1075" s="288">
        <f>ROUND(IF($A1075="E",M1075*(1+Assumptions!K$15),M1075*(1+Assumptions!K$14)),-2)</f>
        <v>0</v>
      </c>
    </row>
    <row r="1076" spans="2:14" x14ac:dyDescent="0.25">
      <c r="B1076" s="16" t="s">
        <v>43</v>
      </c>
      <c r="C1076" s="16" t="s">
        <v>1772</v>
      </c>
      <c r="D1076" s="16" t="s">
        <v>1773</v>
      </c>
      <c r="E1076" s="288">
        <v>0</v>
      </c>
      <c r="F1076" s="288">
        <f>ROUND(IF($A1076="E",E1076*(1+Assumptions!C$15),E1076*(1+Assumptions!C$14)),-2)</f>
        <v>0</v>
      </c>
      <c r="G1076" s="288">
        <f>ROUND(IF($A1076="E",F1076*(1+Assumptions!D$15),F1076*(1+Assumptions!D$14)),-2)</f>
        <v>0</v>
      </c>
      <c r="H1076" s="288">
        <f>ROUND(IF($A1076="E",G1076*(1+Assumptions!E$15),G1076*(1+Assumptions!E$14)),-2)</f>
        <v>0</v>
      </c>
      <c r="I1076" s="288">
        <f>ROUND(IF($A1076="E",H1076*(1+Assumptions!F$15),H1076*(1+Assumptions!F$14)),-2)</f>
        <v>0</v>
      </c>
      <c r="J1076" s="288">
        <f>ROUND(IF($A1076="E",I1076*(1+Assumptions!G$15),I1076*(1+Assumptions!G$14)),-2)</f>
        <v>0</v>
      </c>
      <c r="K1076" s="288">
        <f>ROUND(IF($A1076="E",J1076*(1+Assumptions!H$15),J1076*(1+Assumptions!H$14)),-2)</f>
        <v>0</v>
      </c>
      <c r="L1076" s="288">
        <f>ROUND(IF($A1076="E",K1076*(1+Assumptions!I$15),K1076*(1+Assumptions!I$14)),-2)</f>
        <v>0</v>
      </c>
      <c r="M1076" s="288">
        <f>ROUND(IF($A1076="E",L1076*(1+Assumptions!J$15),L1076*(1+Assumptions!J$14)),-2)</f>
        <v>0</v>
      </c>
      <c r="N1076" s="288">
        <f>ROUND(IF($A1076="E",M1076*(1+Assumptions!K$15),M1076*(1+Assumptions!K$14)),-2)</f>
        <v>0</v>
      </c>
    </row>
    <row r="1077" spans="2:14" x14ac:dyDescent="0.25">
      <c r="B1077" s="16" t="s">
        <v>43</v>
      </c>
      <c r="C1077" s="16" t="s">
        <v>1774</v>
      </c>
      <c r="D1077" s="16" t="s">
        <v>1775</v>
      </c>
      <c r="E1077" s="288">
        <v>0</v>
      </c>
      <c r="F1077" s="288">
        <f>ROUND(IF($A1077="E",E1077*(1+Assumptions!C$15),E1077*(1+Assumptions!C$14)),-2)</f>
        <v>0</v>
      </c>
      <c r="G1077" s="288">
        <f>ROUND(IF($A1077="E",F1077*(1+Assumptions!D$15),F1077*(1+Assumptions!D$14)),-2)</f>
        <v>0</v>
      </c>
      <c r="H1077" s="288">
        <f>ROUND(IF($A1077="E",G1077*(1+Assumptions!E$15),G1077*(1+Assumptions!E$14)),-2)</f>
        <v>0</v>
      </c>
      <c r="I1077" s="288">
        <f>ROUND(IF($A1077="E",H1077*(1+Assumptions!F$15),H1077*(1+Assumptions!F$14)),-2)</f>
        <v>0</v>
      </c>
      <c r="J1077" s="288">
        <f>ROUND(IF($A1077="E",I1077*(1+Assumptions!G$15),I1077*(1+Assumptions!G$14)),-2)</f>
        <v>0</v>
      </c>
      <c r="K1077" s="288">
        <f>ROUND(IF($A1077="E",J1077*(1+Assumptions!H$15),J1077*(1+Assumptions!H$14)),-2)</f>
        <v>0</v>
      </c>
      <c r="L1077" s="288">
        <f>ROUND(IF($A1077="E",K1077*(1+Assumptions!I$15),K1077*(1+Assumptions!I$14)),-2)</f>
        <v>0</v>
      </c>
      <c r="M1077" s="288">
        <f>ROUND(IF($A1077="E",L1077*(1+Assumptions!J$15),L1077*(1+Assumptions!J$14)),-2)</f>
        <v>0</v>
      </c>
      <c r="N1077" s="288">
        <f>ROUND(IF($A1077="E",M1077*(1+Assumptions!K$15),M1077*(1+Assumptions!K$14)),-2)</f>
        <v>0</v>
      </c>
    </row>
    <row r="1078" spans="2:14" x14ac:dyDescent="0.25">
      <c r="B1078" s="16" t="s">
        <v>43</v>
      </c>
      <c r="C1078" s="16" t="s">
        <v>1776</v>
      </c>
      <c r="D1078" s="16" t="s">
        <v>1777</v>
      </c>
      <c r="E1078" s="288">
        <v>0</v>
      </c>
      <c r="F1078" s="288">
        <f>ROUND(IF($A1078="E",E1078*(1+Assumptions!C$15),E1078*(1+Assumptions!C$14)),-2)</f>
        <v>0</v>
      </c>
      <c r="G1078" s="288">
        <f>ROUND(IF($A1078="E",F1078*(1+Assumptions!D$15),F1078*(1+Assumptions!D$14)),-2)</f>
        <v>0</v>
      </c>
      <c r="H1078" s="288">
        <f>ROUND(IF($A1078="E",G1078*(1+Assumptions!E$15),G1078*(1+Assumptions!E$14)),-2)</f>
        <v>0</v>
      </c>
      <c r="I1078" s="288">
        <f>ROUND(IF($A1078="E",H1078*(1+Assumptions!F$15),H1078*(1+Assumptions!F$14)),-2)</f>
        <v>0</v>
      </c>
      <c r="J1078" s="288">
        <f>ROUND(IF($A1078="E",I1078*(1+Assumptions!G$15),I1078*(1+Assumptions!G$14)),-2)</f>
        <v>0</v>
      </c>
      <c r="K1078" s="288">
        <f>ROUND(IF($A1078="E",J1078*(1+Assumptions!H$15),J1078*(1+Assumptions!H$14)),-2)</f>
        <v>0</v>
      </c>
      <c r="L1078" s="288">
        <f>ROUND(IF($A1078="E",K1078*(1+Assumptions!I$15),K1078*(1+Assumptions!I$14)),-2)</f>
        <v>0</v>
      </c>
      <c r="M1078" s="288">
        <f>ROUND(IF($A1078="E",L1078*(1+Assumptions!J$15),L1078*(1+Assumptions!J$14)),-2)</f>
        <v>0</v>
      </c>
      <c r="N1078" s="288">
        <f>ROUND(IF($A1078="E",M1078*(1+Assumptions!K$15),M1078*(1+Assumptions!K$14)),-2)</f>
        <v>0</v>
      </c>
    </row>
    <row r="1079" spans="2:14" x14ac:dyDescent="0.25">
      <c r="B1079" s="16" t="s">
        <v>43</v>
      </c>
      <c r="C1079" s="16" t="s">
        <v>1778</v>
      </c>
      <c r="D1079" s="16" t="s">
        <v>1779</v>
      </c>
      <c r="E1079" s="288">
        <v>0</v>
      </c>
      <c r="F1079" s="288">
        <f>ROUND(IF($A1079="E",E1079*(1+Assumptions!C$15),E1079*(1+Assumptions!C$14)),-2)</f>
        <v>0</v>
      </c>
      <c r="G1079" s="288">
        <f>ROUND(IF($A1079="E",F1079*(1+Assumptions!D$15),F1079*(1+Assumptions!D$14)),-2)</f>
        <v>0</v>
      </c>
      <c r="H1079" s="288">
        <f>ROUND(IF($A1079="E",G1079*(1+Assumptions!E$15),G1079*(1+Assumptions!E$14)),-2)</f>
        <v>0</v>
      </c>
      <c r="I1079" s="288">
        <f>ROUND(IF($A1079="E",H1079*(1+Assumptions!F$15),H1079*(1+Assumptions!F$14)),-2)</f>
        <v>0</v>
      </c>
      <c r="J1079" s="288">
        <f>ROUND(IF($A1079="E",I1079*(1+Assumptions!G$15),I1079*(1+Assumptions!G$14)),-2)</f>
        <v>0</v>
      </c>
      <c r="K1079" s="288">
        <f>ROUND(IF($A1079="E",J1079*(1+Assumptions!H$15),J1079*(1+Assumptions!H$14)),-2)</f>
        <v>0</v>
      </c>
      <c r="L1079" s="288">
        <f>ROUND(IF($A1079="E",K1079*(1+Assumptions!I$15),K1079*(1+Assumptions!I$14)),-2)</f>
        <v>0</v>
      </c>
      <c r="M1079" s="288">
        <f>ROUND(IF($A1079="E",L1079*(1+Assumptions!J$15),L1079*(1+Assumptions!J$14)),-2)</f>
        <v>0</v>
      </c>
      <c r="N1079" s="288">
        <f>ROUND(IF($A1079="E",M1079*(1+Assumptions!K$15),M1079*(1+Assumptions!K$14)),-2)</f>
        <v>0</v>
      </c>
    </row>
    <row r="1080" spans="2:14" x14ac:dyDescent="0.25">
      <c r="B1080" s="16" t="s">
        <v>43</v>
      </c>
      <c r="C1080" s="16" t="s">
        <v>1780</v>
      </c>
      <c r="D1080" s="16" t="s">
        <v>1781</v>
      </c>
      <c r="E1080" s="288">
        <v>0</v>
      </c>
      <c r="F1080" s="288">
        <f>ROUND(IF($A1080="E",E1080*(1+Assumptions!C$15),E1080*(1+Assumptions!C$14)),-2)</f>
        <v>0</v>
      </c>
      <c r="G1080" s="288">
        <f>ROUND(IF($A1080="E",F1080*(1+Assumptions!D$15),F1080*(1+Assumptions!D$14)),-2)</f>
        <v>0</v>
      </c>
      <c r="H1080" s="288">
        <f>ROUND(IF($A1080="E",G1080*(1+Assumptions!E$15),G1080*(1+Assumptions!E$14)),-2)</f>
        <v>0</v>
      </c>
      <c r="I1080" s="288">
        <f>ROUND(IF($A1080="E",H1080*(1+Assumptions!F$15),H1080*(1+Assumptions!F$14)),-2)</f>
        <v>0</v>
      </c>
      <c r="J1080" s="288">
        <f>ROUND(IF($A1080="E",I1080*(1+Assumptions!G$15),I1080*(1+Assumptions!G$14)),-2)</f>
        <v>0</v>
      </c>
      <c r="K1080" s="288">
        <f>ROUND(IF($A1080="E",J1080*(1+Assumptions!H$15),J1080*(1+Assumptions!H$14)),-2)</f>
        <v>0</v>
      </c>
      <c r="L1080" s="288">
        <f>ROUND(IF($A1080="E",K1080*(1+Assumptions!I$15),K1080*(1+Assumptions!I$14)),-2)</f>
        <v>0</v>
      </c>
      <c r="M1080" s="288">
        <f>ROUND(IF($A1080="E",L1080*(1+Assumptions!J$15),L1080*(1+Assumptions!J$14)),-2)</f>
        <v>0</v>
      </c>
      <c r="N1080" s="288">
        <f>ROUND(IF($A1080="E",M1080*(1+Assumptions!K$15),M1080*(1+Assumptions!K$14)),-2)</f>
        <v>0</v>
      </c>
    </row>
    <row r="1081" spans="2:14" x14ac:dyDescent="0.25">
      <c r="B1081" s="16" t="s">
        <v>43</v>
      </c>
      <c r="C1081" s="16" t="s">
        <v>1782</v>
      </c>
      <c r="D1081" s="16" t="s">
        <v>1783</v>
      </c>
      <c r="E1081" s="288">
        <v>0</v>
      </c>
      <c r="F1081" s="288">
        <f>ROUND(IF($A1081="E",E1081*(1+Assumptions!C$15),E1081*(1+Assumptions!C$14)),-2)</f>
        <v>0</v>
      </c>
      <c r="G1081" s="288">
        <f>ROUND(IF($A1081="E",F1081*(1+Assumptions!D$15),F1081*(1+Assumptions!D$14)),-2)</f>
        <v>0</v>
      </c>
      <c r="H1081" s="288">
        <f>ROUND(IF($A1081="E",G1081*(1+Assumptions!E$15),G1081*(1+Assumptions!E$14)),-2)</f>
        <v>0</v>
      </c>
      <c r="I1081" s="288">
        <f>ROUND(IF($A1081="E",H1081*(1+Assumptions!F$15),H1081*(1+Assumptions!F$14)),-2)</f>
        <v>0</v>
      </c>
      <c r="J1081" s="288">
        <f>ROUND(IF($A1081="E",I1081*(1+Assumptions!G$15),I1081*(1+Assumptions!G$14)),-2)</f>
        <v>0</v>
      </c>
      <c r="K1081" s="288">
        <f>ROUND(IF($A1081="E",J1081*(1+Assumptions!H$15),J1081*(1+Assumptions!H$14)),-2)</f>
        <v>0</v>
      </c>
      <c r="L1081" s="288">
        <f>ROUND(IF($A1081="E",K1081*(1+Assumptions!I$15),K1081*(1+Assumptions!I$14)),-2)</f>
        <v>0</v>
      </c>
      <c r="M1081" s="288">
        <f>ROUND(IF($A1081="E",L1081*(1+Assumptions!J$15),L1081*(1+Assumptions!J$14)),-2)</f>
        <v>0</v>
      </c>
      <c r="N1081" s="288">
        <f>ROUND(IF($A1081="E",M1081*(1+Assumptions!K$15),M1081*(1+Assumptions!K$14)),-2)</f>
        <v>0</v>
      </c>
    </row>
    <row r="1082" spans="2:14" x14ac:dyDescent="0.25">
      <c r="B1082" s="16" t="s">
        <v>43</v>
      </c>
      <c r="C1082" s="16" t="s">
        <v>1784</v>
      </c>
      <c r="D1082" s="16" t="s">
        <v>1785</v>
      </c>
      <c r="E1082" s="288">
        <v>0</v>
      </c>
      <c r="F1082" s="288">
        <f>ROUND(IF($A1082="E",E1082*(1+Assumptions!C$15),E1082*(1+Assumptions!C$14)),-2)</f>
        <v>0</v>
      </c>
      <c r="G1082" s="288">
        <f>ROUND(IF($A1082="E",F1082*(1+Assumptions!D$15),F1082*(1+Assumptions!D$14)),-2)</f>
        <v>0</v>
      </c>
      <c r="H1082" s="288">
        <f>ROUND(IF($A1082="E",G1082*(1+Assumptions!E$15),G1082*(1+Assumptions!E$14)),-2)</f>
        <v>0</v>
      </c>
      <c r="I1082" s="288">
        <f>ROUND(IF($A1082="E",H1082*(1+Assumptions!F$15),H1082*(1+Assumptions!F$14)),-2)</f>
        <v>0</v>
      </c>
      <c r="J1082" s="288">
        <f>ROUND(IF($A1082="E",I1082*(1+Assumptions!G$15),I1082*(1+Assumptions!G$14)),-2)</f>
        <v>0</v>
      </c>
      <c r="K1082" s="288">
        <f>ROUND(IF($A1082="E",J1082*(1+Assumptions!H$15),J1082*(1+Assumptions!H$14)),-2)</f>
        <v>0</v>
      </c>
      <c r="L1082" s="288">
        <f>ROUND(IF($A1082="E",K1082*(1+Assumptions!I$15),K1082*(1+Assumptions!I$14)),-2)</f>
        <v>0</v>
      </c>
      <c r="M1082" s="288">
        <f>ROUND(IF($A1082="E",L1082*(1+Assumptions!J$15),L1082*(1+Assumptions!J$14)),-2)</f>
        <v>0</v>
      </c>
      <c r="N1082" s="288">
        <f>ROUND(IF($A1082="E",M1082*(1+Assumptions!K$15),M1082*(1+Assumptions!K$14)),-2)</f>
        <v>0</v>
      </c>
    </row>
    <row r="1083" spans="2:14" x14ac:dyDescent="0.25">
      <c r="B1083" s="16" t="s">
        <v>43</v>
      </c>
      <c r="C1083" s="16" t="s">
        <v>1786</v>
      </c>
      <c r="D1083" s="16" t="s">
        <v>1787</v>
      </c>
      <c r="E1083" s="288">
        <v>0</v>
      </c>
      <c r="F1083" s="288">
        <f>ROUND(IF($A1083="E",E1083*(1+Assumptions!C$15),E1083*(1+Assumptions!C$14)),-2)</f>
        <v>0</v>
      </c>
      <c r="G1083" s="288">
        <f>ROUND(IF($A1083="E",F1083*(1+Assumptions!D$15),F1083*(1+Assumptions!D$14)),-2)</f>
        <v>0</v>
      </c>
      <c r="H1083" s="288">
        <f>ROUND(IF($A1083="E",G1083*(1+Assumptions!E$15),G1083*(1+Assumptions!E$14)),-2)</f>
        <v>0</v>
      </c>
      <c r="I1083" s="288">
        <f>ROUND(IF($A1083="E",H1083*(1+Assumptions!F$15),H1083*(1+Assumptions!F$14)),-2)</f>
        <v>0</v>
      </c>
      <c r="J1083" s="288">
        <f>ROUND(IF($A1083="E",I1083*(1+Assumptions!G$15),I1083*(1+Assumptions!G$14)),-2)</f>
        <v>0</v>
      </c>
      <c r="K1083" s="288">
        <f>ROUND(IF($A1083="E",J1083*(1+Assumptions!H$15),J1083*(1+Assumptions!H$14)),-2)</f>
        <v>0</v>
      </c>
      <c r="L1083" s="288">
        <f>ROUND(IF($A1083="E",K1083*(1+Assumptions!I$15),K1083*(1+Assumptions!I$14)),-2)</f>
        <v>0</v>
      </c>
      <c r="M1083" s="288">
        <f>ROUND(IF($A1083="E",L1083*(1+Assumptions!J$15),L1083*(1+Assumptions!J$14)),-2)</f>
        <v>0</v>
      </c>
      <c r="N1083" s="288">
        <f>ROUND(IF($A1083="E",M1083*(1+Assumptions!K$15),M1083*(1+Assumptions!K$14)),-2)</f>
        <v>0</v>
      </c>
    </row>
    <row r="1084" spans="2:14" x14ac:dyDescent="0.25">
      <c r="B1084" s="16" t="s">
        <v>43</v>
      </c>
      <c r="C1084" s="16" t="s">
        <v>1788</v>
      </c>
      <c r="D1084" s="16" t="s">
        <v>1789</v>
      </c>
      <c r="E1084" s="288">
        <v>0</v>
      </c>
      <c r="F1084" s="288">
        <f>ROUND(IF($A1084="E",E1084*(1+Assumptions!C$15),E1084*(1+Assumptions!C$14)),-2)</f>
        <v>0</v>
      </c>
      <c r="G1084" s="288">
        <f>ROUND(IF($A1084="E",F1084*(1+Assumptions!D$15),F1084*(1+Assumptions!D$14)),-2)</f>
        <v>0</v>
      </c>
      <c r="H1084" s="288">
        <f>ROUND(IF($A1084="E",G1084*(1+Assumptions!E$15),G1084*(1+Assumptions!E$14)),-2)</f>
        <v>0</v>
      </c>
      <c r="I1084" s="288">
        <f>ROUND(IF($A1084="E",H1084*(1+Assumptions!F$15),H1084*(1+Assumptions!F$14)),-2)</f>
        <v>0</v>
      </c>
      <c r="J1084" s="288">
        <f>ROUND(IF($A1084="E",I1084*(1+Assumptions!G$15),I1084*(1+Assumptions!G$14)),-2)</f>
        <v>0</v>
      </c>
      <c r="K1084" s="288">
        <f>ROUND(IF($A1084="E",J1084*(1+Assumptions!H$15),J1084*(1+Assumptions!H$14)),-2)</f>
        <v>0</v>
      </c>
      <c r="L1084" s="288">
        <f>ROUND(IF($A1084="E",K1084*(1+Assumptions!I$15),K1084*(1+Assumptions!I$14)),-2)</f>
        <v>0</v>
      </c>
      <c r="M1084" s="288">
        <f>ROUND(IF($A1084="E",L1084*(1+Assumptions!J$15),L1084*(1+Assumptions!J$14)),-2)</f>
        <v>0</v>
      </c>
      <c r="N1084" s="288">
        <f>ROUND(IF($A1084="E",M1084*(1+Assumptions!K$15),M1084*(1+Assumptions!K$14)),-2)</f>
        <v>0</v>
      </c>
    </row>
    <row r="1085" spans="2:14" x14ac:dyDescent="0.25">
      <c r="B1085" s="16" t="s">
        <v>43</v>
      </c>
      <c r="C1085" s="16" t="s">
        <v>1790</v>
      </c>
      <c r="D1085" s="16" t="s">
        <v>1791</v>
      </c>
      <c r="E1085" s="289"/>
      <c r="F1085" s="289"/>
      <c r="G1085" s="289"/>
      <c r="H1085" s="289"/>
      <c r="I1085" s="289"/>
      <c r="J1085" s="289"/>
      <c r="K1085" s="289"/>
      <c r="L1085" s="289"/>
      <c r="M1085" s="289"/>
      <c r="N1085" s="289"/>
    </row>
    <row r="1086" spans="2:14" x14ac:dyDescent="0.25">
      <c r="B1086" s="16" t="s">
        <v>43</v>
      </c>
      <c r="C1086" s="16" t="s">
        <v>1792</v>
      </c>
      <c r="D1086" s="16" t="s">
        <v>1793</v>
      </c>
      <c r="E1086" s="288">
        <v>23800</v>
      </c>
      <c r="F1086" s="288">
        <f>ROUND(IF($A1086="E",E1086*(1+Assumptions!C$15),E1086*(1+Assumptions!C$14)),-2)</f>
        <v>24200</v>
      </c>
      <c r="G1086" s="288">
        <f>ROUND(IF($A1086="E",F1086*(1+Assumptions!D$15),F1086*(1+Assumptions!D$14)),-2)</f>
        <v>24700</v>
      </c>
      <c r="H1086" s="288">
        <f>ROUND(IF($A1086="E",G1086*(1+Assumptions!E$15),G1086*(1+Assumptions!E$14)),-2)</f>
        <v>25200</v>
      </c>
      <c r="I1086" s="288">
        <f>ROUND(IF($A1086="E",H1086*(1+Assumptions!F$15),H1086*(1+Assumptions!F$14)),-2)</f>
        <v>25700</v>
      </c>
      <c r="J1086" s="288">
        <f>ROUND(IF($A1086="E",I1086*(1+Assumptions!G$15),I1086*(1+Assumptions!G$14)),-2)</f>
        <v>26200</v>
      </c>
      <c r="K1086" s="288">
        <f>ROUND(IF($A1086="E",J1086*(1+Assumptions!H$15),J1086*(1+Assumptions!H$14)),-2)</f>
        <v>26700</v>
      </c>
      <c r="L1086" s="288">
        <f>ROUND(IF($A1086="E",K1086*(1+Assumptions!I$15),K1086*(1+Assumptions!I$14)),-2)</f>
        <v>27400</v>
      </c>
      <c r="M1086" s="288">
        <f>ROUND(IF($A1086="E",L1086*(1+Assumptions!J$15),L1086*(1+Assumptions!J$14)),-2)</f>
        <v>28100</v>
      </c>
      <c r="N1086" s="288">
        <f>ROUND(IF($A1086="E",M1086*(1+Assumptions!K$15),M1086*(1+Assumptions!K$14)),-2)</f>
        <v>28800</v>
      </c>
    </row>
    <row r="1087" spans="2:14" x14ac:dyDescent="0.25">
      <c r="B1087" s="16" t="s">
        <v>43</v>
      </c>
      <c r="C1087" s="16" t="s">
        <v>1794</v>
      </c>
      <c r="D1087" s="16" t="s">
        <v>1795</v>
      </c>
      <c r="E1087" s="288">
        <v>30200</v>
      </c>
      <c r="F1087" s="288">
        <f>ROUND(IF($A1087="E",E1087*(1+Assumptions!C$15),E1087*(1+Assumptions!C$14)),-2)</f>
        <v>30700</v>
      </c>
      <c r="G1087" s="288">
        <f>ROUND(IF($A1087="E",F1087*(1+Assumptions!D$15),F1087*(1+Assumptions!D$14)),-2)</f>
        <v>31300</v>
      </c>
      <c r="H1087" s="288">
        <f>ROUND(IF($A1087="E",G1087*(1+Assumptions!E$15),G1087*(1+Assumptions!E$14)),-2)</f>
        <v>31900</v>
      </c>
      <c r="I1087" s="288">
        <f>ROUND(IF($A1087="E",H1087*(1+Assumptions!F$15),H1087*(1+Assumptions!F$14)),-2)</f>
        <v>32500</v>
      </c>
      <c r="J1087" s="288">
        <f>ROUND(IF($A1087="E",I1087*(1+Assumptions!G$15),I1087*(1+Assumptions!G$14)),-2)</f>
        <v>33200</v>
      </c>
      <c r="K1087" s="288">
        <f>ROUND(IF($A1087="E",J1087*(1+Assumptions!H$15),J1087*(1+Assumptions!H$14)),-2)</f>
        <v>33900</v>
      </c>
      <c r="L1087" s="288">
        <f>ROUND(IF($A1087="E",K1087*(1+Assumptions!I$15),K1087*(1+Assumptions!I$14)),-2)</f>
        <v>34700</v>
      </c>
      <c r="M1087" s="288">
        <f>ROUND(IF($A1087="E",L1087*(1+Assumptions!J$15),L1087*(1+Assumptions!J$14)),-2)</f>
        <v>35600</v>
      </c>
      <c r="N1087" s="288">
        <f>ROUND(IF($A1087="E",M1087*(1+Assumptions!K$15),M1087*(1+Assumptions!K$14)),-2)</f>
        <v>36500</v>
      </c>
    </row>
    <row r="1088" spans="2:14" x14ac:dyDescent="0.25">
      <c r="B1088" s="16" t="s">
        <v>43</v>
      </c>
      <c r="C1088" s="16" t="s">
        <v>1796</v>
      </c>
      <c r="D1088" s="16" t="s">
        <v>1797</v>
      </c>
      <c r="E1088" s="289"/>
      <c r="F1088" s="289"/>
      <c r="G1088" s="289"/>
      <c r="H1088" s="289"/>
      <c r="I1088" s="289"/>
      <c r="J1088" s="289"/>
      <c r="K1088" s="289"/>
      <c r="L1088" s="289"/>
      <c r="M1088" s="289"/>
      <c r="N1088" s="289"/>
    </row>
    <row r="1089" spans="2:14" x14ac:dyDescent="0.25">
      <c r="B1089" s="16" t="s">
        <v>43</v>
      </c>
      <c r="C1089" s="16" t="s">
        <v>1798</v>
      </c>
      <c r="D1089" s="16" t="s">
        <v>1799</v>
      </c>
      <c r="E1089" s="288">
        <v>11000</v>
      </c>
      <c r="F1089" s="288">
        <f>ROUND(IF($A1089="E",E1089*(1+Assumptions!C$15),E1089*(1+Assumptions!C$14)),-2)</f>
        <v>11200</v>
      </c>
      <c r="G1089" s="288">
        <f>ROUND(IF($A1089="E",F1089*(1+Assumptions!D$15),F1089*(1+Assumptions!D$14)),-2)</f>
        <v>11400</v>
      </c>
      <c r="H1089" s="288">
        <f>ROUND(IF($A1089="E",G1089*(1+Assumptions!E$15),G1089*(1+Assumptions!E$14)),-2)</f>
        <v>11600</v>
      </c>
      <c r="I1089" s="288">
        <f>ROUND(IF($A1089="E",H1089*(1+Assumptions!F$15),H1089*(1+Assumptions!F$14)),-2)</f>
        <v>11800</v>
      </c>
      <c r="J1089" s="288">
        <f>ROUND(IF($A1089="E",I1089*(1+Assumptions!G$15),I1089*(1+Assumptions!G$14)),-2)</f>
        <v>12000</v>
      </c>
      <c r="K1089" s="288">
        <f>ROUND(IF($A1089="E",J1089*(1+Assumptions!H$15),J1089*(1+Assumptions!H$14)),-2)</f>
        <v>12200</v>
      </c>
      <c r="L1089" s="288">
        <f>ROUND(IF($A1089="E",K1089*(1+Assumptions!I$15),K1089*(1+Assumptions!I$14)),-2)</f>
        <v>12500</v>
      </c>
      <c r="M1089" s="288">
        <f>ROUND(IF($A1089="E",L1089*(1+Assumptions!J$15),L1089*(1+Assumptions!J$14)),-2)</f>
        <v>12800</v>
      </c>
      <c r="N1089" s="288">
        <f>ROUND(IF($A1089="E",M1089*(1+Assumptions!K$15),M1089*(1+Assumptions!K$14)),-2)</f>
        <v>13100</v>
      </c>
    </row>
    <row r="1090" spans="2:14" x14ac:dyDescent="0.25">
      <c r="B1090" s="16" t="s">
        <v>43</v>
      </c>
      <c r="C1090" s="16" t="s">
        <v>1800</v>
      </c>
      <c r="D1090" s="16" t="s">
        <v>1801</v>
      </c>
      <c r="E1090" s="288">
        <v>32000</v>
      </c>
      <c r="F1090" s="288">
        <f>ROUND(IF($A1090="E",E1090*(1+Assumptions!C$15),E1090*(1+Assumptions!C$14)),-2)</f>
        <v>32500</v>
      </c>
      <c r="G1090" s="288">
        <f>ROUND(IF($A1090="E",F1090*(1+Assumptions!D$15),F1090*(1+Assumptions!D$14)),-2)</f>
        <v>33200</v>
      </c>
      <c r="H1090" s="288">
        <f>ROUND(IF($A1090="E",G1090*(1+Assumptions!E$15),G1090*(1+Assumptions!E$14)),-2)</f>
        <v>33900</v>
      </c>
      <c r="I1090" s="288">
        <f>ROUND(IF($A1090="E",H1090*(1+Assumptions!F$15),H1090*(1+Assumptions!F$14)),-2)</f>
        <v>34600</v>
      </c>
      <c r="J1090" s="288">
        <f>ROUND(IF($A1090="E",I1090*(1+Assumptions!G$15),I1090*(1+Assumptions!G$14)),-2)</f>
        <v>35300</v>
      </c>
      <c r="K1090" s="288">
        <f>ROUND(IF($A1090="E",J1090*(1+Assumptions!H$15),J1090*(1+Assumptions!H$14)),-2)</f>
        <v>36000</v>
      </c>
      <c r="L1090" s="288">
        <f>ROUND(IF($A1090="E",K1090*(1+Assumptions!I$15),K1090*(1+Assumptions!I$14)),-2)</f>
        <v>36900</v>
      </c>
      <c r="M1090" s="288">
        <f>ROUND(IF($A1090="E",L1090*(1+Assumptions!J$15),L1090*(1+Assumptions!J$14)),-2)</f>
        <v>37800</v>
      </c>
      <c r="N1090" s="288">
        <f>ROUND(IF($A1090="E",M1090*(1+Assumptions!K$15),M1090*(1+Assumptions!K$14)),-2)</f>
        <v>38700</v>
      </c>
    </row>
    <row r="1091" spans="2:14" x14ac:dyDescent="0.25">
      <c r="B1091" s="16" t="s">
        <v>43</v>
      </c>
      <c r="C1091" s="16" t="s">
        <v>1802</v>
      </c>
      <c r="D1091" s="16" t="s">
        <v>1803</v>
      </c>
      <c r="E1091" s="288">
        <v>6100</v>
      </c>
      <c r="F1091" s="288">
        <f>ROUND(IF($A1091="E",E1091*(1+Assumptions!C$15),E1091*(1+Assumptions!C$14)),-2)</f>
        <v>6200</v>
      </c>
      <c r="G1091" s="288">
        <f>ROUND(IF($A1091="E",F1091*(1+Assumptions!D$15),F1091*(1+Assumptions!D$14)),-2)</f>
        <v>6300</v>
      </c>
      <c r="H1091" s="288">
        <f>ROUND(IF($A1091="E",G1091*(1+Assumptions!E$15),G1091*(1+Assumptions!E$14)),-2)</f>
        <v>6400</v>
      </c>
      <c r="I1091" s="288">
        <f>ROUND(IF($A1091="E",H1091*(1+Assumptions!F$15),H1091*(1+Assumptions!F$14)),-2)</f>
        <v>6500</v>
      </c>
      <c r="J1091" s="288">
        <f>ROUND(IF($A1091="E",I1091*(1+Assumptions!G$15),I1091*(1+Assumptions!G$14)),-2)</f>
        <v>6600</v>
      </c>
      <c r="K1091" s="288">
        <f>ROUND(IF($A1091="E",J1091*(1+Assumptions!H$15),J1091*(1+Assumptions!H$14)),-2)</f>
        <v>6700</v>
      </c>
      <c r="L1091" s="288">
        <f>ROUND(IF($A1091="E",K1091*(1+Assumptions!I$15),K1091*(1+Assumptions!I$14)),-2)</f>
        <v>6900</v>
      </c>
      <c r="M1091" s="288">
        <f>ROUND(IF($A1091="E",L1091*(1+Assumptions!J$15),L1091*(1+Assumptions!J$14)),-2)</f>
        <v>7100</v>
      </c>
      <c r="N1091" s="288">
        <f>ROUND(IF($A1091="E",M1091*(1+Assumptions!K$15),M1091*(1+Assumptions!K$14)),-2)</f>
        <v>7300</v>
      </c>
    </row>
    <row r="1092" spans="2:14" x14ac:dyDescent="0.25">
      <c r="B1092" s="16" t="s">
        <v>43</v>
      </c>
      <c r="C1092" s="16" t="s">
        <v>1804</v>
      </c>
      <c r="D1092" s="16" t="s">
        <v>1805</v>
      </c>
      <c r="E1092" s="288">
        <v>0</v>
      </c>
      <c r="F1092" s="288">
        <f>ROUND(IF($A1092="E",E1092*(1+Assumptions!C$15),E1092*(1+Assumptions!C$14)),-2)</f>
        <v>0</v>
      </c>
      <c r="G1092" s="288">
        <f>ROUND(IF($A1092="E",F1092*(1+Assumptions!D$15),F1092*(1+Assumptions!D$14)),-2)</f>
        <v>0</v>
      </c>
      <c r="H1092" s="288">
        <f>ROUND(IF($A1092="E",G1092*(1+Assumptions!E$15),G1092*(1+Assumptions!E$14)),-2)</f>
        <v>0</v>
      </c>
      <c r="I1092" s="288">
        <f>ROUND(IF($A1092="E",H1092*(1+Assumptions!F$15),H1092*(1+Assumptions!F$14)),-2)</f>
        <v>0</v>
      </c>
      <c r="J1092" s="288">
        <f>ROUND(IF($A1092="E",I1092*(1+Assumptions!G$15),I1092*(1+Assumptions!G$14)),-2)</f>
        <v>0</v>
      </c>
      <c r="K1092" s="288">
        <f>ROUND(IF($A1092="E",J1092*(1+Assumptions!H$15),J1092*(1+Assumptions!H$14)),-2)</f>
        <v>0</v>
      </c>
      <c r="L1092" s="288">
        <f>ROUND(IF($A1092="E",K1092*(1+Assumptions!I$15),K1092*(1+Assumptions!I$14)),-2)</f>
        <v>0</v>
      </c>
      <c r="M1092" s="288">
        <f>ROUND(IF($A1092="E",L1092*(1+Assumptions!J$15),L1092*(1+Assumptions!J$14)),-2)</f>
        <v>0</v>
      </c>
      <c r="N1092" s="288">
        <f>ROUND(IF($A1092="E",M1092*(1+Assumptions!K$15),M1092*(1+Assumptions!K$14)),-2)</f>
        <v>0</v>
      </c>
    </row>
    <row r="1093" spans="2:14" x14ac:dyDescent="0.25">
      <c r="B1093" s="16" t="s">
        <v>43</v>
      </c>
      <c r="C1093" s="16" t="s">
        <v>1806</v>
      </c>
      <c r="D1093" s="16" t="s">
        <v>1807</v>
      </c>
      <c r="E1093" s="289"/>
      <c r="F1093" s="289"/>
      <c r="G1093" s="289"/>
      <c r="H1093" s="289"/>
      <c r="I1093" s="289"/>
      <c r="J1093" s="289"/>
      <c r="K1093" s="289"/>
      <c r="L1093" s="289"/>
      <c r="M1093" s="289"/>
      <c r="N1093" s="289"/>
    </row>
    <row r="1094" spans="2:14" x14ac:dyDescent="0.25">
      <c r="B1094" s="16" t="s">
        <v>43</v>
      </c>
      <c r="C1094" s="16" t="s">
        <v>1808</v>
      </c>
      <c r="D1094" s="16" t="s">
        <v>1809</v>
      </c>
      <c r="E1094" s="288">
        <v>30100</v>
      </c>
      <c r="F1094" s="288">
        <f>ROUND(IF($A1094="E",E1094*(1+Assumptions!C$15),E1094*(1+Assumptions!C$14)),-2)</f>
        <v>30600</v>
      </c>
      <c r="G1094" s="288">
        <f>ROUND(IF($A1094="E",F1094*(1+Assumptions!D$15),F1094*(1+Assumptions!D$14)),-2)</f>
        <v>31200</v>
      </c>
      <c r="H1094" s="288">
        <f>ROUND(IF($A1094="E",G1094*(1+Assumptions!E$15),G1094*(1+Assumptions!E$14)),-2)</f>
        <v>31800</v>
      </c>
      <c r="I1094" s="288">
        <f>ROUND(IF($A1094="E",H1094*(1+Assumptions!F$15),H1094*(1+Assumptions!F$14)),-2)</f>
        <v>32400</v>
      </c>
      <c r="J1094" s="288">
        <f>ROUND(IF($A1094="E",I1094*(1+Assumptions!G$15),I1094*(1+Assumptions!G$14)),-2)</f>
        <v>33000</v>
      </c>
      <c r="K1094" s="288">
        <f>ROUND(IF($A1094="E",J1094*(1+Assumptions!H$15),J1094*(1+Assumptions!H$14)),-2)</f>
        <v>33700</v>
      </c>
      <c r="L1094" s="288">
        <f>ROUND(IF($A1094="E",K1094*(1+Assumptions!I$15),K1094*(1+Assumptions!I$14)),-2)</f>
        <v>34500</v>
      </c>
      <c r="M1094" s="288">
        <f>ROUND(IF($A1094="E",L1094*(1+Assumptions!J$15),L1094*(1+Assumptions!J$14)),-2)</f>
        <v>35400</v>
      </c>
      <c r="N1094" s="288">
        <f>ROUND(IF($A1094="E",M1094*(1+Assumptions!K$15),M1094*(1+Assumptions!K$14)),-2)</f>
        <v>36300</v>
      </c>
    </row>
    <row r="1095" spans="2:14" x14ac:dyDescent="0.25">
      <c r="B1095" s="16" t="s">
        <v>43</v>
      </c>
      <c r="C1095" s="16" t="s">
        <v>1810</v>
      </c>
      <c r="D1095" s="16" t="s">
        <v>1811</v>
      </c>
      <c r="E1095" s="288">
        <v>74500</v>
      </c>
      <c r="F1095" s="288">
        <f>ROUND(IF($A1095="E",E1095*(1+Assumptions!C$15),E1095*(1+Assumptions!C$14)),-2)</f>
        <v>75600</v>
      </c>
      <c r="G1095" s="288">
        <f>ROUND(IF($A1095="E",F1095*(1+Assumptions!D$15),F1095*(1+Assumptions!D$14)),-2)</f>
        <v>77100</v>
      </c>
      <c r="H1095" s="288">
        <f>ROUND(IF($A1095="E",G1095*(1+Assumptions!E$15),G1095*(1+Assumptions!E$14)),-2)</f>
        <v>78600</v>
      </c>
      <c r="I1095" s="288">
        <f>ROUND(IF($A1095="E",H1095*(1+Assumptions!F$15),H1095*(1+Assumptions!F$14)),-2)</f>
        <v>80200</v>
      </c>
      <c r="J1095" s="288">
        <f>ROUND(IF($A1095="E",I1095*(1+Assumptions!G$15),I1095*(1+Assumptions!G$14)),-2)</f>
        <v>81800</v>
      </c>
      <c r="K1095" s="288">
        <f>ROUND(IF($A1095="E",J1095*(1+Assumptions!H$15),J1095*(1+Assumptions!H$14)),-2)</f>
        <v>83400</v>
      </c>
      <c r="L1095" s="288">
        <f>ROUND(IF($A1095="E",K1095*(1+Assumptions!I$15),K1095*(1+Assumptions!I$14)),-2)</f>
        <v>85500</v>
      </c>
      <c r="M1095" s="288">
        <f>ROUND(IF($A1095="E",L1095*(1+Assumptions!J$15),L1095*(1+Assumptions!J$14)),-2)</f>
        <v>87600</v>
      </c>
      <c r="N1095" s="288">
        <f>ROUND(IF($A1095="E",M1095*(1+Assumptions!K$15),M1095*(1+Assumptions!K$14)),-2)</f>
        <v>89800</v>
      </c>
    </row>
    <row r="1096" spans="2:14" x14ac:dyDescent="0.25">
      <c r="B1096" s="16" t="s">
        <v>43</v>
      </c>
      <c r="C1096" s="16" t="s">
        <v>1812</v>
      </c>
      <c r="D1096" s="16" t="s">
        <v>1813</v>
      </c>
      <c r="E1096" s="289"/>
      <c r="F1096" s="289"/>
      <c r="G1096" s="289"/>
      <c r="H1096" s="289"/>
      <c r="I1096" s="289"/>
      <c r="J1096" s="289"/>
      <c r="K1096" s="289"/>
      <c r="L1096" s="289"/>
      <c r="M1096" s="289"/>
      <c r="N1096" s="289"/>
    </row>
    <row r="1097" spans="2:14" x14ac:dyDescent="0.25">
      <c r="B1097" s="16" t="s">
        <v>43</v>
      </c>
      <c r="C1097" s="16" t="s">
        <v>1814</v>
      </c>
      <c r="D1097" s="16" t="s">
        <v>1815</v>
      </c>
      <c r="E1097" s="288">
        <v>2700</v>
      </c>
      <c r="F1097" s="288">
        <f>ROUND(IF($A1097="E",E1097*(1+Assumptions!C$15),E1097*(1+Assumptions!C$14)),-2)</f>
        <v>2700</v>
      </c>
      <c r="G1097" s="288">
        <f>ROUND(IF($A1097="E",F1097*(1+Assumptions!D$15),F1097*(1+Assumptions!D$14)),-2)</f>
        <v>2800</v>
      </c>
      <c r="H1097" s="288">
        <f>ROUND(IF($A1097="E",G1097*(1+Assumptions!E$15),G1097*(1+Assumptions!E$14)),-2)</f>
        <v>2900</v>
      </c>
      <c r="I1097" s="288">
        <f>ROUND(IF($A1097="E",H1097*(1+Assumptions!F$15),H1097*(1+Assumptions!F$14)),-2)</f>
        <v>3000</v>
      </c>
      <c r="J1097" s="288">
        <f>ROUND(IF($A1097="E",I1097*(1+Assumptions!G$15),I1097*(1+Assumptions!G$14)),-2)</f>
        <v>3100</v>
      </c>
      <c r="K1097" s="288">
        <f>ROUND(IF($A1097="E",J1097*(1+Assumptions!H$15),J1097*(1+Assumptions!H$14)),-2)</f>
        <v>3200</v>
      </c>
      <c r="L1097" s="288">
        <f>ROUND(IF($A1097="E",K1097*(1+Assumptions!I$15),K1097*(1+Assumptions!I$14)),-2)</f>
        <v>3300</v>
      </c>
      <c r="M1097" s="288">
        <f>ROUND(IF($A1097="E",L1097*(1+Assumptions!J$15),L1097*(1+Assumptions!J$14)),-2)</f>
        <v>3400</v>
      </c>
      <c r="N1097" s="288">
        <f>ROUND(IF($A1097="E",M1097*(1+Assumptions!K$15),M1097*(1+Assumptions!K$14)),-2)</f>
        <v>3500</v>
      </c>
    </row>
    <row r="1098" spans="2:14" x14ac:dyDescent="0.25">
      <c r="B1098" s="16" t="s">
        <v>43</v>
      </c>
      <c r="C1098" s="16" t="s">
        <v>1816</v>
      </c>
      <c r="D1098" s="16" t="s">
        <v>1817</v>
      </c>
      <c r="E1098" s="288">
        <v>17200</v>
      </c>
      <c r="F1098" s="288">
        <f>ROUND(IF($A1098="E",E1098*(1+Assumptions!C$15),E1098*(1+Assumptions!C$14)),-2)</f>
        <v>17500</v>
      </c>
      <c r="G1098" s="288">
        <f>ROUND(IF($A1098="E",F1098*(1+Assumptions!D$15),F1098*(1+Assumptions!D$14)),-2)</f>
        <v>17900</v>
      </c>
      <c r="H1098" s="288">
        <f>ROUND(IF($A1098="E",G1098*(1+Assumptions!E$15),G1098*(1+Assumptions!E$14)),-2)</f>
        <v>18300</v>
      </c>
      <c r="I1098" s="288">
        <f>ROUND(IF($A1098="E",H1098*(1+Assumptions!F$15),H1098*(1+Assumptions!F$14)),-2)</f>
        <v>18700</v>
      </c>
      <c r="J1098" s="288">
        <f>ROUND(IF($A1098="E",I1098*(1+Assumptions!G$15),I1098*(1+Assumptions!G$14)),-2)</f>
        <v>19100</v>
      </c>
      <c r="K1098" s="288">
        <f>ROUND(IF($A1098="E",J1098*(1+Assumptions!H$15),J1098*(1+Assumptions!H$14)),-2)</f>
        <v>19500</v>
      </c>
      <c r="L1098" s="288">
        <f>ROUND(IF($A1098="E",K1098*(1+Assumptions!I$15),K1098*(1+Assumptions!I$14)),-2)</f>
        <v>20000</v>
      </c>
      <c r="M1098" s="288">
        <f>ROUND(IF($A1098="E",L1098*(1+Assumptions!J$15),L1098*(1+Assumptions!J$14)),-2)</f>
        <v>20500</v>
      </c>
      <c r="N1098" s="288">
        <f>ROUND(IF($A1098="E",M1098*(1+Assumptions!K$15),M1098*(1+Assumptions!K$14)),-2)</f>
        <v>21000</v>
      </c>
    </row>
    <row r="1099" spans="2:14" x14ac:dyDescent="0.25">
      <c r="B1099" s="16" t="s">
        <v>43</v>
      </c>
      <c r="C1099" s="16" t="s">
        <v>1818</v>
      </c>
      <c r="D1099" s="16" t="s">
        <v>1819</v>
      </c>
      <c r="E1099" s="289"/>
      <c r="F1099" s="289"/>
      <c r="G1099" s="289"/>
      <c r="H1099" s="289"/>
      <c r="I1099" s="289"/>
      <c r="J1099" s="289"/>
      <c r="K1099" s="289"/>
      <c r="L1099" s="289"/>
      <c r="M1099" s="289"/>
      <c r="N1099" s="289"/>
    </row>
    <row r="1100" spans="2:14" x14ac:dyDescent="0.25">
      <c r="B1100" s="16" t="s">
        <v>43</v>
      </c>
      <c r="C1100" s="16" t="s">
        <v>1820</v>
      </c>
      <c r="D1100" s="16" t="s">
        <v>1821</v>
      </c>
      <c r="E1100" s="288">
        <v>7100</v>
      </c>
      <c r="F1100" s="288">
        <f>ROUND(IF($A1100="E",E1100*(1+Assumptions!C$15),E1100*(1+Assumptions!C$14)),-2)</f>
        <v>7200</v>
      </c>
      <c r="G1100" s="288">
        <f>ROUND(IF($A1100="E",F1100*(1+Assumptions!D$15),F1100*(1+Assumptions!D$14)),-2)</f>
        <v>7300</v>
      </c>
      <c r="H1100" s="288">
        <f>ROUND(IF($A1100="E",G1100*(1+Assumptions!E$15),G1100*(1+Assumptions!E$14)),-2)</f>
        <v>7400</v>
      </c>
      <c r="I1100" s="288">
        <f>ROUND(IF($A1100="E",H1100*(1+Assumptions!F$15),H1100*(1+Assumptions!F$14)),-2)</f>
        <v>7500</v>
      </c>
      <c r="J1100" s="288">
        <f>ROUND(IF($A1100="E",I1100*(1+Assumptions!G$15),I1100*(1+Assumptions!G$14)),-2)</f>
        <v>7700</v>
      </c>
      <c r="K1100" s="288">
        <f>ROUND(IF($A1100="E",J1100*(1+Assumptions!H$15),J1100*(1+Assumptions!H$14)),-2)</f>
        <v>7900</v>
      </c>
      <c r="L1100" s="288">
        <f>ROUND(IF($A1100="E",K1100*(1+Assumptions!I$15),K1100*(1+Assumptions!I$14)),-2)</f>
        <v>8100</v>
      </c>
      <c r="M1100" s="288">
        <f>ROUND(IF($A1100="E",L1100*(1+Assumptions!J$15),L1100*(1+Assumptions!J$14)),-2)</f>
        <v>8300</v>
      </c>
      <c r="N1100" s="288">
        <f>ROUND(IF($A1100="E",M1100*(1+Assumptions!K$15),M1100*(1+Assumptions!K$14)),-2)</f>
        <v>8500</v>
      </c>
    </row>
    <row r="1101" spans="2:14" x14ac:dyDescent="0.25">
      <c r="B1101" s="16" t="s">
        <v>43</v>
      </c>
      <c r="C1101" s="16" t="s">
        <v>1822</v>
      </c>
      <c r="D1101" s="16" t="s">
        <v>1823</v>
      </c>
      <c r="E1101" s="288">
        <v>21800</v>
      </c>
      <c r="F1101" s="288">
        <f>ROUND(IF($A1101="E",E1101*(1+Assumptions!C$15),E1101*(1+Assumptions!C$14)),-2)</f>
        <v>22100</v>
      </c>
      <c r="G1101" s="288">
        <f>ROUND(IF($A1101="E",F1101*(1+Assumptions!D$15),F1101*(1+Assumptions!D$14)),-2)</f>
        <v>22500</v>
      </c>
      <c r="H1101" s="288">
        <f>ROUND(IF($A1101="E",G1101*(1+Assumptions!E$15),G1101*(1+Assumptions!E$14)),-2)</f>
        <v>23000</v>
      </c>
      <c r="I1101" s="288">
        <f>ROUND(IF($A1101="E",H1101*(1+Assumptions!F$15),H1101*(1+Assumptions!F$14)),-2)</f>
        <v>23500</v>
      </c>
      <c r="J1101" s="288">
        <f>ROUND(IF($A1101="E",I1101*(1+Assumptions!G$15),I1101*(1+Assumptions!G$14)),-2)</f>
        <v>24000</v>
      </c>
      <c r="K1101" s="288">
        <f>ROUND(IF($A1101="E",J1101*(1+Assumptions!H$15),J1101*(1+Assumptions!H$14)),-2)</f>
        <v>24500</v>
      </c>
      <c r="L1101" s="288">
        <f>ROUND(IF($A1101="E",K1101*(1+Assumptions!I$15),K1101*(1+Assumptions!I$14)),-2)</f>
        <v>25100</v>
      </c>
      <c r="M1101" s="288">
        <f>ROUND(IF($A1101="E",L1101*(1+Assumptions!J$15),L1101*(1+Assumptions!J$14)),-2)</f>
        <v>25700</v>
      </c>
      <c r="N1101" s="288">
        <f>ROUND(IF($A1101="E",M1101*(1+Assumptions!K$15),M1101*(1+Assumptions!K$14)),-2)</f>
        <v>26300</v>
      </c>
    </row>
    <row r="1102" spans="2:14" x14ac:dyDescent="0.25">
      <c r="B1102" s="16" t="s">
        <v>42</v>
      </c>
      <c r="C1102" s="16" t="s">
        <v>1824</v>
      </c>
      <c r="D1102" s="16" t="s">
        <v>404</v>
      </c>
      <c r="E1102" s="289"/>
      <c r="F1102" s="289"/>
      <c r="G1102" s="289"/>
      <c r="H1102" s="289"/>
      <c r="I1102" s="289"/>
      <c r="J1102" s="289"/>
      <c r="K1102" s="289"/>
      <c r="L1102" s="289"/>
      <c r="M1102" s="289"/>
      <c r="N1102" s="289"/>
    </row>
    <row r="1103" spans="2:14" x14ac:dyDescent="0.25">
      <c r="B1103" s="16" t="s">
        <v>42</v>
      </c>
      <c r="C1103" s="16" t="s">
        <v>1825</v>
      </c>
      <c r="D1103" s="16" t="s">
        <v>1826</v>
      </c>
      <c r="E1103" s="302">
        <v>78900</v>
      </c>
      <c r="F1103" s="302">
        <f>ROUND(loans!U51,-2)</f>
        <v>68600</v>
      </c>
      <c r="G1103" s="302">
        <f>ROUND(loans!Y51,-2)</f>
        <v>57500</v>
      </c>
      <c r="H1103" s="302">
        <f>ROUND(loans!AC51,-2)</f>
        <v>48700</v>
      </c>
      <c r="I1103" s="302">
        <f>ROUND(loans!AG51,-2)</f>
        <v>43000</v>
      </c>
      <c r="J1103" s="302">
        <f>ROUND(loans!AK51,-2)</f>
        <v>36900</v>
      </c>
      <c r="K1103" s="302">
        <f>ROUND(loans!AO51,-2)</f>
        <v>30400</v>
      </c>
      <c r="L1103" s="302">
        <f>ROUND(loans!AS51,-2)</f>
        <v>23500</v>
      </c>
      <c r="M1103" s="302">
        <f>ROUND(loans!AW51,-2)</f>
        <v>16000</v>
      </c>
      <c r="N1103" s="302">
        <f>ROUND(loans!BA51,-2)</f>
        <v>8100</v>
      </c>
    </row>
    <row r="1104" spans="2:14" x14ac:dyDescent="0.25">
      <c r="B1104" s="16" t="s">
        <v>42</v>
      </c>
      <c r="C1104" s="16" t="s">
        <v>1827</v>
      </c>
      <c r="D1104" s="16" t="s">
        <v>187</v>
      </c>
      <c r="E1104" s="289"/>
      <c r="F1104" s="289"/>
      <c r="G1104" s="289"/>
      <c r="H1104" s="289"/>
      <c r="I1104" s="289"/>
      <c r="J1104" s="289"/>
      <c r="K1104" s="289"/>
      <c r="L1104" s="289"/>
      <c r="M1104" s="289"/>
      <c r="N1104" s="289"/>
    </row>
    <row r="1105" spans="1:14" x14ac:dyDescent="0.25">
      <c r="B1105" s="16" t="s">
        <v>43</v>
      </c>
      <c r="C1105" s="16" t="s">
        <v>1828</v>
      </c>
      <c r="D1105" s="16" t="s">
        <v>1829</v>
      </c>
      <c r="E1105" s="288">
        <v>1067500</v>
      </c>
      <c r="F1105" s="288">
        <f>ROUND(IF($A1105="E",E1105*(1+Assumptions!C$15),E1105*(1+Assumptions!C$14)),-2)</f>
        <v>1083500</v>
      </c>
      <c r="G1105" s="288">
        <f>ROUND(IF($A1105="E",F1105*(1+Assumptions!D$15),F1105*(1+Assumptions!D$14)),-2)</f>
        <v>1105200</v>
      </c>
      <c r="H1105" s="288">
        <f>ROUND(IF($A1105="E",G1105*(1+Assumptions!E$15),G1105*(1+Assumptions!E$14)),-2)</f>
        <v>1127300</v>
      </c>
      <c r="I1105" s="288">
        <f>ROUND(IF($A1105="E",H1105*(1+Assumptions!F$15),H1105*(1+Assumptions!F$14)),-2)</f>
        <v>1149800</v>
      </c>
      <c r="J1105" s="288">
        <f>ROUND(IF($A1105="E",I1105*(1+Assumptions!G$15),I1105*(1+Assumptions!G$14)),-2)</f>
        <v>1172800</v>
      </c>
      <c r="K1105" s="288">
        <f>ROUND(IF($A1105="E",J1105*(1+Assumptions!H$15),J1105*(1+Assumptions!H$14)),-2)</f>
        <v>1196300</v>
      </c>
      <c r="L1105" s="288">
        <f>ROUND(IF($A1105="E",K1105*(1+Assumptions!I$15),K1105*(1+Assumptions!I$14)),-2)</f>
        <v>1226200</v>
      </c>
      <c r="M1105" s="288">
        <f>ROUND(IF($A1105="E",L1105*(1+Assumptions!J$15),L1105*(1+Assumptions!J$14)),-2)</f>
        <v>1256900</v>
      </c>
      <c r="N1105" s="288">
        <f>ROUND(IF($A1105="E",M1105*(1+Assumptions!K$15),M1105*(1+Assumptions!K$14)),-2)</f>
        <v>1288300</v>
      </c>
    </row>
    <row r="1106" spans="1:14" x14ac:dyDescent="0.25">
      <c r="B1106" s="16" t="s">
        <v>43</v>
      </c>
      <c r="C1106" s="16" t="s">
        <v>1830</v>
      </c>
      <c r="D1106" s="16" t="s">
        <v>1831</v>
      </c>
      <c r="E1106" s="289"/>
      <c r="F1106" s="289"/>
      <c r="G1106" s="289"/>
      <c r="H1106" s="289"/>
      <c r="I1106" s="289"/>
      <c r="J1106" s="289"/>
      <c r="K1106" s="289"/>
      <c r="L1106" s="289"/>
      <c r="M1106" s="289"/>
      <c r="N1106" s="289"/>
    </row>
    <row r="1107" spans="1:14" x14ac:dyDescent="0.25">
      <c r="B1107" s="16" t="s">
        <v>43</v>
      </c>
      <c r="C1107" s="16" t="s">
        <v>1832</v>
      </c>
      <c r="D1107" s="16" t="s">
        <v>1833</v>
      </c>
      <c r="E1107" s="288">
        <v>15600</v>
      </c>
      <c r="F1107" s="288">
        <f>ROUND(IF($A1107="E",E1107*(1+Assumptions!C$15),E1107*(1+Assumptions!C$14)),-2)</f>
        <v>15800</v>
      </c>
      <c r="G1107" s="288">
        <f>ROUND(IF($A1107="E",F1107*(1+Assumptions!D$15),F1107*(1+Assumptions!D$14)),-2)</f>
        <v>16100</v>
      </c>
      <c r="H1107" s="288">
        <f>ROUND(IF($A1107="E",G1107*(1+Assumptions!E$15),G1107*(1+Assumptions!E$14)),-2)</f>
        <v>16400</v>
      </c>
      <c r="I1107" s="288">
        <f>ROUND(IF($A1107="E",H1107*(1+Assumptions!F$15),H1107*(1+Assumptions!F$14)),-2)</f>
        <v>16700</v>
      </c>
      <c r="J1107" s="288">
        <f>ROUND(IF($A1107="E",I1107*(1+Assumptions!G$15),I1107*(1+Assumptions!G$14)),-2)</f>
        <v>17000</v>
      </c>
      <c r="K1107" s="288">
        <f>ROUND(IF($A1107="E",J1107*(1+Assumptions!H$15),J1107*(1+Assumptions!H$14)),-2)</f>
        <v>17300</v>
      </c>
      <c r="L1107" s="288">
        <f>ROUND(IF($A1107="E",K1107*(1+Assumptions!I$15),K1107*(1+Assumptions!I$14)),-2)</f>
        <v>17700</v>
      </c>
      <c r="M1107" s="288">
        <f>ROUND(IF($A1107="E",L1107*(1+Assumptions!J$15),L1107*(1+Assumptions!J$14)),-2)</f>
        <v>18100</v>
      </c>
      <c r="N1107" s="288">
        <f>ROUND(IF($A1107="E",M1107*(1+Assumptions!K$15),M1107*(1+Assumptions!K$14)),-2)</f>
        <v>18600</v>
      </c>
    </row>
    <row r="1108" spans="1:14" x14ac:dyDescent="0.25">
      <c r="B1108" s="16" t="s">
        <v>43</v>
      </c>
      <c r="C1108" s="16" t="s">
        <v>1834</v>
      </c>
      <c r="D1108" s="16" t="s">
        <v>492</v>
      </c>
      <c r="E1108" s="288">
        <v>700</v>
      </c>
      <c r="F1108" s="288">
        <f>ROUND(IF($A1108="E",E1108*(1+Assumptions!C$15),E1108*(1+Assumptions!C$14)),-2)</f>
        <v>700</v>
      </c>
      <c r="G1108" s="288">
        <f>ROUND(IF($A1108="E",F1108*(1+Assumptions!D$15),F1108*(1+Assumptions!D$14)),-2)</f>
        <v>700</v>
      </c>
      <c r="H1108" s="288">
        <f>ROUND(IF($A1108="E",G1108*(1+Assumptions!E$15),G1108*(1+Assumptions!E$14)),-2)</f>
        <v>700</v>
      </c>
      <c r="I1108" s="288">
        <f>ROUND(IF($A1108="E",H1108*(1+Assumptions!F$15),H1108*(1+Assumptions!F$14)),-2)</f>
        <v>700</v>
      </c>
      <c r="J1108" s="288">
        <f>ROUND(IF($A1108="E",I1108*(1+Assumptions!G$15),I1108*(1+Assumptions!G$14)),-2)</f>
        <v>700</v>
      </c>
      <c r="K1108" s="288">
        <f>ROUND(IF($A1108="E",J1108*(1+Assumptions!H$15),J1108*(1+Assumptions!H$14)),-2)</f>
        <v>700</v>
      </c>
      <c r="L1108" s="288">
        <f>ROUND(IF($A1108="E",K1108*(1+Assumptions!I$15),K1108*(1+Assumptions!I$14)),-2)</f>
        <v>700</v>
      </c>
      <c r="M1108" s="288">
        <f>ROUND(IF($A1108="E",L1108*(1+Assumptions!J$15),L1108*(1+Assumptions!J$14)),-2)</f>
        <v>700</v>
      </c>
      <c r="N1108" s="288">
        <f>ROUND(IF($A1108="E",M1108*(1+Assumptions!K$15),M1108*(1+Assumptions!K$14)),-2)</f>
        <v>700</v>
      </c>
    </row>
    <row r="1109" spans="1:14" x14ac:dyDescent="0.25">
      <c r="B1109" s="16" t="s">
        <v>43</v>
      </c>
      <c r="C1109" s="16" t="s">
        <v>1835</v>
      </c>
      <c r="D1109" s="16" t="s">
        <v>1836</v>
      </c>
      <c r="E1109" s="288">
        <v>5500</v>
      </c>
      <c r="F1109" s="288">
        <f>ROUND(IF($A1109="E",E1109*(1+Assumptions!C$15),E1109*(1+Assumptions!C$14)),-2)</f>
        <v>5600</v>
      </c>
      <c r="G1109" s="288">
        <f>ROUND(IF($A1109="E",F1109*(1+Assumptions!D$15),F1109*(1+Assumptions!D$14)),-2)</f>
        <v>5700</v>
      </c>
      <c r="H1109" s="288">
        <f>ROUND(IF($A1109="E",G1109*(1+Assumptions!E$15),G1109*(1+Assumptions!E$14)),-2)</f>
        <v>5800</v>
      </c>
      <c r="I1109" s="288">
        <f>ROUND(IF($A1109="E",H1109*(1+Assumptions!F$15),H1109*(1+Assumptions!F$14)),-2)</f>
        <v>5900</v>
      </c>
      <c r="J1109" s="288">
        <f>ROUND(IF($A1109="E",I1109*(1+Assumptions!G$15),I1109*(1+Assumptions!G$14)),-2)</f>
        <v>6000</v>
      </c>
      <c r="K1109" s="288">
        <f>ROUND(IF($A1109="E",J1109*(1+Assumptions!H$15),J1109*(1+Assumptions!H$14)),-2)</f>
        <v>6100</v>
      </c>
      <c r="L1109" s="288">
        <f>ROUND(IF($A1109="E",K1109*(1+Assumptions!I$15),K1109*(1+Assumptions!I$14)),-2)</f>
        <v>6300</v>
      </c>
      <c r="M1109" s="288">
        <f>ROUND(IF($A1109="E",L1109*(1+Assumptions!J$15),L1109*(1+Assumptions!J$14)),-2)</f>
        <v>6500</v>
      </c>
      <c r="N1109" s="288">
        <f>ROUND(IF($A1109="E",M1109*(1+Assumptions!K$15),M1109*(1+Assumptions!K$14)),-2)</f>
        <v>6700</v>
      </c>
    </row>
    <row r="1110" spans="1:14" x14ac:dyDescent="0.25">
      <c r="B1110" s="16" t="s">
        <v>43</v>
      </c>
      <c r="C1110" s="16" t="s">
        <v>1837</v>
      </c>
      <c r="D1110" s="16" t="s">
        <v>1838</v>
      </c>
      <c r="E1110" s="288">
        <v>9000</v>
      </c>
      <c r="F1110" s="288">
        <f>ROUND(IF($A1110="E",E1110*(1+Assumptions!C$15),E1110*(1+Assumptions!C$14)),-2)</f>
        <v>9100</v>
      </c>
      <c r="G1110" s="288">
        <f>ROUND(IF($A1110="E",F1110*(1+Assumptions!D$15),F1110*(1+Assumptions!D$14)),-2)</f>
        <v>9300</v>
      </c>
      <c r="H1110" s="288">
        <f>ROUND(IF($A1110="E",G1110*(1+Assumptions!E$15),G1110*(1+Assumptions!E$14)),-2)</f>
        <v>9500</v>
      </c>
      <c r="I1110" s="288">
        <f>ROUND(IF($A1110="E",H1110*(1+Assumptions!F$15),H1110*(1+Assumptions!F$14)),-2)</f>
        <v>9700</v>
      </c>
      <c r="J1110" s="288">
        <f>ROUND(IF($A1110="E",I1110*(1+Assumptions!G$15),I1110*(1+Assumptions!G$14)),-2)</f>
        <v>9900</v>
      </c>
      <c r="K1110" s="288">
        <f>ROUND(IF($A1110="E",J1110*(1+Assumptions!H$15),J1110*(1+Assumptions!H$14)),-2)</f>
        <v>10100</v>
      </c>
      <c r="L1110" s="288">
        <f>ROUND(IF($A1110="E",K1110*(1+Assumptions!I$15),K1110*(1+Assumptions!I$14)),-2)</f>
        <v>10400</v>
      </c>
      <c r="M1110" s="288">
        <f>ROUND(IF($A1110="E",L1110*(1+Assumptions!J$15),L1110*(1+Assumptions!J$14)),-2)</f>
        <v>10700</v>
      </c>
      <c r="N1110" s="288">
        <f>ROUND(IF($A1110="E",M1110*(1+Assumptions!K$15),M1110*(1+Assumptions!K$14)),-2)</f>
        <v>11000</v>
      </c>
    </row>
    <row r="1111" spans="1:14" x14ac:dyDescent="0.25">
      <c r="B1111" s="16" t="s">
        <v>43</v>
      </c>
      <c r="C1111" s="16" t="s">
        <v>1839</v>
      </c>
      <c r="D1111" s="16" t="s">
        <v>1840</v>
      </c>
      <c r="E1111" s="288">
        <v>105000</v>
      </c>
      <c r="F1111" s="288">
        <f>ROUND(IF($A1111="E",E1111*(1+Assumptions!C$15),E1111*(1+Assumptions!C$14)),-2)</f>
        <v>106600</v>
      </c>
      <c r="G1111" s="288">
        <f>ROUND(IF($A1111="E",F1111*(1+Assumptions!D$15),F1111*(1+Assumptions!D$14)),-2)</f>
        <v>108700</v>
      </c>
      <c r="H1111" s="288">
        <f>ROUND(IF($A1111="E",G1111*(1+Assumptions!E$15),G1111*(1+Assumptions!E$14)),-2)</f>
        <v>110900</v>
      </c>
      <c r="I1111" s="288">
        <f>ROUND(IF($A1111="E",H1111*(1+Assumptions!F$15),H1111*(1+Assumptions!F$14)),-2)</f>
        <v>113100</v>
      </c>
      <c r="J1111" s="288">
        <f>ROUND(IF($A1111="E",I1111*(1+Assumptions!G$15),I1111*(1+Assumptions!G$14)),-2)</f>
        <v>115400</v>
      </c>
      <c r="K1111" s="288">
        <f>ROUND(IF($A1111="E",J1111*(1+Assumptions!H$15),J1111*(1+Assumptions!H$14)),-2)</f>
        <v>117700</v>
      </c>
      <c r="L1111" s="288">
        <f>ROUND(IF($A1111="E",K1111*(1+Assumptions!I$15),K1111*(1+Assumptions!I$14)),-2)</f>
        <v>120600</v>
      </c>
      <c r="M1111" s="288">
        <f>ROUND(IF($A1111="E",L1111*(1+Assumptions!J$15),L1111*(1+Assumptions!J$14)),-2)</f>
        <v>123600</v>
      </c>
      <c r="N1111" s="288">
        <f>ROUND(IF($A1111="E",M1111*(1+Assumptions!K$15),M1111*(1+Assumptions!K$14)),-2)</f>
        <v>126700</v>
      </c>
    </row>
    <row r="1112" spans="1:14" x14ac:dyDescent="0.25">
      <c r="B1112" s="16" t="s">
        <v>43</v>
      </c>
      <c r="C1112" s="16" t="s">
        <v>1841</v>
      </c>
      <c r="D1112" s="16" t="s">
        <v>1842</v>
      </c>
      <c r="E1112" s="288">
        <v>5000</v>
      </c>
      <c r="F1112" s="288">
        <f>ROUND(IF($A1112="E",E1112*(1+Assumptions!C$15),E1112*(1+Assumptions!C$14)),-2)</f>
        <v>5100</v>
      </c>
      <c r="G1112" s="288">
        <f>ROUND(IF($A1112="E",F1112*(1+Assumptions!D$15),F1112*(1+Assumptions!D$14)),-2)</f>
        <v>5200</v>
      </c>
      <c r="H1112" s="288">
        <f>ROUND(IF($A1112="E",G1112*(1+Assumptions!E$15),G1112*(1+Assumptions!E$14)),-2)</f>
        <v>5300</v>
      </c>
      <c r="I1112" s="288">
        <f>ROUND(IF($A1112="E",H1112*(1+Assumptions!F$15),H1112*(1+Assumptions!F$14)),-2)</f>
        <v>5400</v>
      </c>
      <c r="J1112" s="288">
        <f>ROUND(IF($A1112="E",I1112*(1+Assumptions!G$15),I1112*(1+Assumptions!G$14)),-2)</f>
        <v>5500</v>
      </c>
      <c r="K1112" s="288">
        <f>ROUND(IF($A1112="E",J1112*(1+Assumptions!H$15),J1112*(1+Assumptions!H$14)),-2)</f>
        <v>5600</v>
      </c>
      <c r="L1112" s="288">
        <f>ROUND(IF($A1112="E",K1112*(1+Assumptions!I$15),K1112*(1+Assumptions!I$14)),-2)</f>
        <v>5700</v>
      </c>
      <c r="M1112" s="288">
        <f>ROUND(IF($A1112="E",L1112*(1+Assumptions!J$15),L1112*(1+Assumptions!J$14)),-2)</f>
        <v>5800</v>
      </c>
      <c r="N1112" s="288">
        <f>ROUND(IF($A1112="E",M1112*(1+Assumptions!K$15),M1112*(1+Assumptions!K$14)),-2)</f>
        <v>5900</v>
      </c>
    </row>
    <row r="1113" spans="1:14" x14ac:dyDescent="0.25">
      <c r="B1113" s="16" t="s">
        <v>41</v>
      </c>
      <c r="C1113" s="16" t="s">
        <v>1843</v>
      </c>
      <c r="D1113" s="16" t="s">
        <v>1844</v>
      </c>
      <c r="E1113" s="289"/>
      <c r="F1113" s="289"/>
      <c r="G1113" s="289"/>
      <c r="H1113" s="289"/>
      <c r="I1113" s="289"/>
      <c r="J1113" s="289"/>
      <c r="K1113" s="289"/>
      <c r="L1113" s="289"/>
      <c r="M1113" s="289"/>
      <c r="N1113" s="289"/>
    </row>
    <row r="1114" spans="1:14" x14ac:dyDescent="0.25">
      <c r="B1114" s="16" t="s">
        <v>41</v>
      </c>
      <c r="C1114" s="16" t="s">
        <v>1845</v>
      </c>
      <c r="D1114" s="16" t="s">
        <v>201</v>
      </c>
      <c r="E1114" s="288">
        <v>137400</v>
      </c>
      <c r="F1114" s="288">
        <f>ROUND(IF($A1114="E",E1114*(1+Assumptions!C$15),E1114*(1+Assumptions!C$14)),-2)</f>
        <v>139500</v>
      </c>
      <c r="G1114" s="288">
        <f>ROUND(IF($A1114="E",F1114*(1+Assumptions!D$15),F1114*(1+Assumptions!D$14)),-2)</f>
        <v>142300</v>
      </c>
      <c r="H1114" s="288">
        <f>ROUND(IF($A1114="E",G1114*(1+Assumptions!E$15),G1114*(1+Assumptions!E$14)),-2)</f>
        <v>145100</v>
      </c>
      <c r="I1114" s="288">
        <f>ROUND(IF($A1114="E",H1114*(1+Assumptions!F$15),H1114*(1+Assumptions!F$14)),-2)</f>
        <v>148000</v>
      </c>
      <c r="J1114" s="288">
        <f>ROUND(IF($A1114="E",I1114*(1+Assumptions!G$15),I1114*(1+Assumptions!G$14)),-2)</f>
        <v>151000</v>
      </c>
      <c r="K1114" s="288">
        <f>ROUND(IF($A1114="E",J1114*(1+Assumptions!H$15),J1114*(1+Assumptions!H$14)),-2)</f>
        <v>154000</v>
      </c>
      <c r="L1114" s="288">
        <f>ROUND(IF($A1114="E",K1114*(1+Assumptions!I$15),K1114*(1+Assumptions!I$14)),-2)</f>
        <v>157900</v>
      </c>
      <c r="M1114" s="288">
        <f>ROUND(IF($A1114="E",L1114*(1+Assumptions!J$15),L1114*(1+Assumptions!J$14)),-2)</f>
        <v>161800</v>
      </c>
      <c r="N1114" s="288">
        <f>ROUND(IF($A1114="E",M1114*(1+Assumptions!K$15),M1114*(1+Assumptions!K$14)),-2)</f>
        <v>165800</v>
      </c>
    </row>
    <row r="1115" spans="1:14" x14ac:dyDescent="0.25">
      <c r="B1115" s="16" t="s">
        <v>43</v>
      </c>
      <c r="C1115" s="16" t="s">
        <v>1846</v>
      </c>
      <c r="D1115" s="16" t="s">
        <v>1847</v>
      </c>
      <c r="E1115" s="288">
        <v>5200</v>
      </c>
      <c r="F1115" s="288">
        <f>ROUND(IF($A1115="E",E1115*(1+Assumptions!C$15),E1115*(1+Assumptions!C$14)),-2)</f>
        <v>5300</v>
      </c>
      <c r="G1115" s="288">
        <f>ROUND(IF($A1115="E",F1115*(1+Assumptions!D$15),F1115*(1+Assumptions!D$14)),-2)</f>
        <v>5400</v>
      </c>
      <c r="H1115" s="288">
        <f>ROUND(IF($A1115="E",G1115*(1+Assumptions!E$15),G1115*(1+Assumptions!E$14)),-2)</f>
        <v>5500</v>
      </c>
      <c r="I1115" s="288">
        <f>ROUND(IF($A1115="E",H1115*(1+Assumptions!F$15),H1115*(1+Assumptions!F$14)),-2)</f>
        <v>5600</v>
      </c>
      <c r="J1115" s="288">
        <f>ROUND(IF($A1115="E",I1115*(1+Assumptions!G$15),I1115*(1+Assumptions!G$14)),-2)</f>
        <v>5700</v>
      </c>
      <c r="K1115" s="288">
        <f>ROUND(IF($A1115="E",J1115*(1+Assumptions!H$15),J1115*(1+Assumptions!H$14)),-2)</f>
        <v>5800</v>
      </c>
      <c r="L1115" s="288">
        <f>ROUND(IF($A1115="E",K1115*(1+Assumptions!I$15),K1115*(1+Assumptions!I$14)),-2)</f>
        <v>5900</v>
      </c>
      <c r="M1115" s="288">
        <f>ROUND(IF($A1115="E",L1115*(1+Assumptions!J$15),L1115*(1+Assumptions!J$14)),-2)</f>
        <v>6000</v>
      </c>
      <c r="N1115" s="288">
        <f>ROUND(IF($A1115="E",M1115*(1+Assumptions!K$15),M1115*(1+Assumptions!K$14)),-2)</f>
        <v>6200</v>
      </c>
    </row>
    <row r="1116" spans="1:14" x14ac:dyDescent="0.25">
      <c r="A1116" s="16" t="s">
        <v>4591</v>
      </c>
      <c r="B1116" s="397" t="s">
        <v>3231</v>
      </c>
      <c r="C1116" s="43" t="s">
        <v>3262</v>
      </c>
      <c r="D1116" s="16" t="s">
        <v>3264</v>
      </c>
      <c r="E1116" s="288">
        <v>271000</v>
      </c>
      <c r="F1116" s="288">
        <f>ROUND(IF($A1116="E",E1116*(1+Assumptions!C$15),E1116*(1+Assumptions!C$17)),-2)</f>
        <v>273700</v>
      </c>
      <c r="G1116" s="288">
        <f>ROUND(IF($A1116="E",F1116*(1+Assumptions!D$15),F1116*(1+Assumptions!D$17)),-2)</f>
        <v>276400</v>
      </c>
      <c r="H1116" s="288">
        <f>ROUND(IF($A1116="E",G1116*(1+Assumptions!E$15),G1116*(1+Assumptions!E$17)),-2)</f>
        <v>279200</v>
      </c>
      <c r="I1116" s="288">
        <f>ROUND(IF($A1116="E",H1116*(1+Assumptions!F$15),H1116*(1+Assumptions!F$17)),-2)</f>
        <v>282000</v>
      </c>
      <c r="J1116" s="288">
        <f>ROUND(IF($A1116="E",I1116*(1+Assumptions!G$15),I1116*(1+Assumptions!G$17)),-2)</f>
        <v>284800</v>
      </c>
      <c r="K1116" s="288">
        <f>ROUND(IF($A1116="E",J1116*(1+Assumptions!H$15),J1116*(1+Assumptions!H$17)),-2)</f>
        <v>287600</v>
      </c>
      <c r="L1116" s="288">
        <f>ROUND(IF($A1116="E",K1116*(1+Assumptions!I$15),K1116*(1+Assumptions!I$17)),-2)</f>
        <v>290500</v>
      </c>
      <c r="M1116" s="288">
        <f>ROUND(IF($A1116="E",L1116*(1+Assumptions!J$15),L1116*(1+Assumptions!J$17)),-2)</f>
        <v>293400</v>
      </c>
      <c r="N1116" s="288">
        <f>ROUND(IF($A1116="E",M1116*(1+Assumptions!K$15),M1116*(1+Assumptions!K$17)),-2)</f>
        <v>296300</v>
      </c>
    </row>
    <row r="1117" spans="1:14" x14ac:dyDescent="0.25">
      <c r="A1117" s="16" t="s">
        <v>4591</v>
      </c>
      <c r="B1117" s="397" t="s">
        <v>3231</v>
      </c>
      <c r="C1117" s="43" t="s">
        <v>3263</v>
      </c>
      <c r="D1117" s="16" t="s">
        <v>3265</v>
      </c>
      <c r="E1117" s="288">
        <v>329100</v>
      </c>
      <c r="F1117" s="288">
        <f>ROUND(IF($A1117="E",E1117*(1+Assumptions!C$15),E1117*(1+Assumptions!C$17)),-2)</f>
        <v>332400</v>
      </c>
      <c r="G1117" s="288">
        <f>ROUND(IF($A1117="E",F1117*(1+Assumptions!D$15),F1117*(1+Assumptions!D$17)),-2)</f>
        <v>335700</v>
      </c>
      <c r="H1117" s="288">
        <f>ROUND(IF($A1117="E",G1117*(1+Assumptions!E$15),G1117*(1+Assumptions!E$17)),-2)</f>
        <v>339100</v>
      </c>
      <c r="I1117" s="288">
        <f>ROUND(IF($A1117="E",H1117*(1+Assumptions!F$15),H1117*(1+Assumptions!F$17)),-2)</f>
        <v>342500</v>
      </c>
      <c r="J1117" s="288">
        <f>ROUND(IF($A1117="E",I1117*(1+Assumptions!G$15),I1117*(1+Assumptions!G$17)),-2)</f>
        <v>345900</v>
      </c>
      <c r="K1117" s="288">
        <f>ROUND(IF($A1117="E",J1117*(1+Assumptions!H$15),J1117*(1+Assumptions!H$17)),-2)</f>
        <v>349400</v>
      </c>
      <c r="L1117" s="288">
        <f>ROUND(IF($A1117="E",K1117*(1+Assumptions!I$15),K1117*(1+Assumptions!I$17)),-2)</f>
        <v>352900</v>
      </c>
      <c r="M1117" s="288">
        <f>ROUND(IF($A1117="E",L1117*(1+Assumptions!J$15),L1117*(1+Assumptions!J$17)),-2)</f>
        <v>356400</v>
      </c>
      <c r="N1117" s="288">
        <f>ROUND(IF($A1117="E",M1117*(1+Assumptions!K$15),M1117*(1+Assumptions!K$17)),-2)</f>
        <v>360000</v>
      </c>
    </row>
    <row r="1118" spans="1:14" ht="12.75" customHeight="1" x14ac:dyDescent="0.25">
      <c r="A1118" s="16" t="s">
        <v>4591</v>
      </c>
      <c r="B1118" s="397" t="s">
        <v>3231</v>
      </c>
      <c r="C1118" s="43" t="s">
        <v>3267</v>
      </c>
      <c r="D1118" s="16" t="s">
        <v>3266</v>
      </c>
      <c r="E1118" s="288">
        <v>38400</v>
      </c>
      <c r="F1118" s="288">
        <f>ROUND(IF($A1118="E",E1118*(1+Assumptions!C$15),E1118*(1+Assumptions!C$17)),-2)</f>
        <v>38800</v>
      </c>
      <c r="G1118" s="288">
        <f>ROUND(IF($A1118="E",F1118*(1+Assumptions!D$15),F1118*(1+Assumptions!D$17)),-2)</f>
        <v>39200</v>
      </c>
      <c r="H1118" s="288">
        <f>ROUND(IF($A1118="E",G1118*(1+Assumptions!E$15),G1118*(1+Assumptions!E$17)),-2)</f>
        <v>39600</v>
      </c>
      <c r="I1118" s="288">
        <f>ROUND(IF($A1118="E",H1118*(1+Assumptions!F$15),H1118*(1+Assumptions!F$17)),-2)</f>
        <v>40000</v>
      </c>
      <c r="J1118" s="288">
        <f>ROUND(IF($A1118="E",I1118*(1+Assumptions!G$15),I1118*(1+Assumptions!G$17)),-2)</f>
        <v>40400</v>
      </c>
      <c r="K1118" s="288">
        <f>ROUND(IF($A1118="E",J1118*(1+Assumptions!H$15),J1118*(1+Assumptions!H$17)),-2)</f>
        <v>40800</v>
      </c>
      <c r="L1118" s="288">
        <f>ROUND(IF($A1118="E",K1118*(1+Assumptions!I$15),K1118*(1+Assumptions!I$17)),-2)</f>
        <v>41200</v>
      </c>
      <c r="M1118" s="288">
        <f>ROUND(IF($A1118="E",L1118*(1+Assumptions!J$15),L1118*(1+Assumptions!J$17)),-2)</f>
        <v>41600</v>
      </c>
      <c r="N1118" s="288">
        <f>ROUND(IF($A1118="E",M1118*(1+Assumptions!K$15),M1118*(1+Assumptions!K$17)),-2)</f>
        <v>42000</v>
      </c>
    </row>
    <row r="1119" spans="1:14" ht="12.75" customHeight="1" x14ac:dyDescent="0.25">
      <c r="A1119" s="16" t="s">
        <v>4591</v>
      </c>
      <c r="B1119" s="397" t="s">
        <v>3231</v>
      </c>
      <c r="C1119" s="43" t="s">
        <v>3268</v>
      </c>
      <c r="D1119" s="16" t="s">
        <v>3269</v>
      </c>
      <c r="E1119" s="288">
        <v>0</v>
      </c>
      <c r="F1119" s="288">
        <f>ROUND(IF($A1119="E",E1119*(1+Assumptions!C$15),E1119*(1+Assumptions!C$17)),-2)</f>
        <v>0</v>
      </c>
      <c r="G1119" s="288">
        <f>ROUND(IF($A1119="E",F1119*(1+Assumptions!D$15),F1119*(1+Assumptions!D$17)),-2)</f>
        <v>0</v>
      </c>
      <c r="H1119" s="288">
        <f>ROUND(IF($A1119="E",G1119*(1+Assumptions!E$15),G1119*(1+Assumptions!E$17)),-2)</f>
        <v>0</v>
      </c>
      <c r="I1119" s="288">
        <f>ROUND(IF($A1119="E",H1119*(1+Assumptions!F$15),H1119*(1+Assumptions!F$17)),-2)</f>
        <v>0</v>
      </c>
      <c r="J1119" s="288">
        <f>ROUND(IF($A1119="E",I1119*(1+Assumptions!G$15),I1119*(1+Assumptions!G$17)),-2)</f>
        <v>0</v>
      </c>
      <c r="K1119" s="288">
        <f>ROUND(IF($A1119="E",J1119*(1+Assumptions!H$15),J1119*(1+Assumptions!H$17)),-2)</f>
        <v>0</v>
      </c>
      <c r="L1119" s="288">
        <f>ROUND(IF($A1119="E",K1119*(1+Assumptions!I$15),K1119*(1+Assumptions!I$17)),-2)</f>
        <v>0</v>
      </c>
      <c r="M1119" s="288">
        <f>ROUND(IF($A1119="E",L1119*(1+Assumptions!J$15),L1119*(1+Assumptions!J$17)),-2)</f>
        <v>0</v>
      </c>
      <c r="N1119" s="288">
        <f>ROUND(IF($A1119="E",M1119*(1+Assumptions!K$15),M1119*(1+Assumptions!K$17)),-2)</f>
        <v>0</v>
      </c>
    </row>
    <row r="1120" spans="1:14" ht="12.75" customHeight="1" x14ac:dyDescent="0.25">
      <c r="B1120" s="16" t="s">
        <v>43</v>
      </c>
      <c r="C1120" s="43"/>
      <c r="E1120" s="288"/>
      <c r="F1120" s="288"/>
      <c r="G1120" s="288"/>
      <c r="H1120" s="288"/>
      <c r="I1120" s="288"/>
      <c r="J1120" s="288"/>
      <c r="K1120" s="288"/>
      <c r="L1120" s="288"/>
      <c r="M1120" s="288"/>
      <c r="N1120" s="288"/>
    </row>
    <row r="1121" spans="2:14" ht="12.75" customHeight="1" x14ac:dyDescent="0.25">
      <c r="B1121" s="16" t="s">
        <v>43</v>
      </c>
      <c r="C1121" s="43"/>
      <c r="D1121" s="469" t="s">
        <v>4621</v>
      </c>
      <c r="E1121" s="288"/>
      <c r="F1121" s="288">
        <f>'reservecalc-internal'!B1523</f>
        <v>0</v>
      </c>
      <c r="G1121" s="288">
        <f>'reservecalc-internal'!C1523</f>
        <v>0</v>
      </c>
      <c r="H1121" s="288">
        <f>'reservecalc-internal'!D1523</f>
        <v>0</v>
      </c>
      <c r="I1121" s="288">
        <f>'reservecalc-internal'!E1523</f>
        <v>0</v>
      </c>
      <c r="J1121" s="288">
        <f>'reservecalc-internal'!F1523</f>
        <v>0</v>
      </c>
      <c r="K1121" s="288">
        <f>'reservecalc-internal'!G1523</f>
        <v>0</v>
      </c>
      <c r="L1121" s="288">
        <f>'reservecalc-internal'!H1523</f>
        <v>0</v>
      </c>
      <c r="M1121" s="288">
        <f>'reservecalc-internal'!I1523</f>
        <v>0</v>
      </c>
      <c r="N1121" s="288">
        <f>'reservecalc-internal'!J1523</f>
        <v>0</v>
      </c>
    </row>
    <row r="1122" spans="2:14" ht="12.75" customHeight="1" x14ac:dyDescent="0.25">
      <c r="E1122" s="288"/>
      <c r="F1122" s="288"/>
      <c r="G1122" s="288"/>
      <c r="H1122" s="288"/>
      <c r="I1122" s="288"/>
      <c r="J1122" s="288"/>
      <c r="K1122" s="288"/>
      <c r="L1122" s="288"/>
      <c r="M1122" s="288"/>
      <c r="N1122" s="288"/>
    </row>
    <row r="1123" spans="2:14" ht="12.75" customHeight="1" x14ac:dyDescent="0.25">
      <c r="D1123" s="19" t="s">
        <v>3234</v>
      </c>
      <c r="E1123" s="291">
        <f>SUM(E1013:E1122)</f>
        <v>5571100</v>
      </c>
      <c r="F1123" s="291">
        <f t="shared" ref="F1123:N1123" si="33">SUM(F1013:F1122)</f>
        <v>5639800</v>
      </c>
      <c r="G1123" s="291">
        <f t="shared" si="33"/>
        <v>5733600</v>
      </c>
      <c r="H1123" s="291">
        <f t="shared" si="33"/>
        <v>5831800</v>
      </c>
      <c r="I1123" s="291">
        <f t="shared" si="33"/>
        <v>5935100</v>
      </c>
      <c r="J1123" s="291">
        <f t="shared" si="33"/>
        <v>6040400</v>
      </c>
      <c r="K1123" s="291">
        <f t="shared" si="33"/>
        <v>6147300</v>
      </c>
      <c r="L1123" s="291">
        <f t="shared" si="33"/>
        <v>6283300</v>
      </c>
      <c r="M1123" s="291">
        <f t="shared" si="33"/>
        <v>6422000</v>
      </c>
      <c r="N1123" s="291">
        <f t="shared" si="33"/>
        <v>6563700</v>
      </c>
    </row>
    <row r="1124" spans="2:14" x14ac:dyDescent="0.25">
      <c r="C1124" s="16" t="s">
        <v>315</v>
      </c>
      <c r="E1124" s="288"/>
      <c r="F1124" s="288"/>
      <c r="G1124" s="288"/>
      <c r="H1124" s="288"/>
      <c r="I1124" s="288"/>
      <c r="J1124" s="288"/>
      <c r="K1124" s="288"/>
      <c r="L1124" s="288"/>
      <c r="M1124" s="288"/>
      <c r="N1124" s="288"/>
    </row>
    <row r="1125" spans="2:14" x14ac:dyDescent="0.25">
      <c r="B1125" s="16" t="s">
        <v>3228</v>
      </c>
      <c r="C1125" s="16" t="s">
        <v>1848</v>
      </c>
      <c r="D1125" s="16" t="s">
        <v>1849</v>
      </c>
      <c r="E1125" s="289"/>
      <c r="F1125" s="289"/>
      <c r="G1125" s="289"/>
      <c r="H1125" s="289"/>
      <c r="I1125" s="289"/>
      <c r="J1125" s="289"/>
      <c r="K1125" s="289"/>
      <c r="L1125" s="289"/>
      <c r="M1125" s="289"/>
      <c r="N1125" s="289"/>
    </row>
    <row r="1126" spans="2:14" x14ac:dyDescent="0.25">
      <c r="B1126" s="16" t="s">
        <v>3228</v>
      </c>
      <c r="C1126" s="16" t="s">
        <v>1850</v>
      </c>
      <c r="D1126" s="16" t="s">
        <v>1851</v>
      </c>
      <c r="E1126" s="288">
        <v>-2200</v>
      </c>
      <c r="F1126" s="288">
        <f>ROUND(E1126+(E1126*Assumptions!C$13),-2)</f>
        <v>-2200</v>
      </c>
      <c r="G1126" s="288">
        <f>ROUND(F1126+(F1126*Assumptions!D$13),-2)</f>
        <v>-2300</v>
      </c>
      <c r="H1126" s="288">
        <f>ROUND(G1126+(G1126*Assumptions!E$13),-2)</f>
        <v>-2400</v>
      </c>
      <c r="I1126" s="288">
        <f>ROUND(H1126+(H1126*Assumptions!F$13),-2)</f>
        <v>-2500</v>
      </c>
      <c r="J1126" s="288">
        <f>ROUND(I1126+(I1126*Assumptions!G$13),-2)</f>
        <v>-2600</v>
      </c>
      <c r="K1126" s="288">
        <f>ROUND(J1126+(J1126*Assumptions!H$13),-2)</f>
        <v>-2700</v>
      </c>
      <c r="L1126" s="288">
        <f>ROUND(K1126+(K1126*Assumptions!I$13),-2)</f>
        <v>-2800</v>
      </c>
      <c r="M1126" s="288">
        <f>ROUND(L1126+(L1126*Assumptions!J$13),-2)</f>
        <v>-2900</v>
      </c>
      <c r="N1126" s="288">
        <f>ROUND(M1126+(M1126*Assumptions!K$13),-2)</f>
        <v>-3000</v>
      </c>
    </row>
    <row r="1127" spans="2:14" x14ac:dyDescent="0.25">
      <c r="B1127" s="16" t="s">
        <v>3228</v>
      </c>
      <c r="C1127" s="16" t="s">
        <v>1852</v>
      </c>
      <c r="D1127" s="16" t="s">
        <v>1853</v>
      </c>
      <c r="E1127" s="289"/>
      <c r="F1127" s="289"/>
      <c r="G1127" s="289"/>
      <c r="H1127" s="289"/>
      <c r="I1127" s="289"/>
      <c r="J1127" s="289"/>
      <c r="K1127" s="289"/>
      <c r="L1127" s="289"/>
      <c r="M1127" s="289"/>
      <c r="N1127" s="289"/>
    </row>
    <row r="1128" spans="2:14" x14ac:dyDescent="0.25">
      <c r="B1128" s="16" t="s">
        <v>3228</v>
      </c>
      <c r="C1128" s="16" t="s">
        <v>1854</v>
      </c>
      <c r="D1128" s="16" t="s">
        <v>1855</v>
      </c>
      <c r="E1128" s="288">
        <v>-7300</v>
      </c>
      <c r="F1128" s="288">
        <f>ROUND(E1128+(E1128*Assumptions!C$13),-2)</f>
        <v>-7400</v>
      </c>
      <c r="G1128" s="288">
        <f>ROUND(F1128+(F1128*Assumptions!D$13),-2)</f>
        <v>-7600</v>
      </c>
      <c r="H1128" s="288">
        <f>ROUND(G1128+(G1128*Assumptions!E$13),-2)</f>
        <v>-7800</v>
      </c>
      <c r="I1128" s="288">
        <f>ROUND(H1128+(H1128*Assumptions!F$13),-2)</f>
        <v>-8000</v>
      </c>
      <c r="J1128" s="288">
        <f>ROUND(I1128+(I1128*Assumptions!G$13),-2)</f>
        <v>-8200</v>
      </c>
      <c r="K1128" s="288">
        <f>ROUND(J1128+(J1128*Assumptions!H$13),-2)</f>
        <v>-8400</v>
      </c>
      <c r="L1128" s="288">
        <f>ROUND(K1128+(K1128*Assumptions!I$13),-2)</f>
        <v>-8600</v>
      </c>
      <c r="M1128" s="288">
        <f>ROUND(L1128+(L1128*Assumptions!J$13),-2)</f>
        <v>-8800</v>
      </c>
      <c r="N1128" s="288">
        <f>ROUND(M1128+(M1128*Assumptions!K$13),-2)</f>
        <v>-9000</v>
      </c>
    </row>
    <row r="1129" spans="2:14" x14ac:dyDescent="0.25">
      <c r="B1129" s="16" t="s">
        <v>3228</v>
      </c>
      <c r="C1129" s="16" t="s">
        <v>1856</v>
      </c>
      <c r="D1129" s="16" t="s">
        <v>1857</v>
      </c>
      <c r="E1129" s="288">
        <v>-300</v>
      </c>
      <c r="F1129" s="288">
        <f>ROUND(E1129+(E1129*Assumptions!C$13),-2)</f>
        <v>-300</v>
      </c>
      <c r="G1129" s="288">
        <f>ROUND(F1129+(F1129*Assumptions!D$13),-2)</f>
        <v>-300</v>
      </c>
      <c r="H1129" s="288">
        <f>ROUND(G1129+(G1129*Assumptions!E$13),-2)</f>
        <v>-300</v>
      </c>
      <c r="I1129" s="288">
        <f>ROUND(H1129+(H1129*Assumptions!F$13),-2)</f>
        <v>-300</v>
      </c>
      <c r="J1129" s="288">
        <f>ROUND(I1129+(I1129*Assumptions!G$13),-2)</f>
        <v>-300</v>
      </c>
      <c r="K1129" s="288">
        <f>ROUND(J1129+(J1129*Assumptions!H$13),-2)</f>
        <v>-300</v>
      </c>
      <c r="L1129" s="288">
        <f>ROUND(K1129+(K1129*Assumptions!I$13),-2)</f>
        <v>-300</v>
      </c>
      <c r="M1129" s="288">
        <f>ROUND(L1129+(L1129*Assumptions!J$13),-2)</f>
        <v>-300</v>
      </c>
      <c r="N1129" s="288">
        <f>ROUND(M1129+(M1129*Assumptions!K$13),-2)</f>
        <v>-300</v>
      </c>
    </row>
    <row r="1130" spans="2:14" x14ac:dyDescent="0.25">
      <c r="B1130" s="16" t="s">
        <v>3228</v>
      </c>
      <c r="C1130" s="16" t="s">
        <v>1858</v>
      </c>
      <c r="D1130" s="16" t="s">
        <v>1859</v>
      </c>
      <c r="E1130" s="289"/>
      <c r="F1130" s="289"/>
      <c r="G1130" s="289"/>
      <c r="H1130" s="289"/>
      <c r="I1130" s="289"/>
      <c r="J1130" s="289"/>
      <c r="K1130" s="289"/>
      <c r="L1130" s="289"/>
      <c r="M1130" s="289"/>
      <c r="N1130" s="289"/>
    </row>
    <row r="1131" spans="2:14" x14ac:dyDescent="0.25">
      <c r="B1131" s="16" t="s">
        <v>3228</v>
      </c>
      <c r="C1131" s="16" t="s">
        <v>1860</v>
      </c>
      <c r="D1131" s="16" t="s">
        <v>1861</v>
      </c>
      <c r="E1131" s="288">
        <v>-15100</v>
      </c>
      <c r="F1131" s="288">
        <f>ROUND(E1131+(E1131*Assumptions!C$13),-2)</f>
        <v>-15400</v>
      </c>
      <c r="G1131" s="288">
        <f>ROUND(F1131+(F1131*Assumptions!D$13),-2)</f>
        <v>-15800</v>
      </c>
      <c r="H1131" s="288">
        <f>ROUND(G1131+(G1131*Assumptions!E$13),-2)</f>
        <v>-16200</v>
      </c>
      <c r="I1131" s="288">
        <f>ROUND(H1131+(H1131*Assumptions!F$13),-2)</f>
        <v>-16600</v>
      </c>
      <c r="J1131" s="288">
        <f>ROUND(I1131+(I1131*Assumptions!G$13),-2)</f>
        <v>-17000</v>
      </c>
      <c r="K1131" s="288">
        <f>ROUND(J1131+(J1131*Assumptions!H$13),-2)</f>
        <v>-17400</v>
      </c>
      <c r="L1131" s="288">
        <f>ROUND(K1131+(K1131*Assumptions!I$13),-2)</f>
        <v>-17800</v>
      </c>
      <c r="M1131" s="288">
        <f>ROUND(L1131+(L1131*Assumptions!J$13),-2)</f>
        <v>-18200</v>
      </c>
      <c r="N1131" s="288">
        <f>ROUND(M1131+(M1131*Assumptions!K$13),-2)</f>
        <v>-18700</v>
      </c>
    </row>
    <row r="1132" spans="2:14" x14ac:dyDescent="0.25">
      <c r="B1132" s="16" t="s">
        <v>3228</v>
      </c>
      <c r="C1132" s="16" t="s">
        <v>1862</v>
      </c>
      <c r="D1132" s="16" t="s">
        <v>1863</v>
      </c>
      <c r="E1132" s="289"/>
      <c r="F1132" s="289"/>
      <c r="G1132" s="289"/>
      <c r="H1132" s="289"/>
      <c r="I1132" s="289"/>
      <c r="J1132" s="289"/>
      <c r="K1132" s="289"/>
      <c r="L1132" s="289"/>
      <c r="M1132" s="289"/>
      <c r="N1132" s="289"/>
    </row>
    <row r="1133" spans="2:14" x14ac:dyDescent="0.25">
      <c r="B1133" s="16" t="s">
        <v>3228</v>
      </c>
      <c r="C1133" s="16" t="s">
        <v>1864</v>
      </c>
      <c r="D1133" s="16" t="s">
        <v>1865</v>
      </c>
      <c r="E1133" s="288">
        <v>-109500</v>
      </c>
      <c r="F1133" s="288">
        <f>ROUND(E1133+(E1133*Assumptions!C$13),-2)</f>
        <v>-111700</v>
      </c>
      <c r="G1133" s="288">
        <f>ROUND(F1133+(F1133*Assumptions!D$13),-2)</f>
        <v>-114500</v>
      </c>
      <c r="H1133" s="288">
        <f>ROUND(G1133+(G1133*Assumptions!E$13),-2)</f>
        <v>-117400</v>
      </c>
      <c r="I1133" s="288">
        <f>ROUND(H1133+(H1133*Assumptions!F$13),-2)</f>
        <v>-120300</v>
      </c>
      <c r="J1133" s="288">
        <f>ROUND(I1133+(I1133*Assumptions!G$13),-2)</f>
        <v>-123300</v>
      </c>
      <c r="K1133" s="288">
        <f>ROUND(J1133+(J1133*Assumptions!H$13),-2)</f>
        <v>-126400</v>
      </c>
      <c r="L1133" s="288">
        <f>ROUND(K1133+(K1133*Assumptions!I$13),-2)</f>
        <v>-129600</v>
      </c>
      <c r="M1133" s="288">
        <f>ROUND(L1133+(L1133*Assumptions!J$13),-2)</f>
        <v>-132800</v>
      </c>
      <c r="N1133" s="288">
        <f>ROUND(M1133+(M1133*Assumptions!K$13),-2)</f>
        <v>-136100</v>
      </c>
    </row>
    <row r="1134" spans="2:14" x14ac:dyDescent="0.25">
      <c r="B1134" s="16" t="s">
        <v>3228</v>
      </c>
      <c r="C1134" s="16" t="s">
        <v>1866</v>
      </c>
      <c r="D1134" s="16" t="s">
        <v>1867</v>
      </c>
      <c r="E1134" s="288">
        <v>-200</v>
      </c>
      <c r="F1134" s="288">
        <f>ROUND(E1134+(E1134*Assumptions!C$13),-2)</f>
        <v>-200</v>
      </c>
      <c r="G1134" s="288">
        <f>ROUND(F1134+(F1134*Assumptions!D$13),-2)</f>
        <v>-200</v>
      </c>
      <c r="H1134" s="288">
        <f>ROUND(G1134+(G1134*Assumptions!E$13),-2)</f>
        <v>-200</v>
      </c>
      <c r="I1134" s="288">
        <f>ROUND(H1134+(H1134*Assumptions!F$13),-2)</f>
        <v>-200</v>
      </c>
      <c r="J1134" s="288">
        <f>ROUND(I1134+(I1134*Assumptions!G$13),-2)</f>
        <v>-200</v>
      </c>
      <c r="K1134" s="288">
        <f>ROUND(J1134+(J1134*Assumptions!H$13),-2)</f>
        <v>-200</v>
      </c>
      <c r="L1134" s="288">
        <f>ROUND(K1134+(K1134*Assumptions!I$13),-2)</f>
        <v>-200</v>
      </c>
      <c r="M1134" s="288">
        <f>ROUND(L1134+(L1134*Assumptions!J$13),-2)</f>
        <v>-200</v>
      </c>
      <c r="N1134" s="288">
        <f>ROUND(M1134+(M1134*Assumptions!K$13),-2)</f>
        <v>-200</v>
      </c>
    </row>
    <row r="1135" spans="2:14" x14ac:dyDescent="0.25">
      <c r="B1135" s="16" t="s">
        <v>3228</v>
      </c>
      <c r="C1135" s="16" t="s">
        <v>1868</v>
      </c>
      <c r="D1135" s="16" t="s">
        <v>1869</v>
      </c>
      <c r="E1135" s="289"/>
      <c r="F1135" s="289"/>
      <c r="G1135" s="289"/>
      <c r="H1135" s="289"/>
      <c r="I1135" s="289"/>
      <c r="J1135" s="289"/>
      <c r="K1135" s="289"/>
      <c r="L1135" s="289"/>
      <c r="M1135" s="289"/>
      <c r="N1135" s="289"/>
    </row>
    <row r="1136" spans="2:14" x14ac:dyDescent="0.25">
      <c r="B1136" s="16" t="s">
        <v>3228</v>
      </c>
      <c r="C1136" s="16" t="s">
        <v>1870</v>
      </c>
      <c r="D1136" s="16" t="s">
        <v>1871</v>
      </c>
      <c r="E1136" s="288">
        <v>-51600</v>
      </c>
      <c r="F1136" s="288">
        <f>ROUND(E1136+(E1136*Assumptions!C$13),-2)</f>
        <v>-52600</v>
      </c>
      <c r="G1136" s="288">
        <f>ROUND(F1136+(F1136*Assumptions!D$13),-2)</f>
        <v>-53900</v>
      </c>
      <c r="H1136" s="288">
        <f>ROUND(G1136+(G1136*Assumptions!E$13),-2)</f>
        <v>-55200</v>
      </c>
      <c r="I1136" s="288">
        <f>ROUND(H1136+(H1136*Assumptions!F$13),-2)</f>
        <v>-56600</v>
      </c>
      <c r="J1136" s="288">
        <f>ROUND(I1136+(I1136*Assumptions!G$13),-2)</f>
        <v>-58000</v>
      </c>
      <c r="K1136" s="288">
        <f>ROUND(J1136+(J1136*Assumptions!H$13),-2)</f>
        <v>-59500</v>
      </c>
      <c r="L1136" s="288">
        <f>ROUND(K1136+(K1136*Assumptions!I$13),-2)</f>
        <v>-61000</v>
      </c>
      <c r="M1136" s="288">
        <f>ROUND(L1136+(L1136*Assumptions!J$13),-2)</f>
        <v>-62500</v>
      </c>
      <c r="N1136" s="288">
        <f>ROUND(M1136+(M1136*Assumptions!K$13),-2)</f>
        <v>-64100</v>
      </c>
    </row>
    <row r="1137" spans="2:14" x14ac:dyDescent="0.25">
      <c r="B1137" s="16" t="s">
        <v>3228</v>
      </c>
      <c r="C1137" s="16" t="s">
        <v>1872</v>
      </c>
      <c r="D1137" s="16" t="s">
        <v>1873</v>
      </c>
      <c r="E1137" s="288">
        <v>-15600</v>
      </c>
      <c r="F1137" s="288">
        <f>ROUND(E1137+(E1137*Assumptions!C$13),-2)</f>
        <v>-15900</v>
      </c>
      <c r="G1137" s="288">
        <f>ROUND(F1137+(F1137*Assumptions!D$13),-2)</f>
        <v>-16300</v>
      </c>
      <c r="H1137" s="288">
        <f>ROUND(G1137+(G1137*Assumptions!E$13),-2)</f>
        <v>-16700</v>
      </c>
      <c r="I1137" s="288">
        <f>ROUND(H1137+(H1137*Assumptions!F$13),-2)</f>
        <v>-17100</v>
      </c>
      <c r="J1137" s="288">
        <f>ROUND(I1137+(I1137*Assumptions!G$13),-2)</f>
        <v>-17500</v>
      </c>
      <c r="K1137" s="288">
        <f>ROUND(J1137+(J1137*Assumptions!H$13),-2)</f>
        <v>-17900</v>
      </c>
      <c r="L1137" s="288">
        <f>ROUND(K1137+(K1137*Assumptions!I$13),-2)</f>
        <v>-18300</v>
      </c>
      <c r="M1137" s="288">
        <f>ROUND(L1137+(L1137*Assumptions!J$13),-2)</f>
        <v>-18800</v>
      </c>
      <c r="N1137" s="288">
        <f>ROUND(M1137+(M1137*Assumptions!K$13),-2)</f>
        <v>-19300</v>
      </c>
    </row>
    <row r="1138" spans="2:14" x14ac:dyDescent="0.25">
      <c r="B1138" s="16" t="s">
        <v>3228</v>
      </c>
      <c r="C1138" s="16" t="s">
        <v>1874</v>
      </c>
      <c r="D1138" s="16" t="s">
        <v>1875</v>
      </c>
      <c r="E1138" s="288">
        <v>-4300</v>
      </c>
      <c r="F1138" s="288">
        <f>ROUND(E1138+(E1138*Assumptions!C$13),-2)</f>
        <v>-4400</v>
      </c>
      <c r="G1138" s="288">
        <f>ROUND(F1138+(F1138*Assumptions!D$13),-2)</f>
        <v>-4500</v>
      </c>
      <c r="H1138" s="288">
        <f>ROUND(G1138+(G1138*Assumptions!E$13),-2)</f>
        <v>-4600</v>
      </c>
      <c r="I1138" s="288">
        <f>ROUND(H1138+(H1138*Assumptions!F$13),-2)</f>
        <v>-4700</v>
      </c>
      <c r="J1138" s="288">
        <f>ROUND(I1138+(I1138*Assumptions!G$13),-2)</f>
        <v>-4800</v>
      </c>
      <c r="K1138" s="288">
        <f>ROUND(J1138+(J1138*Assumptions!H$13),-2)</f>
        <v>-4900</v>
      </c>
      <c r="L1138" s="288">
        <f>ROUND(K1138+(K1138*Assumptions!I$13),-2)</f>
        <v>-5000</v>
      </c>
      <c r="M1138" s="288">
        <f>ROUND(L1138+(L1138*Assumptions!J$13),-2)</f>
        <v>-5100</v>
      </c>
      <c r="N1138" s="288">
        <f>ROUND(M1138+(M1138*Assumptions!K$13),-2)</f>
        <v>-5200</v>
      </c>
    </row>
    <row r="1139" spans="2:14" x14ac:dyDescent="0.25">
      <c r="B1139" s="16" t="s">
        <v>3228</v>
      </c>
      <c r="C1139" s="16" t="s">
        <v>1876</v>
      </c>
      <c r="D1139" s="16" t="s">
        <v>1877</v>
      </c>
      <c r="E1139" s="288">
        <v>-7600</v>
      </c>
      <c r="F1139" s="288">
        <f>ROUND(E1139+(E1139*Assumptions!C$13),-2)</f>
        <v>-7800</v>
      </c>
      <c r="G1139" s="288">
        <f>ROUND(F1139+(F1139*Assumptions!D$13),-2)</f>
        <v>-8000</v>
      </c>
      <c r="H1139" s="288">
        <f>ROUND(G1139+(G1139*Assumptions!E$13),-2)</f>
        <v>-8200</v>
      </c>
      <c r="I1139" s="288">
        <f>ROUND(H1139+(H1139*Assumptions!F$13),-2)</f>
        <v>-8400</v>
      </c>
      <c r="J1139" s="288">
        <f>ROUND(I1139+(I1139*Assumptions!G$13),-2)</f>
        <v>-8600</v>
      </c>
      <c r="K1139" s="288">
        <f>ROUND(J1139+(J1139*Assumptions!H$13),-2)</f>
        <v>-8800</v>
      </c>
      <c r="L1139" s="288">
        <f>ROUND(K1139+(K1139*Assumptions!I$13),-2)</f>
        <v>-9000</v>
      </c>
      <c r="M1139" s="288">
        <f>ROUND(L1139+(L1139*Assumptions!J$13),-2)</f>
        <v>-9200</v>
      </c>
      <c r="N1139" s="288">
        <f>ROUND(M1139+(M1139*Assumptions!K$13),-2)</f>
        <v>-9400</v>
      </c>
    </row>
    <row r="1140" spans="2:14" x14ac:dyDescent="0.25">
      <c r="B1140" s="16" t="s">
        <v>3228</v>
      </c>
      <c r="C1140" s="16" t="s">
        <v>1878</v>
      </c>
      <c r="D1140" s="16" t="s">
        <v>1879</v>
      </c>
      <c r="E1140" s="288">
        <v>-300</v>
      </c>
      <c r="F1140" s="288">
        <f>ROUND(E1140+(E1140*Assumptions!C$13),-2)</f>
        <v>-300</v>
      </c>
      <c r="G1140" s="288">
        <f>ROUND(F1140+(F1140*Assumptions!D$13),-2)</f>
        <v>-300</v>
      </c>
      <c r="H1140" s="288">
        <f>ROUND(G1140+(G1140*Assumptions!E$13),-2)</f>
        <v>-300</v>
      </c>
      <c r="I1140" s="288">
        <f>ROUND(H1140+(H1140*Assumptions!F$13),-2)</f>
        <v>-300</v>
      </c>
      <c r="J1140" s="288">
        <f>ROUND(I1140+(I1140*Assumptions!G$13),-2)</f>
        <v>-300</v>
      </c>
      <c r="K1140" s="288">
        <f>ROUND(J1140+(J1140*Assumptions!H$13),-2)</f>
        <v>-300</v>
      </c>
      <c r="L1140" s="288">
        <f>ROUND(K1140+(K1140*Assumptions!I$13),-2)</f>
        <v>-300</v>
      </c>
      <c r="M1140" s="288">
        <f>ROUND(L1140+(L1140*Assumptions!J$13),-2)</f>
        <v>-300</v>
      </c>
      <c r="N1140" s="288">
        <f>ROUND(M1140+(M1140*Assumptions!K$13),-2)</f>
        <v>-300</v>
      </c>
    </row>
    <row r="1141" spans="2:14" x14ac:dyDescent="0.25">
      <c r="B1141" s="16" t="s">
        <v>3228</v>
      </c>
      <c r="C1141" s="16" t="s">
        <v>1880</v>
      </c>
      <c r="D1141" s="16" t="s">
        <v>1230</v>
      </c>
      <c r="E1141" s="289"/>
      <c r="F1141" s="289"/>
      <c r="G1141" s="289"/>
      <c r="H1141" s="289"/>
      <c r="I1141" s="289"/>
      <c r="J1141" s="289"/>
      <c r="K1141" s="289"/>
      <c r="L1141" s="289"/>
      <c r="M1141" s="289"/>
      <c r="N1141" s="289"/>
    </row>
    <row r="1142" spans="2:14" x14ac:dyDescent="0.25">
      <c r="B1142" s="16" t="s">
        <v>3228</v>
      </c>
      <c r="C1142" s="16" t="s">
        <v>1881</v>
      </c>
      <c r="D1142" s="16" t="s">
        <v>1882</v>
      </c>
      <c r="E1142" s="288">
        <v>-189900</v>
      </c>
      <c r="F1142" s="288">
        <f>ROUND(E1142+(E1142*Assumptions!C$13),-2)</f>
        <v>-193700</v>
      </c>
      <c r="G1142" s="288">
        <f>ROUND(F1142+(F1142*Assumptions!D$13),-2)</f>
        <v>-198500</v>
      </c>
      <c r="H1142" s="288">
        <f>ROUND(G1142+(G1142*Assumptions!E$13),-2)</f>
        <v>-203500</v>
      </c>
      <c r="I1142" s="288">
        <f>ROUND(H1142+(H1142*Assumptions!F$13),-2)</f>
        <v>-208600</v>
      </c>
      <c r="J1142" s="288">
        <f>ROUND(I1142+(I1142*Assumptions!G$13),-2)</f>
        <v>-213800</v>
      </c>
      <c r="K1142" s="288">
        <f>ROUND(J1142+(J1142*Assumptions!H$13),-2)</f>
        <v>-219100</v>
      </c>
      <c r="L1142" s="288">
        <f>ROUND(K1142+(K1142*Assumptions!I$13),-2)</f>
        <v>-224600</v>
      </c>
      <c r="M1142" s="288">
        <f>ROUND(L1142+(L1142*Assumptions!J$13),-2)</f>
        <v>-230200</v>
      </c>
      <c r="N1142" s="288">
        <f>ROUND(M1142+(M1142*Assumptions!K$13),-2)</f>
        <v>-236000</v>
      </c>
    </row>
    <row r="1143" spans="2:14" x14ac:dyDescent="0.25">
      <c r="B1143" s="16" t="s">
        <v>3228</v>
      </c>
      <c r="C1143" s="16" t="s">
        <v>1883</v>
      </c>
      <c r="D1143" s="16" t="s">
        <v>1884</v>
      </c>
      <c r="E1143" s="288">
        <v>-24300</v>
      </c>
      <c r="F1143" s="288">
        <f>ROUND(E1143+(E1143*Assumptions!C$13),-2)</f>
        <v>-24800</v>
      </c>
      <c r="G1143" s="288">
        <f>ROUND(F1143+(F1143*Assumptions!D$13),-2)</f>
        <v>-25400</v>
      </c>
      <c r="H1143" s="288">
        <f>ROUND(G1143+(G1143*Assumptions!E$13),-2)</f>
        <v>-26000</v>
      </c>
      <c r="I1143" s="288">
        <f>ROUND(H1143+(H1143*Assumptions!F$13),-2)</f>
        <v>-26700</v>
      </c>
      <c r="J1143" s="288">
        <f>ROUND(I1143+(I1143*Assumptions!G$13),-2)</f>
        <v>-27400</v>
      </c>
      <c r="K1143" s="288">
        <f>ROUND(J1143+(J1143*Assumptions!H$13),-2)</f>
        <v>-28100</v>
      </c>
      <c r="L1143" s="288">
        <f>ROUND(K1143+(K1143*Assumptions!I$13),-2)</f>
        <v>-28800</v>
      </c>
      <c r="M1143" s="288">
        <f>ROUND(L1143+(L1143*Assumptions!J$13),-2)</f>
        <v>-29500</v>
      </c>
      <c r="N1143" s="288">
        <f>ROUND(M1143+(M1143*Assumptions!K$13),-2)</f>
        <v>-30200</v>
      </c>
    </row>
    <row r="1144" spans="2:14" x14ac:dyDescent="0.25">
      <c r="B1144" s="16" t="s">
        <v>3228</v>
      </c>
      <c r="C1144" s="16" t="s">
        <v>1885</v>
      </c>
      <c r="D1144" s="16" t="s">
        <v>1886</v>
      </c>
      <c r="E1144" s="289"/>
      <c r="F1144" s="289"/>
      <c r="G1144" s="289"/>
      <c r="H1144" s="289"/>
      <c r="I1144" s="289"/>
      <c r="J1144" s="289"/>
      <c r="K1144" s="289"/>
      <c r="L1144" s="289"/>
      <c r="M1144" s="289"/>
      <c r="N1144" s="289"/>
    </row>
    <row r="1145" spans="2:14" x14ac:dyDescent="0.25">
      <c r="B1145" s="16" t="s">
        <v>3228</v>
      </c>
      <c r="C1145" s="16" t="s">
        <v>1887</v>
      </c>
      <c r="D1145" s="16" t="s">
        <v>1888</v>
      </c>
      <c r="E1145" s="288">
        <v>-10300</v>
      </c>
      <c r="F1145" s="288">
        <f>ROUND(E1145+(E1145*Assumptions!C$13),-2)</f>
        <v>-10500</v>
      </c>
      <c r="G1145" s="288">
        <f>ROUND(F1145+(F1145*Assumptions!D$13),-2)</f>
        <v>-10800</v>
      </c>
      <c r="H1145" s="288">
        <f>ROUND(G1145+(G1145*Assumptions!E$13),-2)</f>
        <v>-11100</v>
      </c>
      <c r="I1145" s="288">
        <f>ROUND(H1145+(H1145*Assumptions!F$13),-2)</f>
        <v>-11400</v>
      </c>
      <c r="J1145" s="288">
        <f>ROUND(I1145+(I1145*Assumptions!G$13),-2)</f>
        <v>-11700</v>
      </c>
      <c r="K1145" s="288">
        <f>ROUND(J1145+(J1145*Assumptions!H$13),-2)</f>
        <v>-12000</v>
      </c>
      <c r="L1145" s="288">
        <f>ROUND(K1145+(K1145*Assumptions!I$13),-2)</f>
        <v>-12300</v>
      </c>
      <c r="M1145" s="288">
        <f>ROUND(L1145+(L1145*Assumptions!J$13),-2)</f>
        <v>-12600</v>
      </c>
      <c r="N1145" s="288">
        <f>ROUND(M1145+(M1145*Assumptions!K$13),-2)</f>
        <v>-12900</v>
      </c>
    </row>
    <row r="1146" spans="2:14" x14ac:dyDescent="0.25">
      <c r="B1146" s="16" t="s">
        <v>3228</v>
      </c>
      <c r="C1146" s="16" t="s">
        <v>1889</v>
      </c>
      <c r="D1146" s="16" t="s">
        <v>1890</v>
      </c>
      <c r="E1146" s="289"/>
      <c r="F1146" s="289"/>
      <c r="G1146" s="289"/>
      <c r="H1146" s="289"/>
      <c r="I1146" s="289"/>
      <c r="J1146" s="289"/>
      <c r="K1146" s="289"/>
      <c r="L1146" s="289"/>
      <c r="M1146" s="289"/>
      <c r="N1146" s="289"/>
    </row>
    <row r="1147" spans="2:14" x14ac:dyDescent="0.25">
      <c r="B1147" s="16" t="s">
        <v>3228</v>
      </c>
      <c r="C1147" s="16" t="s">
        <v>1891</v>
      </c>
      <c r="D1147" s="16" t="s">
        <v>1892</v>
      </c>
      <c r="E1147" s="288">
        <v>-3400</v>
      </c>
      <c r="F1147" s="288">
        <f>ROUND(E1147+(E1147*Assumptions!C$13),-2)</f>
        <v>-3500</v>
      </c>
      <c r="G1147" s="288">
        <f>ROUND(F1147+(F1147*Assumptions!D$13),-2)</f>
        <v>-3600</v>
      </c>
      <c r="H1147" s="288">
        <f>ROUND(G1147+(G1147*Assumptions!E$13),-2)</f>
        <v>-3700</v>
      </c>
      <c r="I1147" s="288">
        <f>ROUND(H1147+(H1147*Assumptions!F$13),-2)</f>
        <v>-3800</v>
      </c>
      <c r="J1147" s="288">
        <f>ROUND(I1147+(I1147*Assumptions!G$13),-2)</f>
        <v>-3900</v>
      </c>
      <c r="K1147" s="288">
        <f>ROUND(J1147+(J1147*Assumptions!H$13),-2)</f>
        <v>-4000</v>
      </c>
      <c r="L1147" s="288">
        <f>ROUND(K1147+(K1147*Assumptions!I$13),-2)</f>
        <v>-4100</v>
      </c>
      <c r="M1147" s="288">
        <f>ROUND(L1147+(L1147*Assumptions!J$13),-2)</f>
        <v>-4200</v>
      </c>
      <c r="N1147" s="288">
        <f>ROUND(M1147+(M1147*Assumptions!K$13),-2)</f>
        <v>-4300</v>
      </c>
    </row>
    <row r="1148" spans="2:14" x14ac:dyDescent="0.25">
      <c r="B1148" s="16" t="s">
        <v>3228</v>
      </c>
      <c r="C1148" s="16" t="s">
        <v>1893</v>
      </c>
      <c r="D1148" s="16" t="s">
        <v>1894</v>
      </c>
      <c r="E1148" s="289"/>
      <c r="F1148" s="289"/>
      <c r="G1148" s="289"/>
      <c r="H1148" s="289"/>
      <c r="I1148" s="289"/>
      <c r="J1148" s="289"/>
      <c r="K1148" s="289"/>
      <c r="L1148" s="289"/>
      <c r="M1148" s="289"/>
      <c r="N1148" s="289"/>
    </row>
    <row r="1149" spans="2:14" x14ac:dyDescent="0.25">
      <c r="B1149" s="16" t="s">
        <v>3228</v>
      </c>
      <c r="C1149" s="16" t="s">
        <v>1895</v>
      </c>
      <c r="D1149" s="16" t="s">
        <v>1896</v>
      </c>
      <c r="E1149" s="288">
        <v>-101700</v>
      </c>
      <c r="F1149" s="288">
        <f>ROUND(E1149+(E1149*Assumptions!C$13),-2)</f>
        <v>-103700</v>
      </c>
      <c r="G1149" s="288">
        <f>ROUND(F1149+(F1149*Assumptions!D$13),-2)</f>
        <v>-106300</v>
      </c>
      <c r="H1149" s="288">
        <f>ROUND(G1149+(G1149*Assumptions!E$13),-2)</f>
        <v>-109000</v>
      </c>
      <c r="I1149" s="288">
        <f>ROUND(H1149+(H1149*Assumptions!F$13),-2)</f>
        <v>-111700</v>
      </c>
      <c r="J1149" s="288">
        <f>ROUND(I1149+(I1149*Assumptions!G$13),-2)</f>
        <v>-114500</v>
      </c>
      <c r="K1149" s="288">
        <f>ROUND(J1149+(J1149*Assumptions!H$13),-2)</f>
        <v>-117400</v>
      </c>
      <c r="L1149" s="288">
        <f>ROUND(K1149+(K1149*Assumptions!I$13),-2)</f>
        <v>-120300</v>
      </c>
      <c r="M1149" s="288">
        <f>ROUND(L1149+(L1149*Assumptions!J$13),-2)</f>
        <v>-123300</v>
      </c>
      <c r="N1149" s="288">
        <f>ROUND(M1149+(M1149*Assumptions!K$13),-2)</f>
        <v>-126400</v>
      </c>
    </row>
    <row r="1150" spans="2:14" x14ac:dyDescent="0.25">
      <c r="B1150" s="16" t="s">
        <v>3228</v>
      </c>
      <c r="C1150" s="16" t="s">
        <v>1897</v>
      </c>
      <c r="D1150" s="16" t="s">
        <v>1898</v>
      </c>
      <c r="E1150" s="288">
        <v>-94100</v>
      </c>
      <c r="F1150" s="288">
        <f>ROUND(E1150+(E1150*Assumptions!C$13),-2)</f>
        <v>-96000</v>
      </c>
      <c r="G1150" s="288">
        <f>ROUND(F1150+(F1150*Assumptions!D$13),-2)</f>
        <v>-98400</v>
      </c>
      <c r="H1150" s="288">
        <f>ROUND(G1150+(G1150*Assumptions!E$13),-2)</f>
        <v>-100900</v>
      </c>
      <c r="I1150" s="288">
        <f>ROUND(H1150+(H1150*Assumptions!F$13),-2)</f>
        <v>-103400</v>
      </c>
      <c r="J1150" s="288">
        <f>ROUND(I1150+(I1150*Assumptions!G$13),-2)</f>
        <v>-106000</v>
      </c>
      <c r="K1150" s="288">
        <f>ROUND(J1150+(J1150*Assumptions!H$13),-2)</f>
        <v>-108700</v>
      </c>
      <c r="L1150" s="288">
        <f>ROUND(K1150+(K1150*Assumptions!I$13),-2)</f>
        <v>-111400</v>
      </c>
      <c r="M1150" s="288">
        <f>ROUND(L1150+(L1150*Assumptions!J$13),-2)</f>
        <v>-114200</v>
      </c>
      <c r="N1150" s="288">
        <f>ROUND(M1150+(M1150*Assumptions!K$13),-2)</f>
        <v>-117100</v>
      </c>
    </row>
    <row r="1151" spans="2:14" x14ac:dyDescent="0.25">
      <c r="B1151" s="16" t="s">
        <v>3228</v>
      </c>
      <c r="C1151" s="16" t="s">
        <v>1899</v>
      </c>
      <c r="D1151" s="16" t="s">
        <v>1900</v>
      </c>
      <c r="E1151" s="289"/>
      <c r="F1151" s="289"/>
      <c r="G1151" s="289"/>
      <c r="H1151" s="289"/>
      <c r="I1151" s="289"/>
      <c r="J1151" s="289"/>
      <c r="K1151" s="289"/>
      <c r="L1151" s="289"/>
      <c r="M1151" s="289"/>
      <c r="N1151" s="289"/>
    </row>
    <row r="1152" spans="2:14" x14ac:dyDescent="0.25">
      <c r="B1152" s="16" t="s">
        <v>3228</v>
      </c>
      <c r="C1152" s="16" t="s">
        <v>1901</v>
      </c>
      <c r="D1152" s="16" t="s">
        <v>1902</v>
      </c>
      <c r="E1152" s="288">
        <v>-196200</v>
      </c>
      <c r="F1152" s="288">
        <f>ROUND(E1152+(E1152*Assumptions!C$13),-2)</f>
        <v>-200100</v>
      </c>
      <c r="G1152" s="288">
        <f>ROUND(F1152+(F1152*Assumptions!D$13),-2)</f>
        <v>-205100</v>
      </c>
      <c r="H1152" s="288">
        <f>ROUND(G1152+(G1152*Assumptions!E$13),-2)</f>
        <v>-210200</v>
      </c>
      <c r="I1152" s="288">
        <f>ROUND(H1152+(H1152*Assumptions!F$13),-2)</f>
        <v>-215500</v>
      </c>
      <c r="J1152" s="288">
        <f>ROUND(I1152+(I1152*Assumptions!G$13),-2)</f>
        <v>-220900</v>
      </c>
      <c r="K1152" s="288">
        <f>ROUND(J1152+(J1152*Assumptions!H$13),-2)</f>
        <v>-226400</v>
      </c>
      <c r="L1152" s="288">
        <f>ROUND(K1152+(K1152*Assumptions!I$13),-2)</f>
        <v>-232100</v>
      </c>
      <c r="M1152" s="288">
        <f>ROUND(L1152+(L1152*Assumptions!J$13),-2)</f>
        <v>-237900</v>
      </c>
      <c r="N1152" s="288">
        <f>ROUND(M1152+(M1152*Assumptions!K$13),-2)</f>
        <v>-243800</v>
      </c>
    </row>
    <row r="1153" spans="2:14" x14ac:dyDescent="0.25">
      <c r="B1153" s="16" t="s">
        <v>3228</v>
      </c>
      <c r="C1153" s="16" t="s">
        <v>1903</v>
      </c>
      <c r="D1153" s="16" t="s">
        <v>1904</v>
      </c>
      <c r="E1153" s="288">
        <v>0</v>
      </c>
      <c r="F1153" s="288">
        <f>ROUND(E1153+(E1153*Assumptions!C$13),-2)</f>
        <v>0</v>
      </c>
      <c r="G1153" s="288">
        <f>ROUND(F1153+(F1153*Assumptions!D$13),-2)</f>
        <v>0</v>
      </c>
      <c r="H1153" s="288">
        <f>ROUND(G1153+(G1153*Assumptions!E$13),-2)</f>
        <v>0</v>
      </c>
      <c r="I1153" s="288">
        <f>ROUND(H1153+(H1153*Assumptions!F$13),-2)</f>
        <v>0</v>
      </c>
      <c r="J1153" s="288">
        <f>ROUND(I1153+(I1153*Assumptions!G$13),-2)</f>
        <v>0</v>
      </c>
      <c r="K1153" s="288">
        <f>ROUND(J1153+(J1153*Assumptions!H$13),-2)</f>
        <v>0</v>
      </c>
      <c r="L1153" s="288">
        <f>ROUND(K1153+(K1153*Assumptions!I$13),-2)</f>
        <v>0</v>
      </c>
      <c r="M1153" s="288">
        <f>ROUND(L1153+(L1153*Assumptions!J$13),-2)</f>
        <v>0</v>
      </c>
      <c r="N1153" s="288">
        <f>ROUND(M1153+(M1153*Assumptions!K$13),-2)</f>
        <v>0</v>
      </c>
    </row>
    <row r="1154" spans="2:14" x14ac:dyDescent="0.25">
      <c r="B1154" s="16" t="s">
        <v>3228</v>
      </c>
      <c r="C1154" s="16" t="s">
        <v>1905</v>
      </c>
      <c r="D1154" s="16" t="s">
        <v>1906</v>
      </c>
      <c r="E1154" s="288">
        <v>0</v>
      </c>
      <c r="F1154" s="288">
        <f>ROUND(E1154+(E1154*Assumptions!C$13),-2)</f>
        <v>0</v>
      </c>
      <c r="G1154" s="288">
        <f>ROUND(F1154+(F1154*Assumptions!D$13),-2)</f>
        <v>0</v>
      </c>
      <c r="H1154" s="288">
        <f>ROUND(G1154+(G1154*Assumptions!E$13),-2)</f>
        <v>0</v>
      </c>
      <c r="I1154" s="288">
        <f>ROUND(H1154+(H1154*Assumptions!F$13),-2)</f>
        <v>0</v>
      </c>
      <c r="J1154" s="288">
        <f>ROUND(I1154+(I1154*Assumptions!G$13),-2)</f>
        <v>0</v>
      </c>
      <c r="K1154" s="288">
        <f>ROUND(J1154+(J1154*Assumptions!H$13),-2)</f>
        <v>0</v>
      </c>
      <c r="L1154" s="288">
        <f>ROUND(K1154+(K1154*Assumptions!I$13),-2)</f>
        <v>0</v>
      </c>
      <c r="M1154" s="288">
        <f>ROUND(L1154+(L1154*Assumptions!J$13),-2)</f>
        <v>0</v>
      </c>
      <c r="N1154" s="288">
        <f>ROUND(M1154+(M1154*Assumptions!K$13),-2)</f>
        <v>0</v>
      </c>
    </row>
    <row r="1155" spans="2:14" x14ac:dyDescent="0.25">
      <c r="B1155" s="16" t="s">
        <v>3228</v>
      </c>
      <c r="C1155" s="16" t="s">
        <v>1907</v>
      </c>
      <c r="D1155" s="16" t="s">
        <v>1454</v>
      </c>
      <c r="E1155" s="288">
        <v>0</v>
      </c>
      <c r="F1155" s="288">
        <f>ROUND(E1155+(E1155*Assumptions!C$13),-2)</f>
        <v>0</v>
      </c>
      <c r="G1155" s="288">
        <f>ROUND(F1155+(F1155*Assumptions!D$13),-2)</f>
        <v>0</v>
      </c>
      <c r="H1155" s="288">
        <f>ROUND(G1155+(G1155*Assumptions!E$13),-2)</f>
        <v>0</v>
      </c>
      <c r="I1155" s="288">
        <f>ROUND(H1155+(H1155*Assumptions!F$13),-2)</f>
        <v>0</v>
      </c>
      <c r="J1155" s="288">
        <f>ROUND(I1155+(I1155*Assumptions!G$13),-2)</f>
        <v>0</v>
      </c>
      <c r="K1155" s="288">
        <f>ROUND(J1155+(J1155*Assumptions!H$13),-2)</f>
        <v>0</v>
      </c>
      <c r="L1155" s="288">
        <f>ROUND(K1155+(K1155*Assumptions!I$13),-2)</f>
        <v>0</v>
      </c>
      <c r="M1155" s="288">
        <f>ROUND(L1155+(L1155*Assumptions!J$13),-2)</f>
        <v>0</v>
      </c>
      <c r="N1155" s="288">
        <f>ROUND(M1155+(M1155*Assumptions!K$13),-2)</f>
        <v>0</v>
      </c>
    </row>
    <row r="1156" spans="2:14" x14ac:dyDescent="0.25">
      <c r="B1156" s="16" t="s">
        <v>3228</v>
      </c>
      <c r="C1156" s="16" t="s">
        <v>1908</v>
      </c>
      <c r="D1156" s="16" t="s">
        <v>1641</v>
      </c>
      <c r="E1156" s="288">
        <v>0</v>
      </c>
      <c r="F1156" s="288">
        <f>ROUND(E1156+(E1156*Assumptions!C$13),-2)</f>
        <v>0</v>
      </c>
      <c r="G1156" s="288">
        <f>ROUND(F1156+(F1156*Assumptions!D$13),-2)</f>
        <v>0</v>
      </c>
      <c r="H1156" s="288">
        <f>ROUND(G1156+(G1156*Assumptions!E$13),-2)</f>
        <v>0</v>
      </c>
      <c r="I1156" s="288">
        <f>ROUND(H1156+(H1156*Assumptions!F$13),-2)</f>
        <v>0</v>
      </c>
      <c r="J1156" s="288">
        <f>ROUND(I1156+(I1156*Assumptions!G$13),-2)</f>
        <v>0</v>
      </c>
      <c r="K1156" s="288">
        <f>ROUND(J1156+(J1156*Assumptions!H$13),-2)</f>
        <v>0</v>
      </c>
      <c r="L1156" s="288">
        <f>ROUND(K1156+(K1156*Assumptions!I$13),-2)</f>
        <v>0</v>
      </c>
      <c r="M1156" s="288">
        <f>ROUND(L1156+(L1156*Assumptions!J$13),-2)</f>
        <v>0</v>
      </c>
      <c r="N1156" s="288">
        <f>ROUND(M1156+(M1156*Assumptions!K$13),-2)</f>
        <v>0</v>
      </c>
    </row>
    <row r="1157" spans="2:14" ht="12.75" customHeight="1" x14ac:dyDescent="0.25">
      <c r="E1157" s="288"/>
      <c r="F1157" s="288"/>
      <c r="G1157" s="288"/>
      <c r="H1157" s="288"/>
      <c r="I1157" s="288"/>
      <c r="J1157" s="288"/>
      <c r="K1157" s="288"/>
      <c r="L1157" s="288"/>
      <c r="M1157" s="288"/>
      <c r="N1157" s="288"/>
    </row>
    <row r="1158" spans="2:14" ht="12.75" customHeight="1" x14ac:dyDescent="0.25">
      <c r="D1158" s="19" t="s">
        <v>3234</v>
      </c>
      <c r="E1158" s="291">
        <f>SUM(E1125:E1157)</f>
        <v>-833900</v>
      </c>
      <c r="F1158" s="291">
        <f t="shared" ref="F1158:N1158" si="34">SUM(F1125:F1157)</f>
        <v>-850500</v>
      </c>
      <c r="G1158" s="291">
        <f t="shared" si="34"/>
        <v>-871800</v>
      </c>
      <c r="H1158" s="291">
        <f t="shared" si="34"/>
        <v>-893700</v>
      </c>
      <c r="I1158" s="291">
        <f t="shared" si="34"/>
        <v>-916100</v>
      </c>
      <c r="J1158" s="291">
        <f t="shared" si="34"/>
        <v>-939000</v>
      </c>
      <c r="K1158" s="291">
        <f t="shared" si="34"/>
        <v>-962500</v>
      </c>
      <c r="L1158" s="291">
        <f t="shared" si="34"/>
        <v>-986500</v>
      </c>
      <c r="M1158" s="291">
        <f t="shared" si="34"/>
        <v>-1011000</v>
      </c>
      <c r="N1158" s="291">
        <f t="shared" si="34"/>
        <v>-1036300</v>
      </c>
    </row>
    <row r="1159" spans="2:14" ht="12.75" customHeight="1" x14ac:dyDescent="0.25">
      <c r="E1159" s="288"/>
      <c r="F1159" s="288"/>
      <c r="G1159" s="288"/>
      <c r="H1159" s="288"/>
      <c r="I1159" s="288"/>
      <c r="J1159" s="288"/>
      <c r="K1159" s="288"/>
      <c r="L1159" s="288"/>
      <c r="M1159" s="288"/>
      <c r="N1159" s="288"/>
    </row>
    <row r="1160" spans="2:14" x14ac:dyDescent="0.25">
      <c r="C1160" s="19" t="s">
        <v>1909</v>
      </c>
      <c r="E1160" s="288"/>
      <c r="F1160" s="288"/>
      <c r="G1160" s="288"/>
      <c r="H1160" s="288"/>
      <c r="I1160" s="288"/>
      <c r="J1160" s="288"/>
      <c r="K1160" s="288"/>
      <c r="L1160" s="288"/>
      <c r="M1160" s="288"/>
      <c r="N1160" s="288"/>
    </row>
    <row r="1161" spans="2:14" ht="12.75" customHeight="1" x14ac:dyDescent="0.25">
      <c r="E1161" s="288"/>
      <c r="F1161" s="288"/>
      <c r="G1161" s="288"/>
      <c r="H1161" s="288"/>
      <c r="I1161" s="288"/>
      <c r="J1161" s="288"/>
      <c r="K1161" s="288"/>
      <c r="L1161" s="288"/>
      <c r="M1161" s="288"/>
      <c r="N1161" s="288"/>
    </row>
    <row r="1162" spans="2:14" x14ac:dyDescent="0.25">
      <c r="C1162" s="16" t="s">
        <v>87</v>
      </c>
      <c r="E1162" s="288"/>
      <c r="F1162" s="288"/>
      <c r="G1162" s="288"/>
      <c r="H1162" s="288"/>
      <c r="I1162" s="288"/>
      <c r="J1162" s="288"/>
      <c r="K1162" s="288"/>
      <c r="L1162" s="288"/>
      <c r="M1162" s="288"/>
      <c r="N1162" s="288"/>
    </row>
    <row r="1163" spans="2:14" x14ac:dyDescent="0.25">
      <c r="B1163" s="16" t="s">
        <v>43</v>
      </c>
      <c r="C1163" s="16" t="s">
        <v>1910</v>
      </c>
      <c r="D1163" s="16" t="s">
        <v>1911</v>
      </c>
      <c r="E1163" s="289"/>
      <c r="F1163" s="289"/>
      <c r="G1163" s="289"/>
      <c r="H1163" s="289"/>
      <c r="I1163" s="289"/>
      <c r="J1163" s="289"/>
      <c r="K1163" s="289"/>
      <c r="L1163" s="289"/>
      <c r="M1163" s="289"/>
      <c r="N1163" s="289"/>
    </row>
    <row r="1164" spans="2:14" x14ac:dyDescent="0.25">
      <c r="B1164" s="16" t="s">
        <v>43</v>
      </c>
      <c r="C1164" s="16" t="s">
        <v>1912</v>
      </c>
      <c r="D1164" s="16" t="s">
        <v>1913</v>
      </c>
      <c r="E1164" s="288">
        <v>338700</v>
      </c>
      <c r="F1164" s="288">
        <v>0</v>
      </c>
      <c r="G1164" s="288">
        <f>ROUND(IF($A1164="E",F1164*(1+Assumptions!D$15),F1164*(1+Assumptions!D$14)),-2)</f>
        <v>0</v>
      </c>
      <c r="H1164" s="288">
        <f>ROUND(IF($A1164="E",G1164*(1+Assumptions!E$15),G1164*(1+Assumptions!E$14)),-2)</f>
        <v>0</v>
      </c>
      <c r="I1164" s="288">
        <f>ROUND(IF($A1164="E",H1164*(1+Assumptions!F$15),H1164*(1+Assumptions!F$14)),-2)</f>
        <v>0</v>
      </c>
      <c r="J1164" s="288">
        <f>ROUND(IF($A1164="E",I1164*(1+Assumptions!G$15),I1164*(1+Assumptions!G$14)),-2)</f>
        <v>0</v>
      </c>
      <c r="K1164" s="288">
        <f>ROUND(IF($A1164="E",J1164*(1+Assumptions!H$15),J1164*(1+Assumptions!H$14)),-2)</f>
        <v>0</v>
      </c>
      <c r="L1164" s="288">
        <f>ROUND(IF($A1164="E",K1164*(1+Assumptions!I$15),K1164*(1+Assumptions!I$14)),-2)</f>
        <v>0</v>
      </c>
      <c r="M1164" s="288">
        <f>ROUND(IF($A1164="E",L1164*(1+Assumptions!J$15),L1164*(1+Assumptions!J$14)),-2)</f>
        <v>0</v>
      </c>
      <c r="N1164" s="288">
        <f>ROUND(IF($A1164="E",M1164*(1+Assumptions!K$15),M1164*(1+Assumptions!K$14)),-2)</f>
        <v>0</v>
      </c>
    </row>
    <row r="1165" spans="2:14" x14ac:dyDescent="0.25">
      <c r="B1165" s="16" t="s">
        <v>43</v>
      </c>
      <c r="C1165" s="16" t="s">
        <v>1914</v>
      </c>
      <c r="D1165" s="16" t="s">
        <v>1915</v>
      </c>
      <c r="E1165" s="288">
        <v>0</v>
      </c>
      <c r="F1165" s="288">
        <f>ROUND(IF($A1165="E",E1165*(1+Assumptions!C$15),E1165*(1+Assumptions!C$14)),-2)</f>
        <v>0</v>
      </c>
      <c r="G1165" s="288">
        <f>ROUND(IF($A1165="E",F1165*(1+Assumptions!D$15),F1165*(1+Assumptions!D$14)),-2)</f>
        <v>0</v>
      </c>
      <c r="H1165" s="288">
        <f>ROUND(IF($A1165="E",G1165*(1+Assumptions!E$15),G1165*(1+Assumptions!E$14)),-2)</f>
        <v>0</v>
      </c>
      <c r="I1165" s="288">
        <f>ROUND(IF($A1165="E",H1165*(1+Assumptions!F$15),H1165*(1+Assumptions!F$14)),-2)</f>
        <v>0</v>
      </c>
      <c r="J1165" s="288">
        <f>ROUND(IF($A1165="E",I1165*(1+Assumptions!G$15),I1165*(1+Assumptions!G$14)),-2)</f>
        <v>0</v>
      </c>
      <c r="K1165" s="288">
        <f>ROUND(IF($A1165="E",J1165*(1+Assumptions!H$15),J1165*(1+Assumptions!H$14)),-2)</f>
        <v>0</v>
      </c>
      <c r="L1165" s="288">
        <f>ROUND(IF($A1165="E",K1165*(1+Assumptions!I$15),K1165*(1+Assumptions!I$14)),-2)</f>
        <v>0</v>
      </c>
      <c r="M1165" s="288">
        <f>ROUND(IF($A1165="E",L1165*(1+Assumptions!J$15),L1165*(1+Assumptions!J$14)),-2)</f>
        <v>0</v>
      </c>
      <c r="N1165" s="288">
        <f>ROUND(IF($A1165="E",M1165*(1+Assumptions!K$15),M1165*(1+Assumptions!K$14)),-2)</f>
        <v>0</v>
      </c>
    </row>
    <row r="1166" spans="2:14" x14ac:dyDescent="0.25">
      <c r="B1166" s="16" t="s">
        <v>43</v>
      </c>
      <c r="C1166" s="16" t="s">
        <v>1916</v>
      </c>
      <c r="D1166" s="16" t="s">
        <v>1917</v>
      </c>
      <c r="E1166" s="288">
        <v>0</v>
      </c>
      <c r="F1166" s="288">
        <f>ROUND(IF($A1166="E",E1166*(1+Assumptions!C$15),E1166*(1+Assumptions!C$14)),-2)</f>
        <v>0</v>
      </c>
      <c r="G1166" s="288">
        <f>ROUND(IF($A1166="E",F1166*(1+Assumptions!D$15),F1166*(1+Assumptions!D$14)),-2)</f>
        <v>0</v>
      </c>
      <c r="H1166" s="288">
        <f>ROUND(IF($A1166="E",G1166*(1+Assumptions!E$15),G1166*(1+Assumptions!E$14)),-2)</f>
        <v>0</v>
      </c>
      <c r="I1166" s="288">
        <f>ROUND(IF($A1166="E",H1166*(1+Assumptions!F$15),H1166*(1+Assumptions!F$14)),-2)</f>
        <v>0</v>
      </c>
      <c r="J1166" s="288">
        <f>ROUND(IF($A1166="E",I1166*(1+Assumptions!G$15),I1166*(1+Assumptions!G$14)),-2)</f>
        <v>0</v>
      </c>
      <c r="K1166" s="288">
        <f>ROUND(IF($A1166="E",J1166*(1+Assumptions!H$15),J1166*(1+Assumptions!H$14)),-2)</f>
        <v>0</v>
      </c>
      <c r="L1166" s="288">
        <f>ROUND(IF($A1166="E",K1166*(1+Assumptions!I$15),K1166*(1+Assumptions!I$14)),-2)</f>
        <v>0</v>
      </c>
      <c r="M1166" s="288">
        <f>ROUND(IF($A1166="E",L1166*(1+Assumptions!J$15),L1166*(1+Assumptions!J$14)),-2)</f>
        <v>0</v>
      </c>
      <c r="N1166" s="288">
        <f>ROUND(IF($A1166="E",M1166*(1+Assumptions!K$15),M1166*(1+Assumptions!K$14)),-2)</f>
        <v>0</v>
      </c>
    </row>
    <row r="1167" spans="2:14" x14ac:dyDescent="0.25">
      <c r="B1167" s="16" t="s">
        <v>43</v>
      </c>
      <c r="C1167" s="16" t="s">
        <v>1918</v>
      </c>
      <c r="D1167" s="16" t="s">
        <v>1919</v>
      </c>
      <c r="E1167" s="288">
        <v>0</v>
      </c>
      <c r="F1167" s="288">
        <f>ROUND(IF($A1167="E",E1167*(1+Assumptions!C$15),E1167*(1+Assumptions!C$14)),-2)</f>
        <v>0</v>
      </c>
      <c r="G1167" s="288">
        <f>ROUND(IF($A1167="E",F1167*(1+Assumptions!D$15),F1167*(1+Assumptions!D$14)),-2)</f>
        <v>0</v>
      </c>
      <c r="H1167" s="288">
        <f>ROUND(IF($A1167="E",G1167*(1+Assumptions!E$15),G1167*(1+Assumptions!E$14)),-2)</f>
        <v>0</v>
      </c>
      <c r="I1167" s="288">
        <f>ROUND(IF($A1167="E",H1167*(1+Assumptions!F$15),H1167*(1+Assumptions!F$14)),-2)</f>
        <v>0</v>
      </c>
      <c r="J1167" s="288">
        <f>ROUND(IF($A1167="E",I1167*(1+Assumptions!G$15),I1167*(1+Assumptions!G$14)),-2)</f>
        <v>0</v>
      </c>
      <c r="K1167" s="288">
        <f>ROUND(IF($A1167="E",J1167*(1+Assumptions!H$15),J1167*(1+Assumptions!H$14)),-2)</f>
        <v>0</v>
      </c>
      <c r="L1167" s="288">
        <f>ROUND(IF($A1167="E",K1167*(1+Assumptions!I$15),K1167*(1+Assumptions!I$14)),-2)</f>
        <v>0</v>
      </c>
      <c r="M1167" s="288">
        <f>ROUND(IF($A1167="E",L1167*(1+Assumptions!J$15),L1167*(1+Assumptions!J$14)),-2)</f>
        <v>0</v>
      </c>
      <c r="N1167" s="288">
        <f>ROUND(IF($A1167="E",M1167*(1+Assumptions!K$15),M1167*(1+Assumptions!K$14)),-2)</f>
        <v>0</v>
      </c>
    </row>
    <row r="1168" spans="2:14" x14ac:dyDescent="0.25">
      <c r="B1168" s="16" t="s">
        <v>43</v>
      </c>
      <c r="C1168" s="16" t="s">
        <v>1920</v>
      </c>
      <c r="D1168" s="16" t="s">
        <v>187</v>
      </c>
      <c r="E1168" s="289"/>
      <c r="F1168" s="289"/>
      <c r="G1168" s="289"/>
      <c r="H1168" s="289"/>
      <c r="I1168" s="289"/>
      <c r="J1168" s="289"/>
      <c r="K1168" s="289"/>
      <c r="L1168" s="289"/>
      <c r="M1168" s="289"/>
      <c r="N1168" s="289"/>
    </row>
    <row r="1169" spans="2:14" x14ac:dyDescent="0.25">
      <c r="B1169" s="16" t="s">
        <v>43</v>
      </c>
      <c r="C1169" s="16" t="s">
        <v>1921</v>
      </c>
      <c r="D1169" s="16" t="s">
        <v>193</v>
      </c>
      <c r="E1169" s="288">
        <v>15000</v>
      </c>
      <c r="F1169" s="288">
        <f>ROUND(IF($A1169="E",E1169*(1+Assumptions!C$15),E1169*(1+Assumptions!C$14)),-2)</f>
        <v>15200</v>
      </c>
      <c r="G1169" s="288">
        <f>ROUND(IF($A1169="E",F1169*(1+Assumptions!D$15),F1169*(1+Assumptions!D$14)),-2)</f>
        <v>15500</v>
      </c>
      <c r="H1169" s="288">
        <f>ROUND(IF($A1169="E",G1169*(1+Assumptions!E$15),G1169*(1+Assumptions!E$14)),-2)</f>
        <v>15800</v>
      </c>
      <c r="I1169" s="288">
        <f>ROUND(IF($A1169="E",H1169*(1+Assumptions!F$15),H1169*(1+Assumptions!F$14)),-2)</f>
        <v>16100</v>
      </c>
      <c r="J1169" s="288">
        <f>ROUND(IF($A1169="E",I1169*(1+Assumptions!G$15),I1169*(1+Assumptions!G$14)),-2)</f>
        <v>16400</v>
      </c>
      <c r="K1169" s="288">
        <f>ROUND(IF($A1169="E",J1169*(1+Assumptions!H$15),J1169*(1+Assumptions!H$14)),-2)</f>
        <v>16700</v>
      </c>
      <c r="L1169" s="288">
        <f>ROUND(IF($A1169="E",K1169*(1+Assumptions!I$15),K1169*(1+Assumptions!I$14)),-2)</f>
        <v>17100</v>
      </c>
      <c r="M1169" s="288">
        <f>ROUND(IF($A1169="E",L1169*(1+Assumptions!J$15),L1169*(1+Assumptions!J$14)),-2)</f>
        <v>17500</v>
      </c>
      <c r="N1169" s="288">
        <f>ROUND(IF($A1169="E",M1169*(1+Assumptions!K$15),M1169*(1+Assumptions!K$14)),-2)</f>
        <v>17900</v>
      </c>
    </row>
    <row r="1170" spans="2:14" ht="12.75" customHeight="1" x14ac:dyDescent="0.25">
      <c r="E1170" s="288"/>
      <c r="F1170" s="288"/>
      <c r="G1170" s="288"/>
      <c r="H1170" s="288"/>
      <c r="I1170" s="288"/>
      <c r="J1170" s="288"/>
      <c r="K1170" s="288"/>
      <c r="L1170" s="288"/>
      <c r="M1170" s="288"/>
      <c r="N1170" s="288"/>
    </row>
    <row r="1171" spans="2:14" ht="12.75" customHeight="1" x14ac:dyDescent="0.25">
      <c r="D1171" s="19" t="s">
        <v>3234</v>
      </c>
      <c r="E1171" s="291">
        <f>SUM(E1163:E1170)</f>
        <v>353700</v>
      </c>
      <c r="F1171" s="291">
        <f t="shared" ref="F1171:N1171" si="35">SUM(F1163:F1170)</f>
        <v>15200</v>
      </c>
      <c r="G1171" s="291">
        <f t="shared" si="35"/>
        <v>15500</v>
      </c>
      <c r="H1171" s="291">
        <f t="shared" si="35"/>
        <v>15800</v>
      </c>
      <c r="I1171" s="291">
        <f t="shared" si="35"/>
        <v>16100</v>
      </c>
      <c r="J1171" s="291">
        <f t="shared" si="35"/>
        <v>16400</v>
      </c>
      <c r="K1171" s="291">
        <f t="shared" si="35"/>
        <v>16700</v>
      </c>
      <c r="L1171" s="291">
        <f t="shared" si="35"/>
        <v>17100</v>
      </c>
      <c r="M1171" s="291">
        <f t="shared" si="35"/>
        <v>17500</v>
      </c>
      <c r="N1171" s="291">
        <f t="shared" si="35"/>
        <v>17900</v>
      </c>
    </row>
    <row r="1172" spans="2:14" ht="12.75" customHeight="1" x14ac:dyDescent="0.25">
      <c r="E1172" s="288"/>
      <c r="F1172" s="288"/>
      <c r="G1172" s="288"/>
      <c r="H1172" s="288"/>
      <c r="I1172" s="288"/>
      <c r="J1172" s="288"/>
      <c r="K1172" s="288"/>
      <c r="L1172" s="288"/>
      <c r="M1172" s="288"/>
      <c r="N1172" s="288"/>
    </row>
    <row r="1173" spans="2:14" x14ac:dyDescent="0.25">
      <c r="C1173" s="16" t="s">
        <v>315</v>
      </c>
      <c r="E1173" s="288"/>
      <c r="F1173" s="288"/>
      <c r="G1173" s="288"/>
      <c r="H1173" s="288"/>
      <c r="I1173" s="288"/>
      <c r="J1173" s="288"/>
      <c r="K1173" s="288"/>
      <c r="L1173" s="288"/>
      <c r="M1173" s="288"/>
      <c r="N1173" s="288"/>
    </row>
    <row r="1174" spans="2:14" x14ac:dyDescent="0.25">
      <c r="B1174" s="16" t="s">
        <v>3228</v>
      </c>
      <c r="C1174" s="16" t="s">
        <v>1922</v>
      </c>
      <c r="D1174" s="16" t="s">
        <v>1923</v>
      </c>
      <c r="E1174" s="289"/>
      <c r="F1174" s="289"/>
      <c r="G1174" s="289"/>
      <c r="H1174" s="289"/>
      <c r="I1174" s="289"/>
      <c r="J1174" s="289"/>
      <c r="K1174" s="289"/>
      <c r="L1174" s="289"/>
      <c r="M1174" s="289"/>
      <c r="N1174" s="289"/>
    </row>
    <row r="1175" spans="2:14" x14ac:dyDescent="0.25">
      <c r="B1175" s="16" t="s">
        <v>3228</v>
      </c>
      <c r="C1175" s="16" t="s">
        <v>1924</v>
      </c>
      <c r="D1175" s="16" t="s">
        <v>1925</v>
      </c>
      <c r="E1175" s="288">
        <v>-338700</v>
      </c>
      <c r="F1175" s="288">
        <v>0</v>
      </c>
      <c r="G1175" s="288">
        <f>ROUND(F1175+(F1175*Assumptions!D$13),-2)</f>
        <v>0</v>
      </c>
      <c r="H1175" s="288">
        <f>ROUND(G1175+(G1175*Assumptions!E$13),-2)</f>
        <v>0</v>
      </c>
      <c r="I1175" s="288">
        <f>ROUND(H1175+(H1175*Assumptions!F$13),-2)</f>
        <v>0</v>
      </c>
      <c r="J1175" s="288">
        <f>ROUND(I1175+(I1175*Assumptions!G$13),-2)</f>
        <v>0</v>
      </c>
      <c r="K1175" s="288">
        <f>ROUND(J1175+(J1175*Assumptions!H$13),-2)</f>
        <v>0</v>
      </c>
      <c r="L1175" s="288">
        <f>ROUND(K1175+(K1175*Assumptions!I$13),-2)</f>
        <v>0</v>
      </c>
      <c r="M1175" s="288">
        <f>ROUND(L1175+(L1175*Assumptions!J$13),-2)</f>
        <v>0</v>
      </c>
      <c r="N1175" s="288">
        <f>ROUND(M1175+(M1175*Assumptions!K$13),-2)</f>
        <v>0</v>
      </c>
    </row>
    <row r="1176" spans="2:14" ht="12.75" customHeight="1" x14ac:dyDescent="0.25">
      <c r="E1176" s="288"/>
      <c r="F1176" s="288"/>
      <c r="G1176" s="288"/>
      <c r="H1176" s="288"/>
      <c r="I1176" s="288"/>
      <c r="J1176" s="288"/>
      <c r="K1176" s="288"/>
      <c r="L1176" s="288"/>
      <c r="M1176" s="288"/>
      <c r="N1176" s="288"/>
    </row>
    <row r="1177" spans="2:14" ht="12.75" customHeight="1" x14ac:dyDescent="0.25">
      <c r="D1177" s="19" t="s">
        <v>3234</v>
      </c>
      <c r="E1177" s="291">
        <f>SUM(E1174:E1176)</f>
        <v>-338700</v>
      </c>
      <c r="F1177" s="291">
        <f t="shared" ref="F1177:N1177" si="36">SUM(F1174:F1176)</f>
        <v>0</v>
      </c>
      <c r="G1177" s="291">
        <f t="shared" si="36"/>
        <v>0</v>
      </c>
      <c r="H1177" s="291">
        <f t="shared" si="36"/>
        <v>0</v>
      </c>
      <c r="I1177" s="291">
        <f t="shared" si="36"/>
        <v>0</v>
      </c>
      <c r="J1177" s="291">
        <f t="shared" si="36"/>
        <v>0</v>
      </c>
      <c r="K1177" s="291">
        <f t="shared" si="36"/>
        <v>0</v>
      </c>
      <c r="L1177" s="291">
        <f t="shared" si="36"/>
        <v>0</v>
      </c>
      <c r="M1177" s="291">
        <f t="shared" si="36"/>
        <v>0</v>
      </c>
      <c r="N1177" s="291">
        <f t="shared" si="36"/>
        <v>0</v>
      </c>
    </row>
    <row r="1178" spans="2:14" ht="12.75" customHeight="1" x14ac:dyDescent="0.25">
      <c r="E1178" s="288"/>
      <c r="F1178" s="288"/>
      <c r="G1178" s="288"/>
      <c r="H1178" s="288"/>
      <c r="I1178" s="288"/>
      <c r="J1178" s="288"/>
      <c r="K1178" s="288"/>
      <c r="L1178" s="288"/>
      <c r="M1178" s="288"/>
      <c r="N1178" s="288"/>
    </row>
    <row r="1179" spans="2:14" x14ac:dyDescent="0.25">
      <c r="C1179" s="19" t="s">
        <v>1926</v>
      </c>
      <c r="E1179" s="288"/>
      <c r="F1179" s="288"/>
      <c r="G1179" s="288"/>
      <c r="H1179" s="288"/>
      <c r="I1179" s="288"/>
      <c r="J1179" s="288"/>
      <c r="K1179" s="288"/>
      <c r="L1179" s="288"/>
      <c r="M1179" s="288"/>
      <c r="N1179" s="288"/>
    </row>
    <row r="1180" spans="2:14" ht="12.75" customHeight="1" x14ac:dyDescent="0.25">
      <c r="E1180" s="288"/>
      <c r="F1180" s="288"/>
      <c r="G1180" s="288"/>
      <c r="H1180" s="288"/>
      <c r="I1180" s="288"/>
      <c r="J1180" s="288"/>
      <c r="K1180" s="288"/>
      <c r="L1180" s="288"/>
      <c r="M1180" s="288"/>
      <c r="N1180" s="288"/>
    </row>
    <row r="1181" spans="2:14" x14ac:dyDescent="0.25">
      <c r="C1181" s="16" t="s">
        <v>87</v>
      </c>
      <c r="E1181" s="288"/>
      <c r="F1181" s="288"/>
      <c r="G1181" s="288"/>
      <c r="H1181" s="288"/>
      <c r="I1181" s="288"/>
      <c r="J1181" s="288"/>
      <c r="K1181" s="288"/>
      <c r="L1181" s="288"/>
      <c r="M1181" s="288"/>
      <c r="N1181" s="288"/>
    </row>
    <row r="1182" spans="2:14" x14ac:dyDescent="0.25">
      <c r="B1182" s="16" t="s">
        <v>43</v>
      </c>
      <c r="C1182" s="16" t="s">
        <v>1927</v>
      </c>
      <c r="D1182" s="16" t="s">
        <v>187</v>
      </c>
      <c r="E1182" s="289"/>
      <c r="F1182" s="289"/>
      <c r="G1182" s="289"/>
      <c r="H1182" s="289"/>
      <c r="I1182" s="289"/>
      <c r="J1182" s="289"/>
      <c r="K1182" s="289"/>
      <c r="L1182" s="289"/>
      <c r="M1182" s="289"/>
      <c r="N1182" s="289"/>
    </row>
    <row r="1183" spans="2:14" x14ac:dyDescent="0.25">
      <c r="B1183" s="16" t="s">
        <v>43</v>
      </c>
      <c r="C1183" s="16" t="s">
        <v>1928</v>
      </c>
      <c r="D1183" s="16" t="s">
        <v>1929</v>
      </c>
      <c r="E1183" s="288">
        <v>4500</v>
      </c>
      <c r="F1183" s="288">
        <f>ROUND(IF($A1183="E",E1183*(1+Assumptions!C$15),E1183*(1+Assumptions!C$14)),-2)</f>
        <v>4600</v>
      </c>
      <c r="G1183" s="288">
        <f>ROUND(IF($A1183="E",F1183*(1+Assumptions!D$15),F1183*(1+Assumptions!D$14)),-2)</f>
        <v>4700</v>
      </c>
      <c r="H1183" s="288">
        <f>ROUND(IF($A1183="E",G1183*(1+Assumptions!E$15),G1183*(1+Assumptions!E$14)),-2)</f>
        <v>4800</v>
      </c>
      <c r="I1183" s="288">
        <f>ROUND(IF($A1183="E",H1183*(1+Assumptions!F$15),H1183*(1+Assumptions!F$14)),-2)</f>
        <v>4900</v>
      </c>
      <c r="J1183" s="288">
        <f>ROUND(IF($A1183="E",I1183*(1+Assumptions!G$15),I1183*(1+Assumptions!G$14)),-2)</f>
        <v>5000</v>
      </c>
      <c r="K1183" s="288">
        <f>ROUND(IF($A1183="E",J1183*(1+Assumptions!H$15),J1183*(1+Assumptions!H$14)),-2)</f>
        <v>5100</v>
      </c>
      <c r="L1183" s="288">
        <f>ROUND(IF($A1183="E",K1183*(1+Assumptions!I$15),K1183*(1+Assumptions!I$14)),-2)</f>
        <v>5200</v>
      </c>
      <c r="M1183" s="288">
        <f>ROUND(IF($A1183="E",L1183*(1+Assumptions!J$15),L1183*(1+Assumptions!J$14)),-2)</f>
        <v>5300</v>
      </c>
      <c r="N1183" s="288">
        <f>ROUND(IF($A1183="E",M1183*(1+Assumptions!K$15),M1183*(1+Assumptions!K$14)),-2)</f>
        <v>5400</v>
      </c>
    </row>
    <row r="1184" spans="2:14" x14ac:dyDescent="0.25">
      <c r="B1184" s="16" t="s">
        <v>43</v>
      </c>
      <c r="C1184" s="16" t="s">
        <v>1930</v>
      </c>
      <c r="D1184" s="16" t="s">
        <v>193</v>
      </c>
      <c r="E1184" s="288">
        <v>290900</v>
      </c>
      <c r="F1184" s="288">
        <f>ROUND(IF($A1184="E",E1184*(1+Assumptions!C$15),E1184*(1+Assumptions!C$14)),-2)</f>
        <v>295300</v>
      </c>
      <c r="G1184" s="288">
        <f>ROUND(IF($A1184="E",F1184*(1+Assumptions!D$15),F1184*(1+Assumptions!D$14)),-2)</f>
        <v>301200</v>
      </c>
      <c r="H1184" s="288">
        <f>ROUND(IF($A1184="E",G1184*(1+Assumptions!E$15),G1184*(1+Assumptions!E$14)),-2)</f>
        <v>307200</v>
      </c>
      <c r="I1184" s="288">
        <f>ROUND(IF($A1184="E",H1184*(1+Assumptions!F$15),H1184*(1+Assumptions!F$14)),-2)</f>
        <v>313300</v>
      </c>
      <c r="J1184" s="288">
        <f>ROUND(IF($A1184="E",I1184*(1+Assumptions!G$15),I1184*(1+Assumptions!G$14)),-2)</f>
        <v>319600</v>
      </c>
      <c r="K1184" s="288">
        <f>ROUND(IF($A1184="E",J1184*(1+Assumptions!H$15),J1184*(1+Assumptions!H$14)),-2)</f>
        <v>326000</v>
      </c>
      <c r="L1184" s="288">
        <f>ROUND(IF($A1184="E",K1184*(1+Assumptions!I$15),K1184*(1+Assumptions!I$14)),-2)</f>
        <v>334200</v>
      </c>
      <c r="M1184" s="288">
        <f>ROUND(IF($A1184="E",L1184*(1+Assumptions!J$15),L1184*(1+Assumptions!J$14)),-2)</f>
        <v>342600</v>
      </c>
      <c r="N1184" s="288">
        <f>ROUND(IF($A1184="E",M1184*(1+Assumptions!K$15),M1184*(1+Assumptions!K$14)),-2)</f>
        <v>351200</v>
      </c>
    </row>
    <row r="1185" spans="2:14" x14ac:dyDescent="0.25">
      <c r="B1185" s="16" t="s">
        <v>43</v>
      </c>
      <c r="C1185" s="16" t="s">
        <v>1931</v>
      </c>
      <c r="D1185" s="16" t="s">
        <v>1932</v>
      </c>
      <c r="E1185" s="289"/>
      <c r="F1185" s="289"/>
      <c r="G1185" s="289"/>
      <c r="H1185" s="289"/>
      <c r="I1185" s="289"/>
      <c r="J1185" s="289"/>
      <c r="K1185" s="289"/>
      <c r="L1185" s="289"/>
      <c r="M1185" s="289"/>
      <c r="N1185" s="289"/>
    </row>
    <row r="1186" spans="2:14" x14ac:dyDescent="0.25">
      <c r="B1186" s="16" t="s">
        <v>43</v>
      </c>
      <c r="C1186" s="16" t="s">
        <v>1933</v>
      </c>
      <c r="D1186" s="16" t="s">
        <v>1934</v>
      </c>
      <c r="E1186" s="288">
        <v>93700</v>
      </c>
      <c r="F1186" s="288">
        <f>ROUND(IF($A1186="E",E1186*(1+Assumptions!C$15),E1186*(1+Assumptions!C$14)),-2)</f>
        <v>95100</v>
      </c>
      <c r="G1186" s="288">
        <f>ROUND(IF($A1186="E",F1186*(1+Assumptions!D$15),F1186*(1+Assumptions!D$14)),-2)</f>
        <v>97000</v>
      </c>
      <c r="H1186" s="288">
        <f>ROUND(IF($A1186="E",G1186*(1+Assumptions!E$15),G1186*(1+Assumptions!E$14)),-2)</f>
        <v>98900</v>
      </c>
      <c r="I1186" s="288">
        <f>ROUND(IF($A1186="E",H1186*(1+Assumptions!F$15),H1186*(1+Assumptions!F$14)),-2)</f>
        <v>100900</v>
      </c>
      <c r="J1186" s="288">
        <f>ROUND(IF($A1186="E",I1186*(1+Assumptions!G$15),I1186*(1+Assumptions!G$14)),-2)</f>
        <v>102900</v>
      </c>
      <c r="K1186" s="288">
        <f>ROUND(IF($A1186="E",J1186*(1+Assumptions!H$15),J1186*(1+Assumptions!H$14)),-2)</f>
        <v>105000</v>
      </c>
      <c r="L1186" s="288">
        <f>ROUND(IF($A1186="E",K1186*(1+Assumptions!I$15),K1186*(1+Assumptions!I$14)),-2)</f>
        <v>107600</v>
      </c>
      <c r="M1186" s="288">
        <f>ROUND(IF($A1186="E",L1186*(1+Assumptions!J$15),L1186*(1+Assumptions!J$14)),-2)</f>
        <v>110300</v>
      </c>
      <c r="N1186" s="288">
        <f>ROUND(IF($A1186="E",M1186*(1+Assumptions!K$15),M1186*(1+Assumptions!K$14)),-2)</f>
        <v>113100</v>
      </c>
    </row>
    <row r="1187" spans="2:14" x14ac:dyDescent="0.25">
      <c r="B1187" s="16" t="s">
        <v>43</v>
      </c>
      <c r="C1187" s="16" t="s">
        <v>1935</v>
      </c>
      <c r="D1187" s="16" t="s">
        <v>1936</v>
      </c>
      <c r="E1187" s="289"/>
      <c r="F1187" s="289"/>
      <c r="G1187" s="289"/>
      <c r="H1187" s="289"/>
      <c r="I1187" s="289"/>
      <c r="J1187" s="289"/>
      <c r="K1187" s="289"/>
      <c r="L1187" s="289"/>
      <c r="M1187" s="289"/>
      <c r="N1187" s="289"/>
    </row>
    <row r="1188" spans="2:14" x14ac:dyDescent="0.25">
      <c r="B1188" s="16" t="s">
        <v>43</v>
      </c>
      <c r="C1188" s="16" t="s">
        <v>1937</v>
      </c>
      <c r="D1188" s="16" t="s">
        <v>1938</v>
      </c>
      <c r="E1188" s="288">
        <v>37300</v>
      </c>
      <c r="F1188" s="288">
        <f>ROUND(IF($A1188="E",E1188*(1+Assumptions!C$15),E1188*(1+Assumptions!C$14)),-2)</f>
        <v>37900</v>
      </c>
      <c r="G1188" s="288">
        <f>ROUND(IF($A1188="E",F1188*(1+Assumptions!D$15),F1188*(1+Assumptions!D$14)),-2)</f>
        <v>38700</v>
      </c>
      <c r="H1188" s="288">
        <f>ROUND(IF($A1188="E",G1188*(1+Assumptions!E$15),G1188*(1+Assumptions!E$14)),-2)</f>
        <v>39500</v>
      </c>
      <c r="I1188" s="288">
        <f>ROUND(IF($A1188="E",H1188*(1+Assumptions!F$15),H1188*(1+Assumptions!F$14)),-2)</f>
        <v>40300</v>
      </c>
      <c r="J1188" s="288">
        <f>ROUND(IF($A1188="E",I1188*(1+Assumptions!G$15),I1188*(1+Assumptions!G$14)),-2)</f>
        <v>41100</v>
      </c>
      <c r="K1188" s="288">
        <f>ROUND(IF($A1188="E",J1188*(1+Assumptions!H$15),J1188*(1+Assumptions!H$14)),-2)</f>
        <v>41900</v>
      </c>
      <c r="L1188" s="288">
        <f>ROUND(IF($A1188="E",K1188*(1+Assumptions!I$15),K1188*(1+Assumptions!I$14)),-2)</f>
        <v>42900</v>
      </c>
      <c r="M1188" s="288">
        <f>ROUND(IF($A1188="E",L1188*(1+Assumptions!J$15),L1188*(1+Assumptions!J$14)),-2)</f>
        <v>44000</v>
      </c>
      <c r="N1188" s="288">
        <f>ROUND(IF($A1188="E",M1188*(1+Assumptions!K$15),M1188*(1+Assumptions!K$14)),-2)</f>
        <v>45100</v>
      </c>
    </row>
    <row r="1189" spans="2:14" x14ac:dyDescent="0.25">
      <c r="B1189" s="16" t="s">
        <v>43</v>
      </c>
      <c r="C1189" s="16" t="s">
        <v>1939</v>
      </c>
      <c r="D1189" s="16" t="s">
        <v>1940</v>
      </c>
      <c r="E1189" s="288">
        <v>18400</v>
      </c>
      <c r="F1189" s="288">
        <f>ROUND(IF($A1189="E",E1189*(1+Assumptions!C$15),E1189*(1+Assumptions!C$14)),-2)</f>
        <v>18700</v>
      </c>
      <c r="G1189" s="288">
        <f>ROUND(IF($A1189="E",F1189*(1+Assumptions!D$15),F1189*(1+Assumptions!D$14)),-2)</f>
        <v>19100</v>
      </c>
      <c r="H1189" s="288">
        <f>ROUND(IF($A1189="E",G1189*(1+Assumptions!E$15),G1189*(1+Assumptions!E$14)),-2)</f>
        <v>19500</v>
      </c>
      <c r="I1189" s="288">
        <f>ROUND(IF($A1189="E",H1189*(1+Assumptions!F$15),H1189*(1+Assumptions!F$14)),-2)</f>
        <v>19900</v>
      </c>
      <c r="J1189" s="288">
        <f>ROUND(IF($A1189="E",I1189*(1+Assumptions!G$15),I1189*(1+Assumptions!G$14)),-2)</f>
        <v>20300</v>
      </c>
      <c r="K1189" s="288">
        <f>ROUND(IF($A1189="E",J1189*(1+Assumptions!H$15),J1189*(1+Assumptions!H$14)),-2)</f>
        <v>20700</v>
      </c>
      <c r="L1189" s="288">
        <f>ROUND(IF($A1189="E",K1189*(1+Assumptions!I$15),K1189*(1+Assumptions!I$14)),-2)</f>
        <v>21200</v>
      </c>
      <c r="M1189" s="288">
        <f>ROUND(IF($A1189="E",L1189*(1+Assumptions!J$15),L1189*(1+Assumptions!J$14)),-2)</f>
        <v>21700</v>
      </c>
      <c r="N1189" s="288">
        <f>ROUND(IF($A1189="E",M1189*(1+Assumptions!K$15),M1189*(1+Assumptions!K$14)),-2)</f>
        <v>22200</v>
      </c>
    </row>
    <row r="1190" spans="2:14" x14ac:dyDescent="0.25">
      <c r="B1190" s="16" t="s">
        <v>43</v>
      </c>
      <c r="C1190" s="16" t="s">
        <v>1941</v>
      </c>
      <c r="D1190" s="16" t="s">
        <v>1942</v>
      </c>
      <c r="E1190" s="288">
        <v>7700</v>
      </c>
      <c r="F1190" s="288">
        <f>ROUND(IF($A1190="E",E1190*(1+Assumptions!C$15),E1190*(1+Assumptions!C$14)),-2)</f>
        <v>7800</v>
      </c>
      <c r="G1190" s="288">
        <f>ROUND(IF($A1190="E",F1190*(1+Assumptions!D$15),F1190*(1+Assumptions!D$14)),-2)</f>
        <v>8000</v>
      </c>
      <c r="H1190" s="288">
        <f>ROUND(IF($A1190="E",G1190*(1+Assumptions!E$15),G1190*(1+Assumptions!E$14)),-2)</f>
        <v>8200</v>
      </c>
      <c r="I1190" s="288">
        <f>ROUND(IF($A1190="E",H1190*(1+Assumptions!F$15),H1190*(1+Assumptions!F$14)),-2)</f>
        <v>8400</v>
      </c>
      <c r="J1190" s="288">
        <f>ROUND(IF($A1190="E",I1190*(1+Assumptions!G$15),I1190*(1+Assumptions!G$14)),-2)</f>
        <v>8600</v>
      </c>
      <c r="K1190" s="288">
        <f>ROUND(IF($A1190="E",J1190*(1+Assumptions!H$15),J1190*(1+Assumptions!H$14)),-2)</f>
        <v>8800</v>
      </c>
      <c r="L1190" s="288">
        <f>ROUND(IF($A1190="E",K1190*(1+Assumptions!I$15),K1190*(1+Assumptions!I$14)),-2)</f>
        <v>9000</v>
      </c>
      <c r="M1190" s="288">
        <f>ROUND(IF($A1190="E",L1190*(1+Assumptions!J$15),L1190*(1+Assumptions!J$14)),-2)</f>
        <v>9200</v>
      </c>
      <c r="N1190" s="288">
        <f>ROUND(IF($A1190="E",M1190*(1+Assumptions!K$15),M1190*(1+Assumptions!K$14)),-2)</f>
        <v>9400</v>
      </c>
    </row>
    <row r="1191" spans="2:14" x14ac:dyDescent="0.25">
      <c r="B1191" s="16" t="s">
        <v>43</v>
      </c>
      <c r="C1191" s="16" t="s">
        <v>1943</v>
      </c>
      <c r="D1191" s="16" t="s">
        <v>1944</v>
      </c>
      <c r="E1191" s="288">
        <v>176500</v>
      </c>
      <c r="F1191" s="288">
        <f>ROUND(IF($A1191="E",E1191*(1+Assumptions!C$15),E1191*(1+Assumptions!C$14)),-2)</f>
        <v>179100</v>
      </c>
      <c r="G1191" s="288">
        <f>ROUND(IF($A1191="E",F1191*(1+Assumptions!D$15),F1191*(1+Assumptions!D$14)),-2)</f>
        <v>182700</v>
      </c>
      <c r="H1191" s="288">
        <f>ROUND(IF($A1191="E",G1191*(1+Assumptions!E$15),G1191*(1+Assumptions!E$14)),-2)</f>
        <v>186400</v>
      </c>
      <c r="I1191" s="288">
        <f>ROUND(IF($A1191="E",H1191*(1+Assumptions!F$15),H1191*(1+Assumptions!F$14)),-2)</f>
        <v>190100</v>
      </c>
      <c r="J1191" s="288">
        <f>ROUND(IF($A1191="E",I1191*(1+Assumptions!G$15),I1191*(1+Assumptions!G$14)),-2)</f>
        <v>193900</v>
      </c>
      <c r="K1191" s="288">
        <f>ROUND(IF($A1191="E",J1191*(1+Assumptions!H$15),J1191*(1+Assumptions!H$14)),-2)</f>
        <v>197800</v>
      </c>
      <c r="L1191" s="288">
        <f>ROUND(IF($A1191="E",K1191*(1+Assumptions!I$15),K1191*(1+Assumptions!I$14)),-2)</f>
        <v>202700</v>
      </c>
      <c r="M1191" s="288">
        <f>ROUND(IF($A1191="E",L1191*(1+Assumptions!J$15),L1191*(1+Assumptions!J$14)),-2)</f>
        <v>207800</v>
      </c>
      <c r="N1191" s="288">
        <f>ROUND(IF($A1191="E",M1191*(1+Assumptions!K$15),M1191*(1+Assumptions!K$14)),-2)</f>
        <v>213000</v>
      </c>
    </row>
    <row r="1192" spans="2:14" x14ac:dyDescent="0.25">
      <c r="B1192" s="16" t="s">
        <v>43</v>
      </c>
      <c r="C1192" s="16" t="s">
        <v>1945</v>
      </c>
      <c r="D1192" s="16" t="s">
        <v>1946</v>
      </c>
      <c r="E1192" s="288">
        <v>4400</v>
      </c>
      <c r="F1192" s="288">
        <f>ROUND(IF($A1192="E",E1192*(1+Assumptions!C$15),E1192*(1+Assumptions!C$14)),-2)</f>
        <v>4500</v>
      </c>
      <c r="G1192" s="288">
        <f>ROUND(IF($A1192="E",F1192*(1+Assumptions!D$15),F1192*(1+Assumptions!D$14)),-2)</f>
        <v>4600</v>
      </c>
      <c r="H1192" s="288">
        <f>ROUND(IF($A1192="E",G1192*(1+Assumptions!E$15),G1192*(1+Assumptions!E$14)),-2)</f>
        <v>4700</v>
      </c>
      <c r="I1192" s="288">
        <f>ROUND(IF($A1192="E",H1192*(1+Assumptions!F$15),H1192*(1+Assumptions!F$14)),-2)</f>
        <v>4800</v>
      </c>
      <c r="J1192" s="288">
        <f>ROUND(IF($A1192="E",I1192*(1+Assumptions!G$15),I1192*(1+Assumptions!G$14)),-2)</f>
        <v>4900</v>
      </c>
      <c r="K1192" s="288">
        <f>ROUND(IF($A1192="E",J1192*(1+Assumptions!H$15),J1192*(1+Assumptions!H$14)),-2)</f>
        <v>5000</v>
      </c>
      <c r="L1192" s="288">
        <f>ROUND(IF($A1192="E",K1192*(1+Assumptions!I$15),K1192*(1+Assumptions!I$14)),-2)</f>
        <v>5100</v>
      </c>
      <c r="M1192" s="288">
        <f>ROUND(IF($A1192="E",L1192*(1+Assumptions!J$15),L1192*(1+Assumptions!J$14)),-2)</f>
        <v>5200</v>
      </c>
      <c r="N1192" s="288">
        <f>ROUND(IF($A1192="E",M1192*(1+Assumptions!K$15),M1192*(1+Assumptions!K$14)),-2)</f>
        <v>5300</v>
      </c>
    </row>
    <row r="1193" spans="2:14" x14ac:dyDescent="0.25">
      <c r="B1193" s="16" t="s">
        <v>43</v>
      </c>
      <c r="C1193" s="16" t="s">
        <v>1947</v>
      </c>
      <c r="D1193" s="16" t="s">
        <v>1948</v>
      </c>
      <c r="E1193" s="288">
        <v>101300</v>
      </c>
      <c r="F1193" s="288">
        <f>ROUND(IF($A1193="E",E1193*(1+Assumptions!C$15),E1193*(1+Assumptions!C$14)),-2)</f>
        <v>102800</v>
      </c>
      <c r="G1193" s="288">
        <f>ROUND(IF($A1193="E",F1193*(1+Assumptions!D$15),F1193*(1+Assumptions!D$14)),-2)</f>
        <v>104900</v>
      </c>
      <c r="H1193" s="288">
        <f>ROUND(IF($A1193="E",G1193*(1+Assumptions!E$15),G1193*(1+Assumptions!E$14)),-2)</f>
        <v>107000</v>
      </c>
      <c r="I1193" s="288">
        <f>ROUND(IF($A1193="E",H1193*(1+Assumptions!F$15),H1193*(1+Assumptions!F$14)),-2)</f>
        <v>109100</v>
      </c>
      <c r="J1193" s="288">
        <f>ROUND(IF($A1193="E",I1193*(1+Assumptions!G$15),I1193*(1+Assumptions!G$14)),-2)</f>
        <v>111300</v>
      </c>
      <c r="K1193" s="288">
        <f>ROUND(IF($A1193="E",J1193*(1+Assumptions!H$15),J1193*(1+Assumptions!H$14)),-2)</f>
        <v>113500</v>
      </c>
      <c r="L1193" s="288">
        <f>ROUND(IF($A1193="E",K1193*(1+Assumptions!I$15),K1193*(1+Assumptions!I$14)),-2)</f>
        <v>116300</v>
      </c>
      <c r="M1193" s="288">
        <f>ROUND(IF($A1193="E",L1193*(1+Assumptions!J$15),L1193*(1+Assumptions!J$14)),-2)</f>
        <v>119200</v>
      </c>
      <c r="N1193" s="288">
        <f>ROUND(IF($A1193="E",M1193*(1+Assumptions!K$15),M1193*(1+Assumptions!K$14)),-2)</f>
        <v>122200</v>
      </c>
    </row>
    <row r="1194" spans="2:14" x14ac:dyDescent="0.25">
      <c r="B1194" s="16" t="s">
        <v>43</v>
      </c>
      <c r="C1194" s="16" t="s">
        <v>1949</v>
      </c>
      <c r="D1194" s="16" t="s">
        <v>1950</v>
      </c>
      <c r="E1194" s="288">
        <v>5500</v>
      </c>
      <c r="F1194" s="288">
        <f>ROUND(IF($A1194="E",E1194*(1+Assumptions!C$15),E1194*(1+Assumptions!C$14)),-2)</f>
        <v>5600</v>
      </c>
      <c r="G1194" s="288">
        <f>ROUND(IF($A1194="E",F1194*(1+Assumptions!D$15),F1194*(1+Assumptions!D$14)),-2)</f>
        <v>5700</v>
      </c>
      <c r="H1194" s="288">
        <f>ROUND(IF($A1194="E",G1194*(1+Assumptions!E$15),G1194*(1+Assumptions!E$14)),-2)</f>
        <v>5800</v>
      </c>
      <c r="I1194" s="288">
        <f>ROUND(IF($A1194="E",H1194*(1+Assumptions!F$15),H1194*(1+Assumptions!F$14)),-2)</f>
        <v>5900</v>
      </c>
      <c r="J1194" s="288">
        <f>ROUND(IF($A1194="E",I1194*(1+Assumptions!G$15),I1194*(1+Assumptions!G$14)),-2)</f>
        <v>6000</v>
      </c>
      <c r="K1194" s="288">
        <f>ROUND(IF($A1194="E",J1194*(1+Assumptions!H$15),J1194*(1+Assumptions!H$14)),-2)</f>
        <v>6100</v>
      </c>
      <c r="L1194" s="288">
        <f>ROUND(IF($A1194="E",K1194*(1+Assumptions!I$15),K1194*(1+Assumptions!I$14)),-2)</f>
        <v>6300</v>
      </c>
      <c r="M1194" s="288">
        <f>ROUND(IF($A1194="E",L1194*(1+Assumptions!J$15),L1194*(1+Assumptions!J$14)),-2)</f>
        <v>6500</v>
      </c>
      <c r="N1194" s="288">
        <f>ROUND(IF($A1194="E",M1194*(1+Assumptions!K$15),M1194*(1+Assumptions!K$14)),-2)</f>
        <v>6700</v>
      </c>
    </row>
    <row r="1195" spans="2:14" x14ac:dyDescent="0.25">
      <c r="B1195" s="16" t="s">
        <v>43</v>
      </c>
      <c r="C1195" s="16" t="s">
        <v>1951</v>
      </c>
      <c r="D1195" s="16" t="s">
        <v>1952</v>
      </c>
      <c r="E1195" s="288">
        <v>73900</v>
      </c>
      <c r="F1195" s="288">
        <f>ROUND(IF($A1195="E",E1195*(1+Assumptions!C$15),E1195*(1+Assumptions!C$14)),-2)</f>
        <v>75000</v>
      </c>
      <c r="G1195" s="288">
        <f>ROUND(IF($A1195="E",F1195*(1+Assumptions!D$15),F1195*(1+Assumptions!D$14)),-2)</f>
        <v>76500</v>
      </c>
      <c r="H1195" s="288">
        <f>ROUND(IF($A1195="E",G1195*(1+Assumptions!E$15),G1195*(1+Assumptions!E$14)),-2)</f>
        <v>78000</v>
      </c>
      <c r="I1195" s="288">
        <f>ROUND(IF($A1195="E",H1195*(1+Assumptions!F$15),H1195*(1+Assumptions!F$14)),-2)</f>
        <v>79600</v>
      </c>
      <c r="J1195" s="288">
        <f>ROUND(IF($A1195="E",I1195*(1+Assumptions!G$15),I1195*(1+Assumptions!G$14)),-2)</f>
        <v>81200</v>
      </c>
      <c r="K1195" s="288">
        <f>ROUND(IF($A1195="E",J1195*(1+Assumptions!H$15),J1195*(1+Assumptions!H$14)),-2)</f>
        <v>82800</v>
      </c>
      <c r="L1195" s="288">
        <f>ROUND(IF($A1195="E",K1195*(1+Assumptions!I$15),K1195*(1+Assumptions!I$14)),-2)</f>
        <v>84900</v>
      </c>
      <c r="M1195" s="288">
        <f>ROUND(IF($A1195="E",L1195*(1+Assumptions!J$15),L1195*(1+Assumptions!J$14)),-2)</f>
        <v>87000</v>
      </c>
      <c r="N1195" s="288">
        <f>ROUND(IF($A1195="E",M1195*(1+Assumptions!K$15),M1195*(1+Assumptions!K$14)),-2)</f>
        <v>89200</v>
      </c>
    </row>
    <row r="1196" spans="2:14" x14ac:dyDescent="0.25">
      <c r="B1196" s="16" t="s">
        <v>43</v>
      </c>
      <c r="C1196" s="16" t="s">
        <v>1953</v>
      </c>
      <c r="D1196" s="16" t="s">
        <v>1954</v>
      </c>
      <c r="E1196" s="289"/>
      <c r="F1196" s="289"/>
      <c r="G1196" s="289"/>
      <c r="H1196" s="289"/>
      <c r="I1196" s="289"/>
      <c r="J1196" s="289"/>
      <c r="K1196" s="289"/>
      <c r="L1196" s="289"/>
      <c r="M1196" s="289"/>
      <c r="N1196" s="289"/>
    </row>
    <row r="1197" spans="2:14" x14ac:dyDescent="0.25">
      <c r="B1197" s="16" t="s">
        <v>43</v>
      </c>
      <c r="C1197" s="16" t="s">
        <v>1955</v>
      </c>
      <c r="D1197" s="16" t="s">
        <v>1934</v>
      </c>
      <c r="E1197" s="288">
        <v>150800</v>
      </c>
      <c r="F1197" s="288">
        <f>ROUND(IF($A1197="E",E1197*(1+Assumptions!C$15),E1197*(1+Assumptions!C$14)),-2)</f>
        <v>153100</v>
      </c>
      <c r="G1197" s="288">
        <f>ROUND(IF($A1197="E",F1197*(1+Assumptions!D$15),F1197*(1+Assumptions!D$14)),-2)</f>
        <v>156200</v>
      </c>
      <c r="H1197" s="288">
        <f>ROUND(IF($A1197="E",G1197*(1+Assumptions!E$15),G1197*(1+Assumptions!E$14)),-2)</f>
        <v>159300</v>
      </c>
      <c r="I1197" s="288">
        <f>ROUND(IF($A1197="E",H1197*(1+Assumptions!F$15),H1197*(1+Assumptions!F$14)),-2)</f>
        <v>162500</v>
      </c>
      <c r="J1197" s="288">
        <f>ROUND(IF($A1197="E",I1197*(1+Assumptions!G$15),I1197*(1+Assumptions!G$14)),-2)</f>
        <v>165800</v>
      </c>
      <c r="K1197" s="288">
        <f>ROUND(IF($A1197="E",J1197*(1+Assumptions!H$15),J1197*(1+Assumptions!H$14)),-2)</f>
        <v>169100</v>
      </c>
      <c r="L1197" s="288">
        <f>ROUND(IF($A1197="E",K1197*(1+Assumptions!I$15),K1197*(1+Assumptions!I$14)),-2)</f>
        <v>173300</v>
      </c>
      <c r="M1197" s="288">
        <f>ROUND(IF($A1197="E",L1197*(1+Assumptions!J$15),L1197*(1+Assumptions!J$14)),-2)</f>
        <v>177600</v>
      </c>
      <c r="N1197" s="288">
        <f>ROUND(IF($A1197="E",M1197*(1+Assumptions!K$15),M1197*(1+Assumptions!K$14)),-2)</f>
        <v>182000</v>
      </c>
    </row>
    <row r="1198" spans="2:14" x14ac:dyDescent="0.25">
      <c r="B1198" s="16" t="s">
        <v>43</v>
      </c>
      <c r="C1198" s="16" t="s">
        <v>1956</v>
      </c>
      <c r="D1198" s="16" t="s">
        <v>1957</v>
      </c>
      <c r="E1198" s="288">
        <v>126300</v>
      </c>
      <c r="F1198" s="288">
        <f>ROUND(IF($A1198="E",E1198*(1+Assumptions!C$15),E1198*(1+Assumptions!C$14)),-2)</f>
        <v>128200</v>
      </c>
      <c r="G1198" s="288">
        <f>ROUND(IF($A1198="E",F1198*(1+Assumptions!D$15),F1198*(1+Assumptions!D$14)),-2)</f>
        <v>130800</v>
      </c>
      <c r="H1198" s="288">
        <f>ROUND(IF($A1198="E",G1198*(1+Assumptions!E$15),G1198*(1+Assumptions!E$14)),-2)</f>
        <v>133400</v>
      </c>
      <c r="I1198" s="288">
        <f>ROUND(IF($A1198="E",H1198*(1+Assumptions!F$15),H1198*(1+Assumptions!F$14)),-2)</f>
        <v>136100</v>
      </c>
      <c r="J1198" s="288">
        <f>ROUND(IF($A1198="E",I1198*(1+Assumptions!G$15),I1198*(1+Assumptions!G$14)),-2)</f>
        <v>138800</v>
      </c>
      <c r="K1198" s="288">
        <f>ROUND(IF($A1198="E",J1198*(1+Assumptions!H$15),J1198*(1+Assumptions!H$14)),-2)</f>
        <v>141600</v>
      </c>
      <c r="L1198" s="288">
        <f>ROUND(IF($A1198="E",K1198*(1+Assumptions!I$15),K1198*(1+Assumptions!I$14)),-2)</f>
        <v>145100</v>
      </c>
      <c r="M1198" s="288">
        <f>ROUND(IF($A1198="E",L1198*(1+Assumptions!J$15),L1198*(1+Assumptions!J$14)),-2)</f>
        <v>148700</v>
      </c>
      <c r="N1198" s="288">
        <f>ROUND(IF($A1198="E",M1198*(1+Assumptions!K$15),M1198*(1+Assumptions!K$14)),-2)</f>
        <v>152400</v>
      </c>
    </row>
    <row r="1199" spans="2:14" x14ac:dyDescent="0.25">
      <c r="B1199" s="16" t="s">
        <v>43</v>
      </c>
      <c r="C1199" s="16" t="s">
        <v>1958</v>
      </c>
      <c r="D1199" s="16" t="s">
        <v>1959</v>
      </c>
      <c r="E1199" s="288">
        <v>3500</v>
      </c>
      <c r="F1199" s="288">
        <f>ROUND(IF($A1199="E",E1199*(1+Assumptions!C$15),E1199*(1+Assumptions!C$14)),-2)</f>
        <v>3600</v>
      </c>
      <c r="G1199" s="288">
        <f>ROUND(IF($A1199="E",F1199*(1+Assumptions!D$15),F1199*(1+Assumptions!D$14)),-2)</f>
        <v>3700</v>
      </c>
      <c r="H1199" s="288">
        <f>ROUND(IF($A1199="E",G1199*(1+Assumptions!E$15),G1199*(1+Assumptions!E$14)),-2)</f>
        <v>3800</v>
      </c>
      <c r="I1199" s="288">
        <f>ROUND(IF($A1199="E",H1199*(1+Assumptions!F$15),H1199*(1+Assumptions!F$14)),-2)</f>
        <v>3900</v>
      </c>
      <c r="J1199" s="288">
        <f>ROUND(IF($A1199="E",I1199*(1+Assumptions!G$15),I1199*(1+Assumptions!G$14)),-2)</f>
        <v>4000</v>
      </c>
      <c r="K1199" s="288">
        <f>ROUND(IF($A1199="E",J1199*(1+Assumptions!H$15),J1199*(1+Assumptions!H$14)),-2)</f>
        <v>4100</v>
      </c>
      <c r="L1199" s="288">
        <f>ROUND(IF($A1199="E",K1199*(1+Assumptions!I$15),K1199*(1+Assumptions!I$14)),-2)</f>
        <v>4200</v>
      </c>
      <c r="M1199" s="288">
        <f>ROUND(IF($A1199="E",L1199*(1+Assumptions!J$15),L1199*(1+Assumptions!J$14)),-2)</f>
        <v>4300</v>
      </c>
      <c r="N1199" s="288">
        <f>ROUND(IF($A1199="E",M1199*(1+Assumptions!K$15),M1199*(1+Assumptions!K$14)),-2)</f>
        <v>4400</v>
      </c>
    </row>
    <row r="1200" spans="2:14" x14ac:dyDescent="0.25">
      <c r="B1200" s="16" t="s">
        <v>43</v>
      </c>
      <c r="C1200" s="16" t="s">
        <v>1960</v>
      </c>
      <c r="D1200" s="16" t="s">
        <v>1961</v>
      </c>
      <c r="E1200" s="288">
        <v>424800</v>
      </c>
      <c r="F1200" s="288">
        <f>ROUND(IF($A1200="E",E1200*(1+Assumptions!C$15),E1200*(1+Assumptions!C$14)),-2)</f>
        <v>431200</v>
      </c>
      <c r="G1200" s="288">
        <f>ROUND(IF($A1200="E",F1200*(1+Assumptions!D$15),F1200*(1+Assumptions!D$14)),-2)</f>
        <v>439800</v>
      </c>
      <c r="H1200" s="288">
        <f>ROUND(IF($A1200="E",G1200*(1+Assumptions!E$15),G1200*(1+Assumptions!E$14)),-2)</f>
        <v>448600</v>
      </c>
      <c r="I1200" s="288">
        <f>ROUND(IF($A1200="E",H1200*(1+Assumptions!F$15),H1200*(1+Assumptions!F$14)),-2)</f>
        <v>457600</v>
      </c>
      <c r="J1200" s="288">
        <f>ROUND(IF($A1200="E",I1200*(1+Assumptions!G$15),I1200*(1+Assumptions!G$14)),-2)</f>
        <v>466800</v>
      </c>
      <c r="K1200" s="288">
        <f>ROUND(IF($A1200="E",J1200*(1+Assumptions!H$15),J1200*(1+Assumptions!H$14)),-2)</f>
        <v>476100</v>
      </c>
      <c r="L1200" s="288">
        <f>ROUND(IF($A1200="E",K1200*(1+Assumptions!I$15),K1200*(1+Assumptions!I$14)),-2)</f>
        <v>488000</v>
      </c>
      <c r="M1200" s="288">
        <f>ROUND(IF($A1200="E",L1200*(1+Assumptions!J$15),L1200*(1+Assumptions!J$14)),-2)</f>
        <v>500200</v>
      </c>
      <c r="N1200" s="288">
        <f>ROUND(IF($A1200="E",M1200*(1+Assumptions!K$15),M1200*(1+Assumptions!K$14)),-2)</f>
        <v>512700</v>
      </c>
    </row>
    <row r="1201" spans="2:14" x14ac:dyDescent="0.25">
      <c r="B1201" s="16" t="s">
        <v>43</v>
      </c>
      <c r="C1201" s="16" t="s">
        <v>1962</v>
      </c>
      <c r="D1201" s="16" t="s">
        <v>1963</v>
      </c>
      <c r="E1201" s="288">
        <v>5100</v>
      </c>
      <c r="F1201" s="288">
        <f>ROUND(IF($A1201="E",E1201*(1+Assumptions!C$15),E1201*(1+Assumptions!C$14)),-2)</f>
        <v>5200</v>
      </c>
      <c r="G1201" s="288">
        <f>ROUND(IF($A1201="E",F1201*(1+Assumptions!D$15),F1201*(1+Assumptions!D$14)),-2)</f>
        <v>5300</v>
      </c>
      <c r="H1201" s="288">
        <f>ROUND(IF($A1201="E",G1201*(1+Assumptions!E$15),G1201*(1+Assumptions!E$14)),-2)</f>
        <v>5400</v>
      </c>
      <c r="I1201" s="288">
        <f>ROUND(IF($A1201="E",H1201*(1+Assumptions!F$15),H1201*(1+Assumptions!F$14)),-2)</f>
        <v>5500</v>
      </c>
      <c r="J1201" s="288">
        <f>ROUND(IF($A1201="E",I1201*(1+Assumptions!G$15),I1201*(1+Assumptions!G$14)),-2)</f>
        <v>5600</v>
      </c>
      <c r="K1201" s="288">
        <f>ROUND(IF($A1201="E",J1201*(1+Assumptions!H$15),J1201*(1+Assumptions!H$14)),-2)</f>
        <v>5700</v>
      </c>
      <c r="L1201" s="288">
        <f>ROUND(IF($A1201="E",K1201*(1+Assumptions!I$15),K1201*(1+Assumptions!I$14)),-2)</f>
        <v>5800</v>
      </c>
      <c r="M1201" s="288">
        <f>ROUND(IF($A1201="E",L1201*(1+Assumptions!J$15),L1201*(1+Assumptions!J$14)),-2)</f>
        <v>5900</v>
      </c>
      <c r="N1201" s="288">
        <f>ROUND(IF($A1201="E",M1201*(1+Assumptions!K$15),M1201*(1+Assumptions!K$14)),-2)</f>
        <v>6000</v>
      </c>
    </row>
    <row r="1202" spans="2:14" x14ac:dyDescent="0.25">
      <c r="B1202" s="16" t="s">
        <v>43</v>
      </c>
      <c r="C1202" s="16" t="s">
        <v>1964</v>
      </c>
      <c r="D1202" s="16" t="s">
        <v>1965</v>
      </c>
      <c r="E1202" s="288">
        <v>5500</v>
      </c>
      <c r="F1202" s="288">
        <f>ROUND(IF($A1202="E",E1202*(1+Assumptions!C$15),E1202*(1+Assumptions!C$14)),-2)</f>
        <v>5600</v>
      </c>
      <c r="G1202" s="288">
        <f>ROUND(IF($A1202="E",F1202*(1+Assumptions!D$15),F1202*(1+Assumptions!D$14)),-2)</f>
        <v>5700</v>
      </c>
      <c r="H1202" s="288">
        <f>ROUND(IF($A1202="E",G1202*(1+Assumptions!E$15),G1202*(1+Assumptions!E$14)),-2)</f>
        <v>5800</v>
      </c>
      <c r="I1202" s="288">
        <f>ROUND(IF($A1202="E",H1202*(1+Assumptions!F$15),H1202*(1+Assumptions!F$14)),-2)</f>
        <v>5900</v>
      </c>
      <c r="J1202" s="288">
        <f>ROUND(IF($A1202="E",I1202*(1+Assumptions!G$15),I1202*(1+Assumptions!G$14)),-2)</f>
        <v>6000</v>
      </c>
      <c r="K1202" s="288">
        <f>ROUND(IF($A1202="E",J1202*(1+Assumptions!H$15),J1202*(1+Assumptions!H$14)),-2)</f>
        <v>6100</v>
      </c>
      <c r="L1202" s="288">
        <f>ROUND(IF($A1202="E",K1202*(1+Assumptions!I$15),K1202*(1+Assumptions!I$14)),-2)</f>
        <v>6300</v>
      </c>
      <c r="M1202" s="288">
        <f>ROUND(IF($A1202="E",L1202*(1+Assumptions!J$15),L1202*(1+Assumptions!J$14)),-2)</f>
        <v>6500</v>
      </c>
      <c r="N1202" s="288">
        <f>ROUND(IF($A1202="E",M1202*(1+Assumptions!K$15),M1202*(1+Assumptions!K$14)),-2)</f>
        <v>6700</v>
      </c>
    </row>
    <row r="1203" spans="2:14" x14ac:dyDescent="0.25">
      <c r="B1203" s="16" t="s">
        <v>43</v>
      </c>
      <c r="C1203" s="16" t="s">
        <v>1966</v>
      </c>
      <c r="D1203" s="16" t="s">
        <v>1967</v>
      </c>
      <c r="E1203" s="288">
        <v>7700</v>
      </c>
      <c r="F1203" s="288">
        <f>ROUND(IF($A1203="E",E1203*(1+Assumptions!C$15),E1203*(1+Assumptions!C$14)),-2)</f>
        <v>7800</v>
      </c>
      <c r="G1203" s="288">
        <f>ROUND(IF($A1203="E",F1203*(1+Assumptions!D$15),F1203*(1+Assumptions!D$14)),-2)</f>
        <v>8000</v>
      </c>
      <c r="H1203" s="288">
        <f>ROUND(IF($A1203="E",G1203*(1+Assumptions!E$15),G1203*(1+Assumptions!E$14)),-2)</f>
        <v>8200</v>
      </c>
      <c r="I1203" s="288">
        <f>ROUND(IF($A1203="E",H1203*(1+Assumptions!F$15),H1203*(1+Assumptions!F$14)),-2)</f>
        <v>8400</v>
      </c>
      <c r="J1203" s="288">
        <f>ROUND(IF($A1203="E",I1203*(1+Assumptions!G$15),I1203*(1+Assumptions!G$14)),-2)</f>
        <v>8600</v>
      </c>
      <c r="K1203" s="288">
        <f>ROUND(IF($A1203="E",J1203*(1+Assumptions!H$15),J1203*(1+Assumptions!H$14)),-2)</f>
        <v>8800</v>
      </c>
      <c r="L1203" s="288">
        <f>ROUND(IF($A1203="E",K1203*(1+Assumptions!I$15),K1203*(1+Assumptions!I$14)),-2)</f>
        <v>9000</v>
      </c>
      <c r="M1203" s="288">
        <f>ROUND(IF($A1203="E",L1203*(1+Assumptions!J$15),L1203*(1+Assumptions!J$14)),-2)</f>
        <v>9200</v>
      </c>
      <c r="N1203" s="288">
        <f>ROUND(IF($A1203="E",M1203*(1+Assumptions!K$15),M1203*(1+Assumptions!K$14)),-2)</f>
        <v>9400</v>
      </c>
    </row>
    <row r="1204" spans="2:14" x14ac:dyDescent="0.25">
      <c r="B1204" s="16" t="s">
        <v>43</v>
      </c>
      <c r="C1204" s="16" t="s">
        <v>1968</v>
      </c>
      <c r="D1204" s="16" t="s">
        <v>1969</v>
      </c>
      <c r="E1204" s="288">
        <v>15000</v>
      </c>
      <c r="F1204" s="288">
        <f>ROUND(IF($A1204="E",E1204*(1+Assumptions!C$15),E1204*(1+Assumptions!C$14)),-2)</f>
        <v>15200</v>
      </c>
      <c r="G1204" s="288">
        <f>ROUND(IF($A1204="E",F1204*(1+Assumptions!D$15),F1204*(1+Assumptions!D$14)),-2)</f>
        <v>15500</v>
      </c>
      <c r="H1204" s="288">
        <f>ROUND(IF($A1204="E",G1204*(1+Assumptions!E$15),G1204*(1+Assumptions!E$14)),-2)</f>
        <v>15800</v>
      </c>
      <c r="I1204" s="288">
        <f>ROUND(IF($A1204="E",H1204*(1+Assumptions!F$15),H1204*(1+Assumptions!F$14)),-2)</f>
        <v>16100</v>
      </c>
      <c r="J1204" s="288">
        <f>ROUND(IF($A1204="E",I1204*(1+Assumptions!G$15),I1204*(1+Assumptions!G$14)),-2)</f>
        <v>16400</v>
      </c>
      <c r="K1204" s="288">
        <f>ROUND(IF($A1204="E",J1204*(1+Assumptions!H$15),J1204*(1+Assumptions!H$14)),-2)</f>
        <v>16700</v>
      </c>
      <c r="L1204" s="288">
        <f>ROUND(IF($A1204="E",K1204*(1+Assumptions!I$15),K1204*(1+Assumptions!I$14)),-2)</f>
        <v>17100</v>
      </c>
      <c r="M1204" s="288">
        <f>ROUND(IF($A1204="E",L1204*(1+Assumptions!J$15),L1204*(1+Assumptions!J$14)),-2)</f>
        <v>17500</v>
      </c>
      <c r="N1204" s="288">
        <f>ROUND(IF($A1204="E",M1204*(1+Assumptions!K$15),M1204*(1+Assumptions!K$14)),-2)</f>
        <v>17900</v>
      </c>
    </row>
    <row r="1205" spans="2:14" x14ac:dyDescent="0.25">
      <c r="B1205" s="16" t="s">
        <v>43</v>
      </c>
      <c r="C1205" s="16" t="s">
        <v>1970</v>
      </c>
      <c r="D1205" s="16" t="s">
        <v>1971</v>
      </c>
      <c r="E1205" s="288">
        <v>15400</v>
      </c>
      <c r="F1205" s="288">
        <f>ROUND(IF($A1205="E",E1205*(1+Assumptions!C$15),E1205*(1+Assumptions!C$14)),-2)</f>
        <v>15600</v>
      </c>
      <c r="G1205" s="288">
        <f>ROUND(IF($A1205="E",F1205*(1+Assumptions!D$15),F1205*(1+Assumptions!D$14)),-2)</f>
        <v>15900</v>
      </c>
      <c r="H1205" s="288">
        <f>ROUND(IF($A1205="E",G1205*(1+Assumptions!E$15),G1205*(1+Assumptions!E$14)),-2)</f>
        <v>16200</v>
      </c>
      <c r="I1205" s="288">
        <f>ROUND(IF($A1205="E",H1205*(1+Assumptions!F$15),H1205*(1+Assumptions!F$14)),-2)</f>
        <v>16500</v>
      </c>
      <c r="J1205" s="288">
        <f>ROUND(IF($A1205="E",I1205*(1+Assumptions!G$15),I1205*(1+Assumptions!G$14)),-2)</f>
        <v>16800</v>
      </c>
      <c r="K1205" s="288">
        <f>ROUND(IF($A1205="E",J1205*(1+Assumptions!H$15),J1205*(1+Assumptions!H$14)),-2)</f>
        <v>17100</v>
      </c>
      <c r="L1205" s="288">
        <f>ROUND(IF($A1205="E",K1205*(1+Assumptions!I$15),K1205*(1+Assumptions!I$14)),-2)</f>
        <v>17500</v>
      </c>
      <c r="M1205" s="288">
        <f>ROUND(IF($A1205="E",L1205*(1+Assumptions!J$15),L1205*(1+Assumptions!J$14)),-2)</f>
        <v>17900</v>
      </c>
      <c r="N1205" s="288">
        <f>ROUND(IF($A1205="E",M1205*(1+Assumptions!K$15),M1205*(1+Assumptions!K$14)),-2)</f>
        <v>18300</v>
      </c>
    </row>
    <row r="1206" spans="2:14" x14ac:dyDescent="0.25">
      <c r="B1206" s="16" t="s">
        <v>43</v>
      </c>
      <c r="C1206" s="16" t="s">
        <v>1972</v>
      </c>
      <c r="D1206" s="16" t="s">
        <v>1973</v>
      </c>
      <c r="E1206" s="288">
        <v>36900</v>
      </c>
      <c r="F1206" s="288">
        <f>ROUND(IF($A1206="E",E1206*(1+Assumptions!C$15),E1206*(1+Assumptions!C$14)),-2)</f>
        <v>37500</v>
      </c>
      <c r="G1206" s="288">
        <f>ROUND(IF($A1206="E",F1206*(1+Assumptions!D$15),F1206*(1+Assumptions!D$14)),-2)</f>
        <v>38300</v>
      </c>
      <c r="H1206" s="288">
        <f>ROUND(IF($A1206="E",G1206*(1+Assumptions!E$15),G1206*(1+Assumptions!E$14)),-2)</f>
        <v>39100</v>
      </c>
      <c r="I1206" s="288">
        <f>ROUND(IF($A1206="E",H1206*(1+Assumptions!F$15),H1206*(1+Assumptions!F$14)),-2)</f>
        <v>39900</v>
      </c>
      <c r="J1206" s="288">
        <f>ROUND(IF($A1206="E",I1206*(1+Assumptions!G$15),I1206*(1+Assumptions!G$14)),-2)</f>
        <v>40700</v>
      </c>
      <c r="K1206" s="288">
        <f>ROUND(IF($A1206="E",J1206*(1+Assumptions!H$15),J1206*(1+Assumptions!H$14)),-2)</f>
        <v>41500</v>
      </c>
      <c r="L1206" s="288">
        <f>ROUND(IF($A1206="E",K1206*(1+Assumptions!I$15),K1206*(1+Assumptions!I$14)),-2)</f>
        <v>42500</v>
      </c>
      <c r="M1206" s="288">
        <f>ROUND(IF($A1206="E",L1206*(1+Assumptions!J$15),L1206*(1+Assumptions!J$14)),-2)</f>
        <v>43600</v>
      </c>
      <c r="N1206" s="288">
        <f>ROUND(IF($A1206="E",M1206*(1+Assumptions!K$15),M1206*(1+Assumptions!K$14)),-2)</f>
        <v>44700</v>
      </c>
    </row>
    <row r="1207" spans="2:14" x14ac:dyDescent="0.25">
      <c r="B1207" s="16" t="s">
        <v>43</v>
      </c>
      <c r="C1207" s="16" t="s">
        <v>1974</v>
      </c>
      <c r="D1207" s="16" t="s">
        <v>1975</v>
      </c>
      <c r="E1207" s="288">
        <v>2900</v>
      </c>
      <c r="F1207" s="288">
        <f>ROUND(IF($A1207="E",E1207*(1+Assumptions!C$15),E1207*(1+Assumptions!C$14)),-2)</f>
        <v>2900</v>
      </c>
      <c r="G1207" s="288">
        <f>ROUND(IF($A1207="E",F1207*(1+Assumptions!D$15),F1207*(1+Assumptions!D$14)),-2)</f>
        <v>3000</v>
      </c>
      <c r="H1207" s="288">
        <f>ROUND(IF($A1207="E",G1207*(1+Assumptions!E$15),G1207*(1+Assumptions!E$14)),-2)</f>
        <v>3100</v>
      </c>
      <c r="I1207" s="288">
        <f>ROUND(IF($A1207="E",H1207*(1+Assumptions!F$15),H1207*(1+Assumptions!F$14)),-2)</f>
        <v>3200</v>
      </c>
      <c r="J1207" s="288">
        <f>ROUND(IF($A1207="E",I1207*(1+Assumptions!G$15),I1207*(1+Assumptions!G$14)),-2)</f>
        <v>3300</v>
      </c>
      <c r="K1207" s="288">
        <f>ROUND(IF($A1207="E",J1207*(1+Assumptions!H$15),J1207*(1+Assumptions!H$14)),-2)</f>
        <v>3400</v>
      </c>
      <c r="L1207" s="288">
        <f>ROUND(IF($A1207="E",K1207*(1+Assumptions!I$15),K1207*(1+Assumptions!I$14)),-2)</f>
        <v>3500</v>
      </c>
      <c r="M1207" s="288">
        <f>ROUND(IF($A1207="E",L1207*(1+Assumptions!J$15),L1207*(1+Assumptions!J$14)),-2)</f>
        <v>3600</v>
      </c>
      <c r="N1207" s="288">
        <f>ROUND(IF($A1207="E",M1207*(1+Assumptions!K$15),M1207*(1+Assumptions!K$14)),-2)</f>
        <v>3700</v>
      </c>
    </row>
    <row r="1208" spans="2:14" x14ac:dyDescent="0.25">
      <c r="B1208" s="16" t="s">
        <v>43</v>
      </c>
      <c r="C1208" s="16" t="s">
        <v>1976</v>
      </c>
      <c r="D1208" s="16" t="s">
        <v>1977</v>
      </c>
      <c r="E1208" s="288">
        <v>3400</v>
      </c>
      <c r="F1208" s="288">
        <f>ROUND(IF($A1208="E",E1208*(1+Assumptions!C$15),E1208*(1+Assumptions!C$14)),-2)</f>
        <v>3500</v>
      </c>
      <c r="G1208" s="288">
        <f>ROUND(IF($A1208="E",F1208*(1+Assumptions!D$15),F1208*(1+Assumptions!D$14)),-2)</f>
        <v>3600</v>
      </c>
      <c r="H1208" s="288">
        <f>ROUND(IF($A1208="E",G1208*(1+Assumptions!E$15),G1208*(1+Assumptions!E$14)),-2)</f>
        <v>3700</v>
      </c>
      <c r="I1208" s="288">
        <f>ROUND(IF($A1208="E",H1208*(1+Assumptions!F$15),H1208*(1+Assumptions!F$14)),-2)</f>
        <v>3800</v>
      </c>
      <c r="J1208" s="288">
        <f>ROUND(IF($A1208="E",I1208*(1+Assumptions!G$15),I1208*(1+Assumptions!G$14)),-2)</f>
        <v>3900</v>
      </c>
      <c r="K1208" s="288">
        <f>ROUND(IF($A1208="E",J1208*(1+Assumptions!H$15),J1208*(1+Assumptions!H$14)),-2)</f>
        <v>4000</v>
      </c>
      <c r="L1208" s="288">
        <f>ROUND(IF($A1208="E",K1208*(1+Assumptions!I$15),K1208*(1+Assumptions!I$14)),-2)</f>
        <v>4100</v>
      </c>
      <c r="M1208" s="288">
        <f>ROUND(IF($A1208="E",L1208*(1+Assumptions!J$15),L1208*(1+Assumptions!J$14)),-2)</f>
        <v>4200</v>
      </c>
      <c r="N1208" s="288">
        <f>ROUND(IF($A1208="E",M1208*(1+Assumptions!K$15),M1208*(1+Assumptions!K$14)),-2)</f>
        <v>4300</v>
      </c>
    </row>
    <row r="1209" spans="2:14" x14ac:dyDescent="0.25">
      <c r="B1209" s="16" t="s">
        <v>43</v>
      </c>
      <c r="C1209" s="16" t="s">
        <v>1978</v>
      </c>
      <c r="D1209" s="16" t="s">
        <v>1979</v>
      </c>
      <c r="E1209" s="288">
        <v>217100</v>
      </c>
      <c r="F1209" s="288">
        <f>ROUND(IF($A1209="E",E1209*(1+Assumptions!C$15),E1209*(1+Assumptions!C$14)),-2)</f>
        <v>220400</v>
      </c>
      <c r="G1209" s="288">
        <f>ROUND(IF($A1209="E",F1209*(1+Assumptions!D$15),F1209*(1+Assumptions!D$14)),-2)</f>
        <v>224800</v>
      </c>
      <c r="H1209" s="288">
        <f>ROUND(IF($A1209="E",G1209*(1+Assumptions!E$15),G1209*(1+Assumptions!E$14)),-2)</f>
        <v>229300</v>
      </c>
      <c r="I1209" s="288">
        <f>ROUND(IF($A1209="E",H1209*(1+Assumptions!F$15),H1209*(1+Assumptions!F$14)),-2)</f>
        <v>233900</v>
      </c>
      <c r="J1209" s="288">
        <f>ROUND(IF($A1209="E",I1209*(1+Assumptions!G$15),I1209*(1+Assumptions!G$14)),-2)</f>
        <v>238600</v>
      </c>
      <c r="K1209" s="288">
        <f>ROUND(IF($A1209="E",J1209*(1+Assumptions!H$15),J1209*(1+Assumptions!H$14)),-2)</f>
        <v>243400</v>
      </c>
      <c r="L1209" s="288">
        <f>ROUND(IF($A1209="E",K1209*(1+Assumptions!I$15),K1209*(1+Assumptions!I$14)),-2)</f>
        <v>249500</v>
      </c>
      <c r="M1209" s="288">
        <f>ROUND(IF($A1209="E",L1209*(1+Assumptions!J$15),L1209*(1+Assumptions!J$14)),-2)</f>
        <v>255700</v>
      </c>
      <c r="N1209" s="288">
        <f>ROUND(IF($A1209="E",M1209*(1+Assumptions!K$15),M1209*(1+Assumptions!K$14)),-2)</f>
        <v>262100</v>
      </c>
    </row>
    <row r="1210" spans="2:14" x14ac:dyDescent="0.25">
      <c r="B1210" s="16" t="s">
        <v>43</v>
      </c>
      <c r="C1210" s="16" t="s">
        <v>1980</v>
      </c>
      <c r="D1210" s="16" t="s">
        <v>1981</v>
      </c>
      <c r="E1210" s="288">
        <v>10800</v>
      </c>
      <c r="F1210" s="288">
        <f>ROUND(IF($A1210="E",E1210*(1+Assumptions!C$15),E1210*(1+Assumptions!C$14)),-2)</f>
        <v>11000</v>
      </c>
      <c r="G1210" s="288">
        <f>ROUND(IF($A1210="E",F1210*(1+Assumptions!D$15),F1210*(1+Assumptions!D$14)),-2)</f>
        <v>11200</v>
      </c>
      <c r="H1210" s="288">
        <f>ROUND(IF($A1210="E",G1210*(1+Assumptions!E$15),G1210*(1+Assumptions!E$14)),-2)</f>
        <v>11400</v>
      </c>
      <c r="I1210" s="288">
        <f>ROUND(IF($A1210="E",H1210*(1+Assumptions!F$15),H1210*(1+Assumptions!F$14)),-2)</f>
        <v>11600</v>
      </c>
      <c r="J1210" s="288">
        <f>ROUND(IF($A1210="E",I1210*(1+Assumptions!G$15),I1210*(1+Assumptions!G$14)),-2)</f>
        <v>11800</v>
      </c>
      <c r="K1210" s="288">
        <f>ROUND(IF($A1210="E",J1210*(1+Assumptions!H$15),J1210*(1+Assumptions!H$14)),-2)</f>
        <v>12000</v>
      </c>
      <c r="L1210" s="288">
        <f>ROUND(IF($A1210="E",K1210*(1+Assumptions!I$15),K1210*(1+Assumptions!I$14)),-2)</f>
        <v>12300</v>
      </c>
      <c r="M1210" s="288">
        <f>ROUND(IF($A1210="E",L1210*(1+Assumptions!J$15),L1210*(1+Assumptions!J$14)),-2)</f>
        <v>12600</v>
      </c>
      <c r="N1210" s="288">
        <f>ROUND(IF($A1210="E",M1210*(1+Assumptions!K$15),M1210*(1+Assumptions!K$14)),-2)</f>
        <v>12900</v>
      </c>
    </row>
    <row r="1211" spans="2:14" x14ac:dyDescent="0.25">
      <c r="B1211" s="16" t="s">
        <v>43</v>
      </c>
      <c r="C1211" s="16" t="s">
        <v>1982</v>
      </c>
      <c r="D1211" s="16" t="s">
        <v>1983</v>
      </c>
      <c r="E1211" s="288">
        <v>75000</v>
      </c>
      <c r="F1211" s="288">
        <f>ROUND(IF($A1211="E",E1211*(1+Assumptions!C$15),E1211*(1+Assumptions!C$14)),-2)</f>
        <v>76100</v>
      </c>
      <c r="G1211" s="288">
        <f>ROUND(IF($A1211="E",F1211*(1+Assumptions!D$15),F1211*(1+Assumptions!D$14)),-2)</f>
        <v>77600</v>
      </c>
      <c r="H1211" s="288">
        <f>ROUND(IF($A1211="E",G1211*(1+Assumptions!E$15),G1211*(1+Assumptions!E$14)),-2)</f>
        <v>79200</v>
      </c>
      <c r="I1211" s="288">
        <f>ROUND(IF($A1211="E",H1211*(1+Assumptions!F$15),H1211*(1+Assumptions!F$14)),-2)</f>
        <v>80800</v>
      </c>
      <c r="J1211" s="288">
        <f>ROUND(IF($A1211="E",I1211*(1+Assumptions!G$15),I1211*(1+Assumptions!G$14)),-2)</f>
        <v>82400</v>
      </c>
      <c r="K1211" s="288">
        <f>ROUND(IF($A1211="E",J1211*(1+Assumptions!H$15),J1211*(1+Assumptions!H$14)),-2)</f>
        <v>84000</v>
      </c>
      <c r="L1211" s="288">
        <f>ROUND(IF($A1211="E",K1211*(1+Assumptions!I$15),K1211*(1+Assumptions!I$14)),-2)</f>
        <v>86100</v>
      </c>
      <c r="M1211" s="288">
        <f>ROUND(IF($A1211="E",L1211*(1+Assumptions!J$15),L1211*(1+Assumptions!J$14)),-2)</f>
        <v>88300</v>
      </c>
      <c r="N1211" s="288">
        <f>ROUND(IF($A1211="E",M1211*(1+Assumptions!K$15),M1211*(1+Assumptions!K$14)),-2)</f>
        <v>90500</v>
      </c>
    </row>
    <row r="1212" spans="2:14" x14ac:dyDescent="0.25">
      <c r="B1212" s="16" t="s">
        <v>43</v>
      </c>
      <c r="C1212" s="16" t="s">
        <v>1984</v>
      </c>
      <c r="D1212" s="16" t="s">
        <v>1948</v>
      </c>
      <c r="E1212" s="288">
        <v>28100</v>
      </c>
      <c r="F1212" s="288">
        <f>ROUND(IF($A1212="E",E1212*(1+Assumptions!C$15),E1212*(1+Assumptions!C$14)),-2)</f>
        <v>28500</v>
      </c>
      <c r="G1212" s="288">
        <f>ROUND(IF($A1212="E",F1212*(1+Assumptions!D$15),F1212*(1+Assumptions!D$14)),-2)</f>
        <v>29100</v>
      </c>
      <c r="H1212" s="288">
        <f>ROUND(IF($A1212="E",G1212*(1+Assumptions!E$15),G1212*(1+Assumptions!E$14)),-2)</f>
        <v>29700</v>
      </c>
      <c r="I1212" s="288">
        <f>ROUND(IF($A1212="E",H1212*(1+Assumptions!F$15),H1212*(1+Assumptions!F$14)),-2)</f>
        <v>30300</v>
      </c>
      <c r="J1212" s="288">
        <f>ROUND(IF($A1212="E",I1212*(1+Assumptions!G$15),I1212*(1+Assumptions!G$14)),-2)</f>
        <v>30900</v>
      </c>
      <c r="K1212" s="288">
        <f>ROUND(IF($A1212="E",J1212*(1+Assumptions!H$15),J1212*(1+Assumptions!H$14)),-2)</f>
        <v>31500</v>
      </c>
      <c r="L1212" s="288">
        <f>ROUND(IF($A1212="E",K1212*(1+Assumptions!I$15),K1212*(1+Assumptions!I$14)),-2)</f>
        <v>32300</v>
      </c>
      <c r="M1212" s="288">
        <f>ROUND(IF($A1212="E",L1212*(1+Assumptions!J$15),L1212*(1+Assumptions!J$14)),-2)</f>
        <v>33100</v>
      </c>
      <c r="N1212" s="288">
        <f>ROUND(IF($A1212="E",M1212*(1+Assumptions!K$15),M1212*(1+Assumptions!K$14)),-2)</f>
        <v>33900</v>
      </c>
    </row>
    <row r="1213" spans="2:14" x14ac:dyDescent="0.25">
      <c r="B1213" s="16" t="s">
        <v>43</v>
      </c>
      <c r="C1213" s="16" t="s">
        <v>1985</v>
      </c>
      <c r="D1213" s="16" t="s">
        <v>1986</v>
      </c>
      <c r="E1213" s="288">
        <v>577300</v>
      </c>
      <c r="F1213" s="288">
        <f>ROUND(IF($A1213="E",E1213*(1+Assumptions!C$15),E1213*(1+Assumptions!C$14)),-2)</f>
        <v>586000</v>
      </c>
      <c r="G1213" s="288">
        <f>ROUND(IF($A1213="E",F1213*(1+Assumptions!D$15),F1213*(1+Assumptions!D$14)),-2)</f>
        <v>597700</v>
      </c>
      <c r="H1213" s="288">
        <f>ROUND(IF($A1213="E",G1213*(1+Assumptions!E$15),G1213*(1+Assumptions!E$14)),-2)</f>
        <v>609700</v>
      </c>
      <c r="I1213" s="288">
        <f>ROUND(IF($A1213="E",H1213*(1+Assumptions!F$15),H1213*(1+Assumptions!F$14)),-2)</f>
        <v>621900</v>
      </c>
      <c r="J1213" s="288">
        <f>ROUND(IF($A1213="E",I1213*(1+Assumptions!G$15),I1213*(1+Assumptions!G$14)),-2)</f>
        <v>634300</v>
      </c>
      <c r="K1213" s="288">
        <f>ROUND(IF($A1213="E",J1213*(1+Assumptions!H$15),J1213*(1+Assumptions!H$14)),-2)</f>
        <v>647000</v>
      </c>
      <c r="L1213" s="288">
        <f>ROUND(IF($A1213="E",K1213*(1+Assumptions!I$15),K1213*(1+Assumptions!I$14)),-2)</f>
        <v>663200</v>
      </c>
      <c r="M1213" s="288">
        <f>ROUND(IF($A1213="E",L1213*(1+Assumptions!J$15),L1213*(1+Assumptions!J$14)),-2)</f>
        <v>679800</v>
      </c>
      <c r="N1213" s="288">
        <f>ROUND(IF($A1213="E",M1213*(1+Assumptions!K$15),M1213*(1+Assumptions!K$14)),-2)</f>
        <v>696800</v>
      </c>
    </row>
    <row r="1214" spans="2:14" x14ac:dyDescent="0.25">
      <c r="B1214" s="16" t="s">
        <v>43</v>
      </c>
      <c r="C1214" s="16" t="s">
        <v>1987</v>
      </c>
      <c r="D1214" s="16" t="s">
        <v>1988</v>
      </c>
      <c r="E1214" s="288">
        <v>419800</v>
      </c>
      <c r="F1214" s="288">
        <f>ROUND(IF($A1214="E",E1214*(1+Assumptions!C$15),E1214*(1+Assumptions!C$14)),-2)</f>
        <v>426100</v>
      </c>
      <c r="G1214" s="288">
        <f>ROUND(IF($A1214="E",F1214*(1+Assumptions!D$15),F1214*(1+Assumptions!D$14)),-2)</f>
        <v>434600</v>
      </c>
      <c r="H1214" s="288">
        <f>ROUND(IF($A1214="E",G1214*(1+Assumptions!E$15),G1214*(1+Assumptions!E$14)),-2)</f>
        <v>443300</v>
      </c>
      <c r="I1214" s="288">
        <f>ROUND(IF($A1214="E",H1214*(1+Assumptions!F$15),H1214*(1+Assumptions!F$14)),-2)</f>
        <v>452200</v>
      </c>
      <c r="J1214" s="288">
        <f>ROUND(IF($A1214="E",I1214*(1+Assumptions!G$15),I1214*(1+Assumptions!G$14)),-2)</f>
        <v>461200</v>
      </c>
      <c r="K1214" s="288">
        <f>ROUND(IF($A1214="E",J1214*(1+Assumptions!H$15),J1214*(1+Assumptions!H$14)),-2)</f>
        <v>470400</v>
      </c>
      <c r="L1214" s="288">
        <f>ROUND(IF($A1214="E",K1214*(1+Assumptions!I$15),K1214*(1+Assumptions!I$14)),-2)</f>
        <v>482200</v>
      </c>
      <c r="M1214" s="288">
        <f>ROUND(IF($A1214="E",L1214*(1+Assumptions!J$15),L1214*(1+Assumptions!J$14)),-2)</f>
        <v>494300</v>
      </c>
      <c r="N1214" s="288">
        <f>ROUND(IF($A1214="E",M1214*(1+Assumptions!K$15),M1214*(1+Assumptions!K$14)),-2)</f>
        <v>506700</v>
      </c>
    </row>
    <row r="1215" spans="2:14" x14ac:dyDescent="0.25">
      <c r="B1215" s="16" t="s">
        <v>43</v>
      </c>
      <c r="C1215" s="16" t="s">
        <v>1989</v>
      </c>
      <c r="D1215" s="16" t="s">
        <v>1990</v>
      </c>
      <c r="E1215" s="288">
        <v>45000</v>
      </c>
      <c r="F1215" s="288">
        <f>ROUND(IF($A1215="E",E1215*(1+Assumptions!C$15),E1215*(1+Assumptions!C$14)),-2)</f>
        <v>45700</v>
      </c>
      <c r="G1215" s="288">
        <f>ROUND(IF($A1215="E",F1215*(1+Assumptions!D$15),F1215*(1+Assumptions!D$14)),-2)</f>
        <v>46600</v>
      </c>
      <c r="H1215" s="288">
        <f>ROUND(IF($A1215="E",G1215*(1+Assumptions!E$15),G1215*(1+Assumptions!E$14)),-2)</f>
        <v>47500</v>
      </c>
      <c r="I1215" s="288">
        <f>ROUND(IF($A1215="E",H1215*(1+Assumptions!F$15),H1215*(1+Assumptions!F$14)),-2)</f>
        <v>48500</v>
      </c>
      <c r="J1215" s="288">
        <f>ROUND(IF($A1215="E",I1215*(1+Assumptions!G$15),I1215*(1+Assumptions!G$14)),-2)</f>
        <v>49500</v>
      </c>
      <c r="K1215" s="288">
        <f>ROUND(IF($A1215="E",J1215*(1+Assumptions!H$15),J1215*(1+Assumptions!H$14)),-2)</f>
        <v>50500</v>
      </c>
      <c r="L1215" s="288">
        <f>ROUND(IF($A1215="E",K1215*(1+Assumptions!I$15),K1215*(1+Assumptions!I$14)),-2)</f>
        <v>51800</v>
      </c>
      <c r="M1215" s="288">
        <f>ROUND(IF($A1215="E",L1215*(1+Assumptions!J$15),L1215*(1+Assumptions!J$14)),-2)</f>
        <v>53100</v>
      </c>
      <c r="N1215" s="288">
        <f>ROUND(IF($A1215="E",M1215*(1+Assumptions!K$15),M1215*(1+Assumptions!K$14)),-2)</f>
        <v>54400</v>
      </c>
    </row>
    <row r="1216" spans="2:14" x14ac:dyDescent="0.25">
      <c r="B1216" s="16" t="s">
        <v>43</v>
      </c>
      <c r="C1216" s="16" t="s">
        <v>1991</v>
      </c>
      <c r="D1216" s="16" t="s">
        <v>1992</v>
      </c>
      <c r="E1216" s="289"/>
      <c r="F1216" s="289"/>
      <c r="G1216" s="289"/>
      <c r="H1216" s="289"/>
      <c r="I1216" s="289"/>
      <c r="J1216" s="289"/>
      <c r="K1216" s="289"/>
      <c r="L1216" s="289"/>
      <c r="M1216" s="289"/>
      <c r="N1216" s="289"/>
    </row>
    <row r="1217" spans="2:14" x14ac:dyDescent="0.25">
      <c r="B1217" s="16" t="s">
        <v>43</v>
      </c>
      <c r="C1217" s="16" t="s">
        <v>1993</v>
      </c>
      <c r="D1217" s="16" t="s">
        <v>1934</v>
      </c>
      <c r="E1217" s="288">
        <v>366000</v>
      </c>
      <c r="F1217" s="288">
        <f>ROUND(IF($A1217="E",E1217*(1+Assumptions!C$15),E1217*(1+Assumptions!C$14)),-2)</f>
        <v>371500</v>
      </c>
      <c r="G1217" s="288">
        <f>ROUND(IF($A1217="E",F1217*(1+Assumptions!D$15),F1217*(1+Assumptions!D$14)),-2)</f>
        <v>378900</v>
      </c>
      <c r="H1217" s="288">
        <f>ROUND(IF($A1217="E",G1217*(1+Assumptions!E$15),G1217*(1+Assumptions!E$14)),-2)</f>
        <v>386500</v>
      </c>
      <c r="I1217" s="288">
        <f>ROUND(IF($A1217="E",H1217*(1+Assumptions!F$15),H1217*(1+Assumptions!F$14)),-2)</f>
        <v>394200</v>
      </c>
      <c r="J1217" s="288">
        <f>ROUND(IF($A1217="E",I1217*(1+Assumptions!G$15),I1217*(1+Assumptions!G$14)),-2)</f>
        <v>402100</v>
      </c>
      <c r="K1217" s="288">
        <f>ROUND(IF($A1217="E",J1217*(1+Assumptions!H$15),J1217*(1+Assumptions!H$14)),-2)</f>
        <v>410100</v>
      </c>
      <c r="L1217" s="288">
        <f>ROUND(IF($A1217="E",K1217*(1+Assumptions!I$15),K1217*(1+Assumptions!I$14)),-2)</f>
        <v>420400</v>
      </c>
      <c r="M1217" s="288">
        <f>ROUND(IF($A1217="E",L1217*(1+Assumptions!J$15),L1217*(1+Assumptions!J$14)),-2)</f>
        <v>430900</v>
      </c>
      <c r="N1217" s="288">
        <f>ROUND(IF($A1217="E",M1217*(1+Assumptions!K$15),M1217*(1+Assumptions!K$14)),-2)</f>
        <v>441700</v>
      </c>
    </row>
    <row r="1218" spans="2:14" x14ac:dyDescent="0.25">
      <c r="B1218" s="16" t="s">
        <v>43</v>
      </c>
      <c r="C1218" s="16" t="s">
        <v>1994</v>
      </c>
      <c r="D1218" s="16" t="s">
        <v>1995</v>
      </c>
      <c r="E1218" s="288">
        <v>327000</v>
      </c>
      <c r="F1218" s="288">
        <f>ROUND(IF($A1218="E",E1218*(1+Assumptions!C$15),E1218*(1+Assumptions!C$14)),-2)</f>
        <v>331900</v>
      </c>
      <c r="G1218" s="288">
        <f>ROUND(IF($A1218="E",F1218*(1+Assumptions!D$15),F1218*(1+Assumptions!D$14)),-2)</f>
        <v>338500</v>
      </c>
      <c r="H1218" s="288">
        <f>ROUND(IF($A1218="E",G1218*(1+Assumptions!E$15),G1218*(1+Assumptions!E$14)),-2)</f>
        <v>345300</v>
      </c>
      <c r="I1218" s="288">
        <f>ROUND(IF($A1218="E",H1218*(1+Assumptions!F$15),H1218*(1+Assumptions!F$14)),-2)</f>
        <v>352200</v>
      </c>
      <c r="J1218" s="288">
        <f>ROUND(IF($A1218="E",I1218*(1+Assumptions!G$15),I1218*(1+Assumptions!G$14)),-2)</f>
        <v>359200</v>
      </c>
      <c r="K1218" s="288">
        <f>ROUND(IF($A1218="E",J1218*(1+Assumptions!H$15),J1218*(1+Assumptions!H$14)),-2)</f>
        <v>366400</v>
      </c>
      <c r="L1218" s="288">
        <f>ROUND(IF($A1218="E",K1218*(1+Assumptions!I$15),K1218*(1+Assumptions!I$14)),-2)</f>
        <v>375600</v>
      </c>
      <c r="M1218" s="288">
        <f>ROUND(IF($A1218="E",L1218*(1+Assumptions!J$15),L1218*(1+Assumptions!J$14)),-2)</f>
        <v>385000</v>
      </c>
      <c r="N1218" s="288">
        <f>ROUND(IF($A1218="E",M1218*(1+Assumptions!K$15),M1218*(1+Assumptions!K$14)),-2)</f>
        <v>394600</v>
      </c>
    </row>
    <row r="1219" spans="2:14" x14ac:dyDescent="0.25">
      <c r="B1219" s="16" t="s">
        <v>43</v>
      </c>
      <c r="C1219" s="16" t="s">
        <v>1996</v>
      </c>
      <c r="D1219" s="16" t="s">
        <v>1997</v>
      </c>
      <c r="E1219" s="288">
        <v>347000</v>
      </c>
      <c r="F1219" s="288">
        <f>ROUND(IF($A1219="E",E1219*(1+Assumptions!C$15),E1219*(1+Assumptions!C$14)),-2)</f>
        <v>352200</v>
      </c>
      <c r="G1219" s="288">
        <f>ROUND(IF($A1219="E",F1219*(1+Assumptions!D$15),F1219*(1+Assumptions!D$14)),-2)</f>
        <v>359200</v>
      </c>
      <c r="H1219" s="288">
        <f>ROUND(IF($A1219="E",G1219*(1+Assumptions!E$15),G1219*(1+Assumptions!E$14)),-2)</f>
        <v>366400</v>
      </c>
      <c r="I1219" s="288">
        <f>ROUND(IF($A1219="E",H1219*(1+Assumptions!F$15),H1219*(1+Assumptions!F$14)),-2)</f>
        <v>373700</v>
      </c>
      <c r="J1219" s="288">
        <f>ROUND(IF($A1219="E",I1219*(1+Assumptions!G$15),I1219*(1+Assumptions!G$14)),-2)</f>
        <v>381200</v>
      </c>
      <c r="K1219" s="288">
        <f>ROUND(IF($A1219="E",J1219*(1+Assumptions!H$15),J1219*(1+Assumptions!H$14)),-2)</f>
        <v>388800</v>
      </c>
      <c r="L1219" s="288">
        <f>ROUND(IF($A1219="E",K1219*(1+Assumptions!I$15),K1219*(1+Assumptions!I$14)),-2)</f>
        <v>398500</v>
      </c>
      <c r="M1219" s="288">
        <f>ROUND(IF($A1219="E",L1219*(1+Assumptions!J$15),L1219*(1+Assumptions!J$14)),-2)</f>
        <v>408500</v>
      </c>
      <c r="N1219" s="288">
        <f>ROUND(IF($A1219="E",M1219*(1+Assumptions!K$15),M1219*(1+Assumptions!K$14)),-2)</f>
        <v>418700</v>
      </c>
    </row>
    <row r="1220" spans="2:14" x14ac:dyDescent="0.25">
      <c r="B1220" s="16" t="s">
        <v>43</v>
      </c>
      <c r="C1220" s="16" t="s">
        <v>1998</v>
      </c>
      <c r="D1220" s="16" t="s">
        <v>1990</v>
      </c>
      <c r="E1220" s="288">
        <v>224000</v>
      </c>
      <c r="F1220" s="288">
        <f>ROUND(IF($A1220="E",E1220*(1+Assumptions!C$15),E1220*(1+Assumptions!C$14)),-2)</f>
        <v>227400</v>
      </c>
      <c r="G1220" s="288">
        <f>ROUND(IF($A1220="E",F1220*(1+Assumptions!D$15),F1220*(1+Assumptions!D$14)),-2)</f>
        <v>231900</v>
      </c>
      <c r="H1220" s="288">
        <f>ROUND(IF($A1220="E",G1220*(1+Assumptions!E$15),G1220*(1+Assumptions!E$14)),-2)</f>
        <v>236500</v>
      </c>
      <c r="I1220" s="288">
        <f>ROUND(IF($A1220="E",H1220*(1+Assumptions!F$15),H1220*(1+Assumptions!F$14)),-2)</f>
        <v>241200</v>
      </c>
      <c r="J1220" s="288">
        <f>ROUND(IF($A1220="E",I1220*(1+Assumptions!G$15),I1220*(1+Assumptions!G$14)),-2)</f>
        <v>246000</v>
      </c>
      <c r="K1220" s="288">
        <f>ROUND(IF($A1220="E",J1220*(1+Assumptions!H$15),J1220*(1+Assumptions!H$14)),-2)</f>
        <v>250900</v>
      </c>
      <c r="L1220" s="288">
        <f>ROUND(IF($A1220="E",K1220*(1+Assumptions!I$15),K1220*(1+Assumptions!I$14)),-2)</f>
        <v>257200</v>
      </c>
      <c r="M1220" s="288">
        <f>ROUND(IF($A1220="E",L1220*(1+Assumptions!J$15),L1220*(1+Assumptions!J$14)),-2)</f>
        <v>263600</v>
      </c>
      <c r="N1220" s="288">
        <f>ROUND(IF($A1220="E",M1220*(1+Assumptions!K$15),M1220*(1+Assumptions!K$14)),-2)</f>
        <v>270200</v>
      </c>
    </row>
    <row r="1221" spans="2:14" x14ac:dyDescent="0.25">
      <c r="B1221" s="16" t="s">
        <v>43</v>
      </c>
      <c r="C1221" s="16" t="s">
        <v>1999</v>
      </c>
      <c r="D1221" s="16" t="s">
        <v>2000</v>
      </c>
      <c r="E1221" s="288">
        <v>425000</v>
      </c>
      <c r="F1221" s="288">
        <f>ROUND(IF($A1221="E",E1221*(1+Assumptions!C$15),E1221*(1+Assumptions!C$14)),-2)</f>
        <v>431400</v>
      </c>
      <c r="G1221" s="288">
        <f>ROUND(IF($A1221="E",F1221*(1+Assumptions!D$15),F1221*(1+Assumptions!D$14)),-2)</f>
        <v>440000</v>
      </c>
      <c r="H1221" s="288">
        <f>ROUND(IF($A1221="E",G1221*(1+Assumptions!E$15),G1221*(1+Assumptions!E$14)),-2)</f>
        <v>448800</v>
      </c>
      <c r="I1221" s="288">
        <f>ROUND(IF($A1221="E",H1221*(1+Assumptions!F$15),H1221*(1+Assumptions!F$14)),-2)</f>
        <v>457800</v>
      </c>
      <c r="J1221" s="288">
        <f>ROUND(IF($A1221="E",I1221*(1+Assumptions!G$15),I1221*(1+Assumptions!G$14)),-2)</f>
        <v>467000</v>
      </c>
      <c r="K1221" s="288">
        <f>ROUND(IF($A1221="E",J1221*(1+Assumptions!H$15),J1221*(1+Assumptions!H$14)),-2)</f>
        <v>476300</v>
      </c>
      <c r="L1221" s="288">
        <f>ROUND(IF($A1221="E",K1221*(1+Assumptions!I$15),K1221*(1+Assumptions!I$14)),-2)</f>
        <v>488200</v>
      </c>
      <c r="M1221" s="288">
        <f>ROUND(IF($A1221="E",L1221*(1+Assumptions!J$15),L1221*(1+Assumptions!J$14)),-2)</f>
        <v>500400</v>
      </c>
      <c r="N1221" s="288">
        <f>ROUND(IF($A1221="E",M1221*(1+Assumptions!K$15),M1221*(1+Assumptions!K$14)),-2)</f>
        <v>512900</v>
      </c>
    </row>
    <row r="1222" spans="2:14" x14ac:dyDescent="0.25">
      <c r="B1222" s="16" t="s">
        <v>43</v>
      </c>
      <c r="C1222" s="16" t="s">
        <v>2001</v>
      </c>
      <c r="D1222" s="16" t="s">
        <v>2002</v>
      </c>
      <c r="E1222" s="288">
        <v>285600</v>
      </c>
      <c r="F1222" s="288">
        <f>ROUND(IF($A1222="E",E1222*(1+Assumptions!C$15),E1222*(1+Assumptions!C$14)),-2)</f>
        <v>289900</v>
      </c>
      <c r="G1222" s="288">
        <f>ROUND(IF($A1222="E",F1222*(1+Assumptions!D$15),F1222*(1+Assumptions!D$14)),-2)</f>
        <v>295700</v>
      </c>
      <c r="H1222" s="288">
        <f>ROUND(IF($A1222="E",G1222*(1+Assumptions!E$15),G1222*(1+Assumptions!E$14)),-2)</f>
        <v>301600</v>
      </c>
      <c r="I1222" s="288">
        <f>ROUND(IF($A1222="E",H1222*(1+Assumptions!F$15),H1222*(1+Assumptions!F$14)),-2)</f>
        <v>307600</v>
      </c>
      <c r="J1222" s="288">
        <f>ROUND(IF($A1222="E",I1222*(1+Assumptions!G$15),I1222*(1+Assumptions!G$14)),-2)</f>
        <v>313800</v>
      </c>
      <c r="K1222" s="288">
        <f>ROUND(IF($A1222="E",J1222*(1+Assumptions!H$15),J1222*(1+Assumptions!H$14)),-2)</f>
        <v>320100</v>
      </c>
      <c r="L1222" s="288">
        <f>ROUND(IF($A1222="E",K1222*(1+Assumptions!I$15),K1222*(1+Assumptions!I$14)),-2)</f>
        <v>328100</v>
      </c>
      <c r="M1222" s="288">
        <f>ROUND(IF($A1222="E",L1222*(1+Assumptions!J$15),L1222*(1+Assumptions!J$14)),-2)</f>
        <v>336300</v>
      </c>
      <c r="N1222" s="288">
        <f>ROUND(IF($A1222="E",M1222*(1+Assumptions!K$15),M1222*(1+Assumptions!K$14)),-2)</f>
        <v>344700</v>
      </c>
    </row>
    <row r="1223" spans="2:14" x14ac:dyDescent="0.25">
      <c r="B1223" s="16" t="s">
        <v>43</v>
      </c>
      <c r="C1223" s="16" t="s">
        <v>2003</v>
      </c>
      <c r="D1223" s="16" t="s">
        <v>2004</v>
      </c>
      <c r="E1223" s="288">
        <v>148000</v>
      </c>
      <c r="F1223" s="288">
        <f>ROUND(IF($A1223="E",E1223*(1+Assumptions!C$15),E1223*(1+Assumptions!C$14)),-2)</f>
        <v>150200</v>
      </c>
      <c r="G1223" s="288">
        <f>ROUND(IF($A1223="E",F1223*(1+Assumptions!D$15),F1223*(1+Assumptions!D$14)),-2)</f>
        <v>153200</v>
      </c>
      <c r="H1223" s="288">
        <f>ROUND(IF($A1223="E",G1223*(1+Assumptions!E$15),G1223*(1+Assumptions!E$14)),-2)</f>
        <v>156300</v>
      </c>
      <c r="I1223" s="288">
        <f>ROUND(IF($A1223="E",H1223*(1+Assumptions!F$15),H1223*(1+Assumptions!F$14)),-2)</f>
        <v>159400</v>
      </c>
      <c r="J1223" s="288">
        <f>ROUND(IF($A1223="E",I1223*(1+Assumptions!G$15),I1223*(1+Assumptions!G$14)),-2)</f>
        <v>162600</v>
      </c>
      <c r="K1223" s="288">
        <f>ROUND(IF($A1223="E",J1223*(1+Assumptions!H$15),J1223*(1+Assumptions!H$14)),-2)</f>
        <v>165900</v>
      </c>
      <c r="L1223" s="288">
        <f>ROUND(IF($A1223="E",K1223*(1+Assumptions!I$15),K1223*(1+Assumptions!I$14)),-2)</f>
        <v>170000</v>
      </c>
      <c r="M1223" s="288">
        <f>ROUND(IF($A1223="E",L1223*(1+Assumptions!J$15),L1223*(1+Assumptions!J$14)),-2)</f>
        <v>174300</v>
      </c>
      <c r="N1223" s="288">
        <f>ROUND(IF($A1223="E",M1223*(1+Assumptions!K$15),M1223*(1+Assumptions!K$14)),-2)</f>
        <v>178700</v>
      </c>
    </row>
    <row r="1224" spans="2:14" x14ac:dyDescent="0.25">
      <c r="B1224" s="16" t="s">
        <v>43</v>
      </c>
      <c r="C1224" s="16" t="s">
        <v>2005</v>
      </c>
      <c r="D1224" s="16" t="s">
        <v>2006</v>
      </c>
      <c r="E1224" s="288">
        <v>380000</v>
      </c>
      <c r="F1224" s="288">
        <f>ROUND(IF($A1224="E",E1224*(1+Assumptions!C$15),E1224*(1+Assumptions!C$14)),-2)</f>
        <v>385700</v>
      </c>
      <c r="G1224" s="288">
        <f>ROUND(IF($A1224="E",F1224*(1+Assumptions!D$15),F1224*(1+Assumptions!D$14)),-2)</f>
        <v>393400</v>
      </c>
      <c r="H1224" s="288">
        <f>ROUND(IF($A1224="E",G1224*(1+Assumptions!E$15),G1224*(1+Assumptions!E$14)),-2)</f>
        <v>401300</v>
      </c>
      <c r="I1224" s="288">
        <f>ROUND(IF($A1224="E",H1224*(1+Assumptions!F$15),H1224*(1+Assumptions!F$14)),-2)</f>
        <v>409300</v>
      </c>
      <c r="J1224" s="288">
        <f>ROUND(IF($A1224="E",I1224*(1+Assumptions!G$15),I1224*(1+Assumptions!G$14)),-2)</f>
        <v>417500</v>
      </c>
      <c r="K1224" s="288">
        <f>ROUND(IF($A1224="E",J1224*(1+Assumptions!H$15),J1224*(1+Assumptions!H$14)),-2)</f>
        <v>425900</v>
      </c>
      <c r="L1224" s="288">
        <f>ROUND(IF($A1224="E",K1224*(1+Assumptions!I$15),K1224*(1+Assumptions!I$14)),-2)</f>
        <v>436500</v>
      </c>
      <c r="M1224" s="288">
        <f>ROUND(IF($A1224="E",L1224*(1+Assumptions!J$15),L1224*(1+Assumptions!J$14)),-2)</f>
        <v>447400</v>
      </c>
      <c r="N1224" s="288">
        <f>ROUND(IF($A1224="E",M1224*(1+Assumptions!K$15),M1224*(1+Assumptions!K$14)),-2)</f>
        <v>458600</v>
      </c>
    </row>
    <row r="1225" spans="2:14" x14ac:dyDescent="0.25">
      <c r="B1225" s="16" t="s">
        <v>43</v>
      </c>
      <c r="C1225" s="16" t="s">
        <v>2007</v>
      </c>
      <c r="D1225" s="16" t="s">
        <v>2008</v>
      </c>
      <c r="E1225" s="288">
        <v>24600</v>
      </c>
      <c r="F1225" s="288">
        <f>ROUND(IF($A1225="E",E1225*(1+Assumptions!C$15),E1225*(1+Assumptions!C$14)),-2)</f>
        <v>25000</v>
      </c>
      <c r="G1225" s="288">
        <f>ROUND(IF($A1225="E",F1225*(1+Assumptions!D$15),F1225*(1+Assumptions!D$14)),-2)</f>
        <v>25500</v>
      </c>
      <c r="H1225" s="288">
        <f>ROUND(IF($A1225="E",G1225*(1+Assumptions!E$15),G1225*(1+Assumptions!E$14)),-2)</f>
        <v>26000</v>
      </c>
      <c r="I1225" s="288">
        <f>ROUND(IF($A1225="E",H1225*(1+Assumptions!F$15),H1225*(1+Assumptions!F$14)),-2)</f>
        <v>26500</v>
      </c>
      <c r="J1225" s="288">
        <f>ROUND(IF($A1225="E",I1225*(1+Assumptions!G$15),I1225*(1+Assumptions!G$14)),-2)</f>
        <v>27000</v>
      </c>
      <c r="K1225" s="288">
        <f>ROUND(IF($A1225="E",J1225*(1+Assumptions!H$15),J1225*(1+Assumptions!H$14)),-2)</f>
        <v>27500</v>
      </c>
      <c r="L1225" s="288">
        <f>ROUND(IF($A1225="E",K1225*(1+Assumptions!I$15),K1225*(1+Assumptions!I$14)),-2)</f>
        <v>28200</v>
      </c>
      <c r="M1225" s="288">
        <f>ROUND(IF($A1225="E",L1225*(1+Assumptions!J$15),L1225*(1+Assumptions!J$14)),-2)</f>
        <v>28900</v>
      </c>
      <c r="N1225" s="288">
        <f>ROUND(IF($A1225="E",M1225*(1+Assumptions!K$15),M1225*(1+Assumptions!K$14)),-2)</f>
        <v>29600</v>
      </c>
    </row>
    <row r="1226" spans="2:14" x14ac:dyDescent="0.25">
      <c r="B1226" s="16" t="s">
        <v>43</v>
      </c>
      <c r="C1226" s="16" t="s">
        <v>2009</v>
      </c>
      <c r="D1226" s="16" t="s">
        <v>2010</v>
      </c>
      <c r="E1226" s="288">
        <v>51300</v>
      </c>
      <c r="F1226" s="288">
        <f>ROUND(IF($A1226="E",E1226*(1+Assumptions!C$15),E1226*(1+Assumptions!C$14)),-2)</f>
        <v>52100</v>
      </c>
      <c r="G1226" s="288">
        <f>ROUND(IF($A1226="E",F1226*(1+Assumptions!D$15),F1226*(1+Assumptions!D$14)),-2)</f>
        <v>53100</v>
      </c>
      <c r="H1226" s="288">
        <f>ROUND(IF($A1226="E",G1226*(1+Assumptions!E$15),G1226*(1+Assumptions!E$14)),-2)</f>
        <v>54200</v>
      </c>
      <c r="I1226" s="288">
        <f>ROUND(IF($A1226="E",H1226*(1+Assumptions!F$15),H1226*(1+Assumptions!F$14)),-2)</f>
        <v>55300</v>
      </c>
      <c r="J1226" s="288">
        <f>ROUND(IF($A1226="E",I1226*(1+Assumptions!G$15),I1226*(1+Assumptions!G$14)),-2)</f>
        <v>56400</v>
      </c>
      <c r="K1226" s="288">
        <f>ROUND(IF($A1226="E",J1226*(1+Assumptions!H$15),J1226*(1+Assumptions!H$14)),-2)</f>
        <v>57500</v>
      </c>
      <c r="L1226" s="288">
        <f>ROUND(IF($A1226="E",K1226*(1+Assumptions!I$15),K1226*(1+Assumptions!I$14)),-2)</f>
        <v>58900</v>
      </c>
      <c r="M1226" s="288">
        <f>ROUND(IF($A1226="E",L1226*(1+Assumptions!J$15),L1226*(1+Assumptions!J$14)),-2)</f>
        <v>60400</v>
      </c>
      <c r="N1226" s="288">
        <f>ROUND(IF($A1226="E",M1226*(1+Assumptions!K$15),M1226*(1+Assumptions!K$14)),-2)</f>
        <v>61900</v>
      </c>
    </row>
    <row r="1227" spans="2:14" x14ac:dyDescent="0.25">
      <c r="B1227" s="16" t="s">
        <v>43</v>
      </c>
      <c r="C1227" s="16" t="s">
        <v>2011</v>
      </c>
      <c r="D1227" s="16" t="s">
        <v>2012</v>
      </c>
      <c r="E1227" s="288">
        <v>150000</v>
      </c>
      <c r="F1227" s="288">
        <f>ROUND(IF($A1227="E",E1227*(1+Assumptions!C$15),E1227*(1+Assumptions!C$14)),-2)</f>
        <v>152300</v>
      </c>
      <c r="G1227" s="288">
        <f>ROUND(IF($A1227="E",F1227*(1+Assumptions!D$15),F1227*(1+Assumptions!D$14)),-2)</f>
        <v>155300</v>
      </c>
      <c r="H1227" s="288">
        <f>ROUND(IF($A1227="E",G1227*(1+Assumptions!E$15),G1227*(1+Assumptions!E$14)),-2)</f>
        <v>158400</v>
      </c>
      <c r="I1227" s="288">
        <f>ROUND(IF($A1227="E",H1227*(1+Assumptions!F$15),H1227*(1+Assumptions!F$14)),-2)</f>
        <v>161600</v>
      </c>
      <c r="J1227" s="288">
        <f>ROUND(IF($A1227="E",I1227*(1+Assumptions!G$15),I1227*(1+Assumptions!G$14)),-2)</f>
        <v>164800</v>
      </c>
      <c r="K1227" s="288">
        <f>ROUND(IF($A1227="E",J1227*(1+Assumptions!H$15),J1227*(1+Assumptions!H$14)),-2)</f>
        <v>168100</v>
      </c>
      <c r="L1227" s="288">
        <f>ROUND(IF($A1227="E",K1227*(1+Assumptions!I$15),K1227*(1+Assumptions!I$14)),-2)</f>
        <v>172300</v>
      </c>
      <c r="M1227" s="288">
        <f>ROUND(IF($A1227="E",L1227*(1+Assumptions!J$15),L1227*(1+Assumptions!J$14)),-2)</f>
        <v>176600</v>
      </c>
      <c r="N1227" s="288">
        <f>ROUND(IF($A1227="E",M1227*(1+Assumptions!K$15),M1227*(1+Assumptions!K$14)),-2)</f>
        <v>181000</v>
      </c>
    </row>
    <row r="1228" spans="2:14" x14ac:dyDescent="0.25">
      <c r="B1228" s="16" t="s">
        <v>43</v>
      </c>
      <c r="C1228" s="16" t="s">
        <v>2013</v>
      </c>
      <c r="D1228" s="16" t="s">
        <v>2014</v>
      </c>
      <c r="E1228" s="289"/>
      <c r="F1228" s="289"/>
      <c r="G1228" s="289"/>
      <c r="H1228" s="289"/>
      <c r="I1228" s="289"/>
      <c r="J1228" s="289"/>
      <c r="K1228" s="289"/>
      <c r="L1228" s="289"/>
      <c r="M1228" s="289"/>
      <c r="N1228" s="289"/>
    </row>
    <row r="1229" spans="2:14" x14ac:dyDescent="0.25">
      <c r="B1229" s="16" t="s">
        <v>43</v>
      </c>
      <c r="C1229" s="16" t="s">
        <v>2015</v>
      </c>
      <c r="D1229" s="16" t="s">
        <v>2016</v>
      </c>
      <c r="E1229" s="288">
        <v>2600</v>
      </c>
      <c r="F1229" s="288">
        <f>ROUND(IF($A1229="E",E1229*(1+Assumptions!C$15),E1229*(1+Assumptions!C$14)),-2)</f>
        <v>2600</v>
      </c>
      <c r="G1229" s="288">
        <f>ROUND(IF($A1229="E",F1229*(1+Assumptions!D$15),F1229*(1+Assumptions!D$14)),-2)</f>
        <v>2700</v>
      </c>
      <c r="H1229" s="288">
        <f>ROUND(IF($A1229="E",G1229*(1+Assumptions!E$15),G1229*(1+Assumptions!E$14)),-2)</f>
        <v>2800</v>
      </c>
      <c r="I1229" s="288">
        <f>ROUND(IF($A1229="E",H1229*(1+Assumptions!F$15),H1229*(1+Assumptions!F$14)),-2)</f>
        <v>2900</v>
      </c>
      <c r="J1229" s="288">
        <f>ROUND(IF($A1229="E",I1229*(1+Assumptions!G$15),I1229*(1+Assumptions!G$14)),-2)</f>
        <v>3000</v>
      </c>
      <c r="K1229" s="288">
        <f>ROUND(IF($A1229="E",J1229*(1+Assumptions!H$15),J1229*(1+Assumptions!H$14)),-2)</f>
        <v>3100</v>
      </c>
      <c r="L1229" s="288">
        <f>ROUND(IF($A1229="E",K1229*(1+Assumptions!I$15),K1229*(1+Assumptions!I$14)),-2)</f>
        <v>3200</v>
      </c>
      <c r="M1229" s="288">
        <f>ROUND(IF($A1229="E",L1229*(1+Assumptions!J$15),L1229*(1+Assumptions!J$14)),-2)</f>
        <v>3300</v>
      </c>
      <c r="N1229" s="288">
        <f>ROUND(IF($A1229="E",M1229*(1+Assumptions!K$15),M1229*(1+Assumptions!K$14)),-2)</f>
        <v>3400</v>
      </c>
    </row>
    <row r="1230" spans="2:14" x14ac:dyDescent="0.25">
      <c r="B1230" s="16" t="s">
        <v>43</v>
      </c>
      <c r="C1230" s="16" t="s">
        <v>2017</v>
      </c>
      <c r="D1230" s="16" t="s">
        <v>2018</v>
      </c>
      <c r="E1230" s="288">
        <v>123400</v>
      </c>
      <c r="F1230" s="288">
        <f>ROUND(IF($A1230="E",E1230*(1+Assumptions!C$15),E1230*(1+Assumptions!C$14)),-2)</f>
        <v>125300</v>
      </c>
      <c r="G1230" s="288">
        <f>ROUND(IF($A1230="E",F1230*(1+Assumptions!D$15),F1230*(1+Assumptions!D$14)),-2)</f>
        <v>127800</v>
      </c>
      <c r="H1230" s="288">
        <f>ROUND(IF($A1230="E",G1230*(1+Assumptions!E$15),G1230*(1+Assumptions!E$14)),-2)</f>
        <v>130400</v>
      </c>
      <c r="I1230" s="288">
        <f>ROUND(IF($A1230="E",H1230*(1+Assumptions!F$15),H1230*(1+Assumptions!F$14)),-2)</f>
        <v>133000</v>
      </c>
      <c r="J1230" s="288">
        <f>ROUND(IF($A1230="E",I1230*(1+Assumptions!G$15),I1230*(1+Assumptions!G$14)),-2)</f>
        <v>135700</v>
      </c>
      <c r="K1230" s="288">
        <f>ROUND(IF($A1230="E",J1230*(1+Assumptions!H$15),J1230*(1+Assumptions!H$14)),-2)</f>
        <v>138400</v>
      </c>
      <c r="L1230" s="288">
        <f>ROUND(IF($A1230="E",K1230*(1+Assumptions!I$15),K1230*(1+Assumptions!I$14)),-2)</f>
        <v>141900</v>
      </c>
      <c r="M1230" s="288">
        <f>ROUND(IF($A1230="E",L1230*(1+Assumptions!J$15),L1230*(1+Assumptions!J$14)),-2)</f>
        <v>145400</v>
      </c>
      <c r="N1230" s="288">
        <f>ROUND(IF($A1230="E",M1230*(1+Assumptions!K$15),M1230*(1+Assumptions!K$14)),-2)</f>
        <v>149000</v>
      </c>
    </row>
    <row r="1231" spans="2:14" x14ac:dyDescent="0.25">
      <c r="B1231" s="16" t="s">
        <v>43</v>
      </c>
      <c r="C1231" s="16" t="s">
        <v>2019</v>
      </c>
      <c r="D1231" s="16" t="s">
        <v>2020</v>
      </c>
      <c r="E1231" s="288">
        <v>150000</v>
      </c>
      <c r="F1231" s="288">
        <f>ROUND(IF($A1231="E",E1231*(1+Assumptions!C$15),E1231*(1+Assumptions!C$14)),-2)</f>
        <v>152300</v>
      </c>
      <c r="G1231" s="288">
        <f>ROUND(IF($A1231="E",F1231*(1+Assumptions!D$15),F1231*(1+Assumptions!D$14)),-2)</f>
        <v>155300</v>
      </c>
      <c r="H1231" s="288">
        <f>ROUND(IF($A1231="E",G1231*(1+Assumptions!E$15),G1231*(1+Assumptions!E$14)),-2)</f>
        <v>158400</v>
      </c>
      <c r="I1231" s="288">
        <f>ROUND(IF($A1231="E",H1231*(1+Assumptions!F$15),H1231*(1+Assumptions!F$14)),-2)</f>
        <v>161600</v>
      </c>
      <c r="J1231" s="288">
        <f>ROUND(IF($A1231="E",I1231*(1+Assumptions!G$15),I1231*(1+Assumptions!G$14)),-2)</f>
        <v>164800</v>
      </c>
      <c r="K1231" s="288">
        <f>ROUND(IF($A1231="E",J1231*(1+Assumptions!H$15),J1231*(1+Assumptions!H$14)),-2)</f>
        <v>168100</v>
      </c>
      <c r="L1231" s="288">
        <f>ROUND(IF($A1231="E",K1231*(1+Assumptions!I$15),K1231*(1+Assumptions!I$14)),-2)</f>
        <v>172300</v>
      </c>
      <c r="M1231" s="288">
        <f>ROUND(IF($A1231="E",L1231*(1+Assumptions!J$15),L1231*(1+Assumptions!J$14)),-2)</f>
        <v>176600</v>
      </c>
      <c r="N1231" s="288">
        <f>ROUND(IF($A1231="E",M1231*(1+Assumptions!K$15),M1231*(1+Assumptions!K$14)),-2)</f>
        <v>181000</v>
      </c>
    </row>
    <row r="1232" spans="2:14" x14ac:dyDescent="0.25">
      <c r="B1232" s="16" t="s">
        <v>43</v>
      </c>
      <c r="C1232" s="16" t="s">
        <v>2021</v>
      </c>
      <c r="D1232" s="16" t="s">
        <v>2022</v>
      </c>
      <c r="E1232" s="288">
        <v>30700</v>
      </c>
      <c r="F1232" s="288">
        <f>ROUND(IF($A1232="E",E1232*(1+Assumptions!C$15),E1232*(1+Assumptions!C$14)),-2)</f>
        <v>31200</v>
      </c>
      <c r="G1232" s="288">
        <f>ROUND(IF($A1232="E",F1232*(1+Assumptions!D$15),F1232*(1+Assumptions!D$14)),-2)</f>
        <v>31800</v>
      </c>
      <c r="H1232" s="288">
        <f>ROUND(IF($A1232="E",G1232*(1+Assumptions!E$15),G1232*(1+Assumptions!E$14)),-2)</f>
        <v>32400</v>
      </c>
      <c r="I1232" s="288">
        <f>ROUND(IF($A1232="E",H1232*(1+Assumptions!F$15),H1232*(1+Assumptions!F$14)),-2)</f>
        <v>33000</v>
      </c>
      <c r="J1232" s="288">
        <f>ROUND(IF($A1232="E",I1232*(1+Assumptions!G$15),I1232*(1+Assumptions!G$14)),-2)</f>
        <v>33700</v>
      </c>
      <c r="K1232" s="288">
        <f>ROUND(IF($A1232="E",J1232*(1+Assumptions!H$15),J1232*(1+Assumptions!H$14)),-2)</f>
        <v>34400</v>
      </c>
      <c r="L1232" s="288">
        <f>ROUND(IF($A1232="E",K1232*(1+Assumptions!I$15),K1232*(1+Assumptions!I$14)),-2)</f>
        <v>35300</v>
      </c>
      <c r="M1232" s="288">
        <f>ROUND(IF($A1232="E",L1232*(1+Assumptions!J$15),L1232*(1+Assumptions!J$14)),-2)</f>
        <v>36200</v>
      </c>
      <c r="N1232" s="288">
        <f>ROUND(IF($A1232="E",M1232*(1+Assumptions!K$15),M1232*(1+Assumptions!K$14)),-2)</f>
        <v>37100</v>
      </c>
    </row>
    <row r="1233" spans="1:14" x14ac:dyDescent="0.25">
      <c r="B1233" s="16" t="s">
        <v>43</v>
      </c>
      <c r="C1233" s="16" t="s">
        <v>2023</v>
      </c>
      <c r="D1233" s="16" t="s">
        <v>2024</v>
      </c>
      <c r="E1233" s="288">
        <v>5100</v>
      </c>
      <c r="F1233" s="288">
        <f>ROUND(IF($A1233="E",E1233*(1+Assumptions!C$15),E1233*(1+Assumptions!C$14)),-2)</f>
        <v>5200</v>
      </c>
      <c r="G1233" s="288">
        <f>ROUND(IF($A1233="E",F1233*(1+Assumptions!D$15),F1233*(1+Assumptions!D$14)),-2)</f>
        <v>5300</v>
      </c>
      <c r="H1233" s="288">
        <f>ROUND(IF($A1233="E",G1233*(1+Assumptions!E$15),G1233*(1+Assumptions!E$14)),-2)</f>
        <v>5400</v>
      </c>
      <c r="I1233" s="288">
        <f>ROUND(IF($A1233="E",H1233*(1+Assumptions!F$15),H1233*(1+Assumptions!F$14)),-2)</f>
        <v>5500</v>
      </c>
      <c r="J1233" s="288">
        <f>ROUND(IF($A1233="E",I1233*(1+Assumptions!G$15),I1233*(1+Assumptions!G$14)),-2)</f>
        <v>5600</v>
      </c>
      <c r="K1233" s="288">
        <f>ROUND(IF($A1233="E",J1233*(1+Assumptions!H$15),J1233*(1+Assumptions!H$14)),-2)</f>
        <v>5700</v>
      </c>
      <c r="L1233" s="288">
        <f>ROUND(IF($A1233="E",K1233*(1+Assumptions!I$15),K1233*(1+Assumptions!I$14)),-2)</f>
        <v>5800</v>
      </c>
      <c r="M1233" s="288">
        <f>ROUND(IF($A1233="E",L1233*(1+Assumptions!J$15),L1233*(1+Assumptions!J$14)),-2)</f>
        <v>5900</v>
      </c>
      <c r="N1233" s="288">
        <f>ROUND(IF($A1233="E",M1233*(1+Assumptions!K$15),M1233*(1+Assumptions!K$14)),-2)</f>
        <v>6000</v>
      </c>
    </row>
    <row r="1234" spans="1:14" x14ac:dyDescent="0.25">
      <c r="B1234" s="16" t="s">
        <v>43</v>
      </c>
      <c r="C1234" s="16" t="s">
        <v>2025</v>
      </c>
      <c r="D1234" s="16" t="s">
        <v>2026</v>
      </c>
      <c r="E1234" s="288">
        <v>16900</v>
      </c>
      <c r="F1234" s="288">
        <f>ROUND(IF($A1234="E",E1234*(1+Assumptions!C$15),E1234*(1+Assumptions!C$14)),-2)</f>
        <v>17200</v>
      </c>
      <c r="G1234" s="288">
        <f>ROUND(IF($A1234="E",F1234*(1+Assumptions!D$15),F1234*(1+Assumptions!D$14)),-2)</f>
        <v>17500</v>
      </c>
      <c r="H1234" s="288">
        <f>ROUND(IF($A1234="E",G1234*(1+Assumptions!E$15),G1234*(1+Assumptions!E$14)),-2)</f>
        <v>17900</v>
      </c>
      <c r="I1234" s="288">
        <f>ROUND(IF($A1234="E",H1234*(1+Assumptions!F$15),H1234*(1+Assumptions!F$14)),-2)</f>
        <v>18300</v>
      </c>
      <c r="J1234" s="288">
        <f>ROUND(IF($A1234="E",I1234*(1+Assumptions!G$15),I1234*(1+Assumptions!G$14)),-2)</f>
        <v>18700</v>
      </c>
      <c r="K1234" s="288">
        <f>ROUND(IF($A1234="E",J1234*(1+Assumptions!H$15),J1234*(1+Assumptions!H$14)),-2)</f>
        <v>19100</v>
      </c>
      <c r="L1234" s="288">
        <f>ROUND(IF($A1234="E",K1234*(1+Assumptions!I$15),K1234*(1+Assumptions!I$14)),-2)</f>
        <v>19600</v>
      </c>
      <c r="M1234" s="288">
        <f>ROUND(IF($A1234="E",L1234*(1+Assumptions!J$15),L1234*(1+Assumptions!J$14)),-2)</f>
        <v>20100</v>
      </c>
      <c r="N1234" s="288">
        <f>ROUND(IF($A1234="E",M1234*(1+Assumptions!K$15),M1234*(1+Assumptions!K$14)),-2)</f>
        <v>20600</v>
      </c>
    </row>
    <row r="1235" spans="1:14" x14ac:dyDescent="0.25">
      <c r="B1235" s="16" t="s">
        <v>43</v>
      </c>
      <c r="C1235" s="16" t="s">
        <v>2027</v>
      </c>
      <c r="D1235" s="16" t="s">
        <v>492</v>
      </c>
      <c r="E1235" s="288">
        <v>0</v>
      </c>
      <c r="F1235" s="288">
        <f>ROUND(IF($A1235="E",E1235*(1+Assumptions!C$15),E1235*(1+Assumptions!C$14)),-2)</f>
        <v>0</v>
      </c>
      <c r="G1235" s="288">
        <f>ROUND(IF($A1235="E",F1235*(1+Assumptions!D$15),F1235*(1+Assumptions!D$14)),-2)</f>
        <v>0</v>
      </c>
      <c r="H1235" s="288">
        <f>ROUND(IF($A1235="E",G1235*(1+Assumptions!E$15),G1235*(1+Assumptions!E$14)),-2)</f>
        <v>0</v>
      </c>
      <c r="I1235" s="288">
        <f>ROUND(IF($A1235="E",H1235*(1+Assumptions!F$15),H1235*(1+Assumptions!F$14)),-2)</f>
        <v>0</v>
      </c>
      <c r="J1235" s="288">
        <f>ROUND(IF($A1235="E",I1235*(1+Assumptions!G$15),I1235*(1+Assumptions!G$14)),-2)</f>
        <v>0</v>
      </c>
      <c r="K1235" s="288">
        <f>ROUND(IF($A1235="E",J1235*(1+Assumptions!H$15),J1235*(1+Assumptions!H$14)),-2)</f>
        <v>0</v>
      </c>
      <c r="L1235" s="288">
        <f>ROUND(IF($A1235="E",K1235*(1+Assumptions!I$15),K1235*(1+Assumptions!I$14)),-2)</f>
        <v>0</v>
      </c>
      <c r="M1235" s="288">
        <f>ROUND(IF($A1235="E",L1235*(1+Assumptions!J$15),L1235*(1+Assumptions!J$14)),-2)</f>
        <v>0</v>
      </c>
      <c r="N1235" s="288">
        <f>ROUND(IF($A1235="E",M1235*(1+Assumptions!K$15),M1235*(1+Assumptions!K$14)),-2)</f>
        <v>0</v>
      </c>
    </row>
    <row r="1236" spans="1:14" x14ac:dyDescent="0.25">
      <c r="B1236" s="16" t="s">
        <v>42</v>
      </c>
      <c r="C1236" s="16" t="s">
        <v>2028</v>
      </c>
      <c r="D1236" s="16" t="s">
        <v>404</v>
      </c>
      <c r="E1236" s="289"/>
      <c r="F1236" s="289"/>
      <c r="G1236" s="289"/>
      <c r="H1236" s="289"/>
      <c r="I1236" s="289"/>
      <c r="J1236" s="289"/>
      <c r="K1236" s="289"/>
      <c r="L1236" s="289"/>
      <c r="M1236" s="289"/>
      <c r="N1236" s="289"/>
    </row>
    <row r="1237" spans="1:14" x14ac:dyDescent="0.25">
      <c r="B1237" s="16" t="s">
        <v>42</v>
      </c>
      <c r="C1237" s="16" t="s">
        <v>2029</v>
      </c>
      <c r="D1237" s="16" t="s">
        <v>406</v>
      </c>
      <c r="E1237" s="302">
        <v>152300</v>
      </c>
      <c r="F1237" s="302">
        <f>ROUND(loans!U55,-2)</f>
        <v>136100</v>
      </c>
      <c r="G1237" s="302">
        <f>ROUND(loans!Y55,-2)</f>
        <v>129400</v>
      </c>
      <c r="H1237" s="302">
        <f>ROUND(loans!AC57,-2)</f>
        <v>122200</v>
      </c>
      <c r="I1237" s="302">
        <f>ROUND(loans!AG57,-2)</f>
        <v>114000</v>
      </c>
      <c r="J1237" s="302">
        <f>ROUND(loans!AK57,-2)</f>
        <v>106200</v>
      </c>
      <c r="K1237" s="302">
        <v>0</v>
      </c>
      <c r="L1237" s="302">
        <v>0</v>
      </c>
      <c r="M1237" s="302">
        <v>0</v>
      </c>
      <c r="N1237" s="302">
        <v>0</v>
      </c>
    </row>
    <row r="1238" spans="1:14" x14ac:dyDescent="0.25">
      <c r="B1238" s="16" t="s">
        <v>43</v>
      </c>
      <c r="C1238" s="16" t="s">
        <v>2030</v>
      </c>
      <c r="D1238" s="16" t="s">
        <v>2031</v>
      </c>
      <c r="E1238" s="289"/>
      <c r="F1238" s="289"/>
      <c r="G1238" s="289"/>
      <c r="H1238" s="289"/>
      <c r="I1238" s="289"/>
      <c r="J1238" s="289"/>
      <c r="K1238" s="289"/>
      <c r="L1238" s="289"/>
      <c r="M1238" s="289"/>
      <c r="N1238" s="289"/>
    </row>
    <row r="1239" spans="1:14" x14ac:dyDescent="0.25">
      <c r="B1239" s="16" t="s">
        <v>43</v>
      </c>
      <c r="C1239" s="16" t="s">
        <v>2032</v>
      </c>
      <c r="D1239" s="16" t="s">
        <v>193</v>
      </c>
      <c r="E1239" s="288">
        <v>250200</v>
      </c>
      <c r="F1239" s="288">
        <f>ROUND(IF($A1239="E",E1239*(1+Assumptions!C$15),E1239*(1+Assumptions!C$14)),-2)</f>
        <v>254000</v>
      </c>
      <c r="G1239" s="288">
        <f>ROUND(IF($A1239="E",F1239*(1+Assumptions!D$15),F1239*(1+Assumptions!D$14)),-2)</f>
        <v>259100</v>
      </c>
      <c r="H1239" s="288">
        <f>ROUND(IF($A1239="E",G1239*(1+Assumptions!E$15),G1239*(1+Assumptions!E$14)),-2)</f>
        <v>264300</v>
      </c>
      <c r="I1239" s="288">
        <f>ROUND(IF($A1239="E",H1239*(1+Assumptions!F$15),H1239*(1+Assumptions!F$14)),-2)</f>
        <v>269600</v>
      </c>
      <c r="J1239" s="288">
        <f>ROUND(IF($A1239="E",I1239*(1+Assumptions!G$15),I1239*(1+Assumptions!G$14)),-2)</f>
        <v>275000</v>
      </c>
      <c r="K1239" s="288">
        <f>ROUND(IF($A1239="E",J1239*(1+Assumptions!H$15),J1239*(1+Assumptions!H$14)),-2)</f>
        <v>280500</v>
      </c>
      <c r="L1239" s="288">
        <f>ROUND(IF($A1239="E",K1239*(1+Assumptions!I$15),K1239*(1+Assumptions!I$14)),-2)</f>
        <v>287500</v>
      </c>
      <c r="M1239" s="288">
        <f>ROUND(IF($A1239="E",L1239*(1+Assumptions!J$15),L1239*(1+Assumptions!J$14)),-2)</f>
        <v>294700</v>
      </c>
      <c r="N1239" s="288">
        <f>ROUND(IF($A1239="E",M1239*(1+Assumptions!K$15),M1239*(1+Assumptions!K$14)),-2)</f>
        <v>302100</v>
      </c>
    </row>
    <row r="1240" spans="1:14" ht="12.75" customHeight="1" x14ac:dyDescent="0.25">
      <c r="A1240" s="16" t="s">
        <v>4591</v>
      </c>
      <c r="B1240" s="397" t="s">
        <v>3231</v>
      </c>
      <c r="C1240" s="43" t="s">
        <v>3270</v>
      </c>
      <c r="D1240" s="16" t="s">
        <v>3271</v>
      </c>
      <c r="E1240" s="288">
        <v>49000</v>
      </c>
      <c r="F1240" s="288">
        <f>ROUND(IF($A1240="E",E1240*(1+Assumptions!C$15),E1240*(1+Assumptions!C$17)),-2)</f>
        <v>49500</v>
      </c>
      <c r="G1240" s="288">
        <f>ROUND(IF($A1240="E",F1240*(1+Assumptions!D$15),F1240*(1+Assumptions!D$17)),-2)</f>
        <v>50000</v>
      </c>
      <c r="H1240" s="288">
        <f>ROUND(IF($A1240="E",G1240*(1+Assumptions!E$15),G1240*(1+Assumptions!E$17)),-2)</f>
        <v>50500</v>
      </c>
      <c r="I1240" s="288">
        <f>ROUND(IF($A1240="E",H1240*(1+Assumptions!F$15),H1240*(1+Assumptions!F$17)),-2)</f>
        <v>51000</v>
      </c>
      <c r="J1240" s="288">
        <f>ROUND(IF($A1240="E",I1240*(1+Assumptions!G$15),I1240*(1+Assumptions!G$17)),-2)</f>
        <v>51500</v>
      </c>
      <c r="K1240" s="288">
        <f>ROUND(IF($A1240="E",J1240*(1+Assumptions!H$15),J1240*(1+Assumptions!H$17)),-2)</f>
        <v>52000</v>
      </c>
      <c r="L1240" s="288">
        <f>ROUND(IF($A1240="E",K1240*(1+Assumptions!I$15),K1240*(1+Assumptions!I$17)),-2)</f>
        <v>52500</v>
      </c>
      <c r="M1240" s="288">
        <f>ROUND(IF($A1240="E",L1240*(1+Assumptions!J$15),L1240*(1+Assumptions!J$17)),-2)</f>
        <v>53000</v>
      </c>
      <c r="N1240" s="288">
        <f>ROUND(IF($A1240="E",M1240*(1+Assumptions!K$15),M1240*(1+Assumptions!K$17)),-2)</f>
        <v>53500</v>
      </c>
    </row>
    <row r="1241" spans="1:14" ht="12.75" customHeight="1" x14ac:dyDescent="0.25">
      <c r="E1241" s="288"/>
      <c r="F1241" s="288"/>
      <c r="G1241" s="288"/>
      <c r="H1241" s="288"/>
      <c r="I1241" s="288"/>
      <c r="J1241" s="288"/>
      <c r="K1241" s="288"/>
      <c r="L1241" s="288"/>
      <c r="M1241" s="288"/>
      <c r="N1241" s="288"/>
    </row>
    <row r="1242" spans="1:14" ht="12.75" customHeight="1" x14ac:dyDescent="0.25">
      <c r="D1242" s="19" t="s">
        <v>3234</v>
      </c>
      <c r="E1242" s="291">
        <f>SUM(E1182:E1241)</f>
        <v>6493200</v>
      </c>
      <c r="F1242" s="291">
        <f t="shared" ref="F1242:N1242" si="37">SUM(F1182:F1241)</f>
        <v>6572600</v>
      </c>
      <c r="G1242" s="291">
        <f t="shared" si="37"/>
        <v>6694100</v>
      </c>
      <c r="H1242" s="291">
        <f t="shared" si="37"/>
        <v>6818100</v>
      </c>
      <c r="I1242" s="291">
        <f t="shared" si="37"/>
        <v>6943500</v>
      </c>
      <c r="J1242" s="291">
        <f t="shared" si="37"/>
        <v>7072000</v>
      </c>
      <c r="K1242" s="291">
        <f t="shared" si="37"/>
        <v>7104500</v>
      </c>
      <c r="L1242" s="291">
        <f t="shared" si="37"/>
        <v>7281200</v>
      </c>
      <c r="M1242" s="291">
        <f t="shared" si="37"/>
        <v>7462400</v>
      </c>
      <c r="N1242" s="291">
        <f t="shared" si="37"/>
        <v>7647900</v>
      </c>
    </row>
    <row r="1243" spans="1:14" ht="12.75" customHeight="1" x14ac:dyDescent="0.25">
      <c r="E1243" s="288"/>
      <c r="F1243" s="288"/>
      <c r="G1243" s="288"/>
      <c r="H1243" s="288"/>
      <c r="I1243" s="288"/>
      <c r="J1243" s="288"/>
      <c r="K1243" s="288"/>
      <c r="L1243" s="288"/>
      <c r="M1243" s="288"/>
      <c r="N1243" s="288"/>
    </row>
    <row r="1244" spans="1:14" x14ac:dyDescent="0.25">
      <c r="C1244" s="16" t="s">
        <v>315</v>
      </c>
      <c r="E1244" s="288"/>
      <c r="F1244" s="288"/>
      <c r="G1244" s="288"/>
      <c r="H1244" s="288"/>
      <c r="I1244" s="288"/>
      <c r="J1244" s="288"/>
      <c r="K1244" s="288"/>
      <c r="L1244" s="288"/>
      <c r="M1244" s="288"/>
      <c r="N1244" s="288"/>
    </row>
    <row r="1245" spans="1:14" x14ac:dyDescent="0.25">
      <c r="B1245" s="16" t="s">
        <v>3229</v>
      </c>
      <c r="C1245" s="16" t="s">
        <v>2033</v>
      </c>
      <c r="D1245" s="16" t="s">
        <v>1230</v>
      </c>
      <c r="E1245" s="289"/>
      <c r="F1245" s="289"/>
      <c r="G1245" s="289"/>
      <c r="H1245" s="289"/>
      <c r="I1245" s="289"/>
      <c r="J1245" s="289"/>
      <c r="K1245" s="289"/>
      <c r="L1245" s="289"/>
      <c r="M1245" s="289"/>
      <c r="N1245" s="289"/>
    </row>
    <row r="1246" spans="1:14" x14ac:dyDescent="0.25">
      <c r="B1246" s="16" t="s">
        <v>3229</v>
      </c>
      <c r="C1246" s="16" t="s">
        <v>2034</v>
      </c>
      <c r="D1246" s="16" t="s">
        <v>2035</v>
      </c>
      <c r="E1246" s="297">
        <v>-93300</v>
      </c>
      <c r="F1246" s="297">
        <f>ROUND(E1246+(E1246*Assumptions!C$13),-2)</f>
        <v>-95200</v>
      </c>
      <c r="G1246" s="297">
        <f>ROUND(F1246+(F1246*Assumptions!D$13),-2)</f>
        <v>-97600</v>
      </c>
      <c r="H1246" s="297">
        <f>ROUND(G1246+(G1246*Assumptions!E$13),-2)</f>
        <v>-100000</v>
      </c>
      <c r="I1246" s="297">
        <f>ROUND(H1246+(H1246*Assumptions!F$13),-2)</f>
        <v>-102500</v>
      </c>
      <c r="J1246" s="297">
        <f>ROUND(I1246+(I1246*Assumptions!G$13),-2)</f>
        <v>-105100</v>
      </c>
      <c r="K1246" s="297">
        <f>ROUND(J1246+(J1246*Assumptions!H$13),-2)</f>
        <v>-107700</v>
      </c>
      <c r="L1246" s="297">
        <f>ROUND(K1246+(K1246*Assumptions!I$13),-2)</f>
        <v>-110400</v>
      </c>
      <c r="M1246" s="297">
        <f>ROUND(L1246+(L1246*Assumptions!J$13),-2)</f>
        <v>-113200</v>
      </c>
      <c r="N1246" s="297">
        <f>ROUND(M1246+(M1246*Assumptions!K$13),-2)</f>
        <v>-116000</v>
      </c>
    </row>
    <row r="1247" spans="1:14" x14ac:dyDescent="0.25">
      <c r="B1247" s="16" t="s">
        <v>3227</v>
      </c>
      <c r="C1247" s="16" t="s">
        <v>2036</v>
      </c>
      <c r="D1247" s="16" t="s">
        <v>2037</v>
      </c>
      <c r="E1247" s="289"/>
      <c r="F1247" s="289"/>
      <c r="G1247" s="289"/>
      <c r="H1247" s="289"/>
      <c r="I1247" s="289"/>
      <c r="J1247" s="289"/>
      <c r="K1247" s="289"/>
      <c r="L1247" s="289"/>
      <c r="M1247" s="289"/>
      <c r="N1247" s="289"/>
    </row>
    <row r="1248" spans="1:14" x14ac:dyDescent="0.25">
      <c r="B1248" s="16" t="s">
        <v>3227</v>
      </c>
      <c r="C1248" s="16" t="s">
        <v>2038</v>
      </c>
      <c r="D1248" s="16" t="s">
        <v>2039</v>
      </c>
      <c r="E1248" s="288">
        <v>-3654200</v>
      </c>
      <c r="F1248" s="288">
        <f>ROUND(E1248+(E1248*Assumptions!C$13),-2)</f>
        <v>-3727300</v>
      </c>
      <c r="G1248" s="288">
        <f>ROUND(F1248+(F1248*Assumptions!D$13),-2)</f>
        <v>-3820500</v>
      </c>
      <c r="H1248" s="288">
        <f>ROUND(G1248+(G1248*Assumptions!E$13),-2)</f>
        <v>-3916000</v>
      </c>
      <c r="I1248" s="288">
        <f>ROUND(H1248+(H1248*Assumptions!F$13),-2)</f>
        <v>-4013900</v>
      </c>
      <c r="J1248" s="288">
        <f>ROUND(I1248+(I1248*Assumptions!G$13),-2)</f>
        <v>-4114200</v>
      </c>
      <c r="K1248" s="288">
        <f>ROUND(J1248+(J1248*Assumptions!H$13),-2)</f>
        <v>-4217100</v>
      </c>
      <c r="L1248" s="288">
        <f>ROUND(K1248+(K1248*Assumptions!I$13),-2)</f>
        <v>-4322500</v>
      </c>
      <c r="M1248" s="288">
        <f>ROUND(L1248+(L1248*Assumptions!J$13),-2)</f>
        <v>-4430600</v>
      </c>
      <c r="N1248" s="288">
        <f>ROUND(M1248+(M1248*Assumptions!K$13),-2)</f>
        <v>-4541400</v>
      </c>
    </row>
    <row r="1249" spans="2:14" x14ac:dyDescent="0.25">
      <c r="B1249" s="16" t="s">
        <v>3227</v>
      </c>
      <c r="C1249" s="16" t="s">
        <v>2040</v>
      </c>
      <c r="D1249" s="16" t="s">
        <v>2041</v>
      </c>
      <c r="E1249" s="288">
        <v>122400</v>
      </c>
      <c r="F1249" s="288">
        <f>ROUND(E1249+(E1249*Assumptions!C$13),-2)</f>
        <v>124800</v>
      </c>
      <c r="G1249" s="288">
        <f>ROUND(F1249+(F1249*Assumptions!D$13),-2)</f>
        <v>127900</v>
      </c>
      <c r="H1249" s="288">
        <f>ROUND(G1249+(G1249*Assumptions!E$13),-2)</f>
        <v>131100</v>
      </c>
      <c r="I1249" s="288">
        <f>ROUND(H1249+(H1249*Assumptions!F$13),-2)</f>
        <v>134400</v>
      </c>
      <c r="J1249" s="288">
        <f>ROUND(I1249+(I1249*Assumptions!G$13),-2)</f>
        <v>137800</v>
      </c>
      <c r="K1249" s="288">
        <f>ROUND(J1249+(J1249*Assumptions!H$13),-2)</f>
        <v>141200</v>
      </c>
      <c r="L1249" s="288">
        <f>ROUND(K1249+(K1249*Assumptions!I$13),-2)</f>
        <v>144700</v>
      </c>
      <c r="M1249" s="288">
        <f>ROUND(L1249+(L1249*Assumptions!J$13),-2)</f>
        <v>148300</v>
      </c>
      <c r="N1249" s="288">
        <f>ROUND(M1249+(M1249*Assumptions!K$13),-2)</f>
        <v>152000</v>
      </c>
    </row>
    <row r="1250" spans="2:14" x14ac:dyDescent="0.25">
      <c r="B1250" s="16" t="s">
        <v>3228</v>
      </c>
      <c r="C1250" s="16" t="s">
        <v>2042</v>
      </c>
      <c r="D1250" s="16" t="s">
        <v>2043</v>
      </c>
      <c r="E1250" s="288">
        <v>0</v>
      </c>
      <c r="F1250" s="288">
        <f>ROUND(E1250+(E1250*Assumptions!C$13),-2)</f>
        <v>0</v>
      </c>
      <c r="G1250" s="288">
        <f>ROUND(F1250+(F1250*Assumptions!D$13),-2)</f>
        <v>0</v>
      </c>
      <c r="H1250" s="288">
        <f>ROUND(G1250+(G1250*Assumptions!E$13),-2)</f>
        <v>0</v>
      </c>
      <c r="I1250" s="288">
        <f>ROUND(H1250+(H1250*Assumptions!F$13),-2)</f>
        <v>0</v>
      </c>
      <c r="J1250" s="288">
        <f>ROUND(I1250+(I1250*Assumptions!G$13),-2)</f>
        <v>0</v>
      </c>
      <c r="K1250" s="288">
        <f>ROUND(J1250+(J1250*Assumptions!H$13),-2)</f>
        <v>0</v>
      </c>
      <c r="L1250" s="288">
        <f>ROUND(K1250+(K1250*Assumptions!I$13),-2)</f>
        <v>0</v>
      </c>
      <c r="M1250" s="288">
        <f>ROUND(L1250+(L1250*Assumptions!J$13),-2)</f>
        <v>0</v>
      </c>
      <c r="N1250" s="288">
        <f>ROUND(M1250+(M1250*Assumptions!K$13),-2)</f>
        <v>0</v>
      </c>
    </row>
    <row r="1251" spans="2:14" x14ac:dyDescent="0.25">
      <c r="B1251" s="16" t="s">
        <v>3228</v>
      </c>
      <c r="C1251" s="16" t="s">
        <v>2044</v>
      </c>
      <c r="D1251" s="16" t="s">
        <v>2045</v>
      </c>
      <c r="E1251" s="288">
        <v>0</v>
      </c>
      <c r="F1251" s="288">
        <f>ROUND(E1251+(E1251*Assumptions!C$13),-2)</f>
        <v>0</v>
      </c>
      <c r="G1251" s="288">
        <f>ROUND(F1251+(F1251*Assumptions!D$13),-2)</f>
        <v>0</v>
      </c>
      <c r="H1251" s="288">
        <f>ROUND(G1251+(G1251*Assumptions!E$13),-2)</f>
        <v>0</v>
      </c>
      <c r="I1251" s="288">
        <f>ROUND(H1251+(H1251*Assumptions!F$13),-2)</f>
        <v>0</v>
      </c>
      <c r="J1251" s="288">
        <f>ROUND(I1251+(I1251*Assumptions!G$13),-2)</f>
        <v>0</v>
      </c>
      <c r="K1251" s="288">
        <f>ROUND(J1251+(J1251*Assumptions!H$13),-2)</f>
        <v>0</v>
      </c>
      <c r="L1251" s="288">
        <f>ROUND(K1251+(K1251*Assumptions!I$13),-2)</f>
        <v>0</v>
      </c>
      <c r="M1251" s="288">
        <f>ROUND(L1251+(L1251*Assumptions!J$13),-2)</f>
        <v>0</v>
      </c>
      <c r="N1251" s="288">
        <f>ROUND(M1251+(M1251*Assumptions!K$13),-2)</f>
        <v>0</v>
      </c>
    </row>
    <row r="1252" spans="2:14" x14ac:dyDescent="0.25">
      <c r="B1252" s="16" t="s">
        <v>3228</v>
      </c>
      <c r="C1252" s="16" t="s">
        <v>2046</v>
      </c>
      <c r="D1252" s="16" t="s">
        <v>2047</v>
      </c>
      <c r="E1252" s="289"/>
      <c r="F1252" s="289"/>
      <c r="G1252" s="289"/>
      <c r="H1252" s="289"/>
      <c r="I1252" s="289"/>
      <c r="J1252" s="289"/>
      <c r="K1252" s="289"/>
      <c r="L1252" s="289"/>
      <c r="M1252" s="289"/>
      <c r="N1252" s="289"/>
    </row>
    <row r="1253" spans="2:14" x14ac:dyDescent="0.25">
      <c r="B1253" s="16" t="s">
        <v>3227</v>
      </c>
      <c r="C1253" s="16" t="s">
        <v>2048</v>
      </c>
      <c r="D1253" s="16" t="s">
        <v>2049</v>
      </c>
      <c r="E1253" s="288">
        <v>-670400</v>
      </c>
      <c r="F1253" s="288">
        <f>ROUND(E1253+(E1253*Assumptions!C$13),-2)</f>
        <v>-683800</v>
      </c>
      <c r="G1253" s="288">
        <f>ROUND(F1253+(F1253*Assumptions!D$13),-2)</f>
        <v>-700900</v>
      </c>
      <c r="H1253" s="288">
        <f>ROUND(G1253+(G1253*Assumptions!E$13),-2)</f>
        <v>-718400</v>
      </c>
      <c r="I1253" s="288">
        <f>ROUND(H1253+(H1253*Assumptions!F$13),-2)</f>
        <v>-736400</v>
      </c>
      <c r="J1253" s="288">
        <f>ROUND(I1253+(I1253*Assumptions!G$13),-2)</f>
        <v>-754800</v>
      </c>
      <c r="K1253" s="288">
        <f>ROUND(J1253+(J1253*Assumptions!H$13),-2)</f>
        <v>-773700</v>
      </c>
      <c r="L1253" s="288">
        <f>ROUND(K1253+(K1253*Assumptions!I$13),-2)</f>
        <v>-793000</v>
      </c>
      <c r="M1253" s="288">
        <f>ROUND(L1253+(L1253*Assumptions!J$13),-2)</f>
        <v>-812800</v>
      </c>
      <c r="N1253" s="288">
        <f>ROUND(M1253+(M1253*Assumptions!K$13),-2)</f>
        <v>-833100</v>
      </c>
    </row>
    <row r="1254" spans="2:14" x14ac:dyDescent="0.25">
      <c r="B1254" s="16" t="s">
        <v>3228</v>
      </c>
      <c r="C1254" s="16" t="s">
        <v>2050</v>
      </c>
      <c r="D1254" s="16" t="s">
        <v>2012</v>
      </c>
      <c r="E1254" s="288">
        <v>-150000</v>
      </c>
      <c r="F1254" s="288">
        <f>ROUND(E1254+(E1254*Assumptions!C$13),-2)</f>
        <v>-153000</v>
      </c>
      <c r="G1254" s="288">
        <f>ROUND(F1254+(F1254*Assumptions!D$13),-2)</f>
        <v>-156800</v>
      </c>
      <c r="H1254" s="288">
        <f>ROUND(G1254+(G1254*Assumptions!E$13),-2)</f>
        <v>-160700</v>
      </c>
      <c r="I1254" s="288">
        <f>ROUND(H1254+(H1254*Assumptions!F$13),-2)</f>
        <v>-164700</v>
      </c>
      <c r="J1254" s="288">
        <f>ROUND(I1254+(I1254*Assumptions!G$13),-2)</f>
        <v>-168800</v>
      </c>
      <c r="K1254" s="288">
        <f>ROUND(J1254+(J1254*Assumptions!H$13),-2)</f>
        <v>-173000</v>
      </c>
      <c r="L1254" s="288">
        <f>ROUND(K1254+(K1254*Assumptions!I$13),-2)</f>
        <v>-177300</v>
      </c>
      <c r="M1254" s="288">
        <f>ROUND(L1254+(L1254*Assumptions!J$13),-2)</f>
        <v>-181700</v>
      </c>
      <c r="N1254" s="288">
        <f>ROUND(M1254+(M1254*Assumptions!K$13),-2)</f>
        <v>-186200</v>
      </c>
    </row>
    <row r="1255" spans="2:14" x14ac:dyDescent="0.25">
      <c r="B1255" s="16" t="s">
        <v>3227</v>
      </c>
      <c r="C1255" s="16" t="s">
        <v>2051</v>
      </c>
      <c r="D1255" s="16" t="s">
        <v>2052</v>
      </c>
      <c r="E1255" s="288">
        <v>-1046900</v>
      </c>
      <c r="F1255" s="288">
        <f>ROUND(E1255+(E1255*Assumptions!C$13),-2)</f>
        <v>-1067800</v>
      </c>
      <c r="G1255" s="288">
        <f>ROUND(F1255+(F1255*Assumptions!D$13),-2)</f>
        <v>-1094500</v>
      </c>
      <c r="H1255" s="288">
        <f>ROUND(G1255+(G1255*Assumptions!E$13),-2)</f>
        <v>-1121900</v>
      </c>
      <c r="I1255" s="288">
        <f>ROUND(H1255+(H1255*Assumptions!F$13),-2)</f>
        <v>-1149900</v>
      </c>
      <c r="J1255" s="288">
        <f>ROUND(I1255+(I1255*Assumptions!G$13),-2)</f>
        <v>-1178600</v>
      </c>
      <c r="K1255" s="288">
        <f>ROUND(J1255+(J1255*Assumptions!H$13),-2)</f>
        <v>-1208100</v>
      </c>
      <c r="L1255" s="288">
        <f>ROUND(K1255+(K1255*Assumptions!I$13),-2)</f>
        <v>-1238300</v>
      </c>
      <c r="M1255" s="288">
        <f>ROUND(L1255+(L1255*Assumptions!J$13),-2)</f>
        <v>-1269300</v>
      </c>
      <c r="N1255" s="288">
        <f>ROUND(M1255+(M1255*Assumptions!K$13),-2)</f>
        <v>-1301000</v>
      </c>
    </row>
    <row r="1256" spans="2:14" x14ac:dyDescent="0.25">
      <c r="B1256" s="16" t="s">
        <v>3228</v>
      </c>
      <c r="C1256" s="16" t="s">
        <v>2053</v>
      </c>
      <c r="D1256" s="16" t="s">
        <v>2054</v>
      </c>
      <c r="E1256" s="289"/>
      <c r="F1256" s="289"/>
      <c r="G1256" s="289"/>
      <c r="H1256" s="289"/>
      <c r="I1256" s="289"/>
      <c r="J1256" s="289"/>
      <c r="K1256" s="289"/>
      <c r="L1256" s="289"/>
      <c r="M1256" s="289"/>
      <c r="N1256" s="289"/>
    </row>
    <row r="1257" spans="2:14" x14ac:dyDescent="0.25">
      <c r="B1257" s="16" t="s">
        <v>3228</v>
      </c>
      <c r="C1257" s="16" t="s">
        <v>2055</v>
      </c>
      <c r="D1257" s="16" t="s">
        <v>2056</v>
      </c>
      <c r="E1257" s="288">
        <v>-390200</v>
      </c>
      <c r="F1257" s="288">
        <f>ROUND(E1257+(E1257*Assumptions!C$13),-2)</f>
        <v>-398000</v>
      </c>
      <c r="G1257" s="288">
        <f>ROUND(F1257+(F1257*Assumptions!D$13),-2)</f>
        <v>-408000</v>
      </c>
      <c r="H1257" s="288">
        <f>ROUND(G1257+(G1257*Assumptions!E$13),-2)</f>
        <v>-418200</v>
      </c>
      <c r="I1257" s="288">
        <f>ROUND(H1257+(H1257*Assumptions!F$13),-2)</f>
        <v>-428700</v>
      </c>
      <c r="J1257" s="288">
        <f>ROUND(I1257+(I1257*Assumptions!G$13),-2)</f>
        <v>-439400</v>
      </c>
      <c r="K1257" s="288">
        <f>ROUND(J1257+(J1257*Assumptions!H$13),-2)</f>
        <v>-450400</v>
      </c>
      <c r="L1257" s="288">
        <f>ROUND(K1257+(K1257*Assumptions!I$13),-2)</f>
        <v>-461700</v>
      </c>
      <c r="M1257" s="288">
        <f>ROUND(L1257+(L1257*Assumptions!J$13),-2)</f>
        <v>-473200</v>
      </c>
      <c r="N1257" s="288">
        <f>ROUND(M1257+(M1257*Assumptions!K$13),-2)</f>
        <v>-485000</v>
      </c>
    </row>
    <row r="1258" spans="2:14" x14ac:dyDescent="0.25">
      <c r="B1258" s="16" t="s">
        <v>3228</v>
      </c>
      <c r="C1258" s="16" t="s">
        <v>2057</v>
      </c>
      <c r="D1258" s="16" t="s">
        <v>2058</v>
      </c>
      <c r="E1258" s="288">
        <v>-18400</v>
      </c>
      <c r="F1258" s="288">
        <f>ROUND(E1258+(E1258*Assumptions!C$13),-2)</f>
        <v>-18800</v>
      </c>
      <c r="G1258" s="288">
        <f>ROUND(F1258+(F1258*Assumptions!D$13),-2)</f>
        <v>-19300</v>
      </c>
      <c r="H1258" s="288">
        <f>ROUND(G1258+(G1258*Assumptions!E$13),-2)</f>
        <v>-19800</v>
      </c>
      <c r="I1258" s="288">
        <f>ROUND(H1258+(H1258*Assumptions!F$13),-2)</f>
        <v>-20300</v>
      </c>
      <c r="J1258" s="288">
        <f>ROUND(I1258+(I1258*Assumptions!G$13),-2)</f>
        <v>-20800</v>
      </c>
      <c r="K1258" s="288">
        <f>ROUND(J1258+(J1258*Assumptions!H$13),-2)</f>
        <v>-21300</v>
      </c>
      <c r="L1258" s="288">
        <f>ROUND(K1258+(K1258*Assumptions!I$13),-2)</f>
        <v>-21800</v>
      </c>
      <c r="M1258" s="288">
        <f>ROUND(L1258+(L1258*Assumptions!J$13),-2)</f>
        <v>-22300</v>
      </c>
      <c r="N1258" s="288">
        <f>ROUND(M1258+(M1258*Assumptions!K$13),-2)</f>
        <v>-22900</v>
      </c>
    </row>
    <row r="1259" spans="2:14" x14ac:dyDescent="0.25">
      <c r="B1259" s="16" t="s">
        <v>3228</v>
      </c>
      <c r="C1259" s="16" t="s">
        <v>2059</v>
      </c>
      <c r="D1259" s="16" t="s">
        <v>1234</v>
      </c>
      <c r="E1259" s="289"/>
      <c r="F1259" s="289"/>
      <c r="G1259" s="289"/>
      <c r="H1259" s="289"/>
      <c r="I1259" s="289"/>
      <c r="J1259" s="289"/>
      <c r="K1259" s="289"/>
      <c r="L1259" s="289"/>
      <c r="M1259" s="289"/>
      <c r="N1259" s="289"/>
    </row>
    <row r="1260" spans="2:14" x14ac:dyDescent="0.25">
      <c r="B1260" s="16" t="s">
        <v>3228</v>
      </c>
      <c r="C1260" s="16" t="s">
        <v>2060</v>
      </c>
      <c r="D1260" s="16" t="s">
        <v>2061</v>
      </c>
      <c r="E1260" s="288">
        <v>-19100</v>
      </c>
      <c r="F1260" s="288">
        <f>ROUND(E1260+(E1260*Assumptions!C$13),-2)</f>
        <v>-19500</v>
      </c>
      <c r="G1260" s="288">
        <f>ROUND(F1260+(F1260*Assumptions!D$13),-2)</f>
        <v>-20000</v>
      </c>
      <c r="H1260" s="288">
        <f>ROUND(G1260+(G1260*Assumptions!E$13),-2)</f>
        <v>-20500</v>
      </c>
      <c r="I1260" s="288">
        <f>ROUND(H1260+(H1260*Assumptions!F$13),-2)</f>
        <v>-21000</v>
      </c>
      <c r="J1260" s="288">
        <f>ROUND(I1260+(I1260*Assumptions!G$13),-2)</f>
        <v>-21500</v>
      </c>
      <c r="K1260" s="288">
        <f>ROUND(J1260+(J1260*Assumptions!H$13),-2)</f>
        <v>-22000</v>
      </c>
      <c r="L1260" s="288">
        <f>ROUND(K1260+(K1260*Assumptions!I$13),-2)</f>
        <v>-22600</v>
      </c>
      <c r="M1260" s="288">
        <f>ROUND(L1260+(L1260*Assumptions!J$13),-2)</f>
        <v>-23200</v>
      </c>
      <c r="N1260" s="288">
        <f>ROUND(M1260+(M1260*Assumptions!K$13),-2)</f>
        <v>-23800</v>
      </c>
    </row>
    <row r="1261" spans="2:14" x14ac:dyDescent="0.25">
      <c r="B1261" s="16" t="s">
        <v>3228</v>
      </c>
      <c r="C1261" s="16" t="s">
        <v>2062</v>
      </c>
      <c r="D1261" s="16" t="s">
        <v>2063</v>
      </c>
      <c r="E1261" s="288">
        <v>-4200</v>
      </c>
      <c r="F1261" s="288">
        <f>ROUND(E1261+(E1261*Assumptions!C$13),-2)</f>
        <v>-4300</v>
      </c>
      <c r="G1261" s="288">
        <f>ROUND(F1261+(F1261*Assumptions!D$13),-2)</f>
        <v>-4400</v>
      </c>
      <c r="H1261" s="288">
        <f>ROUND(G1261+(G1261*Assumptions!E$13),-2)</f>
        <v>-4500</v>
      </c>
      <c r="I1261" s="288">
        <f>ROUND(H1261+(H1261*Assumptions!F$13),-2)</f>
        <v>-4600</v>
      </c>
      <c r="J1261" s="288">
        <f>ROUND(I1261+(I1261*Assumptions!G$13),-2)</f>
        <v>-4700</v>
      </c>
      <c r="K1261" s="288">
        <f>ROUND(J1261+(J1261*Assumptions!H$13),-2)</f>
        <v>-4800</v>
      </c>
      <c r="L1261" s="288">
        <f>ROUND(K1261+(K1261*Assumptions!I$13),-2)</f>
        <v>-4900</v>
      </c>
      <c r="M1261" s="288">
        <f>ROUND(L1261+(L1261*Assumptions!J$13),-2)</f>
        <v>-5000</v>
      </c>
      <c r="N1261" s="288">
        <f>ROUND(M1261+(M1261*Assumptions!K$13),-2)</f>
        <v>-5100</v>
      </c>
    </row>
    <row r="1262" spans="2:14" x14ac:dyDescent="0.25">
      <c r="B1262" s="16" t="s">
        <v>3228</v>
      </c>
      <c r="C1262" s="16" t="s">
        <v>2064</v>
      </c>
      <c r="D1262" s="16" t="s">
        <v>2065</v>
      </c>
      <c r="E1262" s="288">
        <v>-24000</v>
      </c>
      <c r="F1262" s="288">
        <f>ROUND(E1262+(E1262*Assumptions!C$13),-2)</f>
        <v>-24500</v>
      </c>
      <c r="G1262" s="288">
        <f>ROUND(F1262+(F1262*Assumptions!D$13),-2)</f>
        <v>-25100</v>
      </c>
      <c r="H1262" s="288">
        <f>ROUND(G1262+(G1262*Assumptions!E$13),-2)</f>
        <v>-25700</v>
      </c>
      <c r="I1262" s="288">
        <f>ROUND(H1262+(H1262*Assumptions!F$13),-2)</f>
        <v>-26300</v>
      </c>
      <c r="J1262" s="288">
        <f>ROUND(I1262+(I1262*Assumptions!G$13),-2)</f>
        <v>-27000</v>
      </c>
      <c r="K1262" s="288">
        <f>ROUND(J1262+(J1262*Assumptions!H$13),-2)</f>
        <v>-27700</v>
      </c>
      <c r="L1262" s="288">
        <f>ROUND(K1262+(K1262*Assumptions!I$13),-2)</f>
        <v>-28400</v>
      </c>
      <c r="M1262" s="288">
        <f>ROUND(L1262+(L1262*Assumptions!J$13),-2)</f>
        <v>-29100</v>
      </c>
      <c r="N1262" s="288">
        <f>ROUND(M1262+(M1262*Assumptions!K$13),-2)</f>
        <v>-29800</v>
      </c>
    </row>
    <row r="1263" spans="2:14" x14ac:dyDescent="0.25">
      <c r="B1263" s="16" t="s">
        <v>3228</v>
      </c>
      <c r="C1263" s="16" t="s">
        <v>2066</v>
      </c>
      <c r="D1263" s="16" t="s">
        <v>2067</v>
      </c>
      <c r="E1263" s="289"/>
      <c r="F1263" s="289"/>
      <c r="G1263" s="289"/>
      <c r="H1263" s="289"/>
      <c r="I1263" s="289"/>
      <c r="J1263" s="289"/>
      <c r="K1263" s="289"/>
      <c r="L1263" s="289"/>
      <c r="M1263" s="289"/>
      <c r="N1263" s="289"/>
    </row>
    <row r="1264" spans="2:14" x14ac:dyDescent="0.25">
      <c r="B1264" s="16" t="s">
        <v>3228</v>
      </c>
      <c r="C1264" s="16" t="s">
        <v>2068</v>
      </c>
      <c r="D1264" s="16" t="s">
        <v>2069</v>
      </c>
      <c r="E1264" s="288">
        <v>-1082900</v>
      </c>
      <c r="F1264" s="288">
        <f>ROUND(E1264+(E1264*Assumptions!C$13),-2)</f>
        <v>-1104600</v>
      </c>
      <c r="G1264" s="288">
        <f>ROUND(F1264+(F1264*Assumptions!D$13),-2)</f>
        <v>-1132200</v>
      </c>
      <c r="H1264" s="288">
        <f>ROUND(G1264+(G1264*Assumptions!E$13),-2)</f>
        <v>-1160500</v>
      </c>
      <c r="I1264" s="288">
        <f>ROUND(H1264+(H1264*Assumptions!F$13),-2)</f>
        <v>-1189500</v>
      </c>
      <c r="J1264" s="288">
        <f>ROUND(I1264+(I1264*Assumptions!G$13),-2)</f>
        <v>-1219200</v>
      </c>
      <c r="K1264" s="288">
        <f>ROUND(J1264+(J1264*Assumptions!H$13),-2)</f>
        <v>-1249700</v>
      </c>
      <c r="L1264" s="288">
        <f>ROUND(K1264+(K1264*Assumptions!I$13),-2)</f>
        <v>-1280900</v>
      </c>
      <c r="M1264" s="288">
        <f>ROUND(L1264+(L1264*Assumptions!J$13),-2)</f>
        <v>-1312900</v>
      </c>
      <c r="N1264" s="288">
        <f>ROUND(M1264+(M1264*Assumptions!K$13),-2)</f>
        <v>-1345700</v>
      </c>
    </row>
    <row r="1265" spans="2:14" x14ac:dyDescent="0.25">
      <c r="B1265" s="16" t="s">
        <v>3228</v>
      </c>
      <c r="C1265" s="16" t="s">
        <v>2070</v>
      </c>
      <c r="D1265" s="16" t="s">
        <v>2071</v>
      </c>
      <c r="E1265" s="289"/>
      <c r="F1265" s="289"/>
      <c r="G1265" s="289"/>
      <c r="H1265" s="289"/>
      <c r="I1265" s="289"/>
      <c r="J1265" s="289"/>
      <c r="K1265" s="289"/>
      <c r="L1265" s="289"/>
      <c r="M1265" s="289"/>
      <c r="N1265" s="289"/>
    </row>
    <row r="1266" spans="2:14" x14ac:dyDescent="0.25">
      <c r="B1266" s="16" t="s">
        <v>3228</v>
      </c>
      <c r="C1266" s="16" t="s">
        <v>2072</v>
      </c>
      <c r="D1266" s="16" t="s">
        <v>2073</v>
      </c>
      <c r="E1266" s="288">
        <v>-100000</v>
      </c>
      <c r="F1266" s="288">
        <f>ROUND(E1266+(E1266*Assumptions!C$13),-2)</f>
        <v>-102000</v>
      </c>
      <c r="G1266" s="288">
        <f>ROUND(F1266+(F1266*Assumptions!D$13),-2)</f>
        <v>-104600</v>
      </c>
      <c r="H1266" s="288">
        <f>ROUND(G1266+(G1266*Assumptions!E$13),-2)</f>
        <v>-107200</v>
      </c>
      <c r="I1266" s="288">
        <f>ROUND(H1266+(H1266*Assumptions!F$13),-2)</f>
        <v>-109900</v>
      </c>
      <c r="J1266" s="288">
        <f>ROUND(I1266+(I1266*Assumptions!G$13),-2)</f>
        <v>-112600</v>
      </c>
      <c r="K1266" s="288">
        <f>ROUND(J1266+(J1266*Assumptions!H$13),-2)</f>
        <v>-115400</v>
      </c>
      <c r="L1266" s="288">
        <f>ROUND(K1266+(K1266*Assumptions!I$13),-2)</f>
        <v>-118300</v>
      </c>
      <c r="M1266" s="288">
        <f>ROUND(L1266+(L1266*Assumptions!J$13),-2)</f>
        <v>-121300</v>
      </c>
      <c r="N1266" s="288">
        <f>ROUND(M1266+(M1266*Assumptions!K$13),-2)</f>
        <v>-124300</v>
      </c>
    </row>
    <row r="1267" spans="2:14" x14ac:dyDescent="0.25">
      <c r="B1267" s="16" t="s">
        <v>3228</v>
      </c>
      <c r="C1267" s="16" t="s">
        <v>2074</v>
      </c>
      <c r="D1267" s="16" t="s">
        <v>2075</v>
      </c>
      <c r="E1267" s="288">
        <v>-70100</v>
      </c>
      <c r="F1267" s="288">
        <f>ROUND(E1267+(E1267*Assumptions!C$13),-2)</f>
        <v>-71500</v>
      </c>
      <c r="G1267" s="288">
        <f>ROUND(F1267+(F1267*Assumptions!D$13),-2)</f>
        <v>-73300</v>
      </c>
      <c r="H1267" s="288">
        <f>ROUND(G1267+(G1267*Assumptions!E$13),-2)</f>
        <v>-75100</v>
      </c>
      <c r="I1267" s="288">
        <f>ROUND(H1267+(H1267*Assumptions!F$13),-2)</f>
        <v>-77000</v>
      </c>
      <c r="J1267" s="288">
        <f>ROUND(I1267+(I1267*Assumptions!G$13),-2)</f>
        <v>-78900</v>
      </c>
      <c r="K1267" s="288">
        <f>ROUND(J1267+(J1267*Assumptions!H$13),-2)</f>
        <v>-80900</v>
      </c>
      <c r="L1267" s="288">
        <f>ROUND(K1267+(K1267*Assumptions!I$13),-2)</f>
        <v>-82900</v>
      </c>
      <c r="M1267" s="288">
        <f>ROUND(L1267+(L1267*Assumptions!J$13),-2)</f>
        <v>-85000</v>
      </c>
      <c r="N1267" s="288">
        <f>ROUND(M1267+(M1267*Assumptions!K$13),-2)</f>
        <v>-87100</v>
      </c>
    </row>
    <row r="1268" spans="2:14" x14ac:dyDescent="0.25">
      <c r="B1268" s="16" t="s">
        <v>3228</v>
      </c>
      <c r="C1268" s="16" t="s">
        <v>2076</v>
      </c>
      <c r="D1268" s="16" t="s">
        <v>2077</v>
      </c>
      <c r="E1268" s="288">
        <v>-73800</v>
      </c>
      <c r="F1268" s="288">
        <f>ROUND(E1268+(E1268*Assumptions!C$13),-2)</f>
        <v>-75300</v>
      </c>
      <c r="G1268" s="288">
        <f>ROUND(F1268+(F1268*Assumptions!D$13),-2)</f>
        <v>-77200</v>
      </c>
      <c r="H1268" s="288">
        <f>ROUND(G1268+(G1268*Assumptions!E$13),-2)</f>
        <v>-79100</v>
      </c>
      <c r="I1268" s="288">
        <f>ROUND(H1268+(H1268*Assumptions!F$13),-2)</f>
        <v>-81100</v>
      </c>
      <c r="J1268" s="288">
        <f>ROUND(I1268+(I1268*Assumptions!G$13),-2)</f>
        <v>-83100</v>
      </c>
      <c r="K1268" s="288">
        <f>ROUND(J1268+(J1268*Assumptions!H$13),-2)</f>
        <v>-85200</v>
      </c>
      <c r="L1268" s="288">
        <f>ROUND(K1268+(K1268*Assumptions!I$13),-2)</f>
        <v>-87300</v>
      </c>
      <c r="M1268" s="288">
        <f>ROUND(L1268+(L1268*Assumptions!J$13),-2)</f>
        <v>-89500</v>
      </c>
      <c r="N1268" s="288">
        <f>ROUND(M1268+(M1268*Assumptions!K$13),-2)</f>
        <v>-91700</v>
      </c>
    </row>
    <row r="1269" spans="2:14" ht="12.75" customHeight="1" x14ac:dyDescent="0.25">
      <c r="E1269" s="288"/>
      <c r="F1269" s="288"/>
      <c r="G1269" s="288"/>
      <c r="H1269" s="288"/>
      <c r="I1269" s="288"/>
      <c r="J1269" s="288"/>
      <c r="K1269" s="288"/>
      <c r="L1269" s="288"/>
      <c r="M1269" s="288"/>
      <c r="N1269" s="288"/>
    </row>
    <row r="1270" spans="2:14" ht="12.75" customHeight="1" x14ac:dyDescent="0.25">
      <c r="D1270" s="19" t="s">
        <v>3234</v>
      </c>
      <c r="E1270" s="291">
        <f>SUM(E1245:E1269)</f>
        <v>-7275100</v>
      </c>
      <c r="F1270" s="291">
        <f t="shared" ref="F1270:N1270" si="38">SUM(F1245:F1269)</f>
        <v>-7420800</v>
      </c>
      <c r="G1270" s="291">
        <f t="shared" si="38"/>
        <v>-7606500</v>
      </c>
      <c r="H1270" s="291">
        <f t="shared" si="38"/>
        <v>-7796500</v>
      </c>
      <c r="I1270" s="291">
        <f t="shared" si="38"/>
        <v>-7991400</v>
      </c>
      <c r="J1270" s="291">
        <f t="shared" si="38"/>
        <v>-8190900</v>
      </c>
      <c r="K1270" s="291">
        <f t="shared" si="38"/>
        <v>-8395800</v>
      </c>
      <c r="L1270" s="291">
        <f t="shared" si="38"/>
        <v>-8605600</v>
      </c>
      <c r="M1270" s="291">
        <f t="shared" si="38"/>
        <v>-8820800</v>
      </c>
      <c r="N1270" s="291">
        <f t="shared" si="38"/>
        <v>-9041100</v>
      </c>
    </row>
    <row r="1271" spans="2:14" ht="12.75" customHeight="1" x14ac:dyDescent="0.25">
      <c r="E1271" s="288"/>
      <c r="F1271" s="288"/>
      <c r="G1271" s="288"/>
      <c r="H1271" s="288"/>
      <c r="I1271" s="288"/>
      <c r="J1271" s="288"/>
      <c r="K1271" s="288"/>
      <c r="L1271" s="288"/>
      <c r="M1271" s="288"/>
      <c r="N1271" s="288"/>
    </row>
    <row r="1272" spans="2:14" x14ac:dyDescent="0.25">
      <c r="C1272" s="19" t="s">
        <v>2078</v>
      </c>
      <c r="E1272" s="288"/>
      <c r="F1272" s="288"/>
      <c r="G1272" s="288"/>
      <c r="H1272" s="288"/>
      <c r="I1272" s="288"/>
      <c r="J1272" s="288"/>
      <c r="K1272" s="288"/>
      <c r="L1272" s="288"/>
      <c r="M1272" s="288"/>
      <c r="N1272" s="288"/>
    </row>
    <row r="1273" spans="2:14" ht="12.75" customHeight="1" x14ac:dyDescent="0.25">
      <c r="E1273" s="288"/>
      <c r="F1273" s="288"/>
      <c r="G1273" s="288"/>
      <c r="H1273" s="288"/>
      <c r="I1273" s="288"/>
      <c r="J1273" s="288"/>
      <c r="K1273" s="288"/>
      <c r="L1273" s="288"/>
      <c r="M1273" s="288"/>
      <c r="N1273" s="288"/>
    </row>
    <row r="1274" spans="2:14" x14ac:dyDescent="0.25">
      <c r="C1274" s="16" t="s">
        <v>87</v>
      </c>
      <c r="E1274" s="288"/>
      <c r="F1274" s="288"/>
      <c r="G1274" s="288"/>
      <c r="H1274" s="288"/>
      <c r="I1274" s="288"/>
      <c r="J1274" s="288"/>
      <c r="K1274" s="288"/>
      <c r="L1274" s="288"/>
      <c r="M1274" s="288"/>
      <c r="N1274" s="288"/>
    </row>
    <row r="1275" spans="2:14" x14ac:dyDescent="0.25">
      <c r="C1275" s="16" t="s">
        <v>2079</v>
      </c>
      <c r="D1275" s="16" t="s">
        <v>2080</v>
      </c>
      <c r="E1275" s="289"/>
      <c r="F1275" s="289"/>
      <c r="G1275" s="289"/>
      <c r="H1275" s="289"/>
      <c r="I1275" s="289"/>
      <c r="J1275" s="289"/>
      <c r="K1275" s="289"/>
      <c r="L1275" s="289"/>
      <c r="M1275" s="289"/>
      <c r="N1275" s="289"/>
    </row>
    <row r="1276" spans="2:14" x14ac:dyDescent="0.25">
      <c r="B1276" s="16" t="s">
        <v>41</v>
      </c>
      <c r="C1276" s="16" t="s">
        <v>2081</v>
      </c>
      <c r="D1276" s="16" t="s">
        <v>2082</v>
      </c>
      <c r="E1276" s="288">
        <v>195100</v>
      </c>
      <c r="F1276" s="288">
        <f>ROUND(IF($A1276="E",E1276*(1+Assumptions!C$15),E1276*(1+Assumptions!C$14)),-2)</f>
        <v>198000</v>
      </c>
      <c r="G1276" s="288">
        <f>ROUND(IF($A1276="E",F1276*(1+Assumptions!D$15),F1276*(1+Assumptions!D$14)),-2)</f>
        <v>202000</v>
      </c>
      <c r="H1276" s="288">
        <f>ROUND(IF($A1276="E",G1276*(1+Assumptions!E$15),G1276*(1+Assumptions!E$14)),-2)</f>
        <v>206000</v>
      </c>
      <c r="I1276" s="288">
        <f>ROUND(IF($A1276="E",H1276*(1+Assumptions!F$15),H1276*(1+Assumptions!F$14)),-2)</f>
        <v>210100</v>
      </c>
      <c r="J1276" s="288">
        <f>ROUND(IF($A1276="E",I1276*(1+Assumptions!G$15),I1276*(1+Assumptions!G$14)),-2)</f>
        <v>214300</v>
      </c>
      <c r="K1276" s="288">
        <f>ROUND(IF($A1276="E",J1276*(1+Assumptions!H$15),J1276*(1+Assumptions!H$14)),-2)</f>
        <v>218600</v>
      </c>
      <c r="L1276" s="288">
        <f>ROUND(IF($A1276="E",K1276*(1+Assumptions!I$15),K1276*(1+Assumptions!I$14)),-2)</f>
        <v>224100</v>
      </c>
      <c r="M1276" s="288">
        <f>ROUND(IF($A1276="E",L1276*(1+Assumptions!J$15),L1276*(1+Assumptions!J$14)),-2)</f>
        <v>229700</v>
      </c>
      <c r="N1276" s="288">
        <f>ROUND(IF($A1276="E",M1276*(1+Assumptions!K$15),M1276*(1+Assumptions!K$14)),-2)</f>
        <v>235400</v>
      </c>
    </row>
    <row r="1277" spans="2:14" x14ac:dyDescent="0.25">
      <c r="B1277" s="16" t="s">
        <v>43</v>
      </c>
      <c r="C1277" s="16" t="s">
        <v>2083</v>
      </c>
      <c r="D1277" s="16" t="s">
        <v>2084</v>
      </c>
      <c r="E1277" s="289"/>
      <c r="F1277" s="289"/>
      <c r="G1277" s="289"/>
      <c r="H1277" s="289"/>
      <c r="I1277" s="289"/>
      <c r="J1277" s="289"/>
      <c r="K1277" s="289"/>
      <c r="L1277" s="289"/>
      <c r="M1277" s="289"/>
      <c r="N1277" s="289"/>
    </row>
    <row r="1278" spans="2:14" x14ac:dyDescent="0.25">
      <c r="B1278" s="16" t="s">
        <v>43</v>
      </c>
      <c r="C1278" s="16" t="s">
        <v>2085</v>
      </c>
      <c r="D1278" s="16" t="s">
        <v>2086</v>
      </c>
      <c r="E1278" s="288">
        <v>1400</v>
      </c>
      <c r="F1278" s="288">
        <f>ROUND(IF($A1278="E",E1278*(1+Assumptions!C$15),E1278*(1+Assumptions!C$14)),-2)</f>
        <v>1400</v>
      </c>
      <c r="G1278" s="288">
        <f>ROUND(IF($A1278="E",F1278*(1+Assumptions!D$15),F1278*(1+Assumptions!D$14)),-2)</f>
        <v>1400</v>
      </c>
      <c r="H1278" s="288">
        <f>ROUND(IF($A1278="E",G1278*(1+Assumptions!E$15),G1278*(1+Assumptions!E$14)),-2)</f>
        <v>1400</v>
      </c>
      <c r="I1278" s="288">
        <f>ROUND(IF($A1278="E",H1278*(1+Assumptions!F$15),H1278*(1+Assumptions!F$14)),-2)</f>
        <v>1400</v>
      </c>
      <c r="J1278" s="288">
        <f>ROUND(IF($A1278="E",I1278*(1+Assumptions!G$15),I1278*(1+Assumptions!G$14)),-2)</f>
        <v>1400</v>
      </c>
      <c r="K1278" s="288">
        <f>ROUND(IF($A1278="E",J1278*(1+Assumptions!H$15),J1278*(1+Assumptions!H$14)),-2)</f>
        <v>1400</v>
      </c>
      <c r="L1278" s="288">
        <f>ROUND(IF($A1278="E",K1278*(1+Assumptions!I$15),K1278*(1+Assumptions!I$14)),-2)</f>
        <v>1400</v>
      </c>
      <c r="M1278" s="288">
        <f>ROUND(IF($A1278="E",L1278*(1+Assumptions!J$15),L1278*(1+Assumptions!J$14)),-2)</f>
        <v>1400</v>
      </c>
      <c r="N1278" s="288">
        <f>ROUND(IF($A1278="E",M1278*(1+Assumptions!K$15),M1278*(1+Assumptions!K$14)),-2)</f>
        <v>1400</v>
      </c>
    </row>
    <row r="1279" spans="2:14" x14ac:dyDescent="0.25">
      <c r="B1279" s="16" t="s">
        <v>43</v>
      </c>
      <c r="C1279" s="16" t="s">
        <v>2087</v>
      </c>
      <c r="D1279" s="16" t="s">
        <v>2088</v>
      </c>
      <c r="E1279" s="288">
        <v>20300</v>
      </c>
      <c r="F1279" s="288">
        <f>ROUND(IF($A1279="E",E1279*(1+Assumptions!C$15),E1279*(1+Assumptions!C$14)),-2)</f>
        <v>20600</v>
      </c>
      <c r="G1279" s="288">
        <f>ROUND(IF($A1279="E",F1279*(1+Assumptions!D$15),F1279*(1+Assumptions!D$14)),-2)</f>
        <v>21000</v>
      </c>
      <c r="H1279" s="288">
        <f>ROUND(IF($A1279="E",G1279*(1+Assumptions!E$15),G1279*(1+Assumptions!E$14)),-2)</f>
        <v>21400</v>
      </c>
      <c r="I1279" s="288">
        <f>ROUND(IF($A1279="E",H1279*(1+Assumptions!F$15),H1279*(1+Assumptions!F$14)),-2)</f>
        <v>21800</v>
      </c>
      <c r="J1279" s="288">
        <f>ROUND(IF($A1279="E",I1279*(1+Assumptions!G$15),I1279*(1+Assumptions!G$14)),-2)</f>
        <v>22200</v>
      </c>
      <c r="K1279" s="288">
        <f>ROUND(IF($A1279="E",J1279*(1+Assumptions!H$15),J1279*(1+Assumptions!H$14)),-2)</f>
        <v>22600</v>
      </c>
      <c r="L1279" s="288">
        <f>ROUND(IF($A1279="E",K1279*(1+Assumptions!I$15),K1279*(1+Assumptions!I$14)),-2)</f>
        <v>23200</v>
      </c>
      <c r="M1279" s="288">
        <f>ROUND(IF($A1279="E",L1279*(1+Assumptions!J$15),L1279*(1+Assumptions!J$14)),-2)</f>
        <v>23800</v>
      </c>
      <c r="N1279" s="288">
        <f>ROUND(IF($A1279="E",M1279*(1+Assumptions!K$15),M1279*(1+Assumptions!K$14)),-2)</f>
        <v>24400</v>
      </c>
    </row>
    <row r="1280" spans="2:14" x14ac:dyDescent="0.25">
      <c r="B1280" s="16" t="s">
        <v>43</v>
      </c>
      <c r="C1280" s="16" t="s">
        <v>2089</v>
      </c>
      <c r="D1280" s="16" t="s">
        <v>2090</v>
      </c>
      <c r="E1280" s="288">
        <v>2000</v>
      </c>
      <c r="F1280" s="288">
        <f>ROUND(IF($A1280="E",E1280*(1+Assumptions!C$15),E1280*(1+Assumptions!C$14)),-2)</f>
        <v>2000</v>
      </c>
      <c r="G1280" s="288">
        <f>ROUND(IF($A1280="E",F1280*(1+Assumptions!D$15),F1280*(1+Assumptions!D$14)),-2)</f>
        <v>2000</v>
      </c>
      <c r="H1280" s="288">
        <f>ROUND(IF($A1280="E",G1280*(1+Assumptions!E$15),G1280*(1+Assumptions!E$14)),-2)</f>
        <v>2000</v>
      </c>
      <c r="I1280" s="288">
        <f>ROUND(IF($A1280="E",H1280*(1+Assumptions!F$15),H1280*(1+Assumptions!F$14)),-2)</f>
        <v>2000</v>
      </c>
      <c r="J1280" s="288">
        <f>ROUND(IF($A1280="E",I1280*(1+Assumptions!G$15),I1280*(1+Assumptions!G$14)),-2)</f>
        <v>2000</v>
      </c>
      <c r="K1280" s="288">
        <f>ROUND(IF($A1280="E",J1280*(1+Assumptions!H$15),J1280*(1+Assumptions!H$14)),-2)</f>
        <v>2000</v>
      </c>
      <c r="L1280" s="288">
        <f>ROUND(IF($A1280="E",K1280*(1+Assumptions!I$15),K1280*(1+Assumptions!I$14)),-2)</f>
        <v>2100</v>
      </c>
      <c r="M1280" s="288">
        <f>ROUND(IF($A1280="E",L1280*(1+Assumptions!J$15),L1280*(1+Assumptions!J$14)),-2)</f>
        <v>2200</v>
      </c>
      <c r="N1280" s="288">
        <f>ROUND(IF($A1280="E",M1280*(1+Assumptions!K$15),M1280*(1+Assumptions!K$14)),-2)</f>
        <v>2300</v>
      </c>
    </row>
    <row r="1281" spans="2:14" x14ac:dyDescent="0.25">
      <c r="B1281" s="16" t="s">
        <v>43</v>
      </c>
      <c r="C1281" s="16" t="s">
        <v>2091</v>
      </c>
      <c r="D1281" s="16" t="s">
        <v>2092</v>
      </c>
      <c r="E1281" s="288">
        <v>0</v>
      </c>
      <c r="F1281" s="288">
        <f>ROUND(IF($A1281="E",E1281*(1+Assumptions!C$15),E1281*(1+Assumptions!C$14)),-2)</f>
        <v>0</v>
      </c>
      <c r="G1281" s="288">
        <f>ROUND(IF($A1281="E",F1281*(1+Assumptions!D$15),F1281*(1+Assumptions!D$14)),-2)</f>
        <v>0</v>
      </c>
      <c r="H1281" s="288">
        <f>ROUND(IF($A1281="E",G1281*(1+Assumptions!E$15),G1281*(1+Assumptions!E$14)),-2)</f>
        <v>0</v>
      </c>
      <c r="I1281" s="288">
        <f>ROUND(IF($A1281="E",H1281*(1+Assumptions!F$15),H1281*(1+Assumptions!F$14)),-2)</f>
        <v>0</v>
      </c>
      <c r="J1281" s="288">
        <f>ROUND(IF($A1281="E",I1281*(1+Assumptions!G$15),I1281*(1+Assumptions!G$14)),-2)</f>
        <v>0</v>
      </c>
      <c r="K1281" s="288">
        <f>ROUND(IF($A1281="E",J1281*(1+Assumptions!H$15),J1281*(1+Assumptions!H$14)),-2)</f>
        <v>0</v>
      </c>
      <c r="L1281" s="288">
        <f>ROUND(IF($A1281="E",K1281*(1+Assumptions!I$15),K1281*(1+Assumptions!I$14)),-2)</f>
        <v>0</v>
      </c>
      <c r="M1281" s="288">
        <f>ROUND(IF($A1281="E",L1281*(1+Assumptions!J$15),L1281*(1+Assumptions!J$14)),-2)</f>
        <v>0</v>
      </c>
      <c r="N1281" s="288">
        <f>ROUND(IF($A1281="E",M1281*(1+Assumptions!K$15),M1281*(1+Assumptions!K$14)),-2)</f>
        <v>0</v>
      </c>
    </row>
    <row r="1282" spans="2:14" x14ac:dyDescent="0.25">
      <c r="B1282" s="16" t="s">
        <v>43</v>
      </c>
      <c r="C1282" s="16" t="s">
        <v>2093</v>
      </c>
      <c r="D1282" s="16" t="s">
        <v>2094</v>
      </c>
      <c r="E1282" s="288">
        <v>0</v>
      </c>
      <c r="F1282" s="288">
        <f>ROUND(IF($A1282="E",E1282*(1+Assumptions!C$15),E1282*(1+Assumptions!C$14)),-2)</f>
        <v>0</v>
      </c>
      <c r="G1282" s="288">
        <f>ROUND(IF($A1282="E",F1282*(1+Assumptions!D$15),F1282*(1+Assumptions!D$14)),-2)</f>
        <v>0</v>
      </c>
      <c r="H1282" s="288">
        <f>ROUND(IF($A1282="E",G1282*(1+Assumptions!E$15),G1282*(1+Assumptions!E$14)),-2)</f>
        <v>0</v>
      </c>
      <c r="I1282" s="288">
        <f>ROUND(IF($A1282="E",H1282*(1+Assumptions!F$15),H1282*(1+Assumptions!F$14)),-2)</f>
        <v>0</v>
      </c>
      <c r="J1282" s="288">
        <f>ROUND(IF($A1282="E",I1282*(1+Assumptions!G$15),I1282*(1+Assumptions!G$14)),-2)</f>
        <v>0</v>
      </c>
      <c r="K1282" s="288">
        <f>ROUND(IF($A1282="E",J1282*(1+Assumptions!H$15),J1282*(1+Assumptions!H$14)),-2)</f>
        <v>0</v>
      </c>
      <c r="L1282" s="288">
        <f>ROUND(IF($A1282="E",K1282*(1+Assumptions!I$15),K1282*(1+Assumptions!I$14)),-2)</f>
        <v>0</v>
      </c>
      <c r="M1282" s="288">
        <f>ROUND(IF($A1282="E",L1282*(1+Assumptions!J$15),L1282*(1+Assumptions!J$14)),-2)</f>
        <v>0</v>
      </c>
      <c r="N1282" s="288">
        <f>ROUND(IF($A1282="E",M1282*(1+Assumptions!K$15),M1282*(1+Assumptions!K$14)),-2)</f>
        <v>0</v>
      </c>
    </row>
    <row r="1283" spans="2:14" x14ac:dyDescent="0.25">
      <c r="B1283" s="16" t="s">
        <v>43</v>
      </c>
      <c r="C1283" s="16" t="s">
        <v>2095</v>
      </c>
      <c r="D1283" s="16" t="s">
        <v>2096</v>
      </c>
      <c r="E1283" s="288">
        <v>2000</v>
      </c>
      <c r="F1283" s="288">
        <f>ROUND(IF($A1283="E",E1283*(1+Assumptions!C$15),E1283*(1+Assumptions!C$14)),-2)</f>
        <v>2000</v>
      </c>
      <c r="G1283" s="288">
        <f>ROUND(IF($A1283="E",F1283*(1+Assumptions!D$15),F1283*(1+Assumptions!D$14)),-2)</f>
        <v>2000</v>
      </c>
      <c r="H1283" s="288">
        <f>ROUND(IF($A1283="E",G1283*(1+Assumptions!E$15),G1283*(1+Assumptions!E$14)),-2)</f>
        <v>2000</v>
      </c>
      <c r="I1283" s="288">
        <f>ROUND(IF($A1283="E",H1283*(1+Assumptions!F$15),H1283*(1+Assumptions!F$14)),-2)</f>
        <v>2000</v>
      </c>
      <c r="J1283" s="288">
        <f>ROUND(IF($A1283="E",I1283*(1+Assumptions!G$15),I1283*(1+Assumptions!G$14)),-2)</f>
        <v>2000</v>
      </c>
      <c r="K1283" s="288">
        <f>ROUND(IF($A1283="E",J1283*(1+Assumptions!H$15),J1283*(1+Assumptions!H$14)),-2)</f>
        <v>2000</v>
      </c>
      <c r="L1283" s="288">
        <f>ROUND(IF($A1283="E",K1283*(1+Assumptions!I$15),K1283*(1+Assumptions!I$14)),-2)</f>
        <v>2100</v>
      </c>
      <c r="M1283" s="288">
        <f>ROUND(IF($A1283="E",L1283*(1+Assumptions!J$15),L1283*(1+Assumptions!J$14)),-2)</f>
        <v>2200</v>
      </c>
      <c r="N1283" s="288">
        <f>ROUND(IF($A1283="E",M1283*(1+Assumptions!K$15),M1283*(1+Assumptions!K$14)),-2)</f>
        <v>2300</v>
      </c>
    </row>
    <row r="1284" spans="2:14" x14ac:dyDescent="0.25">
      <c r="C1284" s="16" t="s">
        <v>2097</v>
      </c>
      <c r="D1284" s="16" t="s">
        <v>2098</v>
      </c>
      <c r="E1284" s="289"/>
      <c r="F1284" s="289"/>
      <c r="G1284" s="289"/>
      <c r="H1284" s="289"/>
      <c r="I1284" s="289"/>
      <c r="J1284" s="289"/>
      <c r="K1284" s="289"/>
      <c r="L1284" s="289"/>
      <c r="M1284" s="289"/>
      <c r="N1284" s="289"/>
    </row>
    <row r="1285" spans="2:14" x14ac:dyDescent="0.25">
      <c r="B1285" s="16" t="s">
        <v>45</v>
      </c>
      <c r="C1285" s="16" t="s">
        <v>2099</v>
      </c>
      <c r="D1285" s="16" t="s">
        <v>230</v>
      </c>
      <c r="E1285" s="288">
        <v>20200</v>
      </c>
      <c r="F1285" s="288">
        <f>ROUND(IF($A1285="E",E1285*(1+Assumptions!C$15),E1285*(1+Assumptions!C$14)),-2)</f>
        <v>20500</v>
      </c>
      <c r="G1285" s="288">
        <f>ROUND(IF($A1285="E",F1285*(1+Assumptions!D$15),F1285*(1+Assumptions!D$14)),-2)</f>
        <v>20900</v>
      </c>
      <c r="H1285" s="288">
        <f>ROUND(IF($A1285="E",G1285*(1+Assumptions!E$15),G1285*(1+Assumptions!E$14)),-2)</f>
        <v>21300</v>
      </c>
      <c r="I1285" s="288">
        <f>ROUND(IF($A1285="E",H1285*(1+Assumptions!F$15),H1285*(1+Assumptions!F$14)),-2)</f>
        <v>21700</v>
      </c>
      <c r="J1285" s="288">
        <f>ROUND(IF($A1285="E",I1285*(1+Assumptions!G$15),I1285*(1+Assumptions!G$14)),-2)</f>
        <v>22100</v>
      </c>
      <c r="K1285" s="288">
        <f>ROUND(IF($A1285="E",J1285*(1+Assumptions!H$15),J1285*(1+Assumptions!H$14)),-2)</f>
        <v>22500</v>
      </c>
      <c r="L1285" s="288">
        <f>ROUND(IF($A1285="E",K1285*(1+Assumptions!I$15),K1285*(1+Assumptions!I$14)),-2)</f>
        <v>23100</v>
      </c>
      <c r="M1285" s="288">
        <f>ROUND(IF($A1285="E",L1285*(1+Assumptions!J$15),L1285*(1+Assumptions!J$14)),-2)</f>
        <v>23700</v>
      </c>
      <c r="N1285" s="288">
        <f>ROUND(IF($A1285="E",M1285*(1+Assumptions!K$15),M1285*(1+Assumptions!K$14)),-2)</f>
        <v>24300</v>
      </c>
    </row>
    <row r="1286" spans="2:14" x14ac:dyDescent="0.25">
      <c r="B1286" s="16" t="s">
        <v>45</v>
      </c>
      <c r="C1286" s="16" t="s">
        <v>2100</v>
      </c>
      <c r="D1286" s="16" t="s">
        <v>815</v>
      </c>
      <c r="E1286" s="288">
        <v>18100</v>
      </c>
      <c r="F1286" s="288">
        <f>ROUND(IF($A1286="E",E1286*(1+Assumptions!C$15),E1286*(1+Assumptions!C$14)),-2)</f>
        <v>18400</v>
      </c>
      <c r="G1286" s="288">
        <f>ROUND(IF($A1286="E",F1286*(1+Assumptions!D$15),F1286*(1+Assumptions!D$14)),-2)</f>
        <v>18800</v>
      </c>
      <c r="H1286" s="288">
        <f>ROUND(IF($A1286="E",G1286*(1+Assumptions!E$15),G1286*(1+Assumptions!E$14)),-2)</f>
        <v>19200</v>
      </c>
      <c r="I1286" s="288">
        <f>ROUND(IF($A1286="E",H1286*(1+Assumptions!F$15),H1286*(1+Assumptions!F$14)),-2)</f>
        <v>19600</v>
      </c>
      <c r="J1286" s="288">
        <f>ROUND(IF($A1286="E",I1286*(1+Assumptions!G$15),I1286*(1+Assumptions!G$14)),-2)</f>
        <v>20000</v>
      </c>
      <c r="K1286" s="288">
        <f>ROUND(IF($A1286="E",J1286*(1+Assumptions!H$15),J1286*(1+Assumptions!H$14)),-2)</f>
        <v>20400</v>
      </c>
      <c r="L1286" s="288">
        <f>ROUND(IF($A1286="E",K1286*(1+Assumptions!I$15),K1286*(1+Assumptions!I$14)),-2)</f>
        <v>20900</v>
      </c>
      <c r="M1286" s="288">
        <f>ROUND(IF($A1286="E",L1286*(1+Assumptions!J$15),L1286*(1+Assumptions!J$14)),-2)</f>
        <v>21400</v>
      </c>
      <c r="N1286" s="288">
        <f>ROUND(IF($A1286="E",M1286*(1+Assumptions!K$15),M1286*(1+Assumptions!K$14)),-2)</f>
        <v>21900</v>
      </c>
    </row>
    <row r="1287" spans="2:14" x14ac:dyDescent="0.25">
      <c r="B1287" s="16" t="s">
        <v>45</v>
      </c>
      <c r="C1287" s="16" t="s">
        <v>2101</v>
      </c>
      <c r="D1287" s="16" t="s">
        <v>492</v>
      </c>
      <c r="E1287" s="288">
        <v>9900</v>
      </c>
      <c r="F1287" s="288">
        <f>ROUND(IF($A1287="E",E1287*(1+Assumptions!C$15),E1287*(1+Assumptions!C$14)),-2)</f>
        <v>10000</v>
      </c>
      <c r="G1287" s="288">
        <f>ROUND(IF($A1287="E",F1287*(1+Assumptions!D$15),F1287*(1+Assumptions!D$14)),-2)</f>
        <v>10200</v>
      </c>
      <c r="H1287" s="288">
        <f>ROUND(IF($A1287="E",G1287*(1+Assumptions!E$15),G1287*(1+Assumptions!E$14)),-2)</f>
        <v>10400</v>
      </c>
      <c r="I1287" s="288">
        <f>ROUND(IF($A1287="E",H1287*(1+Assumptions!F$15),H1287*(1+Assumptions!F$14)),-2)</f>
        <v>10600</v>
      </c>
      <c r="J1287" s="288">
        <f>ROUND(IF($A1287="E",I1287*(1+Assumptions!G$15),I1287*(1+Assumptions!G$14)),-2)</f>
        <v>10800</v>
      </c>
      <c r="K1287" s="288">
        <f>ROUND(IF($A1287="E",J1287*(1+Assumptions!H$15),J1287*(1+Assumptions!H$14)),-2)</f>
        <v>11000</v>
      </c>
      <c r="L1287" s="288">
        <f>ROUND(IF($A1287="E",K1287*(1+Assumptions!I$15),K1287*(1+Assumptions!I$14)),-2)</f>
        <v>11300</v>
      </c>
      <c r="M1287" s="288">
        <f>ROUND(IF($A1287="E",L1287*(1+Assumptions!J$15),L1287*(1+Assumptions!J$14)),-2)</f>
        <v>11600</v>
      </c>
      <c r="N1287" s="288">
        <f>ROUND(IF($A1287="E",M1287*(1+Assumptions!K$15),M1287*(1+Assumptions!K$14)),-2)</f>
        <v>11900</v>
      </c>
    </row>
    <row r="1288" spans="2:14" x14ac:dyDescent="0.25">
      <c r="B1288" s="16" t="s">
        <v>45</v>
      </c>
      <c r="C1288" s="16" t="s">
        <v>2102</v>
      </c>
      <c r="D1288" s="16" t="s">
        <v>1842</v>
      </c>
      <c r="E1288" s="288">
        <v>26600</v>
      </c>
      <c r="F1288" s="288">
        <f>ROUND(IF($A1288="E",E1288*(1+Assumptions!C$15),E1288*(1+Assumptions!C$14)),-2)</f>
        <v>27000</v>
      </c>
      <c r="G1288" s="288">
        <f>ROUND(IF($A1288="E",F1288*(1+Assumptions!D$15),F1288*(1+Assumptions!D$14)),-2)</f>
        <v>27500</v>
      </c>
      <c r="H1288" s="288">
        <f>ROUND(IF($A1288="E",G1288*(1+Assumptions!E$15),G1288*(1+Assumptions!E$14)),-2)</f>
        <v>28100</v>
      </c>
      <c r="I1288" s="288">
        <f>ROUND(IF($A1288="E",H1288*(1+Assumptions!F$15),H1288*(1+Assumptions!F$14)),-2)</f>
        <v>28700</v>
      </c>
      <c r="J1288" s="288">
        <f>ROUND(IF($A1288="E",I1288*(1+Assumptions!G$15),I1288*(1+Assumptions!G$14)),-2)</f>
        <v>29300</v>
      </c>
      <c r="K1288" s="288">
        <f>ROUND(IF($A1288="E",J1288*(1+Assumptions!H$15),J1288*(1+Assumptions!H$14)),-2)</f>
        <v>29900</v>
      </c>
      <c r="L1288" s="288">
        <f>ROUND(IF($A1288="E",K1288*(1+Assumptions!I$15),K1288*(1+Assumptions!I$14)),-2)</f>
        <v>30600</v>
      </c>
      <c r="M1288" s="288">
        <f>ROUND(IF($A1288="E",L1288*(1+Assumptions!J$15),L1288*(1+Assumptions!J$14)),-2)</f>
        <v>31400</v>
      </c>
      <c r="N1288" s="288">
        <f>ROUND(IF($A1288="E",M1288*(1+Assumptions!K$15),M1288*(1+Assumptions!K$14)),-2)</f>
        <v>32200</v>
      </c>
    </row>
    <row r="1289" spans="2:14" x14ac:dyDescent="0.25">
      <c r="B1289" s="16" t="s">
        <v>45</v>
      </c>
      <c r="C1289" s="16" t="s">
        <v>2103</v>
      </c>
      <c r="D1289" s="16" t="s">
        <v>835</v>
      </c>
      <c r="E1289" s="288">
        <v>5300</v>
      </c>
      <c r="F1289" s="288">
        <f>ROUND(IF($A1289="E",E1289*(1+Assumptions!C$15),E1289*(1+Assumptions!C$14)),-2)</f>
        <v>5400</v>
      </c>
      <c r="G1289" s="288">
        <f>ROUND(IF($A1289="E",F1289*(1+Assumptions!D$15),F1289*(1+Assumptions!D$14)),-2)</f>
        <v>5500</v>
      </c>
      <c r="H1289" s="288">
        <f>ROUND(IF($A1289="E",G1289*(1+Assumptions!E$15),G1289*(1+Assumptions!E$14)),-2)</f>
        <v>5600</v>
      </c>
      <c r="I1289" s="288">
        <f>ROUND(IF($A1289="E",H1289*(1+Assumptions!F$15),H1289*(1+Assumptions!F$14)),-2)</f>
        <v>5700</v>
      </c>
      <c r="J1289" s="288">
        <f>ROUND(IF($A1289="E",I1289*(1+Assumptions!G$15),I1289*(1+Assumptions!G$14)),-2)</f>
        <v>5800</v>
      </c>
      <c r="K1289" s="288">
        <f>ROUND(IF($A1289="E",J1289*(1+Assumptions!H$15),J1289*(1+Assumptions!H$14)),-2)</f>
        <v>5900</v>
      </c>
      <c r="L1289" s="288">
        <f>ROUND(IF($A1289="E",K1289*(1+Assumptions!I$15),K1289*(1+Assumptions!I$14)),-2)</f>
        <v>6000</v>
      </c>
      <c r="M1289" s="288">
        <f>ROUND(IF($A1289="E",L1289*(1+Assumptions!J$15),L1289*(1+Assumptions!J$14)),-2)</f>
        <v>6200</v>
      </c>
      <c r="N1289" s="288">
        <f>ROUND(IF($A1289="E",M1289*(1+Assumptions!K$15),M1289*(1+Assumptions!K$14)),-2)</f>
        <v>6400</v>
      </c>
    </row>
    <row r="1290" spans="2:14" x14ac:dyDescent="0.25">
      <c r="B1290" s="16" t="s">
        <v>45</v>
      </c>
      <c r="C1290" s="16" t="s">
        <v>2104</v>
      </c>
      <c r="D1290" s="16" t="s">
        <v>830</v>
      </c>
      <c r="E1290" s="288">
        <v>6900</v>
      </c>
      <c r="F1290" s="288">
        <f>ROUND(IF($A1290="E",E1290*(1+Assumptions!C$15),E1290*(1+Assumptions!C$14)),-2)</f>
        <v>7000</v>
      </c>
      <c r="G1290" s="288">
        <f>ROUND(IF($A1290="E",F1290*(1+Assumptions!D$15),F1290*(1+Assumptions!D$14)),-2)</f>
        <v>7100</v>
      </c>
      <c r="H1290" s="288">
        <f>ROUND(IF($A1290="E",G1290*(1+Assumptions!E$15),G1290*(1+Assumptions!E$14)),-2)</f>
        <v>7200</v>
      </c>
      <c r="I1290" s="288">
        <f>ROUND(IF($A1290="E",H1290*(1+Assumptions!F$15),H1290*(1+Assumptions!F$14)),-2)</f>
        <v>7300</v>
      </c>
      <c r="J1290" s="288">
        <f>ROUND(IF($A1290="E",I1290*(1+Assumptions!G$15),I1290*(1+Assumptions!G$14)),-2)</f>
        <v>7400</v>
      </c>
      <c r="K1290" s="288">
        <f>ROUND(IF($A1290="E",J1290*(1+Assumptions!H$15),J1290*(1+Assumptions!H$14)),-2)</f>
        <v>7500</v>
      </c>
      <c r="L1290" s="288">
        <f>ROUND(IF($A1290="E",K1290*(1+Assumptions!I$15),K1290*(1+Assumptions!I$14)),-2)</f>
        <v>7700</v>
      </c>
      <c r="M1290" s="288">
        <f>ROUND(IF($A1290="E",L1290*(1+Assumptions!J$15),L1290*(1+Assumptions!J$14)),-2)</f>
        <v>7900</v>
      </c>
      <c r="N1290" s="288">
        <f>ROUND(IF($A1290="E",M1290*(1+Assumptions!K$15),M1290*(1+Assumptions!K$14)),-2)</f>
        <v>8100</v>
      </c>
    </row>
    <row r="1291" spans="2:14" x14ac:dyDescent="0.25">
      <c r="B1291" s="16" t="s">
        <v>45</v>
      </c>
      <c r="C1291" s="16" t="s">
        <v>2105</v>
      </c>
      <c r="D1291" s="16" t="s">
        <v>2106</v>
      </c>
      <c r="E1291" s="288">
        <v>1400</v>
      </c>
      <c r="F1291" s="288">
        <f>ROUND(IF($A1291="E",E1291*(1+Assumptions!C$15),E1291*(1+Assumptions!C$14)),-2)</f>
        <v>1400</v>
      </c>
      <c r="G1291" s="288">
        <f>ROUND(IF($A1291="E",F1291*(1+Assumptions!D$15),F1291*(1+Assumptions!D$14)),-2)</f>
        <v>1400</v>
      </c>
      <c r="H1291" s="288">
        <f>ROUND(IF($A1291="E",G1291*(1+Assumptions!E$15),G1291*(1+Assumptions!E$14)),-2)</f>
        <v>1400</v>
      </c>
      <c r="I1291" s="288">
        <f>ROUND(IF($A1291="E",H1291*(1+Assumptions!F$15),H1291*(1+Assumptions!F$14)),-2)</f>
        <v>1400</v>
      </c>
      <c r="J1291" s="288">
        <f>ROUND(IF($A1291="E",I1291*(1+Assumptions!G$15),I1291*(1+Assumptions!G$14)),-2)</f>
        <v>1400</v>
      </c>
      <c r="K1291" s="288">
        <f>ROUND(IF($A1291="E",J1291*(1+Assumptions!H$15),J1291*(1+Assumptions!H$14)),-2)</f>
        <v>1400</v>
      </c>
      <c r="L1291" s="288">
        <f>ROUND(IF($A1291="E",K1291*(1+Assumptions!I$15),K1291*(1+Assumptions!I$14)),-2)</f>
        <v>1400</v>
      </c>
      <c r="M1291" s="288">
        <f>ROUND(IF($A1291="E",L1291*(1+Assumptions!J$15),L1291*(1+Assumptions!J$14)),-2)</f>
        <v>1400</v>
      </c>
      <c r="N1291" s="288">
        <f>ROUND(IF($A1291="E",M1291*(1+Assumptions!K$15),M1291*(1+Assumptions!K$14)),-2)</f>
        <v>1400</v>
      </c>
    </row>
    <row r="1292" spans="2:14" x14ac:dyDescent="0.25">
      <c r="B1292" s="16" t="s">
        <v>45</v>
      </c>
      <c r="C1292" s="16" t="s">
        <v>2107</v>
      </c>
      <c r="D1292" s="16" t="s">
        <v>600</v>
      </c>
      <c r="E1292" s="288">
        <v>37200</v>
      </c>
      <c r="F1292" s="288">
        <f>ROUND(IF($A1292="E",E1292*(1+Assumptions!C$15),E1292*(1+Assumptions!C$14)),-2)</f>
        <v>37800</v>
      </c>
      <c r="G1292" s="288">
        <f>ROUND(IF($A1292="E",F1292*(1+Assumptions!D$15),F1292*(1+Assumptions!D$14)),-2)</f>
        <v>38600</v>
      </c>
      <c r="H1292" s="288">
        <f>ROUND(IF($A1292="E",G1292*(1+Assumptions!E$15),G1292*(1+Assumptions!E$14)),-2)</f>
        <v>39400</v>
      </c>
      <c r="I1292" s="288">
        <f>ROUND(IF($A1292="E",H1292*(1+Assumptions!F$15),H1292*(1+Assumptions!F$14)),-2)</f>
        <v>40200</v>
      </c>
      <c r="J1292" s="288">
        <f>ROUND(IF($A1292="E",I1292*(1+Assumptions!G$15),I1292*(1+Assumptions!G$14)),-2)</f>
        <v>41000</v>
      </c>
      <c r="K1292" s="288">
        <f>ROUND(IF($A1292="E",J1292*(1+Assumptions!H$15),J1292*(1+Assumptions!H$14)),-2)</f>
        <v>41800</v>
      </c>
      <c r="L1292" s="288">
        <f>ROUND(IF($A1292="E",K1292*(1+Assumptions!I$15),K1292*(1+Assumptions!I$14)),-2)</f>
        <v>42800</v>
      </c>
      <c r="M1292" s="288">
        <f>ROUND(IF($A1292="E",L1292*(1+Assumptions!J$15),L1292*(1+Assumptions!J$14)),-2)</f>
        <v>43900</v>
      </c>
      <c r="N1292" s="288">
        <f>ROUND(IF($A1292="E",M1292*(1+Assumptions!K$15),M1292*(1+Assumptions!K$14)),-2)</f>
        <v>45000</v>
      </c>
    </row>
    <row r="1293" spans="2:14" x14ac:dyDescent="0.25">
      <c r="B1293" s="16" t="s">
        <v>43</v>
      </c>
      <c r="C1293" s="16" t="s">
        <v>2108</v>
      </c>
      <c r="D1293" s="16" t="s">
        <v>2109</v>
      </c>
      <c r="E1293" s="288">
        <v>20000</v>
      </c>
      <c r="F1293" s="288">
        <f>ROUND(IF($A1293="E",E1293*(1+Assumptions!C$15),E1293*(1+Assumptions!C$14)),-2)</f>
        <v>20300</v>
      </c>
      <c r="G1293" s="288">
        <f>ROUND(IF($A1293="E",F1293*(1+Assumptions!D$15),F1293*(1+Assumptions!D$14)),-2)</f>
        <v>20700</v>
      </c>
      <c r="H1293" s="288">
        <f>ROUND(IF($A1293="E",G1293*(1+Assumptions!E$15),G1293*(1+Assumptions!E$14)),-2)</f>
        <v>21100</v>
      </c>
      <c r="I1293" s="288">
        <f>ROUND(IF($A1293="E",H1293*(1+Assumptions!F$15),H1293*(1+Assumptions!F$14)),-2)</f>
        <v>21500</v>
      </c>
      <c r="J1293" s="288">
        <f>ROUND(IF($A1293="E",I1293*(1+Assumptions!G$15),I1293*(1+Assumptions!G$14)),-2)</f>
        <v>21900</v>
      </c>
      <c r="K1293" s="288">
        <f>ROUND(IF($A1293="E",J1293*(1+Assumptions!H$15),J1293*(1+Assumptions!H$14)),-2)</f>
        <v>22300</v>
      </c>
      <c r="L1293" s="288">
        <f>ROUND(IF($A1293="E",K1293*(1+Assumptions!I$15),K1293*(1+Assumptions!I$14)),-2)</f>
        <v>22900</v>
      </c>
      <c r="M1293" s="288">
        <f>ROUND(IF($A1293="E",L1293*(1+Assumptions!J$15),L1293*(1+Assumptions!J$14)),-2)</f>
        <v>23500</v>
      </c>
      <c r="N1293" s="288">
        <f>ROUND(IF($A1293="E",M1293*(1+Assumptions!K$15),M1293*(1+Assumptions!K$14)),-2)</f>
        <v>24100</v>
      </c>
    </row>
    <row r="1294" spans="2:14" x14ac:dyDescent="0.25">
      <c r="B1294" s="16" t="s">
        <v>43</v>
      </c>
      <c r="C1294" s="16" t="s">
        <v>2110</v>
      </c>
      <c r="D1294" s="16" t="s">
        <v>2111</v>
      </c>
      <c r="E1294" s="288">
        <v>2000</v>
      </c>
      <c r="F1294" s="288">
        <f>ROUND(IF($A1294="E",E1294*(1+Assumptions!C$15),E1294*(1+Assumptions!C$14)),-2)</f>
        <v>2000</v>
      </c>
      <c r="G1294" s="288">
        <f>ROUND(IF($A1294="E",F1294*(1+Assumptions!D$15),F1294*(1+Assumptions!D$14)),-2)</f>
        <v>2000</v>
      </c>
      <c r="H1294" s="288">
        <f>ROUND(IF($A1294="E",G1294*(1+Assumptions!E$15),G1294*(1+Assumptions!E$14)),-2)</f>
        <v>2000</v>
      </c>
      <c r="I1294" s="288">
        <f>ROUND(IF($A1294="E",H1294*(1+Assumptions!F$15),H1294*(1+Assumptions!F$14)),-2)</f>
        <v>2000</v>
      </c>
      <c r="J1294" s="288">
        <f>ROUND(IF($A1294="E",I1294*(1+Assumptions!G$15),I1294*(1+Assumptions!G$14)),-2)</f>
        <v>2000</v>
      </c>
      <c r="K1294" s="288">
        <f>ROUND(IF($A1294="E",J1294*(1+Assumptions!H$15),J1294*(1+Assumptions!H$14)),-2)</f>
        <v>2000</v>
      </c>
      <c r="L1294" s="288">
        <f>ROUND(IF($A1294="E",K1294*(1+Assumptions!I$15),K1294*(1+Assumptions!I$14)),-2)</f>
        <v>2100</v>
      </c>
      <c r="M1294" s="288">
        <f>ROUND(IF($A1294="E",L1294*(1+Assumptions!J$15),L1294*(1+Assumptions!J$14)),-2)</f>
        <v>2200</v>
      </c>
      <c r="N1294" s="288">
        <f>ROUND(IF($A1294="E",M1294*(1+Assumptions!K$15),M1294*(1+Assumptions!K$14)),-2)</f>
        <v>2300</v>
      </c>
    </row>
    <row r="1295" spans="2:14" x14ac:dyDescent="0.25">
      <c r="B1295" s="16" t="s">
        <v>43</v>
      </c>
      <c r="C1295" s="16" t="s">
        <v>2112</v>
      </c>
      <c r="D1295" s="16" t="s">
        <v>93</v>
      </c>
      <c r="E1295" s="288">
        <v>5900</v>
      </c>
      <c r="F1295" s="288">
        <f>ROUND(IF($A1295="E",E1295*(1+Assumptions!C$15),E1295*(1+Assumptions!C$14)),-2)</f>
        <v>6000</v>
      </c>
      <c r="G1295" s="288">
        <f>ROUND(IF($A1295="E",F1295*(1+Assumptions!D$15),F1295*(1+Assumptions!D$14)),-2)</f>
        <v>6100</v>
      </c>
      <c r="H1295" s="288">
        <f>ROUND(IF($A1295="E",G1295*(1+Assumptions!E$15),G1295*(1+Assumptions!E$14)),-2)</f>
        <v>6200</v>
      </c>
      <c r="I1295" s="288">
        <f>ROUND(IF($A1295="E",H1295*(1+Assumptions!F$15),H1295*(1+Assumptions!F$14)),-2)</f>
        <v>6300</v>
      </c>
      <c r="J1295" s="288">
        <f>ROUND(IF($A1295="E",I1295*(1+Assumptions!G$15),I1295*(1+Assumptions!G$14)),-2)</f>
        <v>6400</v>
      </c>
      <c r="K1295" s="288">
        <f>ROUND(IF($A1295="E",J1295*(1+Assumptions!H$15),J1295*(1+Assumptions!H$14)),-2)</f>
        <v>6500</v>
      </c>
      <c r="L1295" s="288">
        <f>ROUND(IF($A1295="E",K1295*(1+Assumptions!I$15),K1295*(1+Assumptions!I$14)),-2)</f>
        <v>6700</v>
      </c>
      <c r="M1295" s="288">
        <f>ROUND(IF($A1295="E",L1295*(1+Assumptions!J$15),L1295*(1+Assumptions!J$14)),-2)</f>
        <v>6900</v>
      </c>
      <c r="N1295" s="288">
        <f>ROUND(IF($A1295="E",M1295*(1+Assumptions!K$15),M1295*(1+Assumptions!K$14)),-2)</f>
        <v>7100</v>
      </c>
    </row>
    <row r="1296" spans="2:14" x14ac:dyDescent="0.25">
      <c r="B1296" s="16" t="s">
        <v>45</v>
      </c>
      <c r="C1296" s="16" t="s">
        <v>2113</v>
      </c>
      <c r="D1296" s="16" t="s">
        <v>2114</v>
      </c>
      <c r="E1296" s="288">
        <v>0</v>
      </c>
      <c r="F1296" s="288">
        <f>ROUND(IF($A1296="E",E1296*(1+Assumptions!C$15),E1296*(1+Assumptions!C$14)),-2)</f>
        <v>0</v>
      </c>
      <c r="G1296" s="288">
        <f>ROUND(IF($A1296="E",F1296*(1+Assumptions!D$15),F1296*(1+Assumptions!D$14)),-2)</f>
        <v>0</v>
      </c>
      <c r="H1296" s="288">
        <f>ROUND(IF($A1296="E",G1296*(1+Assumptions!E$15),G1296*(1+Assumptions!E$14)),-2)</f>
        <v>0</v>
      </c>
      <c r="I1296" s="288">
        <f>ROUND(IF($A1296="E",H1296*(1+Assumptions!F$15),H1296*(1+Assumptions!F$14)),-2)</f>
        <v>0</v>
      </c>
      <c r="J1296" s="288">
        <f>ROUND(IF($A1296="E",I1296*(1+Assumptions!G$15),I1296*(1+Assumptions!G$14)),-2)</f>
        <v>0</v>
      </c>
      <c r="K1296" s="288">
        <f>ROUND(IF($A1296="E",J1296*(1+Assumptions!H$15),J1296*(1+Assumptions!H$14)),-2)</f>
        <v>0</v>
      </c>
      <c r="L1296" s="288">
        <f>ROUND(IF($A1296="E",K1296*(1+Assumptions!I$15),K1296*(1+Assumptions!I$14)),-2)</f>
        <v>0</v>
      </c>
      <c r="M1296" s="288">
        <f>ROUND(IF($A1296="E",L1296*(1+Assumptions!J$15),L1296*(1+Assumptions!J$14)),-2)</f>
        <v>0</v>
      </c>
      <c r="N1296" s="288">
        <f>ROUND(IF($A1296="E",M1296*(1+Assumptions!K$15),M1296*(1+Assumptions!K$14)),-2)</f>
        <v>0</v>
      </c>
    </row>
    <row r="1297" spans="1:14" x14ac:dyDescent="0.25">
      <c r="B1297" s="16" t="s">
        <v>42</v>
      </c>
      <c r="C1297" s="16" t="s">
        <v>2115</v>
      </c>
      <c r="D1297" s="16" t="s">
        <v>531</v>
      </c>
      <c r="E1297" s="289"/>
      <c r="F1297" s="289"/>
      <c r="G1297" s="289"/>
      <c r="H1297" s="289"/>
      <c r="I1297" s="289"/>
      <c r="J1297" s="289"/>
      <c r="K1297" s="289"/>
      <c r="L1297" s="289"/>
      <c r="M1297" s="289"/>
      <c r="N1297" s="289"/>
    </row>
    <row r="1298" spans="1:14" x14ac:dyDescent="0.25">
      <c r="B1298" s="16" t="s">
        <v>42</v>
      </c>
      <c r="C1298" s="16" t="s">
        <v>2116</v>
      </c>
      <c r="D1298" s="16" t="s">
        <v>406</v>
      </c>
      <c r="E1298" s="302">
        <v>73400</v>
      </c>
      <c r="F1298" s="302">
        <f>ROUND(loans!U60,-2)</f>
        <v>70700</v>
      </c>
      <c r="G1298" s="302">
        <f>ROUND(loans!Y60,-2)</f>
        <v>67800</v>
      </c>
      <c r="H1298" s="302">
        <f>ROUND(loans!AC60,-2)</f>
        <v>64700</v>
      </c>
      <c r="I1298" s="302">
        <f>ROUND(loans!AC60,-2)</f>
        <v>64700</v>
      </c>
      <c r="J1298" s="302">
        <f>ROUND(loans!AK60,-2)</f>
        <v>58000</v>
      </c>
      <c r="K1298" s="302">
        <f>ROUND(loans!AO60,-2)</f>
        <v>54200</v>
      </c>
      <c r="L1298" s="302">
        <f>ROUND(loans!AS60,-2)</f>
        <v>50300</v>
      </c>
      <c r="M1298" s="302">
        <f>ROUND(loans!AW60,-2)</f>
        <v>46000</v>
      </c>
      <c r="N1298" s="302">
        <f>ROUND(loans!BA60,-2)</f>
        <v>41500</v>
      </c>
    </row>
    <row r="1299" spans="1:14" x14ac:dyDescent="0.25">
      <c r="B1299" s="16" t="s">
        <v>43</v>
      </c>
      <c r="C1299" s="16" t="s">
        <v>2117</v>
      </c>
      <c r="D1299" s="16" t="s">
        <v>187</v>
      </c>
      <c r="E1299" s="289"/>
      <c r="F1299" s="289"/>
      <c r="G1299" s="289"/>
      <c r="H1299" s="289"/>
      <c r="I1299" s="289"/>
      <c r="J1299" s="289"/>
      <c r="K1299" s="289"/>
      <c r="L1299" s="289"/>
      <c r="M1299" s="289"/>
      <c r="N1299" s="289"/>
    </row>
    <row r="1300" spans="1:14" x14ac:dyDescent="0.25">
      <c r="B1300" s="16" t="s">
        <v>43</v>
      </c>
      <c r="C1300" s="16" t="s">
        <v>2118</v>
      </c>
      <c r="D1300" s="16" t="s">
        <v>193</v>
      </c>
      <c r="E1300" s="288">
        <v>150300</v>
      </c>
      <c r="F1300" s="288">
        <f>ROUND(IF($A1300="E",E1300*(1+Assumptions!C$15),E1300*(1+Assumptions!C$14)),-2)</f>
        <v>152600</v>
      </c>
      <c r="G1300" s="288">
        <f>ROUND(IF($A1300="E",F1300*(1+Assumptions!D$15),F1300*(1+Assumptions!D$14)),-2)</f>
        <v>155700</v>
      </c>
      <c r="H1300" s="288">
        <f>ROUND(IF($A1300="E",G1300*(1+Assumptions!E$15),G1300*(1+Assumptions!E$14)),-2)</f>
        <v>158800</v>
      </c>
      <c r="I1300" s="288">
        <f>ROUND(IF($A1300="E",H1300*(1+Assumptions!F$15),H1300*(1+Assumptions!F$14)),-2)</f>
        <v>162000</v>
      </c>
      <c r="J1300" s="288">
        <f>ROUND(IF($A1300="E",I1300*(1+Assumptions!G$15),I1300*(1+Assumptions!G$14)),-2)</f>
        <v>165200</v>
      </c>
      <c r="K1300" s="288">
        <f>ROUND(IF($A1300="E",J1300*(1+Assumptions!H$15),J1300*(1+Assumptions!H$14)),-2)</f>
        <v>168500</v>
      </c>
      <c r="L1300" s="288">
        <f>ROUND(IF($A1300="E",K1300*(1+Assumptions!I$15),K1300*(1+Assumptions!I$14)),-2)</f>
        <v>172700</v>
      </c>
      <c r="M1300" s="288">
        <f>ROUND(IF($A1300="E",L1300*(1+Assumptions!J$15),L1300*(1+Assumptions!J$14)),-2)</f>
        <v>177000</v>
      </c>
      <c r="N1300" s="288">
        <f>ROUND(IF($A1300="E",M1300*(1+Assumptions!K$15),M1300*(1+Assumptions!K$14)),-2)</f>
        <v>181400</v>
      </c>
    </row>
    <row r="1301" spans="1:14" x14ac:dyDescent="0.25">
      <c r="B1301" s="16" t="s">
        <v>43</v>
      </c>
      <c r="C1301" s="16" t="s">
        <v>2119</v>
      </c>
      <c r="D1301" s="16" t="s">
        <v>2120</v>
      </c>
      <c r="E1301" s="289"/>
      <c r="F1301" s="289"/>
      <c r="G1301" s="289"/>
      <c r="H1301" s="289"/>
      <c r="I1301" s="289"/>
      <c r="J1301" s="289"/>
      <c r="K1301" s="289"/>
      <c r="L1301" s="289"/>
      <c r="M1301" s="289"/>
      <c r="N1301" s="289"/>
    </row>
    <row r="1302" spans="1:14" x14ac:dyDescent="0.25">
      <c r="B1302" s="16" t="s">
        <v>43</v>
      </c>
      <c r="C1302" s="16" t="s">
        <v>2121</v>
      </c>
      <c r="D1302" s="16" t="s">
        <v>2122</v>
      </c>
      <c r="E1302" s="288">
        <v>169100</v>
      </c>
      <c r="F1302" s="288">
        <f>ROUND(IF($A1302="E",E1302*(1+Assumptions!C$15),E1302*(1+Assumptions!C$14)),-2)</f>
        <v>171600</v>
      </c>
      <c r="G1302" s="288">
        <f>ROUND(IF($A1302="E",F1302*(1+Assumptions!D$15),F1302*(1+Assumptions!D$14)),-2)</f>
        <v>175000</v>
      </c>
      <c r="H1302" s="288">
        <f>ROUND(IF($A1302="E",G1302*(1+Assumptions!E$15),G1302*(1+Assumptions!E$14)),-2)</f>
        <v>178500</v>
      </c>
      <c r="I1302" s="288">
        <f>ROUND(IF($A1302="E",H1302*(1+Assumptions!F$15),H1302*(1+Assumptions!F$14)),-2)</f>
        <v>182100</v>
      </c>
      <c r="J1302" s="288">
        <f>ROUND(IF($A1302="E",I1302*(1+Assumptions!G$15),I1302*(1+Assumptions!G$14)),-2)</f>
        <v>185700</v>
      </c>
      <c r="K1302" s="288">
        <f>ROUND(IF($A1302="E",J1302*(1+Assumptions!H$15),J1302*(1+Assumptions!H$14)),-2)</f>
        <v>189400</v>
      </c>
      <c r="L1302" s="288">
        <f>ROUND(IF($A1302="E",K1302*(1+Assumptions!I$15),K1302*(1+Assumptions!I$14)),-2)</f>
        <v>194100</v>
      </c>
      <c r="M1302" s="288">
        <f>ROUND(IF($A1302="E",L1302*(1+Assumptions!J$15),L1302*(1+Assumptions!J$14)),-2)</f>
        <v>199000</v>
      </c>
      <c r="N1302" s="288">
        <f>ROUND(IF($A1302="E",M1302*(1+Assumptions!K$15),M1302*(1+Assumptions!K$14)),-2)</f>
        <v>204000</v>
      </c>
    </row>
    <row r="1303" spans="1:14" x14ac:dyDescent="0.25">
      <c r="B1303" s="16" t="s">
        <v>43</v>
      </c>
      <c r="C1303" s="16" t="s">
        <v>2123</v>
      </c>
      <c r="D1303" s="16" t="s">
        <v>2124</v>
      </c>
      <c r="E1303" s="288">
        <v>25000</v>
      </c>
      <c r="F1303" s="288">
        <f>ROUND(IF($A1303="E",E1303*(1+Assumptions!C$15),E1303*(1+Assumptions!C$14)),-2)</f>
        <v>25400</v>
      </c>
      <c r="G1303" s="288">
        <f>ROUND(IF($A1303="E",F1303*(1+Assumptions!D$15),F1303*(1+Assumptions!D$14)),-2)</f>
        <v>25900</v>
      </c>
      <c r="H1303" s="288">
        <f>ROUND(IF($A1303="E",G1303*(1+Assumptions!E$15),G1303*(1+Assumptions!E$14)),-2)</f>
        <v>26400</v>
      </c>
      <c r="I1303" s="288">
        <f>ROUND(IF($A1303="E",H1303*(1+Assumptions!F$15),H1303*(1+Assumptions!F$14)),-2)</f>
        <v>26900</v>
      </c>
      <c r="J1303" s="288">
        <f>ROUND(IF($A1303="E",I1303*(1+Assumptions!G$15),I1303*(1+Assumptions!G$14)),-2)</f>
        <v>27400</v>
      </c>
      <c r="K1303" s="288">
        <f>ROUND(IF($A1303="E",J1303*(1+Assumptions!H$15),J1303*(1+Assumptions!H$14)),-2)</f>
        <v>27900</v>
      </c>
      <c r="L1303" s="288">
        <f>ROUND(IF($A1303="E",K1303*(1+Assumptions!I$15),K1303*(1+Assumptions!I$14)),-2)</f>
        <v>28600</v>
      </c>
      <c r="M1303" s="288">
        <f>ROUND(IF($A1303="E",L1303*(1+Assumptions!J$15),L1303*(1+Assumptions!J$14)),-2)</f>
        <v>29300</v>
      </c>
      <c r="N1303" s="288">
        <f>ROUND(IF($A1303="E",M1303*(1+Assumptions!K$15),M1303*(1+Assumptions!K$14)),-2)</f>
        <v>30000</v>
      </c>
    </row>
    <row r="1304" spans="1:14" x14ac:dyDescent="0.25">
      <c r="B1304" s="16" t="s">
        <v>43</v>
      </c>
      <c r="C1304" s="16" t="s">
        <v>2125</v>
      </c>
      <c r="D1304" s="16" t="s">
        <v>2126</v>
      </c>
      <c r="E1304" s="288">
        <v>28000</v>
      </c>
      <c r="F1304" s="288">
        <f>ROUND(IF($A1304="E",E1304*(1+Assumptions!C$15),E1304*(1+Assumptions!C$14)),-2)</f>
        <v>28400</v>
      </c>
      <c r="G1304" s="288">
        <f>ROUND(IF($A1304="E",F1304*(1+Assumptions!D$15),F1304*(1+Assumptions!D$14)),-2)</f>
        <v>29000</v>
      </c>
      <c r="H1304" s="288">
        <f>ROUND(IF($A1304="E",G1304*(1+Assumptions!E$15),G1304*(1+Assumptions!E$14)),-2)</f>
        <v>29600</v>
      </c>
      <c r="I1304" s="288">
        <f>ROUND(IF($A1304="E",H1304*(1+Assumptions!F$15),H1304*(1+Assumptions!F$14)),-2)</f>
        <v>30200</v>
      </c>
      <c r="J1304" s="288">
        <f>ROUND(IF($A1304="E",I1304*(1+Assumptions!G$15),I1304*(1+Assumptions!G$14)),-2)</f>
        <v>30800</v>
      </c>
      <c r="K1304" s="288">
        <f>ROUND(IF($A1304="E",J1304*(1+Assumptions!H$15),J1304*(1+Assumptions!H$14)),-2)</f>
        <v>31400</v>
      </c>
      <c r="L1304" s="288">
        <f>ROUND(IF($A1304="E",K1304*(1+Assumptions!I$15),K1304*(1+Assumptions!I$14)),-2)</f>
        <v>32200</v>
      </c>
      <c r="M1304" s="288">
        <f>ROUND(IF($A1304="E",L1304*(1+Assumptions!J$15),L1304*(1+Assumptions!J$14)),-2)</f>
        <v>33000</v>
      </c>
      <c r="N1304" s="288">
        <f>ROUND(IF($A1304="E",M1304*(1+Assumptions!K$15),M1304*(1+Assumptions!K$14)),-2)</f>
        <v>33800</v>
      </c>
    </row>
    <row r="1305" spans="1:14" x14ac:dyDescent="0.25">
      <c r="B1305" s="16" t="s">
        <v>43</v>
      </c>
      <c r="C1305" s="16" t="s">
        <v>2127</v>
      </c>
      <c r="D1305" s="16" t="s">
        <v>2128</v>
      </c>
      <c r="E1305" s="288">
        <v>2900</v>
      </c>
      <c r="F1305" s="288">
        <f>ROUND(IF($A1305="E",E1305*(1+Assumptions!C$15),E1305*(1+Assumptions!C$14)),-2)</f>
        <v>2900</v>
      </c>
      <c r="G1305" s="288">
        <f>ROUND(IF($A1305="E",F1305*(1+Assumptions!D$15),F1305*(1+Assumptions!D$14)),-2)</f>
        <v>3000</v>
      </c>
      <c r="H1305" s="288">
        <f>ROUND(IF($A1305="E",G1305*(1+Assumptions!E$15),G1305*(1+Assumptions!E$14)),-2)</f>
        <v>3100</v>
      </c>
      <c r="I1305" s="288">
        <f>ROUND(IF($A1305="E",H1305*(1+Assumptions!F$15),H1305*(1+Assumptions!F$14)),-2)</f>
        <v>3200</v>
      </c>
      <c r="J1305" s="288">
        <f>ROUND(IF($A1305="E",I1305*(1+Assumptions!G$15),I1305*(1+Assumptions!G$14)),-2)</f>
        <v>3300</v>
      </c>
      <c r="K1305" s="288">
        <f>ROUND(IF($A1305="E",J1305*(1+Assumptions!H$15),J1305*(1+Assumptions!H$14)),-2)</f>
        <v>3400</v>
      </c>
      <c r="L1305" s="288">
        <f>ROUND(IF($A1305="E",K1305*(1+Assumptions!I$15),K1305*(1+Assumptions!I$14)),-2)</f>
        <v>3500</v>
      </c>
      <c r="M1305" s="288">
        <f>ROUND(IF($A1305="E",L1305*(1+Assumptions!J$15),L1305*(1+Assumptions!J$14)),-2)</f>
        <v>3600</v>
      </c>
      <c r="N1305" s="288">
        <f>ROUND(IF($A1305="E",M1305*(1+Assumptions!K$15),M1305*(1+Assumptions!K$14)),-2)</f>
        <v>3700</v>
      </c>
    </row>
    <row r="1306" spans="1:14" x14ac:dyDescent="0.25">
      <c r="B1306" s="16" t="s">
        <v>43</v>
      </c>
      <c r="C1306" s="16" t="s">
        <v>2129</v>
      </c>
      <c r="D1306" s="16" t="s">
        <v>2130</v>
      </c>
      <c r="E1306" s="288">
        <v>5600</v>
      </c>
      <c r="F1306" s="288">
        <f>ROUND(IF($A1306="E",E1306*(1+Assumptions!C$15),E1306*(1+Assumptions!C$14)),-2)</f>
        <v>5700</v>
      </c>
      <c r="G1306" s="288">
        <f>ROUND(IF($A1306="E",F1306*(1+Assumptions!D$15),F1306*(1+Assumptions!D$14)),-2)</f>
        <v>5800</v>
      </c>
      <c r="H1306" s="288">
        <f>ROUND(IF($A1306="E",G1306*(1+Assumptions!E$15),G1306*(1+Assumptions!E$14)),-2)</f>
        <v>5900</v>
      </c>
      <c r="I1306" s="288">
        <f>ROUND(IF($A1306="E",H1306*(1+Assumptions!F$15),H1306*(1+Assumptions!F$14)),-2)</f>
        <v>6000</v>
      </c>
      <c r="J1306" s="288">
        <f>ROUND(IF($A1306="E",I1306*(1+Assumptions!G$15),I1306*(1+Assumptions!G$14)),-2)</f>
        <v>6100</v>
      </c>
      <c r="K1306" s="288">
        <f>ROUND(IF($A1306="E",J1306*(1+Assumptions!H$15),J1306*(1+Assumptions!H$14)),-2)</f>
        <v>6200</v>
      </c>
      <c r="L1306" s="288">
        <f>ROUND(IF($A1306="E",K1306*(1+Assumptions!I$15),K1306*(1+Assumptions!I$14)),-2)</f>
        <v>6400</v>
      </c>
      <c r="M1306" s="288">
        <f>ROUND(IF($A1306="E",L1306*(1+Assumptions!J$15),L1306*(1+Assumptions!J$14)),-2)</f>
        <v>6600</v>
      </c>
      <c r="N1306" s="288">
        <f>ROUND(IF($A1306="E",M1306*(1+Assumptions!K$15),M1306*(1+Assumptions!K$14)),-2)</f>
        <v>6800</v>
      </c>
    </row>
    <row r="1307" spans="1:14" ht="12.75" customHeight="1" x14ac:dyDescent="0.25">
      <c r="A1307" s="16" t="s">
        <v>4591</v>
      </c>
      <c r="B1307" s="397" t="s">
        <v>3231</v>
      </c>
      <c r="C1307" s="43" t="s">
        <v>3272</v>
      </c>
      <c r="D1307" s="16" t="s">
        <v>3273</v>
      </c>
      <c r="E1307" s="288">
        <v>9300</v>
      </c>
      <c r="F1307" s="288">
        <f>ROUND(IF($A1307="E",E1307*(1+Assumptions!C$15),E1307*(1+Assumptions!C$17)),-2)</f>
        <v>9400</v>
      </c>
      <c r="G1307" s="288">
        <f>ROUND(IF($A1307="E",F1307*(1+Assumptions!D$15),F1307*(1+Assumptions!D$17)),-2)</f>
        <v>9500</v>
      </c>
      <c r="H1307" s="288">
        <f>ROUND(IF($A1307="E",G1307*(1+Assumptions!E$15),G1307*(1+Assumptions!E$17)),-2)</f>
        <v>9600</v>
      </c>
      <c r="I1307" s="288">
        <f>ROUND(IF($A1307="E",H1307*(1+Assumptions!F$15),H1307*(1+Assumptions!F$17)),-2)</f>
        <v>9700</v>
      </c>
      <c r="J1307" s="288">
        <f>ROUND(IF($A1307="E",I1307*(1+Assumptions!G$15),I1307*(1+Assumptions!G$17)),-2)</f>
        <v>9800</v>
      </c>
      <c r="K1307" s="288">
        <f>ROUND(IF($A1307="E",J1307*(1+Assumptions!H$15),J1307*(1+Assumptions!H$17)),-2)</f>
        <v>9900</v>
      </c>
      <c r="L1307" s="288">
        <f>ROUND(IF($A1307="E",K1307*(1+Assumptions!I$15),K1307*(1+Assumptions!I$17)),-2)</f>
        <v>10000</v>
      </c>
      <c r="M1307" s="288">
        <f>ROUND(IF($A1307="E",L1307*(1+Assumptions!J$15),L1307*(1+Assumptions!J$17)),-2)</f>
        <v>10100</v>
      </c>
      <c r="N1307" s="288">
        <f>ROUND(IF($A1307="E",M1307*(1+Assumptions!K$15),M1307*(1+Assumptions!K$17)),-2)</f>
        <v>10200</v>
      </c>
    </row>
    <row r="1308" spans="1:14" ht="12.75" customHeight="1" x14ac:dyDescent="0.25">
      <c r="E1308" s="288"/>
      <c r="F1308" s="288"/>
      <c r="G1308" s="288"/>
      <c r="H1308" s="288"/>
      <c r="I1308" s="288"/>
      <c r="J1308" s="288"/>
      <c r="K1308" s="288"/>
      <c r="L1308" s="288"/>
      <c r="M1308" s="288"/>
      <c r="N1308" s="288"/>
    </row>
    <row r="1309" spans="1:14" ht="12.75" customHeight="1" x14ac:dyDescent="0.25">
      <c r="D1309" s="19" t="s">
        <v>3234</v>
      </c>
      <c r="E1309" s="291">
        <f>SUM(E1275:E1308)</f>
        <v>837900</v>
      </c>
      <c r="F1309" s="291">
        <f t="shared" ref="F1309:N1309" si="39">SUM(F1275:F1308)</f>
        <v>846500</v>
      </c>
      <c r="G1309" s="291">
        <f t="shared" si="39"/>
        <v>858900</v>
      </c>
      <c r="H1309" s="291">
        <f t="shared" si="39"/>
        <v>871300</v>
      </c>
      <c r="I1309" s="291">
        <f t="shared" si="39"/>
        <v>887100</v>
      </c>
      <c r="J1309" s="291">
        <f t="shared" si="39"/>
        <v>896300</v>
      </c>
      <c r="K1309" s="291">
        <f t="shared" si="39"/>
        <v>908700</v>
      </c>
      <c r="L1309" s="291">
        <f t="shared" si="39"/>
        <v>926200</v>
      </c>
      <c r="M1309" s="291">
        <f t="shared" si="39"/>
        <v>944000</v>
      </c>
      <c r="N1309" s="291">
        <f t="shared" si="39"/>
        <v>961900</v>
      </c>
    </row>
    <row r="1310" spans="1:14" ht="12.75" customHeight="1" x14ac:dyDescent="0.25">
      <c r="E1310" s="288"/>
      <c r="F1310" s="288"/>
      <c r="G1310" s="288"/>
      <c r="H1310" s="288"/>
      <c r="I1310" s="288"/>
      <c r="J1310" s="288"/>
      <c r="K1310" s="288"/>
      <c r="L1310" s="288"/>
      <c r="M1310" s="288"/>
      <c r="N1310" s="288"/>
    </row>
    <row r="1311" spans="1:14" x14ac:dyDescent="0.25">
      <c r="C1311" s="16" t="s">
        <v>315</v>
      </c>
      <c r="E1311" s="288"/>
      <c r="F1311" s="288"/>
      <c r="G1311" s="288"/>
      <c r="H1311" s="288"/>
      <c r="I1311" s="288"/>
      <c r="J1311" s="288"/>
      <c r="K1311" s="288"/>
      <c r="L1311" s="288"/>
      <c r="M1311" s="288"/>
      <c r="N1311" s="288"/>
    </row>
    <row r="1312" spans="1:14" x14ac:dyDescent="0.25">
      <c r="B1312" s="16" t="s">
        <v>3228</v>
      </c>
      <c r="C1312" s="16" t="s">
        <v>2131</v>
      </c>
      <c r="D1312" s="16" t="s">
        <v>2132</v>
      </c>
      <c r="E1312" s="289"/>
      <c r="F1312" s="289"/>
      <c r="G1312" s="289"/>
      <c r="H1312" s="289"/>
      <c r="I1312" s="289"/>
      <c r="J1312" s="289"/>
      <c r="K1312" s="289"/>
      <c r="L1312" s="289"/>
      <c r="M1312" s="289"/>
      <c r="N1312" s="289"/>
    </row>
    <row r="1313" spans="2:14" x14ac:dyDescent="0.25">
      <c r="B1313" s="16" t="s">
        <v>3228</v>
      </c>
      <c r="C1313" s="16" t="s">
        <v>2133</v>
      </c>
      <c r="D1313" s="16" t="s">
        <v>2134</v>
      </c>
      <c r="E1313" s="288">
        <v>-14900</v>
      </c>
      <c r="F1313" s="288">
        <f>ROUND(E1313+(E1313*Assumptions!C$13),-2)</f>
        <v>-15200</v>
      </c>
      <c r="G1313" s="288">
        <f>ROUND(F1313+(F1313*Assumptions!D$13),-2)</f>
        <v>-15600</v>
      </c>
      <c r="H1313" s="288">
        <f>ROUND(G1313+(G1313*Assumptions!E$13),-2)</f>
        <v>-16000</v>
      </c>
      <c r="I1313" s="288">
        <f>ROUND(H1313+(H1313*Assumptions!F$13),-2)</f>
        <v>-16400</v>
      </c>
      <c r="J1313" s="288">
        <f>ROUND(I1313+(I1313*Assumptions!G$13),-2)</f>
        <v>-16800</v>
      </c>
      <c r="K1313" s="288">
        <f>ROUND(J1313+(J1313*Assumptions!H$13),-2)</f>
        <v>-17200</v>
      </c>
      <c r="L1313" s="288">
        <f>ROUND(K1313+(K1313*Assumptions!I$13),-2)</f>
        <v>-17600</v>
      </c>
      <c r="M1313" s="288">
        <f>ROUND(L1313+(L1313*Assumptions!J$13),-2)</f>
        <v>-18000</v>
      </c>
      <c r="N1313" s="288">
        <f>ROUND(M1313+(M1313*Assumptions!K$13),-2)</f>
        <v>-18500</v>
      </c>
    </row>
    <row r="1314" spans="2:14" x14ac:dyDescent="0.25">
      <c r="B1314" s="16" t="s">
        <v>3228</v>
      </c>
      <c r="C1314" s="16" t="s">
        <v>2135</v>
      </c>
      <c r="D1314" s="16" t="s">
        <v>2136</v>
      </c>
      <c r="E1314" s="288">
        <v>-16400</v>
      </c>
      <c r="F1314" s="288">
        <f>ROUND(E1314+(E1314*Assumptions!C$13),-2)</f>
        <v>-16700</v>
      </c>
      <c r="G1314" s="288">
        <f>ROUND(F1314+(F1314*Assumptions!D$13),-2)</f>
        <v>-17100</v>
      </c>
      <c r="H1314" s="288">
        <f>ROUND(G1314+(G1314*Assumptions!E$13),-2)</f>
        <v>-17500</v>
      </c>
      <c r="I1314" s="288">
        <f>ROUND(H1314+(H1314*Assumptions!F$13),-2)</f>
        <v>-17900</v>
      </c>
      <c r="J1314" s="288">
        <f>ROUND(I1314+(I1314*Assumptions!G$13),-2)</f>
        <v>-18300</v>
      </c>
      <c r="K1314" s="288">
        <f>ROUND(J1314+(J1314*Assumptions!H$13),-2)</f>
        <v>-18800</v>
      </c>
      <c r="L1314" s="288">
        <f>ROUND(K1314+(K1314*Assumptions!I$13),-2)</f>
        <v>-19300</v>
      </c>
      <c r="M1314" s="288">
        <f>ROUND(L1314+(L1314*Assumptions!J$13),-2)</f>
        <v>-19800</v>
      </c>
      <c r="N1314" s="288">
        <f>ROUND(M1314+(M1314*Assumptions!K$13),-2)</f>
        <v>-20300</v>
      </c>
    </row>
    <row r="1315" spans="2:14" x14ac:dyDescent="0.25">
      <c r="B1315" s="16" t="s">
        <v>3228</v>
      </c>
      <c r="C1315" s="16" t="s">
        <v>2137</v>
      </c>
      <c r="D1315" s="16" t="s">
        <v>2138</v>
      </c>
      <c r="E1315" s="288">
        <v>-24000</v>
      </c>
      <c r="F1315" s="288">
        <f>ROUND(E1315+(E1315*Assumptions!C$13),-2)</f>
        <v>-24500</v>
      </c>
      <c r="G1315" s="288">
        <f>ROUND(F1315+(F1315*Assumptions!D$13),-2)</f>
        <v>-25100</v>
      </c>
      <c r="H1315" s="288">
        <f>ROUND(G1315+(G1315*Assumptions!E$13),-2)</f>
        <v>-25700</v>
      </c>
      <c r="I1315" s="288">
        <f>ROUND(H1315+(H1315*Assumptions!F$13),-2)</f>
        <v>-26300</v>
      </c>
      <c r="J1315" s="288">
        <f>ROUND(I1315+(I1315*Assumptions!G$13),-2)</f>
        <v>-27000</v>
      </c>
      <c r="K1315" s="288">
        <f>ROUND(J1315+(J1315*Assumptions!H$13),-2)</f>
        <v>-27700</v>
      </c>
      <c r="L1315" s="288">
        <f>ROUND(K1315+(K1315*Assumptions!I$13),-2)</f>
        <v>-28400</v>
      </c>
      <c r="M1315" s="288">
        <f>ROUND(L1315+(L1315*Assumptions!J$13),-2)</f>
        <v>-29100</v>
      </c>
      <c r="N1315" s="288">
        <f>ROUND(M1315+(M1315*Assumptions!K$13),-2)</f>
        <v>-29800</v>
      </c>
    </row>
    <row r="1316" spans="2:14" x14ac:dyDescent="0.25">
      <c r="B1316" s="16" t="s">
        <v>3228</v>
      </c>
      <c r="C1316" s="16" t="s">
        <v>2139</v>
      </c>
      <c r="D1316" s="16" t="s">
        <v>2140</v>
      </c>
      <c r="E1316" s="288">
        <v>-20200</v>
      </c>
      <c r="F1316" s="288">
        <f>ROUND(E1316+(E1316*Assumptions!C$13),-2)</f>
        <v>-20600</v>
      </c>
      <c r="G1316" s="288">
        <f>ROUND(F1316+(F1316*Assumptions!D$13),-2)</f>
        <v>-21100</v>
      </c>
      <c r="H1316" s="288">
        <f>ROUND(G1316+(G1316*Assumptions!E$13),-2)</f>
        <v>-21600</v>
      </c>
      <c r="I1316" s="288">
        <f>ROUND(H1316+(H1316*Assumptions!F$13),-2)</f>
        <v>-22100</v>
      </c>
      <c r="J1316" s="288">
        <f>ROUND(I1316+(I1316*Assumptions!G$13),-2)</f>
        <v>-22700</v>
      </c>
      <c r="K1316" s="288">
        <f>ROUND(J1316+(J1316*Assumptions!H$13),-2)</f>
        <v>-23300</v>
      </c>
      <c r="L1316" s="288">
        <f>ROUND(K1316+(K1316*Assumptions!I$13),-2)</f>
        <v>-23900</v>
      </c>
      <c r="M1316" s="288">
        <f>ROUND(L1316+(L1316*Assumptions!J$13),-2)</f>
        <v>-24500</v>
      </c>
      <c r="N1316" s="288">
        <f>ROUND(M1316+(M1316*Assumptions!K$13),-2)</f>
        <v>-25100</v>
      </c>
    </row>
    <row r="1317" spans="2:14" x14ac:dyDescent="0.25">
      <c r="B1317" s="16" t="s">
        <v>3228</v>
      </c>
      <c r="C1317" s="16" t="s">
        <v>2141</v>
      </c>
      <c r="D1317" s="16" t="s">
        <v>2142</v>
      </c>
      <c r="E1317" s="289"/>
      <c r="F1317" s="289"/>
      <c r="G1317" s="289"/>
      <c r="H1317" s="289"/>
      <c r="I1317" s="289"/>
      <c r="J1317" s="289"/>
      <c r="K1317" s="289"/>
      <c r="L1317" s="289"/>
      <c r="M1317" s="289"/>
      <c r="N1317" s="289"/>
    </row>
    <row r="1318" spans="2:14" x14ac:dyDescent="0.25">
      <c r="B1318" s="16" t="s">
        <v>3228</v>
      </c>
      <c r="C1318" s="16" t="s">
        <v>2143</v>
      </c>
      <c r="D1318" s="16" t="s">
        <v>2144</v>
      </c>
      <c r="E1318" s="288">
        <v>-78400</v>
      </c>
      <c r="F1318" s="288">
        <f>ROUND(E1318+(E1318*Assumptions!C$13),-2)</f>
        <v>-80000</v>
      </c>
      <c r="G1318" s="288">
        <f>ROUND(F1318+(F1318*Assumptions!D$13),-2)</f>
        <v>-82000</v>
      </c>
      <c r="H1318" s="288">
        <f>ROUND(G1318+(G1318*Assumptions!E$13),-2)</f>
        <v>-84100</v>
      </c>
      <c r="I1318" s="288">
        <f>ROUND(H1318+(H1318*Assumptions!F$13),-2)</f>
        <v>-86200</v>
      </c>
      <c r="J1318" s="288">
        <f>ROUND(I1318+(I1318*Assumptions!G$13),-2)</f>
        <v>-88400</v>
      </c>
      <c r="K1318" s="288">
        <f>ROUND(J1318+(J1318*Assumptions!H$13),-2)</f>
        <v>-90600</v>
      </c>
      <c r="L1318" s="288">
        <f>ROUND(K1318+(K1318*Assumptions!I$13),-2)</f>
        <v>-92900</v>
      </c>
      <c r="M1318" s="288">
        <f>ROUND(L1318+(L1318*Assumptions!J$13),-2)</f>
        <v>-95200</v>
      </c>
      <c r="N1318" s="288">
        <f>ROUND(M1318+(M1318*Assumptions!K$13),-2)</f>
        <v>-97600</v>
      </c>
    </row>
    <row r="1319" spans="2:14" x14ac:dyDescent="0.25">
      <c r="B1319" s="16" t="s">
        <v>3228</v>
      </c>
      <c r="C1319" s="16" t="s">
        <v>2145</v>
      </c>
      <c r="D1319" s="16" t="s">
        <v>2146</v>
      </c>
      <c r="E1319" s="289"/>
      <c r="F1319" s="289"/>
      <c r="G1319" s="289"/>
      <c r="H1319" s="289"/>
      <c r="I1319" s="289"/>
      <c r="J1319" s="289"/>
      <c r="K1319" s="289"/>
      <c r="L1319" s="289"/>
      <c r="M1319" s="289"/>
      <c r="N1319" s="289"/>
    </row>
    <row r="1320" spans="2:14" x14ac:dyDescent="0.25">
      <c r="B1320" s="16" t="s">
        <v>3228</v>
      </c>
      <c r="C1320" s="16" t="s">
        <v>2147</v>
      </c>
      <c r="D1320" s="16" t="s">
        <v>2144</v>
      </c>
      <c r="E1320" s="288">
        <v>-47600</v>
      </c>
      <c r="F1320" s="288">
        <f>ROUND(E1320+(E1320*Assumptions!C$13),-2)</f>
        <v>-48600</v>
      </c>
      <c r="G1320" s="288">
        <f>ROUND(F1320+(F1320*Assumptions!D$13),-2)</f>
        <v>-49800</v>
      </c>
      <c r="H1320" s="288">
        <f>ROUND(G1320+(G1320*Assumptions!E$13),-2)</f>
        <v>-51000</v>
      </c>
      <c r="I1320" s="288">
        <f>ROUND(H1320+(H1320*Assumptions!F$13),-2)</f>
        <v>-52300</v>
      </c>
      <c r="J1320" s="288">
        <f>ROUND(I1320+(I1320*Assumptions!G$13),-2)</f>
        <v>-53600</v>
      </c>
      <c r="K1320" s="288">
        <f>ROUND(J1320+(J1320*Assumptions!H$13),-2)</f>
        <v>-54900</v>
      </c>
      <c r="L1320" s="288">
        <f>ROUND(K1320+(K1320*Assumptions!I$13),-2)</f>
        <v>-56300</v>
      </c>
      <c r="M1320" s="288">
        <f>ROUND(L1320+(L1320*Assumptions!J$13),-2)</f>
        <v>-57700</v>
      </c>
      <c r="N1320" s="288">
        <f>ROUND(M1320+(M1320*Assumptions!K$13),-2)</f>
        <v>-59100</v>
      </c>
    </row>
    <row r="1321" spans="2:14" x14ac:dyDescent="0.25">
      <c r="B1321" s="16" t="s">
        <v>3228</v>
      </c>
      <c r="C1321" s="16" t="s">
        <v>2148</v>
      </c>
      <c r="D1321" s="16" t="s">
        <v>2149</v>
      </c>
      <c r="E1321" s="289"/>
      <c r="F1321" s="289"/>
      <c r="G1321" s="289"/>
      <c r="H1321" s="289"/>
      <c r="I1321" s="289"/>
      <c r="J1321" s="289"/>
      <c r="K1321" s="289"/>
      <c r="L1321" s="289"/>
      <c r="M1321" s="289"/>
      <c r="N1321" s="289"/>
    </row>
    <row r="1322" spans="2:14" x14ac:dyDescent="0.25">
      <c r="B1322" s="16" t="s">
        <v>3228</v>
      </c>
      <c r="C1322" s="16" t="s">
        <v>2150</v>
      </c>
      <c r="D1322" s="16" t="s">
        <v>2151</v>
      </c>
      <c r="E1322" s="288">
        <v>-60000</v>
      </c>
      <c r="F1322" s="288">
        <f>ROUND(E1322+(E1322*Assumptions!C$13),-2)</f>
        <v>-61200</v>
      </c>
      <c r="G1322" s="288">
        <f>ROUND(F1322+(F1322*Assumptions!D$13),-2)</f>
        <v>-62700</v>
      </c>
      <c r="H1322" s="288">
        <f>ROUND(G1322+(G1322*Assumptions!E$13),-2)</f>
        <v>-64300</v>
      </c>
      <c r="I1322" s="288">
        <f>ROUND(H1322+(H1322*Assumptions!F$13),-2)</f>
        <v>-65900</v>
      </c>
      <c r="J1322" s="288">
        <f>ROUND(I1322+(I1322*Assumptions!G$13),-2)</f>
        <v>-67500</v>
      </c>
      <c r="K1322" s="288">
        <f>ROUND(J1322+(J1322*Assumptions!H$13),-2)</f>
        <v>-69200</v>
      </c>
      <c r="L1322" s="288">
        <f>ROUND(K1322+(K1322*Assumptions!I$13),-2)</f>
        <v>-70900</v>
      </c>
      <c r="M1322" s="288">
        <f>ROUND(L1322+(L1322*Assumptions!J$13),-2)</f>
        <v>-72700</v>
      </c>
      <c r="N1322" s="288">
        <f>ROUND(M1322+(M1322*Assumptions!K$13),-2)</f>
        <v>-74500</v>
      </c>
    </row>
    <row r="1323" spans="2:14" x14ac:dyDescent="0.25">
      <c r="B1323" s="16" t="s">
        <v>3228</v>
      </c>
      <c r="C1323" s="16" t="s">
        <v>2152</v>
      </c>
      <c r="D1323" s="16" t="s">
        <v>2153</v>
      </c>
      <c r="E1323" s="288">
        <v>-25000</v>
      </c>
      <c r="F1323" s="288">
        <f>ROUND(E1323+(E1323*Assumptions!C$13),-2)</f>
        <v>-25500</v>
      </c>
      <c r="G1323" s="288">
        <f>ROUND(F1323+(F1323*Assumptions!D$13),-2)</f>
        <v>-26100</v>
      </c>
      <c r="H1323" s="288">
        <f>ROUND(G1323+(G1323*Assumptions!E$13),-2)</f>
        <v>-26800</v>
      </c>
      <c r="I1323" s="288">
        <f>ROUND(H1323+(H1323*Assumptions!F$13),-2)</f>
        <v>-27500</v>
      </c>
      <c r="J1323" s="288">
        <f>ROUND(I1323+(I1323*Assumptions!G$13),-2)</f>
        <v>-28200</v>
      </c>
      <c r="K1323" s="288">
        <f>ROUND(J1323+(J1323*Assumptions!H$13),-2)</f>
        <v>-28900</v>
      </c>
      <c r="L1323" s="288">
        <f>ROUND(K1323+(K1323*Assumptions!I$13),-2)</f>
        <v>-29600</v>
      </c>
      <c r="M1323" s="288">
        <f>ROUND(L1323+(L1323*Assumptions!J$13),-2)</f>
        <v>-30300</v>
      </c>
      <c r="N1323" s="288">
        <f>ROUND(M1323+(M1323*Assumptions!K$13),-2)</f>
        <v>-31100</v>
      </c>
    </row>
    <row r="1324" spans="2:14" x14ac:dyDescent="0.25">
      <c r="B1324" s="16" t="s">
        <v>3228</v>
      </c>
      <c r="C1324" s="16" t="s">
        <v>2154</v>
      </c>
      <c r="D1324" s="16" t="s">
        <v>2155</v>
      </c>
      <c r="E1324" s="288">
        <v>-200</v>
      </c>
      <c r="F1324" s="288">
        <f>ROUND(E1324+(E1324*Assumptions!C$13),-2)</f>
        <v>-200</v>
      </c>
      <c r="G1324" s="288">
        <f>ROUND(F1324+(F1324*Assumptions!D$13),-2)</f>
        <v>-200</v>
      </c>
      <c r="H1324" s="288">
        <f>ROUND(G1324+(G1324*Assumptions!E$13),-2)</f>
        <v>-200</v>
      </c>
      <c r="I1324" s="288">
        <f>ROUND(H1324+(H1324*Assumptions!F$13),-2)</f>
        <v>-200</v>
      </c>
      <c r="J1324" s="288">
        <f>ROUND(I1324+(I1324*Assumptions!G$13),-2)</f>
        <v>-200</v>
      </c>
      <c r="K1324" s="288">
        <f>ROUND(J1324+(J1324*Assumptions!H$13),-2)</f>
        <v>-200</v>
      </c>
      <c r="L1324" s="288">
        <f>ROUND(K1324+(K1324*Assumptions!I$13),-2)</f>
        <v>-200</v>
      </c>
      <c r="M1324" s="288">
        <f>ROUND(L1324+(L1324*Assumptions!J$13),-2)</f>
        <v>-200</v>
      </c>
      <c r="N1324" s="288">
        <f>ROUND(M1324+(M1324*Assumptions!K$13),-2)</f>
        <v>-200</v>
      </c>
    </row>
    <row r="1325" spans="2:14" x14ac:dyDescent="0.25">
      <c r="B1325" s="16" t="s">
        <v>3228</v>
      </c>
      <c r="C1325" s="16" t="s">
        <v>2156</v>
      </c>
      <c r="D1325" s="16" t="s">
        <v>2157</v>
      </c>
      <c r="E1325" s="288">
        <v>-500</v>
      </c>
      <c r="F1325" s="288">
        <f>ROUND(E1325+(E1325*Assumptions!C$13),-2)</f>
        <v>-500</v>
      </c>
      <c r="G1325" s="288">
        <f>ROUND(F1325+(F1325*Assumptions!D$13),-2)</f>
        <v>-500</v>
      </c>
      <c r="H1325" s="288">
        <f>ROUND(G1325+(G1325*Assumptions!E$13),-2)</f>
        <v>-500</v>
      </c>
      <c r="I1325" s="288">
        <f>ROUND(H1325+(H1325*Assumptions!F$13),-2)</f>
        <v>-500</v>
      </c>
      <c r="J1325" s="288">
        <f>ROUND(I1325+(I1325*Assumptions!G$13),-2)</f>
        <v>-500</v>
      </c>
      <c r="K1325" s="288">
        <f>ROUND(J1325+(J1325*Assumptions!H$13),-2)</f>
        <v>-500</v>
      </c>
      <c r="L1325" s="288">
        <f>ROUND(K1325+(K1325*Assumptions!I$13),-2)</f>
        <v>-500</v>
      </c>
      <c r="M1325" s="288">
        <f>ROUND(L1325+(L1325*Assumptions!J$13),-2)</f>
        <v>-500</v>
      </c>
      <c r="N1325" s="288">
        <f>ROUND(M1325+(M1325*Assumptions!K$13),-2)</f>
        <v>-500</v>
      </c>
    </row>
    <row r="1326" spans="2:14" x14ac:dyDescent="0.25">
      <c r="B1326" s="16" t="s">
        <v>3228</v>
      </c>
      <c r="C1326" s="16" t="s">
        <v>2158</v>
      </c>
      <c r="D1326" s="16" t="s">
        <v>2159</v>
      </c>
      <c r="E1326" s="288">
        <v>-25000</v>
      </c>
      <c r="F1326" s="288">
        <f>ROUND(E1326+(E1326*Assumptions!C$13),-2)</f>
        <v>-25500</v>
      </c>
      <c r="G1326" s="288">
        <f>ROUND(F1326+(F1326*Assumptions!D$13),-2)</f>
        <v>-26100</v>
      </c>
      <c r="H1326" s="288">
        <f>ROUND(G1326+(G1326*Assumptions!E$13),-2)</f>
        <v>-26800</v>
      </c>
      <c r="I1326" s="288">
        <f>ROUND(H1326+(H1326*Assumptions!F$13),-2)</f>
        <v>-27500</v>
      </c>
      <c r="J1326" s="288">
        <f>ROUND(I1326+(I1326*Assumptions!G$13),-2)</f>
        <v>-28200</v>
      </c>
      <c r="K1326" s="288">
        <f>ROUND(J1326+(J1326*Assumptions!H$13),-2)</f>
        <v>-28900</v>
      </c>
      <c r="L1326" s="288">
        <f>ROUND(K1326+(K1326*Assumptions!I$13),-2)</f>
        <v>-29600</v>
      </c>
      <c r="M1326" s="288">
        <f>ROUND(L1326+(L1326*Assumptions!J$13),-2)</f>
        <v>-30300</v>
      </c>
      <c r="N1326" s="288">
        <f>ROUND(M1326+(M1326*Assumptions!K$13),-2)</f>
        <v>-31100</v>
      </c>
    </row>
    <row r="1327" spans="2:14" x14ac:dyDescent="0.25">
      <c r="B1327" s="16" t="s">
        <v>3228</v>
      </c>
      <c r="C1327" s="16" t="s">
        <v>2160</v>
      </c>
      <c r="D1327" s="16" t="s">
        <v>2161</v>
      </c>
      <c r="E1327" s="288">
        <v>-200</v>
      </c>
      <c r="F1327" s="288">
        <f>ROUND(E1327+(E1327*Assumptions!C$13),-2)</f>
        <v>-200</v>
      </c>
      <c r="G1327" s="288">
        <f>ROUND(F1327+(F1327*Assumptions!D$13),-2)</f>
        <v>-200</v>
      </c>
      <c r="H1327" s="288">
        <f>ROUND(G1327+(G1327*Assumptions!E$13),-2)</f>
        <v>-200</v>
      </c>
      <c r="I1327" s="288">
        <f>ROUND(H1327+(H1327*Assumptions!F$13),-2)</f>
        <v>-200</v>
      </c>
      <c r="J1327" s="288">
        <f>ROUND(I1327+(I1327*Assumptions!G$13),-2)</f>
        <v>-200</v>
      </c>
      <c r="K1327" s="288">
        <f>ROUND(J1327+(J1327*Assumptions!H$13),-2)</f>
        <v>-200</v>
      </c>
      <c r="L1327" s="288">
        <f>ROUND(K1327+(K1327*Assumptions!I$13),-2)</f>
        <v>-200</v>
      </c>
      <c r="M1327" s="288">
        <f>ROUND(L1327+(L1327*Assumptions!J$13),-2)</f>
        <v>-200</v>
      </c>
      <c r="N1327" s="288">
        <f>ROUND(M1327+(M1327*Assumptions!K$13),-2)</f>
        <v>-200</v>
      </c>
    </row>
    <row r="1328" spans="2:14" x14ac:dyDescent="0.25">
      <c r="B1328" s="16" t="s">
        <v>3228</v>
      </c>
      <c r="C1328" s="16" t="s">
        <v>2162</v>
      </c>
      <c r="D1328" s="16" t="s">
        <v>2163</v>
      </c>
      <c r="E1328" s="288">
        <v>-10800</v>
      </c>
      <c r="F1328" s="288">
        <f>ROUND(E1328+(E1328*Assumptions!C$13),-2)</f>
        <v>-11000</v>
      </c>
      <c r="G1328" s="288">
        <f>ROUND(F1328+(F1328*Assumptions!D$13),-2)</f>
        <v>-11300</v>
      </c>
      <c r="H1328" s="288">
        <f>ROUND(G1328+(G1328*Assumptions!E$13),-2)</f>
        <v>-11600</v>
      </c>
      <c r="I1328" s="288">
        <f>ROUND(H1328+(H1328*Assumptions!F$13),-2)</f>
        <v>-11900</v>
      </c>
      <c r="J1328" s="288">
        <f>ROUND(I1328+(I1328*Assumptions!G$13),-2)</f>
        <v>-12200</v>
      </c>
      <c r="K1328" s="288">
        <f>ROUND(J1328+(J1328*Assumptions!H$13),-2)</f>
        <v>-12500</v>
      </c>
      <c r="L1328" s="288">
        <f>ROUND(K1328+(K1328*Assumptions!I$13),-2)</f>
        <v>-12800</v>
      </c>
      <c r="M1328" s="288">
        <f>ROUND(L1328+(L1328*Assumptions!J$13),-2)</f>
        <v>-13100</v>
      </c>
      <c r="N1328" s="288">
        <f>ROUND(M1328+(M1328*Assumptions!K$13),-2)</f>
        <v>-13400</v>
      </c>
    </row>
    <row r="1329" spans="2:14" x14ac:dyDescent="0.25">
      <c r="B1329" s="16" t="s">
        <v>3228</v>
      </c>
      <c r="C1329" s="16" t="s">
        <v>2164</v>
      </c>
      <c r="D1329" s="16" t="s">
        <v>2165</v>
      </c>
      <c r="E1329" s="288">
        <v>0</v>
      </c>
      <c r="F1329" s="288">
        <f>ROUND(E1329+(E1329*Assumptions!C$13),-2)</f>
        <v>0</v>
      </c>
      <c r="G1329" s="288">
        <f>ROUND(F1329+(F1329*Assumptions!D$13),-2)</f>
        <v>0</v>
      </c>
      <c r="H1329" s="288">
        <f>ROUND(G1329+(G1329*Assumptions!E$13),-2)</f>
        <v>0</v>
      </c>
      <c r="I1329" s="288">
        <f>ROUND(H1329+(H1329*Assumptions!F$13),-2)</f>
        <v>0</v>
      </c>
      <c r="J1329" s="288">
        <f>ROUND(I1329+(I1329*Assumptions!G$13),-2)</f>
        <v>0</v>
      </c>
      <c r="K1329" s="288">
        <f>ROUND(J1329+(J1329*Assumptions!H$13),-2)</f>
        <v>0</v>
      </c>
      <c r="L1329" s="288">
        <f>ROUND(K1329+(K1329*Assumptions!I$13),-2)</f>
        <v>0</v>
      </c>
      <c r="M1329" s="288">
        <f>ROUND(L1329+(L1329*Assumptions!J$13),-2)</f>
        <v>0</v>
      </c>
      <c r="N1329" s="288">
        <f>ROUND(M1329+(M1329*Assumptions!K$13),-2)</f>
        <v>0</v>
      </c>
    </row>
    <row r="1330" spans="2:14" x14ac:dyDescent="0.25">
      <c r="B1330" s="16" t="s">
        <v>3228</v>
      </c>
      <c r="C1330" s="16" t="s">
        <v>2166</v>
      </c>
      <c r="D1330" s="16" t="s">
        <v>2167</v>
      </c>
      <c r="E1330" s="288">
        <v>0</v>
      </c>
      <c r="F1330" s="288">
        <f>ROUND(E1330+(E1330*Assumptions!C$13),-2)</f>
        <v>0</v>
      </c>
      <c r="G1330" s="288">
        <f>ROUND(F1330+(F1330*Assumptions!D$13),-2)</f>
        <v>0</v>
      </c>
      <c r="H1330" s="288">
        <f>ROUND(G1330+(G1330*Assumptions!E$13),-2)</f>
        <v>0</v>
      </c>
      <c r="I1330" s="288">
        <f>ROUND(H1330+(H1330*Assumptions!F$13),-2)</f>
        <v>0</v>
      </c>
      <c r="J1330" s="288">
        <f>ROUND(I1330+(I1330*Assumptions!G$13),-2)</f>
        <v>0</v>
      </c>
      <c r="K1330" s="288">
        <f>ROUND(J1330+(J1330*Assumptions!H$13),-2)</f>
        <v>0</v>
      </c>
      <c r="L1330" s="288">
        <f>ROUND(K1330+(K1330*Assumptions!I$13),-2)</f>
        <v>0</v>
      </c>
      <c r="M1330" s="288">
        <f>ROUND(L1330+(L1330*Assumptions!J$13),-2)</f>
        <v>0</v>
      </c>
      <c r="N1330" s="288">
        <f>ROUND(M1330+(M1330*Assumptions!K$13),-2)</f>
        <v>0</v>
      </c>
    </row>
    <row r="1331" spans="2:14" x14ac:dyDescent="0.25">
      <c r="B1331" s="16" t="s">
        <v>3228</v>
      </c>
      <c r="C1331" s="16" t="s">
        <v>2168</v>
      </c>
      <c r="D1331" s="16" t="s">
        <v>2169</v>
      </c>
      <c r="E1331" s="288">
        <v>0</v>
      </c>
      <c r="F1331" s="288">
        <f>ROUND(E1331+(E1331*Assumptions!C$13),-2)</f>
        <v>0</v>
      </c>
      <c r="G1331" s="288">
        <f>ROUND(F1331+(F1331*Assumptions!D$13),-2)</f>
        <v>0</v>
      </c>
      <c r="H1331" s="288">
        <f>ROUND(G1331+(G1331*Assumptions!E$13),-2)</f>
        <v>0</v>
      </c>
      <c r="I1331" s="288">
        <f>ROUND(H1331+(H1331*Assumptions!F$13),-2)</f>
        <v>0</v>
      </c>
      <c r="J1331" s="288">
        <f>ROUND(I1331+(I1331*Assumptions!G$13),-2)</f>
        <v>0</v>
      </c>
      <c r="K1331" s="288">
        <f>ROUND(J1331+(J1331*Assumptions!H$13),-2)</f>
        <v>0</v>
      </c>
      <c r="L1331" s="288">
        <f>ROUND(K1331+(K1331*Assumptions!I$13),-2)</f>
        <v>0</v>
      </c>
      <c r="M1331" s="288">
        <f>ROUND(L1331+(L1331*Assumptions!J$13),-2)</f>
        <v>0</v>
      </c>
      <c r="N1331" s="288">
        <f>ROUND(M1331+(M1331*Assumptions!K$13),-2)</f>
        <v>0</v>
      </c>
    </row>
    <row r="1332" spans="2:14" x14ac:dyDescent="0.25">
      <c r="B1332" s="16" t="s">
        <v>3228</v>
      </c>
      <c r="C1332" s="16" t="s">
        <v>2170</v>
      </c>
      <c r="D1332" s="16" t="s">
        <v>2171</v>
      </c>
      <c r="E1332" s="288">
        <v>0</v>
      </c>
      <c r="F1332" s="288">
        <f>ROUND(E1332+(E1332*Assumptions!C$13),-2)</f>
        <v>0</v>
      </c>
      <c r="G1332" s="288">
        <f>ROUND(F1332+(F1332*Assumptions!D$13),-2)</f>
        <v>0</v>
      </c>
      <c r="H1332" s="288">
        <f>ROUND(G1332+(G1332*Assumptions!E$13),-2)</f>
        <v>0</v>
      </c>
      <c r="I1332" s="288">
        <f>ROUND(H1332+(H1332*Assumptions!F$13),-2)</f>
        <v>0</v>
      </c>
      <c r="J1332" s="288">
        <f>ROUND(I1332+(I1332*Assumptions!G$13),-2)</f>
        <v>0</v>
      </c>
      <c r="K1332" s="288">
        <f>ROUND(J1332+(J1332*Assumptions!H$13),-2)</f>
        <v>0</v>
      </c>
      <c r="L1332" s="288">
        <f>ROUND(K1332+(K1332*Assumptions!I$13),-2)</f>
        <v>0</v>
      </c>
      <c r="M1332" s="288">
        <f>ROUND(L1332+(L1332*Assumptions!J$13),-2)</f>
        <v>0</v>
      </c>
      <c r="N1332" s="288">
        <f>ROUND(M1332+(M1332*Assumptions!K$13),-2)</f>
        <v>0</v>
      </c>
    </row>
    <row r="1333" spans="2:14" x14ac:dyDescent="0.25">
      <c r="B1333" s="16" t="s">
        <v>3228</v>
      </c>
      <c r="C1333" s="16" t="s">
        <v>2172</v>
      </c>
      <c r="D1333" s="16" t="s">
        <v>2173</v>
      </c>
      <c r="E1333" s="289"/>
      <c r="F1333" s="289"/>
      <c r="G1333" s="289"/>
      <c r="H1333" s="289"/>
      <c r="I1333" s="289"/>
      <c r="J1333" s="289"/>
      <c r="K1333" s="289"/>
      <c r="L1333" s="289"/>
      <c r="M1333" s="289"/>
      <c r="N1333" s="289"/>
    </row>
    <row r="1334" spans="2:14" x14ac:dyDescent="0.25">
      <c r="B1334" s="16" t="s">
        <v>3228</v>
      </c>
      <c r="C1334" s="16" t="s">
        <v>2174</v>
      </c>
      <c r="D1334" s="16" t="s">
        <v>2175</v>
      </c>
      <c r="E1334" s="288">
        <v>-5600</v>
      </c>
      <c r="F1334" s="288">
        <f>ROUND(E1334+(E1334*Assumptions!C$13),-2)</f>
        <v>-5700</v>
      </c>
      <c r="G1334" s="288">
        <f>ROUND(F1334+(F1334*Assumptions!D$13),-2)</f>
        <v>-5800</v>
      </c>
      <c r="H1334" s="288">
        <f>ROUND(G1334+(G1334*Assumptions!E$13),-2)</f>
        <v>-5900</v>
      </c>
      <c r="I1334" s="288">
        <f>ROUND(H1334+(H1334*Assumptions!F$13),-2)</f>
        <v>-6000</v>
      </c>
      <c r="J1334" s="288">
        <f>ROUND(I1334+(I1334*Assumptions!G$13),-2)</f>
        <v>-6200</v>
      </c>
      <c r="K1334" s="288">
        <f>ROUND(J1334+(J1334*Assumptions!H$13),-2)</f>
        <v>-6400</v>
      </c>
      <c r="L1334" s="288">
        <f>ROUND(K1334+(K1334*Assumptions!I$13),-2)</f>
        <v>-6600</v>
      </c>
      <c r="M1334" s="288">
        <f>ROUND(L1334+(L1334*Assumptions!J$13),-2)</f>
        <v>-6800</v>
      </c>
      <c r="N1334" s="288">
        <f>ROUND(M1334+(M1334*Assumptions!K$13),-2)</f>
        <v>-7000</v>
      </c>
    </row>
    <row r="1335" spans="2:14" ht="12.75" customHeight="1" x14ac:dyDescent="0.25">
      <c r="E1335" s="288"/>
      <c r="F1335" s="288"/>
      <c r="G1335" s="288"/>
      <c r="H1335" s="288"/>
      <c r="I1335" s="288"/>
      <c r="J1335" s="288"/>
      <c r="K1335" s="288"/>
      <c r="L1335" s="288"/>
      <c r="M1335" s="288"/>
      <c r="N1335" s="288"/>
    </row>
    <row r="1336" spans="2:14" ht="12.75" customHeight="1" x14ac:dyDescent="0.25">
      <c r="D1336" s="19" t="s">
        <v>3234</v>
      </c>
      <c r="E1336" s="291">
        <f>SUM(E1312:E1335)</f>
        <v>-328800</v>
      </c>
      <c r="F1336" s="291">
        <f t="shared" ref="F1336:N1336" si="40">SUM(F1312:F1335)</f>
        <v>-335400</v>
      </c>
      <c r="G1336" s="291">
        <f t="shared" si="40"/>
        <v>-343600</v>
      </c>
      <c r="H1336" s="291">
        <f t="shared" si="40"/>
        <v>-352200</v>
      </c>
      <c r="I1336" s="291">
        <f t="shared" si="40"/>
        <v>-360900</v>
      </c>
      <c r="J1336" s="291">
        <f t="shared" si="40"/>
        <v>-370000</v>
      </c>
      <c r="K1336" s="291">
        <f t="shared" si="40"/>
        <v>-379300</v>
      </c>
      <c r="L1336" s="291">
        <f t="shared" si="40"/>
        <v>-388800</v>
      </c>
      <c r="M1336" s="291">
        <f t="shared" si="40"/>
        <v>-398400</v>
      </c>
      <c r="N1336" s="291">
        <f t="shared" si="40"/>
        <v>-408400</v>
      </c>
    </row>
    <row r="1337" spans="2:14" ht="12.75" customHeight="1" x14ac:dyDescent="0.25">
      <c r="E1337" s="288"/>
      <c r="F1337" s="288"/>
      <c r="G1337" s="288"/>
      <c r="H1337" s="288"/>
      <c r="I1337" s="288"/>
      <c r="J1337" s="288"/>
      <c r="K1337" s="288"/>
      <c r="L1337" s="288"/>
      <c r="M1337" s="288"/>
      <c r="N1337" s="288"/>
    </row>
    <row r="1338" spans="2:14" x14ac:dyDescent="0.25">
      <c r="C1338" s="19" t="s">
        <v>2176</v>
      </c>
      <c r="E1338" s="288"/>
      <c r="F1338" s="288"/>
      <c r="G1338" s="288"/>
      <c r="H1338" s="288"/>
      <c r="I1338" s="288"/>
      <c r="J1338" s="288"/>
      <c r="K1338" s="288"/>
      <c r="L1338" s="288"/>
      <c r="M1338" s="288"/>
      <c r="N1338" s="288"/>
    </row>
    <row r="1339" spans="2:14" ht="12.75" customHeight="1" x14ac:dyDescent="0.25">
      <c r="E1339" s="288"/>
      <c r="F1339" s="288"/>
      <c r="G1339" s="288"/>
      <c r="H1339" s="288"/>
      <c r="I1339" s="288"/>
      <c r="J1339" s="288"/>
      <c r="K1339" s="288"/>
      <c r="L1339" s="288"/>
      <c r="M1339" s="288"/>
      <c r="N1339" s="288"/>
    </row>
    <row r="1340" spans="2:14" x14ac:dyDescent="0.25">
      <c r="C1340" s="16" t="s">
        <v>87</v>
      </c>
      <c r="E1340" s="297"/>
      <c r="F1340" s="297"/>
      <c r="G1340" s="297"/>
      <c r="H1340" s="297"/>
      <c r="I1340" s="297"/>
      <c r="J1340" s="297"/>
      <c r="K1340" s="297"/>
      <c r="L1340" s="297"/>
      <c r="M1340" s="297"/>
      <c r="N1340" s="297"/>
    </row>
    <row r="1341" spans="2:14" x14ac:dyDescent="0.25">
      <c r="B1341" s="16" t="s">
        <v>41</v>
      </c>
      <c r="C1341" s="16" t="s">
        <v>2177</v>
      </c>
      <c r="D1341" s="16" t="s">
        <v>2178</v>
      </c>
      <c r="E1341" s="289"/>
      <c r="F1341" s="289"/>
      <c r="G1341" s="289"/>
      <c r="H1341" s="289"/>
      <c r="I1341" s="289"/>
      <c r="J1341" s="289"/>
      <c r="K1341" s="289"/>
      <c r="L1341" s="289"/>
      <c r="M1341" s="289"/>
      <c r="N1341" s="289"/>
    </row>
    <row r="1342" spans="2:14" x14ac:dyDescent="0.25">
      <c r="B1342" s="16" t="s">
        <v>41</v>
      </c>
      <c r="C1342" s="16" t="s">
        <v>2179</v>
      </c>
      <c r="D1342" s="16" t="s">
        <v>91</v>
      </c>
      <c r="E1342" s="288">
        <v>103300</v>
      </c>
      <c r="F1342" s="288">
        <f>ROUND(IF($A1342="E",E1342*(1+Assumptions!C$15),E1342*(1+Assumptions!C$14)),-2)</f>
        <v>104800</v>
      </c>
      <c r="G1342" s="288">
        <f>ROUND(IF($A1342="E",F1342*(1+Assumptions!D$15),F1342*(1+Assumptions!D$14)),-2)</f>
        <v>106900</v>
      </c>
      <c r="H1342" s="288">
        <f>ROUND(IF($A1342="E",G1342*(1+Assumptions!E$15),G1342*(1+Assumptions!E$14)),-2)</f>
        <v>109000</v>
      </c>
      <c r="I1342" s="288">
        <f>ROUND(IF($A1342="E",H1342*(1+Assumptions!F$15),H1342*(1+Assumptions!F$14)),-2)</f>
        <v>111200</v>
      </c>
      <c r="J1342" s="288">
        <f>ROUND(IF($A1342="E",I1342*(1+Assumptions!G$15),I1342*(1+Assumptions!G$14)),-2)</f>
        <v>113400</v>
      </c>
      <c r="K1342" s="288">
        <f>ROUND(IF($A1342="E",J1342*(1+Assumptions!H$15),J1342*(1+Assumptions!H$14)),-2)</f>
        <v>115700</v>
      </c>
      <c r="L1342" s="288">
        <f>ROUND(IF($A1342="E",K1342*(1+Assumptions!I$15),K1342*(1+Assumptions!I$14)),-2)</f>
        <v>118600</v>
      </c>
      <c r="M1342" s="288">
        <f>ROUND(IF($A1342="E",L1342*(1+Assumptions!J$15),L1342*(1+Assumptions!J$14)),-2)</f>
        <v>121600</v>
      </c>
      <c r="N1342" s="288">
        <f>ROUND(IF($A1342="E",M1342*(1+Assumptions!K$15),M1342*(1+Assumptions!K$14)),-2)</f>
        <v>124600</v>
      </c>
    </row>
    <row r="1343" spans="2:14" x14ac:dyDescent="0.25">
      <c r="B1343" s="16" t="s">
        <v>43</v>
      </c>
      <c r="C1343" s="16" t="s">
        <v>2180</v>
      </c>
      <c r="D1343" s="16" t="s">
        <v>1000</v>
      </c>
      <c r="E1343" s="288">
        <v>5200</v>
      </c>
      <c r="F1343" s="288">
        <f>ROUND(IF($A1343="E",E1343*(1+Assumptions!C$15),E1343*(1+Assumptions!C$14)),-2)</f>
        <v>5300</v>
      </c>
      <c r="G1343" s="288">
        <f>ROUND(IF($A1343="E",F1343*(1+Assumptions!D$15),F1343*(1+Assumptions!D$14)),-2)</f>
        <v>5400</v>
      </c>
      <c r="H1343" s="288">
        <f>ROUND(IF($A1343="E",G1343*(1+Assumptions!E$15),G1343*(1+Assumptions!E$14)),-2)</f>
        <v>5500</v>
      </c>
      <c r="I1343" s="288">
        <f>ROUND(IF($A1343="E",H1343*(1+Assumptions!F$15),H1343*(1+Assumptions!F$14)),-2)</f>
        <v>5600</v>
      </c>
      <c r="J1343" s="288">
        <f>ROUND(IF($A1343="E",I1343*(1+Assumptions!G$15),I1343*(1+Assumptions!G$14)),-2)</f>
        <v>5700</v>
      </c>
      <c r="K1343" s="288">
        <f>ROUND(IF($A1343="E",J1343*(1+Assumptions!H$15),J1343*(1+Assumptions!H$14)),-2)</f>
        <v>5800</v>
      </c>
      <c r="L1343" s="288">
        <f>ROUND(IF($A1343="E",K1343*(1+Assumptions!I$15),K1343*(1+Assumptions!I$14)),-2)</f>
        <v>5900</v>
      </c>
      <c r="M1343" s="288">
        <f>ROUND(IF($A1343="E",L1343*(1+Assumptions!J$15),L1343*(1+Assumptions!J$14)),-2)</f>
        <v>6000</v>
      </c>
      <c r="N1343" s="288">
        <f>ROUND(IF($A1343="E",M1343*(1+Assumptions!K$15),M1343*(1+Assumptions!K$14)),-2)</f>
        <v>6200</v>
      </c>
    </row>
    <row r="1344" spans="2:14" x14ac:dyDescent="0.25">
      <c r="B1344" s="16" t="s">
        <v>43</v>
      </c>
      <c r="C1344" s="16" t="s">
        <v>2181</v>
      </c>
      <c r="D1344" s="16" t="s">
        <v>2182</v>
      </c>
      <c r="E1344" s="288">
        <v>5200</v>
      </c>
      <c r="F1344" s="288">
        <f>ROUND(IF($A1344="E",E1344*(1+Assumptions!C$15),E1344*(1+Assumptions!C$14)),-2)</f>
        <v>5300</v>
      </c>
      <c r="G1344" s="288">
        <f>ROUND(IF($A1344="E",F1344*(1+Assumptions!D$15),F1344*(1+Assumptions!D$14)),-2)</f>
        <v>5400</v>
      </c>
      <c r="H1344" s="288">
        <f>ROUND(IF($A1344="E",G1344*(1+Assumptions!E$15),G1344*(1+Assumptions!E$14)),-2)</f>
        <v>5500</v>
      </c>
      <c r="I1344" s="288">
        <f>ROUND(IF($A1344="E",H1344*(1+Assumptions!F$15),H1344*(1+Assumptions!F$14)),-2)</f>
        <v>5600</v>
      </c>
      <c r="J1344" s="288">
        <f>ROUND(IF($A1344="E",I1344*(1+Assumptions!G$15),I1344*(1+Assumptions!G$14)),-2)</f>
        <v>5700</v>
      </c>
      <c r="K1344" s="288">
        <f>ROUND(IF($A1344="E",J1344*(1+Assumptions!H$15),J1344*(1+Assumptions!H$14)),-2)</f>
        <v>5800</v>
      </c>
      <c r="L1344" s="288">
        <f>ROUND(IF($A1344="E",K1344*(1+Assumptions!I$15),K1344*(1+Assumptions!I$14)),-2)</f>
        <v>5900</v>
      </c>
      <c r="M1344" s="288">
        <f>ROUND(IF($A1344="E",L1344*(1+Assumptions!J$15),L1344*(1+Assumptions!J$14)),-2)</f>
        <v>6000</v>
      </c>
      <c r="N1344" s="288">
        <f>ROUND(IF($A1344="E",M1344*(1+Assumptions!K$15),M1344*(1+Assumptions!K$14)),-2)</f>
        <v>6200</v>
      </c>
    </row>
    <row r="1345" spans="2:14" x14ac:dyDescent="0.25">
      <c r="B1345" s="16" t="s">
        <v>43</v>
      </c>
      <c r="C1345" s="16" t="s">
        <v>2183</v>
      </c>
      <c r="D1345" s="16" t="s">
        <v>97</v>
      </c>
      <c r="E1345" s="288">
        <v>8000</v>
      </c>
      <c r="F1345" s="288">
        <f>ROUND(IF($A1345="E",E1345*(1+Assumptions!C$15),E1345*(1+Assumptions!C$14)),-2)</f>
        <v>8100</v>
      </c>
      <c r="G1345" s="288">
        <f>ROUND(IF($A1345="E",F1345*(1+Assumptions!D$15),F1345*(1+Assumptions!D$14)),-2)</f>
        <v>8300</v>
      </c>
      <c r="H1345" s="288">
        <f>ROUND(IF($A1345="E",G1345*(1+Assumptions!E$15),G1345*(1+Assumptions!E$14)),-2)</f>
        <v>8500</v>
      </c>
      <c r="I1345" s="288">
        <f>ROUND(IF($A1345="E",H1345*(1+Assumptions!F$15),H1345*(1+Assumptions!F$14)),-2)</f>
        <v>8700</v>
      </c>
      <c r="J1345" s="288">
        <f>ROUND(IF($A1345="E",I1345*(1+Assumptions!G$15),I1345*(1+Assumptions!G$14)),-2)</f>
        <v>8900</v>
      </c>
      <c r="K1345" s="288">
        <f>ROUND(IF($A1345="E",J1345*(1+Assumptions!H$15),J1345*(1+Assumptions!H$14)),-2)</f>
        <v>9100</v>
      </c>
      <c r="L1345" s="288">
        <f>ROUND(IF($A1345="E",K1345*(1+Assumptions!I$15),K1345*(1+Assumptions!I$14)),-2)</f>
        <v>9300</v>
      </c>
      <c r="M1345" s="288">
        <f>ROUND(IF($A1345="E",L1345*(1+Assumptions!J$15),L1345*(1+Assumptions!J$14)),-2)</f>
        <v>9500</v>
      </c>
      <c r="N1345" s="288">
        <f>ROUND(IF($A1345="E",M1345*(1+Assumptions!K$15),M1345*(1+Assumptions!K$14)),-2)</f>
        <v>9700</v>
      </c>
    </row>
    <row r="1346" spans="2:14" x14ac:dyDescent="0.25">
      <c r="B1346" s="16" t="s">
        <v>43</v>
      </c>
      <c r="C1346" s="16" t="s">
        <v>2184</v>
      </c>
      <c r="D1346" s="16" t="s">
        <v>2185</v>
      </c>
      <c r="E1346" s="289"/>
      <c r="F1346" s="289"/>
      <c r="G1346" s="289"/>
      <c r="H1346" s="289"/>
      <c r="I1346" s="289"/>
      <c r="J1346" s="289"/>
      <c r="K1346" s="289"/>
      <c r="L1346" s="289"/>
      <c r="M1346" s="289"/>
      <c r="N1346" s="289"/>
    </row>
    <row r="1347" spans="2:14" x14ac:dyDescent="0.25">
      <c r="B1347" s="16" t="s">
        <v>43</v>
      </c>
      <c r="C1347" s="16" t="s">
        <v>2186</v>
      </c>
      <c r="D1347" s="16" t="s">
        <v>2187</v>
      </c>
      <c r="E1347" s="288">
        <v>15100</v>
      </c>
      <c r="F1347" s="288">
        <f>ROUND(IF($A1347="E",E1347*(1+Assumptions!C$15),E1347*(1+Assumptions!C$14)),-2)</f>
        <v>15300</v>
      </c>
      <c r="G1347" s="288">
        <f>ROUND(IF($A1347="E",F1347*(1+Assumptions!D$15),F1347*(1+Assumptions!D$14)),-2)</f>
        <v>15600</v>
      </c>
      <c r="H1347" s="288">
        <f>ROUND(IF($A1347="E",G1347*(1+Assumptions!E$15),G1347*(1+Assumptions!E$14)),-2)</f>
        <v>15900</v>
      </c>
      <c r="I1347" s="288">
        <f>ROUND(IF($A1347="E",H1347*(1+Assumptions!F$15),H1347*(1+Assumptions!F$14)),-2)</f>
        <v>16200</v>
      </c>
      <c r="J1347" s="288">
        <f>ROUND(IF($A1347="E",I1347*(1+Assumptions!G$15),I1347*(1+Assumptions!G$14)),-2)</f>
        <v>16500</v>
      </c>
      <c r="K1347" s="288">
        <f>ROUND(IF($A1347="E",J1347*(1+Assumptions!H$15),J1347*(1+Assumptions!H$14)),-2)</f>
        <v>16800</v>
      </c>
      <c r="L1347" s="288">
        <f>ROUND(IF($A1347="E",K1347*(1+Assumptions!I$15),K1347*(1+Assumptions!I$14)),-2)</f>
        <v>17200</v>
      </c>
      <c r="M1347" s="288">
        <f>ROUND(IF($A1347="E",L1347*(1+Assumptions!J$15),L1347*(1+Assumptions!J$14)),-2)</f>
        <v>17600</v>
      </c>
      <c r="N1347" s="288">
        <f>ROUND(IF($A1347="E",M1347*(1+Assumptions!K$15),M1347*(1+Assumptions!K$14)),-2)</f>
        <v>18000</v>
      </c>
    </row>
    <row r="1348" spans="2:14" x14ac:dyDescent="0.25">
      <c r="B1348" s="16" t="s">
        <v>43</v>
      </c>
      <c r="C1348" s="16" t="s">
        <v>2188</v>
      </c>
      <c r="D1348" s="16" t="s">
        <v>2189</v>
      </c>
      <c r="E1348" s="288">
        <v>25200</v>
      </c>
      <c r="F1348" s="288">
        <f>ROUND(IF($A1348="E",E1348*(1+Assumptions!C$15),E1348*(1+Assumptions!C$14)),-2)</f>
        <v>25600</v>
      </c>
      <c r="G1348" s="288">
        <f>ROUND(IF($A1348="E",F1348*(1+Assumptions!D$15),F1348*(1+Assumptions!D$14)),-2)</f>
        <v>26100</v>
      </c>
      <c r="H1348" s="288">
        <f>ROUND(IF($A1348="E",G1348*(1+Assumptions!E$15),G1348*(1+Assumptions!E$14)),-2)</f>
        <v>26600</v>
      </c>
      <c r="I1348" s="288">
        <f>ROUND(IF($A1348="E",H1348*(1+Assumptions!F$15),H1348*(1+Assumptions!F$14)),-2)</f>
        <v>27100</v>
      </c>
      <c r="J1348" s="288">
        <f>ROUND(IF($A1348="E",I1348*(1+Assumptions!G$15),I1348*(1+Assumptions!G$14)),-2)</f>
        <v>27600</v>
      </c>
      <c r="K1348" s="288">
        <f>ROUND(IF($A1348="E",J1348*(1+Assumptions!H$15),J1348*(1+Assumptions!H$14)),-2)</f>
        <v>28200</v>
      </c>
      <c r="L1348" s="288">
        <f>ROUND(IF($A1348="E",K1348*(1+Assumptions!I$15),K1348*(1+Assumptions!I$14)),-2)</f>
        <v>28900</v>
      </c>
      <c r="M1348" s="288">
        <f>ROUND(IF($A1348="E",L1348*(1+Assumptions!J$15),L1348*(1+Assumptions!J$14)),-2)</f>
        <v>29600</v>
      </c>
      <c r="N1348" s="288">
        <f>ROUND(IF($A1348="E",M1348*(1+Assumptions!K$15),M1348*(1+Assumptions!K$14)),-2)</f>
        <v>30300</v>
      </c>
    </row>
    <row r="1349" spans="2:14" x14ac:dyDescent="0.25">
      <c r="B1349" s="16" t="s">
        <v>43</v>
      </c>
      <c r="C1349" s="16" t="s">
        <v>2190</v>
      </c>
      <c r="D1349" s="16" t="s">
        <v>2191</v>
      </c>
      <c r="E1349" s="288">
        <v>20200</v>
      </c>
      <c r="F1349" s="288">
        <f>ROUND(IF($A1349="E",E1349*(1+Assumptions!C$15),E1349*(1+Assumptions!C$14)),-2)</f>
        <v>20500</v>
      </c>
      <c r="G1349" s="288">
        <f>ROUND(IF($A1349="E",F1349*(1+Assumptions!D$15),F1349*(1+Assumptions!D$14)),-2)</f>
        <v>20900</v>
      </c>
      <c r="H1349" s="288">
        <f>ROUND(IF($A1349="E",G1349*(1+Assumptions!E$15),G1349*(1+Assumptions!E$14)),-2)</f>
        <v>21300</v>
      </c>
      <c r="I1349" s="288">
        <f>ROUND(IF($A1349="E",H1349*(1+Assumptions!F$15),H1349*(1+Assumptions!F$14)),-2)</f>
        <v>21700</v>
      </c>
      <c r="J1349" s="288">
        <f>ROUND(IF($A1349="E",I1349*(1+Assumptions!G$15),I1349*(1+Assumptions!G$14)),-2)</f>
        <v>22100</v>
      </c>
      <c r="K1349" s="288">
        <f>ROUND(IF($A1349="E",J1349*(1+Assumptions!H$15),J1349*(1+Assumptions!H$14)),-2)</f>
        <v>22500</v>
      </c>
      <c r="L1349" s="288">
        <f>ROUND(IF($A1349="E",K1349*(1+Assumptions!I$15),K1349*(1+Assumptions!I$14)),-2)</f>
        <v>23100</v>
      </c>
      <c r="M1349" s="288">
        <f>ROUND(IF($A1349="E",L1349*(1+Assumptions!J$15),L1349*(1+Assumptions!J$14)),-2)</f>
        <v>23700</v>
      </c>
      <c r="N1349" s="288">
        <f>ROUND(IF($A1349="E",M1349*(1+Assumptions!K$15),M1349*(1+Assumptions!K$14)),-2)</f>
        <v>24300</v>
      </c>
    </row>
    <row r="1350" spans="2:14" x14ac:dyDescent="0.25">
      <c r="B1350" s="16" t="s">
        <v>43</v>
      </c>
      <c r="C1350" s="16" t="s">
        <v>2192</v>
      </c>
      <c r="D1350" s="16" t="s">
        <v>2193</v>
      </c>
      <c r="E1350" s="289"/>
      <c r="F1350" s="289"/>
      <c r="G1350" s="289"/>
      <c r="H1350" s="289"/>
      <c r="I1350" s="289"/>
      <c r="J1350" s="289"/>
      <c r="K1350" s="289"/>
      <c r="L1350" s="289"/>
      <c r="M1350" s="289"/>
      <c r="N1350" s="289"/>
    </row>
    <row r="1351" spans="2:14" x14ac:dyDescent="0.25">
      <c r="B1351" s="16" t="s">
        <v>41</v>
      </c>
      <c r="C1351" s="16" t="s">
        <v>2194</v>
      </c>
      <c r="D1351" s="16" t="s">
        <v>91</v>
      </c>
      <c r="E1351" s="288">
        <v>436900</v>
      </c>
      <c r="F1351" s="288">
        <f>ROUND(IF($A1351="E",E1351*(1+Assumptions!C$15),E1351*(1+Assumptions!C$14)),-2)</f>
        <v>443500</v>
      </c>
      <c r="G1351" s="288">
        <f>ROUND(IF($A1351="E",F1351*(1+Assumptions!D$15),F1351*(1+Assumptions!D$14)),-2)</f>
        <v>452400</v>
      </c>
      <c r="H1351" s="288">
        <f>ROUND(IF($A1351="E",G1351*(1+Assumptions!E$15),G1351*(1+Assumptions!E$14)),-2)</f>
        <v>461400</v>
      </c>
      <c r="I1351" s="288">
        <f>ROUND(IF($A1351="E",H1351*(1+Assumptions!F$15),H1351*(1+Assumptions!F$14)),-2)</f>
        <v>470600</v>
      </c>
      <c r="J1351" s="288">
        <f>ROUND(IF($A1351="E",I1351*(1+Assumptions!G$15),I1351*(1+Assumptions!G$14)),-2)</f>
        <v>480000</v>
      </c>
      <c r="K1351" s="288">
        <f>ROUND(IF($A1351="E",J1351*(1+Assumptions!H$15),J1351*(1+Assumptions!H$14)),-2)</f>
        <v>489600</v>
      </c>
      <c r="L1351" s="288">
        <f>ROUND(IF($A1351="E",K1351*(1+Assumptions!I$15),K1351*(1+Assumptions!I$14)),-2)</f>
        <v>501800</v>
      </c>
      <c r="M1351" s="288">
        <f>ROUND(IF($A1351="E",L1351*(1+Assumptions!J$15),L1351*(1+Assumptions!J$14)),-2)</f>
        <v>514300</v>
      </c>
      <c r="N1351" s="288">
        <f>ROUND(IF($A1351="E",M1351*(1+Assumptions!K$15),M1351*(1+Assumptions!K$14)),-2)</f>
        <v>527200</v>
      </c>
    </row>
    <row r="1352" spans="2:14" x14ac:dyDescent="0.25">
      <c r="B1352" s="16" t="s">
        <v>43</v>
      </c>
      <c r="C1352" s="16" t="s">
        <v>2195</v>
      </c>
      <c r="D1352" s="16" t="s">
        <v>97</v>
      </c>
      <c r="E1352" s="288">
        <v>3000</v>
      </c>
      <c r="F1352" s="288">
        <f>ROUND(IF($A1352="E",E1352*(1+Assumptions!C$15),E1352*(1+Assumptions!C$14)),-2)</f>
        <v>3000</v>
      </c>
      <c r="G1352" s="288">
        <f>ROUND(IF($A1352="E",F1352*(1+Assumptions!D$15),F1352*(1+Assumptions!D$14)),-2)</f>
        <v>3100</v>
      </c>
      <c r="H1352" s="288">
        <f>ROUND(IF($A1352="E",G1352*(1+Assumptions!E$15),G1352*(1+Assumptions!E$14)),-2)</f>
        <v>3200</v>
      </c>
      <c r="I1352" s="288">
        <f>ROUND(IF($A1352="E",H1352*(1+Assumptions!F$15),H1352*(1+Assumptions!F$14)),-2)</f>
        <v>3300</v>
      </c>
      <c r="J1352" s="288">
        <f>ROUND(IF($A1352="E",I1352*(1+Assumptions!G$15),I1352*(1+Assumptions!G$14)),-2)</f>
        <v>3400</v>
      </c>
      <c r="K1352" s="288">
        <f>ROUND(IF($A1352="E",J1352*(1+Assumptions!H$15),J1352*(1+Assumptions!H$14)),-2)</f>
        <v>3500</v>
      </c>
      <c r="L1352" s="288">
        <f>ROUND(IF($A1352="E",K1352*(1+Assumptions!I$15),K1352*(1+Assumptions!I$14)),-2)</f>
        <v>3600</v>
      </c>
      <c r="M1352" s="288">
        <f>ROUND(IF($A1352="E",L1352*(1+Assumptions!J$15),L1352*(1+Assumptions!J$14)),-2)</f>
        <v>3700</v>
      </c>
      <c r="N1352" s="288">
        <f>ROUND(IF($A1352="E",M1352*(1+Assumptions!K$15),M1352*(1+Assumptions!K$14)),-2)</f>
        <v>3800</v>
      </c>
    </row>
    <row r="1353" spans="2:14" x14ac:dyDescent="0.25">
      <c r="B1353" s="16" t="s">
        <v>43</v>
      </c>
      <c r="C1353" s="16" t="s">
        <v>2196</v>
      </c>
      <c r="D1353" s="16" t="s">
        <v>187</v>
      </c>
      <c r="E1353" s="289"/>
      <c r="F1353" s="289"/>
      <c r="G1353" s="289"/>
      <c r="H1353" s="289"/>
      <c r="I1353" s="289"/>
      <c r="J1353" s="289"/>
      <c r="K1353" s="289"/>
      <c r="L1353" s="289"/>
      <c r="M1353" s="289"/>
      <c r="N1353" s="289"/>
    </row>
    <row r="1354" spans="2:14" x14ac:dyDescent="0.25">
      <c r="B1354" s="16" t="s">
        <v>43</v>
      </c>
      <c r="C1354" s="16" t="s">
        <v>2197</v>
      </c>
      <c r="D1354" s="16" t="s">
        <v>2198</v>
      </c>
      <c r="E1354" s="288">
        <v>263600</v>
      </c>
      <c r="F1354" s="288">
        <f>ROUND(IF($A1354="E",E1354*(1+Assumptions!C$15),E1354*(1+Assumptions!C$14)),-2)</f>
        <v>267600</v>
      </c>
      <c r="G1354" s="288">
        <f>ROUND(IF($A1354="E",F1354*(1+Assumptions!D$15),F1354*(1+Assumptions!D$14)),-2)</f>
        <v>273000</v>
      </c>
      <c r="H1354" s="288">
        <f>ROUND(IF($A1354="E",G1354*(1+Assumptions!E$15),G1354*(1+Assumptions!E$14)),-2)</f>
        <v>278500</v>
      </c>
      <c r="I1354" s="288">
        <f>ROUND(IF($A1354="E",H1354*(1+Assumptions!F$15),H1354*(1+Assumptions!F$14)),-2)</f>
        <v>284100</v>
      </c>
      <c r="J1354" s="288">
        <f>ROUND(IF($A1354="E",I1354*(1+Assumptions!G$15),I1354*(1+Assumptions!G$14)),-2)</f>
        <v>289800</v>
      </c>
      <c r="K1354" s="288">
        <f>ROUND(IF($A1354="E",J1354*(1+Assumptions!H$15),J1354*(1+Assumptions!H$14)),-2)</f>
        <v>295600</v>
      </c>
      <c r="L1354" s="288">
        <f>ROUND(IF($A1354="E",K1354*(1+Assumptions!I$15),K1354*(1+Assumptions!I$14)),-2)</f>
        <v>303000</v>
      </c>
      <c r="M1354" s="288">
        <f>ROUND(IF($A1354="E",L1354*(1+Assumptions!J$15),L1354*(1+Assumptions!J$14)),-2)</f>
        <v>310600</v>
      </c>
      <c r="N1354" s="288">
        <f>ROUND(IF($A1354="E",M1354*(1+Assumptions!K$15),M1354*(1+Assumptions!K$14)),-2)</f>
        <v>318400</v>
      </c>
    </row>
    <row r="1355" spans="2:14" x14ac:dyDescent="0.25">
      <c r="B1355" s="16" t="s">
        <v>43</v>
      </c>
      <c r="C1355" s="16" t="s">
        <v>2199</v>
      </c>
      <c r="D1355" s="16" t="s">
        <v>195</v>
      </c>
      <c r="E1355" s="288">
        <v>-764600</v>
      </c>
      <c r="F1355" s="288">
        <f>ROUND(IF($A1355="E",E1355*(1+Assumptions!C$15),E1355*(1+Assumptions!C$14)),-2)</f>
        <v>-776100</v>
      </c>
      <c r="G1355" s="288">
        <f>ROUND(IF($A1355="E",F1355*(1+Assumptions!D$15),F1355*(1+Assumptions!D$14)),-2)</f>
        <v>-791600</v>
      </c>
      <c r="H1355" s="288">
        <f>ROUND(IF($A1355="E",G1355*(1+Assumptions!E$15),G1355*(1+Assumptions!E$14)),-2)</f>
        <v>-807400</v>
      </c>
      <c r="I1355" s="288">
        <f>ROUND(IF($A1355="E",H1355*(1+Assumptions!F$15),H1355*(1+Assumptions!F$14)),-2)</f>
        <v>-823500</v>
      </c>
      <c r="J1355" s="288">
        <f>ROUND(IF($A1355="E",I1355*(1+Assumptions!G$15),I1355*(1+Assumptions!G$14)),-2)</f>
        <v>-840000</v>
      </c>
      <c r="K1355" s="288">
        <f>ROUND(IF($A1355="E",J1355*(1+Assumptions!H$15),J1355*(1+Assumptions!H$14)),-2)</f>
        <v>-856800</v>
      </c>
      <c r="L1355" s="288">
        <f>ROUND(IF($A1355="E",K1355*(1+Assumptions!I$15),K1355*(1+Assumptions!I$14)),-2)</f>
        <v>-878200</v>
      </c>
      <c r="M1355" s="288">
        <f>ROUND(IF($A1355="E",L1355*(1+Assumptions!J$15),L1355*(1+Assumptions!J$14)),-2)</f>
        <v>-900200</v>
      </c>
      <c r="N1355" s="288">
        <f>ROUND(IF($A1355="E",M1355*(1+Assumptions!K$15),M1355*(1+Assumptions!K$14)),-2)</f>
        <v>-922700</v>
      </c>
    </row>
    <row r="1356" spans="2:14" ht="12.75" customHeight="1" x14ac:dyDescent="0.25">
      <c r="E1356" s="288"/>
      <c r="F1356" s="288"/>
      <c r="G1356" s="288"/>
      <c r="H1356" s="288"/>
      <c r="I1356" s="288"/>
      <c r="J1356" s="288"/>
      <c r="K1356" s="288"/>
      <c r="L1356" s="288"/>
      <c r="M1356" s="288"/>
      <c r="N1356" s="288"/>
    </row>
    <row r="1357" spans="2:14" ht="12.75" customHeight="1" x14ac:dyDescent="0.25">
      <c r="D1357" s="19" t="s">
        <v>3234</v>
      </c>
      <c r="E1357" s="291">
        <f>SUM(E1341:E1356)</f>
        <v>121100</v>
      </c>
      <c r="F1357" s="291">
        <f t="shared" ref="F1357:N1357" si="41">SUM(F1341:F1356)</f>
        <v>122900</v>
      </c>
      <c r="G1357" s="291">
        <f t="shared" si="41"/>
        <v>125500</v>
      </c>
      <c r="H1357" s="291">
        <f t="shared" si="41"/>
        <v>128000</v>
      </c>
      <c r="I1357" s="291">
        <f t="shared" si="41"/>
        <v>130600</v>
      </c>
      <c r="J1357" s="291">
        <f t="shared" si="41"/>
        <v>133100</v>
      </c>
      <c r="K1357" s="291">
        <f t="shared" si="41"/>
        <v>135800</v>
      </c>
      <c r="L1357" s="291">
        <f t="shared" si="41"/>
        <v>139100</v>
      </c>
      <c r="M1357" s="291">
        <f t="shared" si="41"/>
        <v>142400</v>
      </c>
      <c r="N1357" s="291">
        <f t="shared" si="41"/>
        <v>146000</v>
      </c>
    </row>
    <row r="1358" spans="2:14" ht="12.75" customHeight="1" x14ac:dyDescent="0.25">
      <c r="E1358" s="288"/>
      <c r="F1358" s="288"/>
      <c r="G1358" s="288"/>
      <c r="H1358" s="288"/>
      <c r="I1358" s="288"/>
      <c r="J1358" s="288"/>
      <c r="K1358" s="288"/>
      <c r="L1358" s="288"/>
      <c r="M1358" s="288"/>
      <c r="N1358" s="288"/>
    </row>
    <row r="1359" spans="2:14" x14ac:dyDescent="0.25">
      <c r="C1359" s="19" t="s">
        <v>2200</v>
      </c>
      <c r="E1359" s="288"/>
      <c r="F1359" s="288"/>
      <c r="G1359" s="288"/>
      <c r="H1359" s="288"/>
      <c r="I1359" s="288"/>
      <c r="J1359" s="288"/>
      <c r="K1359" s="288"/>
      <c r="L1359" s="288"/>
      <c r="M1359" s="288"/>
      <c r="N1359" s="288"/>
    </row>
    <row r="1360" spans="2:14" ht="12.75" customHeight="1" x14ac:dyDescent="0.25">
      <c r="E1360" s="288"/>
      <c r="F1360" s="288"/>
      <c r="G1360" s="288"/>
      <c r="H1360" s="288"/>
      <c r="I1360" s="288"/>
      <c r="J1360" s="288"/>
      <c r="K1360" s="288"/>
      <c r="L1360" s="288"/>
      <c r="M1360" s="288"/>
      <c r="N1360" s="288"/>
    </row>
    <row r="1361" spans="2:14" x14ac:dyDescent="0.25">
      <c r="C1361" s="16" t="s">
        <v>87</v>
      </c>
      <c r="E1361" s="288"/>
      <c r="F1361" s="288"/>
      <c r="G1361" s="288"/>
      <c r="H1361" s="288"/>
      <c r="I1361" s="288"/>
      <c r="J1361" s="288"/>
      <c r="K1361" s="288"/>
      <c r="L1361" s="288"/>
      <c r="M1361" s="288"/>
      <c r="N1361" s="288"/>
    </row>
    <row r="1362" spans="2:14" x14ac:dyDescent="0.25">
      <c r="C1362" s="16" t="s">
        <v>2201</v>
      </c>
      <c r="D1362" s="16" t="s">
        <v>2202</v>
      </c>
      <c r="E1362" s="289"/>
      <c r="F1362" s="289"/>
      <c r="G1362" s="289"/>
      <c r="H1362" s="289"/>
      <c r="I1362" s="289"/>
      <c r="J1362" s="289"/>
      <c r="K1362" s="289"/>
      <c r="L1362" s="289"/>
      <c r="M1362" s="289"/>
      <c r="N1362" s="289"/>
    </row>
    <row r="1363" spans="2:14" x14ac:dyDescent="0.25">
      <c r="B1363" s="16" t="s">
        <v>41</v>
      </c>
      <c r="C1363" s="16" t="s">
        <v>2203</v>
      </c>
      <c r="D1363" s="16" t="s">
        <v>201</v>
      </c>
      <c r="E1363" s="288">
        <v>124300</v>
      </c>
      <c r="F1363" s="288">
        <f>ROUND(IF($A1363="E",E1363*(1+Assumptions!C$15),E1363*(1+Assumptions!C$14)),-2)</f>
        <v>126200</v>
      </c>
      <c r="G1363" s="288">
        <f>ROUND(IF($A1363="E",F1363*(1+Assumptions!D$15),F1363*(1+Assumptions!D$14)),-2)</f>
        <v>128700</v>
      </c>
      <c r="H1363" s="288">
        <f>ROUND(IF($A1363="E",G1363*(1+Assumptions!E$15),G1363*(1+Assumptions!E$14)),-2)</f>
        <v>131300</v>
      </c>
      <c r="I1363" s="288">
        <f>ROUND(IF($A1363="E",H1363*(1+Assumptions!F$15),H1363*(1+Assumptions!F$14)),-2)</f>
        <v>133900</v>
      </c>
      <c r="J1363" s="288">
        <f>ROUND(IF($A1363="E",I1363*(1+Assumptions!G$15),I1363*(1+Assumptions!G$14)),-2)</f>
        <v>136600</v>
      </c>
      <c r="K1363" s="288">
        <f>ROUND(IF($A1363="E",J1363*(1+Assumptions!H$15),J1363*(1+Assumptions!H$14)),-2)</f>
        <v>139300</v>
      </c>
      <c r="L1363" s="288">
        <f>ROUND(IF($A1363="E",K1363*(1+Assumptions!I$15),K1363*(1+Assumptions!I$14)),-2)</f>
        <v>142800</v>
      </c>
      <c r="M1363" s="288">
        <f>ROUND(IF($A1363="E",L1363*(1+Assumptions!J$15),L1363*(1+Assumptions!J$14)),-2)</f>
        <v>146400</v>
      </c>
      <c r="N1363" s="288">
        <f>ROUND(IF($A1363="E",M1363*(1+Assumptions!K$15),M1363*(1+Assumptions!K$14)),-2)</f>
        <v>150100</v>
      </c>
    </row>
    <row r="1364" spans="2:14" x14ac:dyDescent="0.25">
      <c r="B1364" s="16" t="s">
        <v>43</v>
      </c>
      <c r="C1364" s="16" t="s">
        <v>2204</v>
      </c>
      <c r="D1364" s="16" t="s">
        <v>97</v>
      </c>
      <c r="E1364" s="288">
        <v>7000</v>
      </c>
      <c r="F1364" s="288">
        <f>ROUND(IF($A1364="E",E1364*(1+Assumptions!C$15),E1364*(1+Assumptions!C$14)),-2)</f>
        <v>7100</v>
      </c>
      <c r="G1364" s="288">
        <f>ROUND(IF($A1364="E",F1364*(1+Assumptions!D$15),F1364*(1+Assumptions!D$14)),-2)</f>
        <v>7200</v>
      </c>
      <c r="H1364" s="288">
        <f>ROUND(IF($A1364="E",G1364*(1+Assumptions!E$15),G1364*(1+Assumptions!E$14)),-2)</f>
        <v>7300</v>
      </c>
      <c r="I1364" s="288">
        <f>ROUND(IF($A1364="E",H1364*(1+Assumptions!F$15),H1364*(1+Assumptions!F$14)),-2)</f>
        <v>7400</v>
      </c>
      <c r="J1364" s="288">
        <f>ROUND(IF($A1364="E",I1364*(1+Assumptions!G$15),I1364*(1+Assumptions!G$14)),-2)</f>
        <v>7500</v>
      </c>
      <c r="K1364" s="288">
        <f>ROUND(IF($A1364="E",J1364*(1+Assumptions!H$15),J1364*(1+Assumptions!H$14)),-2)</f>
        <v>7700</v>
      </c>
      <c r="L1364" s="288">
        <f>ROUND(IF($A1364="E",K1364*(1+Assumptions!I$15),K1364*(1+Assumptions!I$14)),-2)</f>
        <v>7900</v>
      </c>
      <c r="M1364" s="288">
        <f>ROUND(IF($A1364="E",L1364*(1+Assumptions!J$15),L1364*(1+Assumptions!J$14)),-2)</f>
        <v>8100</v>
      </c>
      <c r="N1364" s="288">
        <f>ROUND(IF($A1364="E",M1364*(1+Assumptions!K$15),M1364*(1+Assumptions!K$14)),-2)</f>
        <v>8300</v>
      </c>
    </row>
    <row r="1365" spans="2:14" x14ac:dyDescent="0.25">
      <c r="B1365" s="16" t="s">
        <v>43</v>
      </c>
      <c r="C1365" s="16" t="s">
        <v>2205</v>
      </c>
      <c r="D1365" s="16" t="s">
        <v>2206</v>
      </c>
      <c r="E1365" s="289"/>
      <c r="F1365" s="289"/>
      <c r="G1365" s="289"/>
      <c r="H1365" s="289"/>
      <c r="I1365" s="289"/>
      <c r="J1365" s="289"/>
      <c r="K1365" s="289"/>
      <c r="L1365" s="289"/>
      <c r="M1365" s="289"/>
      <c r="N1365" s="289"/>
    </row>
    <row r="1366" spans="2:14" x14ac:dyDescent="0.25">
      <c r="B1366" s="16" t="s">
        <v>43</v>
      </c>
      <c r="C1366" s="16" t="s">
        <v>2207</v>
      </c>
      <c r="D1366" s="16" t="s">
        <v>2208</v>
      </c>
      <c r="E1366" s="288">
        <v>20200</v>
      </c>
      <c r="F1366" s="288">
        <f>ROUND(IF($A1366="E",E1366*(1+Assumptions!C$15),E1366*(1+Assumptions!C$14)),-2)</f>
        <v>20500</v>
      </c>
      <c r="G1366" s="288">
        <f>ROUND(IF($A1366="E",F1366*(1+Assumptions!D$15),F1366*(1+Assumptions!D$14)),-2)</f>
        <v>20900</v>
      </c>
      <c r="H1366" s="288">
        <f>ROUND(IF($A1366="E",G1366*(1+Assumptions!E$15),G1366*(1+Assumptions!E$14)),-2)</f>
        <v>21300</v>
      </c>
      <c r="I1366" s="288">
        <f>ROUND(IF($A1366="E",H1366*(1+Assumptions!F$15),H1366*(1+Assumptions!F$14)),-2)</f>
        <v>21700</v>
      </c>
      <c r="J1366" s="288">
        <f>ROUND(IF($A1366="E",I1366*(1+Assumptions!G$15),I1366*(1+Assumptions!G$14)),-2)</f>
        <v>22100</v>
      </c>
      <c r="K1366" s="288">
        <f>ROUND(IF($A1366="E",J1366*(1+Assumptions!H$15),J1366*(1+Assumptions!H$14)),-2)</f>
        <v>22500</v>
      </c>
      <c r="L1366" s="288">
        <f>ROUND(IF($A1366="E",K1366*(1+Assumptions!I$15),K1366*(1+Assumptions!I$14)),-2)</f>
        <v>23100</v>
      </c>
      <c r="M1366" s="288">
        <f>ROUND(IF($A1366="E",L1366*(1+Assumptions!J$15),L1366*(1+Assumptions!J$14)),-2)</f>
        <v>23700</v>
      </c>
      <c r="N1366" s="288">
        <f>ROUND(IF($A1366="E",M1366*(1+Assumptions!K$15),M1366*(1+Assumptions!K$14)),-2)</f>
        <v>24300</v>
      </c>
    </row>
    <row r="1367" spans="2:14" x14ac:dyDescent="0.25">
      <c r="B1367" s="16" t="s">
        <v>43</v>
      </c>
      <c r="C1367" s="16" t="s">
        <v>2209</v>
      </c>
      <c r="D1367" s="16" t="s">
        <v>2210</v>
      </c>
      <c r="E1367" s="288">
        <v>8700</v>
      </c>
      <c r="F1367" s="288">
        <f>ROUND(IF($A1367="E",E1367*(1+Assumptions!C$15),E1367*(1+Assumptions!C$14)),-2)</f>
        <v>8800</v>
      </c>
      <c r="G1367" s="288">
        <f>ROUND(IF($A1367="E",F1367*(1+Assumptions!D$15),F1367*(1+Assumptions!D$14)),-2)</f>
        <v>9000</v>
      </c>
      <c r="H1367" s="288">
        <f>ROUND(IF($A1367="E",G1367*(1+Assumptions!E$15),G1367*(1+Assumptions!E$14)),-2)</f>
        <v>9200</v>
      </c>
      <c r="I1367" s="288">
        <f>ROUND(IF($A1367="E",H1367*(1+Assumptions!F$15),H1367*(1+Assumptions!F$14)),-2)</f>
        <v>9400</v>
      </c>
      <c r="J1367" s="288">
        <f>ROUND(IF($A1367="E",I1367*(1+Assumptions!G$15),I1367*(1+Assumptions!G$14)),-2)</f>
        <v>9600</v>
      </c>
      <c r="K1367" s="288">
        <f>ROUND(IF($A1367="E",J1367*(1+Assumptions!H$15),J1367*(1+Assumptions!H$14)),-2)</f>
        <v>9800</v>
      </c>
      <c r="L1367" s="288">
        <f>ROUND(IF($A1367="E",K1367*(1+Assumptions!I$15),K1367*(1+Assumptions!I$14)),-2)</f>
        <v>10000</v>
      </c>
      <c r="M1367" s="288">
        <f>ROUND(IF($A1367="E",L1367*(1+Assumptions!J$15),L1367*(1+Assumptions!J$14)),-2)</f>
        <v>10300</v>
      </c>
      <c r="N1367" s="288">
        <f>ROUND(IF($A1367="E",M1367*(1+Assumptions!K$15),M1367*(1+Assumptions!K$14)),-2)</f>
        <v>10600</v>
      </c>
    </row>
    <row r="1368" spans="2:14" x14ac:dyDescent="0.25">
      <c r="B1368" s="16" t="s">
        <v>43</v>
      </c>
      <c r="C1368" s="16" t="s">
        <v>2211</v>
      </c>
      <c r="D1368" s="16" t="s">
        <v>2212</v>
      </c>
      <c r="E1368" s="288">
        <v>10100</v>
      </c>
      <c r="F1368" s="288">
        <f>ROUND(IF($A1368="E",E1368*(1+Assumptions!C$15),E1368*(1+Assumptions!C$14)),-2)</f>
        <v>10300</v>
      </c>
      <c r="G1368" s="288">
        <f>ROUND(IF($A1368="E",F1368*(1+Assumptions!D$15),F1368*(1+Assumptions!D$14)),-2)</f>
        <v>10500</v>
      </c>
      <c r="H1368" s="288">
        <f>ROUND(IF($A1368="E",G1368*(1+Assumptions!E$15),G1368*(1+Assumptions!E$14)),-2)</f>
        <v>10700</v>
      </c>
      <c r="I1368" s="288">
        <f>ROUND(IF($A1368="E",H1368*(1+Assumptions!F$15),H1368*(1+Assumptions!F$14)),-2)</f>
        <v>10900</v>
      </c>
      <c r="J1368" s="288">
        <f>ROUND(IF($A1368="E",I1368*(1+Assumptions!G$15),I1368*(1+Assumptions!G$14)),-2)</f>
        <v>11100</v>
      </c>
      <c r="K1368" s="288">
        <f>ROUND(IF($A1368="E",J1368*(1+Assumptions!H$15),J1368*(1+Assumptions!H$14)),-2)</f>
        <v>11300</v>
      </c>
      <c r="L1368" s="288">
        <f>ROUND(IF($A1368="E",K1368*(1+Assumptions!I$15),K1368*(1+Assumptions!I$14)),-2)</f>
        <v>11600</v>
      </c>
      <c r="M1368" s="288">
        <f>ROUND(IF($A1368="E",L1368*(1+Assumptions!J$15),L1368*(1+Assumptions!J$14)),-2)</f>
        <v>11900</v>
      </c>
      <c r="N1368" s="288">
        <f>ROUND(IF($A1368="E",M1368*(1+Assumptions!K$15),M1368*(1+Assumptions!K$14)),-2)</f>
        <v>12200</v>
      </c>
    </row>
    <row r="1369" spans="2:14" x14ac:dyDescent="0.25">
      <c r="B1369" s="16" t="s">
        <v>43</v>
      </c>
      <c r="C1369" s="16" t="s">
        <v>2213</v>
      </c>
      <c r="D1369" s="16" t="s">
        <v>187</v>
      </c>
      <c r="E1369" s="289"/>
      <c r="F1369" s="289"/>
      <c r="G1369" s="289"/>
      <c r="H1369" s="289"/>
      <c r="I1369" s="289"/>
      <c r="J1369" s="289"/>
      <c r="K1369" s="289"/>
      <c r="L1369" s="289"/>
      <c r="M1369" s="289"/>
      <c r="N1369" s="289"/>
    </row>
    <row r="1370" spans="2:14" x14ac:dyDescent="0.25">
      <c r="B1370" s="16" t="s">
        <v>43</v>
      </c>
      <c r="C1370" s="16" t="s">
        <v>2214</v>
      </c>
      <c r="D1370" s="16" t="s">
        <v>193</v>
      </c>
      <c r="E1370" s="288">
        <v>67800</v>
      </c>
      <c r="F1370" s="288">
        <f>ROUND(IF($A1370="E",E1370*(1+Assumptions!C$15),E1370*(1+Assumptions!C$14)),-2)</f>
        <v>68800</v>
      </c>
      <c r="G1370" s="288">
        <f>ROUND(IF($A1370="E",F1370*(1+Assumptions!D$15),F1370*(1+Assumptions!D$14)),-2)</f>
        <v>70200</v>
      </c>
      <c r="H1370" s="288">
        <f>ROUND(IF($A1370="E",G1370*(1+Assumptions!E$15),G1370*(1+Assumptions!E$14)),-2)</f>
        <v>71600</v>
      </c>
      <c r="I1370" s="288">
        <f>ROUND(IF($A1370="E",H1370*(1+Assumptions!F$15),H1370*(1+Assumptions!F$14)),-2)</f>
        <v>73000</v>
      </c>
      <c r="J1370" s="288">
        <f>ROUND(IF($A1370="E",I1370*(1+Assumptions!G$15),I1370*(1+Assumptions!G$14)),-2)</f>
        <v>74500</v>
      </c>
      <c r="K1370" s="288">
        <f>ROUND(IF($A1370="E",J1370*(1+Assumptions!H$15),J1370*(1+Assumptions!H$14)),-2)</f>
        <v>76000</v>
      </c>
      <c r="L1370" s="288">
        <f>ROUND(IF($A1370="E",K1370*(1+Assumptions!I$15),K1370*(1+Assumptions!I$14)),-2)</f>
        <v>77900</v>
      </c>
      <c r="M1370" s="288">
        <f>ROUND(IF($A1370="E",L1370*(1+Assumptions!J$15),L1370*(1+Assumptions!J$14)),-2)</f>
        <v>79800</v>
      </c>
      <c r="N1370" s="288">
        <f>ROUND(IF($A1370="E",M1370*(1+Assumptions!K$15),M1370*(1+Assumptions!K$14)),-2)</f>
        <v>81800</v>
      </c>
    </row>
    <row r="1371" spans="2:14" ht="12.75" customHeight="1" x14ac:dyDescent="0.25">
      <c r="E1371" s="288"/>
      <c r="F1371" s="288"/>
      <c r="G1371" s="288"/>
      <c r="H1371" s="288"/>
      <c r="I1371" s="288"/>
      <c r="J1371" s="288"/>
      <c r="K1371" s="288"/>
      <c r="L1371" s="288"/>
      <c r="M1371" s="288"/>
      <c r="N1371" s="288"/>
    </row>
    <row r="1372" spans="2:14" ht="12.75" customHeight="1" x14ac:dyDescent="0.25">
      <c r="D1372" s="19" t="s">
        <v>3234</v>
      </c>
      <c r="E1372" s="291">
        <f>SUM(E1362:E1371)</f>
        <v>238100</v>
      </c>
      <c r="F1372" s="291">
        <f t="shared" ref="F1372:N1372" si="42">SUM(F1362:F1371)</f>
        <v>241700</v>
      </c>
      <c r="G1372" s="291">
        <f t="shared" si="42"/>
        <v>246500</v>
      </c>
      <c r="H1372" s="291">
        <f t="shared" si="42"/>
        <v>251400</v>
      </c>
      <c r="I1372" s="291">
        <f t="shared" si="42"/>
        <v>256300</v>
      </c>
      <c r="J1372" s="291">
        <f t="shared" si="42"/>
        <v>261400</v>
      </c>
      <c r="K1372" s="291">
        <f t="shared" si="42"/>
        <v>266600</v>
      </c>
      <c r="L1372" s="291">
        <f t="shared" si="42"/>
        <v>273300</v>
      </c>
      <c r="M1372" s="291">
        <f t="shared" si="42"/>
        <v>280200</v>
      </c>
      <c r="N1372" s="291">
        <f t="shared" si="42"/>
        <v>287300</v>
      </c>
    </row>
    <row r="1373" spans="2:14" ht="12.75" customHeight="1" x14ac:dyDescent="0.25">
      <c r="E1373" s="288"/>
      <c r="F1373" s="288"/>
      <c r="G1373" s="288"/>
      <c r="H1373" s="288"/>
      <c r="I1373" s="288"/>
      <c r="J1373" s="288"/>
      <c r="K1373" s="288"/>
      <c r="L1373" s="288"/>
      <c r="M1373" s="288"/>
      <c r="N1373" s="288"/>
    </row>
    <row r="1374" spans="2:14" x14ac:dyDescent="0.25">
      <c r="C1374" s="19" t="s">
        <v>2215</v>
      </c>
      <c r="E1374" s="288"/>
      <c r="F1374" s="288"/>
      <c r="G1374" s="288"/>
      <c r="H1374" s="288"/>
      <c r="I1374" s="288"/>
      <c r="J1374" s="288"/>
      <c r="K1374" s="288"/>
      <c r="L1374" s="288"/>
      <c r="M1374" s="288"/>
      <c r="N1374" s="288"/>
    </row>
    <row r="1375" spans="2:14" ht="12.75" customHeight="1" x14ac:dyDescent="0.25">
      <c r="E1375" s="288"/>
      <c r="F1375" s="288"/>
      <c r="G1375" s="288"/>
      <c r="H1375" s="288"/>
      <c r="I1375" s="288"/>
      <c r="J1375" s="288"/>
      <c r="K1375" s="288"/>
      <c r="L1375" s="288"/>
      <c r="M1375" s="288"/>
      <c r="N1375" s="288"/>
    </row>
    <row r="1376" spans="2:14" x14ac:dyDescent="0.25">
      <c r="C1376" s="16" t="s">
        <v>87</v>
      </c>
      <c r="E1376" s="288"/>
      <c r="F1376" s="288"/>
      <c r="G1376" s="288"/>
      <c r="H1376" s="288"/>
      <c r="I1376" s="288"/>
      <c r="J1376" s="288"/>
      <c r="K1376" s="288"/>
      <c r="L1376" s="288"/>
      <c r="M1376" s="288"/>
      <c r="N1376" s="288"/>
    </row>
    <row r="1377" spans="2:14" x14ac:dyDescent="0.25">
      <c r="B1377" s="16" t="s">
        <v>41</v>
      </c>
      <c r="C1377" s="16" t="s">
        <v>2216</v>
      </c>
      <c r="D1377" s="16" t="s">
        <v>2217</v>
      </c>
      <c r="E1377" s="289"/>
      <c r="F1377" s="289"/>
      <c r="G1377" s="289"/>
      <c r="H1377" s="289"/>
      <c r="I1377" s="289"/>
      <c r="J1377" s="289"/>
      <c r="K1377" s="289"/>
      <c r="L1377" s="289"/>
      <c r="M1377" s="289"/>
      <c r="N1377" s="289"/>
    </row>
    <row r="1378" spans="2:14" x14ac:dyDescent="0.25">
      <c r="B1378" s="16" t="s">
        <v>41</v>
      </c>
      <c r="C1378" s="16" t="s">
        <v>2218</v>
      </c>
      <c r="D1378" s="16" t="s">
        <v>2219</v>
      </c>
      <c r="E1378" s="288">
        <v>30000</v>
      </c>
      <c r="F1378" s="288">
        <f>ROUND(IF($A1378="E",E1378*(1+Assumptions!C$15),E1378*(1+Assumptions!C$14)),-2)</f>
        <v>30500</v>
      </c>
      <c r="G1378" s="288">
        <f>ROUND(IF($A1378="E",F1378*(1+Assumptions!D$15),F1378*(1+Assumptions!D$14)),-2)</f>
        <v>31100</v>
      </c>
      <c r="H1378" s="288">
        <f>ROUND(IF($A1378="E",G1378*(1+Assumptions!E$15),G1378*(1+Assumptions!E$14)),-2)</f>
        <v>31700</v>
      </c>
      <c r="I1378" s="288">
        <f>ROUND(IF($A1378="E",H1378*(1+Assumptions!F$15),H1378*(1+Assumptions!F$14)),-2)</f>
        <v>32300</v>
      </c>
      <c r="J1378" s="288">
        <f>ROUND(IF($A1378="E",I1378*(1+Assumptions!G$15),I1378*(1+Assumptions!G$14)),-2)</f>
        <v>32900</v>
      </c>
      <c r="K1378" s="288">
        <f>ROUND(IF($A1378="E",J1378*(1+Assumptions!H$15),J1378*(1+Assumptions!H$14)),-2)</f>
        <v>33600</v>
      </c>
      <c r="L1378" s="288">
        <f>ROUND(IF($A1378="E",K1378*(1+Assumptions!I$15),K1378*(1+Assumptions!I$14)),-2)</f>
        <v>34400</v>
      </c>
      <c r="M1378" s="288">
        <f>ROUND(IF($A1378="E",L1378*(1+Assumptions!J$15),L1378*(1+Assumptions!J$14)),-2)</f>
        <v>35300</v>
      </c>
      <c r="N1378" s="288">
        <f>ROUND(IF($A1378="E",M1378*(1+Assumptions!K$15),M1378*(1+Assumptions!K$14)),-2)</f>
        <v>36200</v>
      </c>
    </row>
    <row r="1379" spans="2:14" x14ac:dyDescent="0.25">
      <c r="B1379" s="16" t="s">
        <v>41</v>
      </c>
      <c r="C1379" s="16" t="s">
        <v>2220</v>
      </c>
      <c r="D1379" s="16" t="s">
        <v>2221</v>
      </c>
      <c r="E1379" s="288">
        <v>88700</v>
      </c>
      <c r="F1379" s="288">
        <f>ROUND(IF($A1379="E",E1379*(1+Assumptions!C$15),E1379*(1+Assumptions!C$14)),-2)</f>
        <v>90000</v>
      </c>
      <c r="G1379" s="288">
        <f>ROUND(IF($A1379="E",F1379*(1+Assumptions!D$15),F1379*(1+Assumptions!D$14)),-2)</f>
        <v>91800</v>
      </c>
      <c r="H1379" s="288">
        <f>ROUND(IF($A1379="E",G1379*(1+Assumptions!E$15),G1379*(1+Assumptions!E$14)),-2)</f>
        <v>93600</v>
      </c>
      <c r="I1379" s="288">
        <f>ROUND(IF($A1379="E",H1379*(1+Assumptions!F$15),H1379*(1+Assumptions!F$14)),-2)</f>
        <v>95500</v>
      </c>
      <c r="J1379" s="288">
        <f>ROUND(IF($A1379="E",I1379*(1+Assumptions!G$15),I1379*(1+Assumptions!G$14)),-2)</f>
        <v>97400</v>
      </c>
      <c r="K1379" s="288">
        <f>ROUND(IF($A1379="E",J1379*(1+Assumptions!H$15),J1379*(1+Assumptions!H$14)),-2)</f>
        <v>99300</v>
      </c>
      <c r="L1379" s="288">
        <f>ROUND(IF($A1379="E",K1379*(1+Assumptions!I$15),K1379*(1+Assumptions!I$14)),-2)</f>
        <v>101800</v>
      </c>
      <c r="M1379" s="288">
        <f>ROUND(IF($A1379="E",L1379*(1+Assumptions!J$15),L1379*(1+Assumptions!J$14)),-2)</f>
        <v>104300</v>
      </c>
      <c r="N1379" s="288">
        <f>ROUND(IF($A1379="E",M1379*(1+Assumptions!K$15),M1379*(1+Assumptions!K$14)),-2)</f>
        <v>106900</v>
      </c>
    </row>
    <row r="1380" spans="2:14" x14ac:dyDescent="0.25">
      <c r="B1380" s="16" t="s">
        <v>43</v>
      </c>
      <c r="C1380" s="16" t="s">
        <v>2222</v>
      </c>
      <c r="D1380" s="16" t="s">
        <v>97</v>
      </c>
      <c r="E1380" s="288">
        <v>8000</v>
      </c>
      <c r="F1380" s="288">
        <f>ROUND(IF($A1380="E",E1380*(1+Assumptions!C$15),E1380*(1+Assumptions!C$14)),-2)</f>
        <v>8100</v>
      </c>
      <c r="G1380" s="288">
        <f>ROUND(IF($A1380="E",F1380*(1+Assumptions!D$15),F1380*(1+Assumptions!D$14)),-2)</f>
        <v>8300</v>
      </c>
      <c r="H1380" s="288">
        <f>ROUND(IF($A1380="E",G1380*(1+Assumptions!E$15),G1380*(1+Assumptions!E$14)),-2)</f>
        <v>8500</v>
      </c>
      <c r="I1380" s="288">
        <f>ROUND(IF($A1380="E",H1380*(1+Assumptions!F$15),H1380*(1+Assumptions!F$14)),-2)</f>
        <v>8700</v>
      </c>
      <c r="J1380" s="288">
        <f>ROUND(IF($A1380="E",I1380*(1+Assumptions!G$15),I1380*(1+Assumptions!G$14)),-2)</f>
        <v>8900</v>
      </c>
      <c r="K1380" s="288">
        <f>ROUND(IF($A1380="E",J1380*(1+Assumptions!H$15),J1380*(1+Assumptions!H$14)),-2)</f>
        <v>9100</v>
      </c>
      <c r="L1380" s="288">
        <f>ROUND(IF($A1380="E",K1380*(1+Assumptions!I$15),K1380*(1+Assumptions!I$14)),-2)</f>
        <v>9300</v>
      </c>
      <c r="M1380" s="288">
        <f>ROUND(IF($A1380="E",L1380*(1+Assumptions!J$15),L1380*(1+Assumptions!J$14)),-2)</f>
        <v>9500</v>
      </c>
      <c r="N1380" s="288">
        <f>ROUND(IF($A1380="E",M1380*(1+Assumptions!K$15),M1380*(1+Assumptions!K$14)),-2)</f>
        <v>9700</v>
      </c>
    </row>
    <row r="1381" spans="2:14" x14ac:dyDescent="0.25">
      <c r="B1381" s="16" t="s">
        <v>43</v>
      </c>
      <c r="C1381" s="16" t="s">
        <v>2223</v>
      </c>
      <c r="D1381" s="16" t="s">
        <v>2224</v>
      </c>
      <c r="E1381" s="289"/>
      <c r="F1381" s="289"/>
      <c r="G1381" s="289"/>
      <c r="H1381" s="289"/>
      <c r="I1381" s="289"/>
      <c r="J1381" s="289"/>
      <c r="K1381" s="289"/>
      <c r="L1381" s="289"/>
      <c r="M1381" s="289"/>
      <c r="N1381" s="289"/>
    </row>
    <row r="1382" spans="2:14" x14ac:dyDescent="0.25">
      <c r="B1382" s="16" t="s">
        <v>43</v>
      </c>
      <c r="C1382" s="16" t="s">
        <v>2225</v>
      </c>
      <c r="D1382" s="16" t="s">
        <v>2226</v>
      </c>
      <c r="E1382" s="288">
        <v>91700</v>
      </c>
      <c r="F1382" s="288">
        <f>ROUND(IF($A1382="E",E1382*(1+Assumptions!C$15),E1382*(1+Assumptions!C$14)),-2)</f>
        <v>93100</v>
      </c>
      <c r="G1382" s="288">
        <f>ROUND(IF($A1382="E",F1382*(1+Assumptions!D$15),F1382*(1+Assumptions!D$14)),-2)</f>
        <v>95000</v>
      </c>
      <c r="H1382" s="288">
        <f>ROUND(IF($A1382="E",G1382*(1+Assumptions!E$15),G1382*(1+Assumptions!E$14)),-2)</f>
        <v>96900</v>
      </c>
      <c r="I1382" s="288">
        <f>ROUND(IF($A1382="E",H1382*(1+Assumptions!F$15),H1382*(1+Assumptions!F$14)),-2)</f>
        <v>98800</v>
      </c>
      <c r="J1382" s="288">
        <f>ROUND(IF($A1382="E",I1382*(1+Assumptions!G$15),I1382*(1+Assumptions!G$14)),-2)</f>
        <v>100800</v>
      </c>
      <c r="K1382" s="288">
        <f>ROUND(IF($A1382="E",J1382*(1+Assumptions!H$15),J1382*(1+Assumptions!H$14)),-2)</f>
        <v>102800</v>
      </c>
      <c r="L1382" s="288">
        <f>ROUND(IF($A1382="E",K1382*(1+Assumptions!I$15),K1382*(1+Assumptions!I$14)),-2)</f>
        <v>105400</v>
      </c>
      <c r="M1382" s="288">
        <f>ROUND(IF($A1382="E",L1382*(1+Assumptions!J$15),L1382*(1+Assumptions!J$14)),-2)</f>
        <v>108000</v>
      </c>
      <c r="N1382" s="288">
        <f>ROUND(IF($A1382="E",M1382*(1+Assumptions!K$15),M1382*(1+Assumptions!K$14)),-2)</f>
        <v>110700</v>
      </c>
    </row>
    <row r="1383" spans="2:14" x14ac:dyDescent="0.25">
      <c r="B1383" s="16" t="s">
        <v>45</v>
      </c>
      <c r="C1383" s="16" t="s">
        <v>2227</v>
      </c>
      <c r="D1383" s="16" t="s">
        <v>2228</v>
      </c>
      <c r="E1383" s="288">
        <v>154300</v>
      </c>
      <c r="F1383" s="288">
        <f>ROUND(IF($A1383="E",E1383*(1+Assumptions!C$15),E1383*(1+Assumptions!C$14)),-2)</f>
        <v>156600</v>
      </c>
      <c r="G1383" s="288">
        <f>ROUND(IF($A1383="E",F1383*(1+Assumptions!D$15),F1383*(1+Assumptions!D$14)),-2)</f>
        <v>159700</v>
      </c>
      <c r="H1383" s="288">
        <f>ROUND(IF($A1383="E",G1383*(1+Assumptions!E$15),G1383*(1+Assumptions!E$14)),-2)</f>
        <v>162900</v>
      </c>
      <c r="I1383" s="288">
        <f>ROUND(IF($A1383="E",H1383*(1+Assumptions!F$15),H1383*(1+Assumptions!F$14)),-2)</f>
        <v>166200</v>
      </c>
      <c r="J1383" s="288">
        <f>ROUND(IF($A1383="E",I1383*(1+Assumptions!G$15),I1383*(1+Assumptions!G$14)),-2)</f>
        <v>169500</v>
      </c>
      <c r="K1383" s="288">
        <f>ROUND(IF($A1383="E",J1383*(1+Assumptions!H$15),J1383*(1+Assumptions!H$14)),-2)</f>
        <v>172900</v>
      </c>
      <c r="L1383" s="288">
        <f>ROUND(IF($A1383="E",K1383*(1+Assumptions!I$15),K1383*(1+Assumptions!I$14)),-2)</f>
        <v>177200</v>
      </c>
      <c r="M1383" s="288">
        <f>ROUND(IF($A1383="E",L1383*(1+Assumptions!J$15),L1383*(1+Assumptions!J$14)),-2)</f>
        <v>181600</v>
      </c>
      <c r="N1383" s="288">
        <f>ROUND(IF($A1383="E",M1383*(1+Assumptions!K$15),M1383*(1+Assumptions!K$14)),-2)</f>
        <v>186100</v>
      </c>
    </row>
    <row r="1384" spans="2:14" x14ac:dyDescent="0.25">
      <c r="B1384" s="16" t="s">
        <v>43</v>
      </c>
      <c r="C1384" s="16" t="s">
        <v>2229</v>
      </c>
      <c r="D1384" s="16" t="s">
        <v>2230</v>
      </c>
      <c r="E1384" s="288">
        <v>11100</v>
      </c>
      <c r="F1384" s="288">
        <f>ROUND(IF($A1384="E",E1384*(1+Assumptions!C$15),E1384*(1+Assumptions!C$14)),-2)</f>
        <v>11300</v>
      </c>
      <c r="G1384" s="288">
        <f>ROUND(IF($A1384="E",F1384*(1+Assumptions!D$15),F1384*(1+Assumptions!D$14)),-2)</f>
        <v>11500</v>
      </c>
      <c r="H1384" s="288">
        <f>ROUND(IF($A1384="E",G1384*(1+Assumptions!E$15),G1384*(1+Assumptions!E$14)),-2)</f>
        <v>11700</v>
      </c>
      <c r="I1384" s="288">
        <f>ROUND(IF($A1384="E",H1384*(1+Assumptions!F$15),H1384*(1+Assumptions!F$14)),-2)</f>
        <v>11900</v>
      </c>
      <c r="J1384" s="288">
        <f>ROUND(IF($A1384="E",I1384*(1+Assumptions!G$15),I1384*(1+Assumptions!G$14)),-2)</f>
        <v>12100</v>
      </c>
      <c r="K1384" s="288">
        <f>ROUND(IF($A1384="E",J1384*(1+Assumptions!H$15),J1384*(1+Assumptions!H$14)),-2)</f>
        <v>12300</v>
      </c>
      <c r="L1384" s="288">
        <f>ROUND(IF($A1384="E",K1384*(1+Assumptions!I$15),K1384*(1+Assumptions!I$14)),-2)</f>
        <v>12600</v>
      </c>
      <c r="M1384" s="288">
        <f>ROUND(IF($A1384="E",L1384*(1+Assumptions!J$15),L1384*(1+Assumptions!J$14)),-2)</f>
        <v>12900</v>
      </c>
      <c r="N1384" s="288">
        <f>ROUND(IF($A1384="E",M1384*(1+Assumptions!K$15),M1384*(1+Assumptions!K$14)),-2)</f>
        <v>13200</v>
      </c>
    </row>
    <row r="1385" spans="2:14" x14ac:dyDescent="0.25">
      <c r="B1385" s="16" t="s">
        <v>43</v>
      </c>
      <c r="C1385" s="16" t="s">
        <v>2231</v>
      </c>
      <c r="D1385" s="16" t="s">
        <v>2232</v>
      </c>
      <c r="E1385" s="288">
        <v>16100</v>
      </c>
      <c r="F1385" s="288">
        <f>ROUND(IF($A1385="E",E1385*(1+Assumptions!C$15),E1385*(1+Assumptions!C$14)),-2)</f>
        <v>16300</v>
      </c>
      <c r="G1385" s="288">
        <f>ROUND(IF($A1385="E",F1385*(1+Assumptions!D$15),F1385*(1+Assumptions!D$14)),-2)</f>
        <v>16600</v>
      </c>
      <c r="H1385" s="288">
        <f>ROUND(IF($A1385="E",G1385*(1+Assumptions!E$15),G1385*(1+Assumptions!E$14)),-2)</f>
        <v>16900</v>
      </c>
      <c r="I1385" s="288">
        <f>ROUND(IF($A1385="E",H1385*(1+Assumptions!F$15),H1385*(1+Assumptions!F$14)),-2)</f>
        <v>17200</v>
      </c>
      <c r="J1385" s="288">
        <f>ROUND(IF($A1385="E",I1385*(1+Assumptions!G$15),I1385*(1+Assumptions!G$14)),-2)</f>
        <v>17500</v>
      </c>
      <c r="K1385" s="288">
        <f>ROUND(IF($A1385="E",J1385*(1+Assumptions!H$15),J1385*(1+Assumptions!H$14)),-2)</f>
        <v>17900</v>
      </c>
      <c r="L1385" s="288">
        <f>ROUND(IF($A1385="E",K1385*(1+Assumptions!I$15),K1385*(1+Assumptions!I$14)),-2)</f>
        <v>18300</v>
      </c>
      <c r="M1385" s="288">
        <f>ROUND(IF($A1385="E",L1385*(1+Assumptions!J$15),L1385*(1+Assumptions!J$14)),-2)</f>
        <v>18800</v>
      </c>
      <c r="N1385" s="288">
        <f>ROUND(IF($A1385="E",M1385*(1+Assumptions!K$15),M1385*(1+Assumptions!K$14)),-2)</f>
        <v>19300</v>
      </c>
    </row>
    <row r="1386" spans="2:14" x14ac:dyDescent="0.25">
      <c r="B1386" s="16" t="s">
        <v>43</v>
      </c>
      <c r="C1386" s="16" t="s">
        <v>2233</v>
      </c>
      <c r="D1386" s="16" t="s">
        <v>2234</v>
      </c>
      <c r="E1386" s="288">
        <v>32000</v>
      </c>
      <c r="F1386" s="288">
        <f>ROUND(IF($A1386="E",E1386*(1+Assumptions!C$15),E1386*(1+Assumptions!C$14)),-2)</f>
        <v>32500</v>
      </c>
      <c r="G1386" s="288">
        <f>ROUND(IF($A1386="E",F1386*(1+Assumptions!D$15),F1386*(1+Assumptions!D$14)),-2)</f>
        <v>33200</v>
      </c>
      <c r="H1386" s="288">
        <f>ROUND(IF($A1386="E",G1386*(1+Assumptions!E$15),G1386*(1+Assumptions!E$14)),-2)</f>
        <v>33900</v>
      </c>
      <c r="I1386" s="288">
        <f>ROUND(IF($A1386="E",H1386*(1+Assumptions!F$15),H1386*(1+Assumptions!F$14)),-2)</f>
        <v>34600</v>
      </c>
      <c r="J1386" s="288">
        <f>ROUND(IF($A1386="E",I1386*(1+Assumptions!G$15),I1386*(1+Assumptions!G$14)),-2)</f>
        <v>35300</v>
      </c>
      <c r="K1386" s="288">
        <f>ROUND(IF($A1386="E",J1386*(1+Assumptions!H$15),J1386*(1+Assumptions!H$14)),-2)</f>
        <v>36000</v>
      </c>
      <c r="L1386" s="288">
        <f>ROUND(IF($A1386="E",K1386*(1+Assumptions!I$15),K1386*(1+Assumptions!I$14)),-2)</f>
        <v>36900</v>
      </c>
      <c r="M1386" s="288">
        <f>ROUND(IF($A1386="E",L1386*(1+Assumptions!J$15),L1386*(1+Assumptions!J$14)),-2)</f>
        <v>37800</v>
      </c>
      <c r="N1386" s="288">
        <f>ROUND(IF($A1386="E",M1386*(1+Assumptions!K$15),M1386*(1+Assumptions!K$14)),-2)</f>
        <v>38700</v>
      </c>
    </row>
    <row r="1387" spans="2:14" x14ac:dyDescent="0.25">
      <c r="B1387" s="16" t="s">
        <v>43</v>
      </c>
      <c r="C1387" s="16" t="s">
        <v>2235</v>
      </c>
      <c r="D1387" s="16" t="s">
        <v>2236</v>
      </c>
      <c r="E1387" s="288">
        <v>5300</v>
      </c>
      <c r="F1387" s="288">
        <f>ROUND(IF($A1387="E",E1387*(1+Assumptions!C$15),E1387*(1+Assumptions!C$14)),-2)</f>
        <v>5400</v>
      </c>
      <c r="G1387" s="288">
        <f>ROUND(IF($A1387="E",F1387*(1+Assumptions!D$15),F1387*(1+Assumptions!D$14)),-2)</f>
        <v>5500</v>
      </c>
      <c r="H1387" s="288">
        <f>ROUND(IF($A1387="E",G1387*(1+Assumptions!E$15),G1387*(1+Assumptions!E$14)),-2)</f>
        <v>5600</v>
      </c>
      <c r="I1387" s="288">
        <f>ROUND(IF($A1387="E",H1387*(1+Assumptions!F$15),H1387*(1+Assumptions!F$14)),-2)</f>
        <v>5700</v>
      </c>
      <c r="J1387" s="288">
        <f>ROUND(IF($A1387="E",I1387*(1+Assumptions!G$15),I1387*(1+Assumptions!G$14)),-2)</f>
        <v>5800</v>
      </c>
      <c r="K1387" s="288">
        <f>ROUND(IF($A1387="E",J1387*(1+Assumptions!H$15),J1387*(1+Assumptions!H$14)),-2)</f>
        <v>5900</v>
      </c>
      <c r="L1387" s="288">
        <f>ROUND(IF($A1387="E",K1387*(1+Assumptions!I$15),K1387*(1+Assumptions!I$14)),-2)</f>
        <v>6000</v>
      </c>
      <c r="M1387" s="288">
        <f>ROUND(IF($A1387="E",L1387*(1+Assumptions!J$15),L1387*(1+Assumptions!J$14)),-2)</f>
        <v>6200</v>
      </c>
      <c r="N1387" s="288">
        <f>ROUND(IF($A1387="E",M1387*(1+Assumptions!K$15),M1387*(1+Assumptions!K$14)),-2)</f>
        <v>6400</v>
      </c>
    </row>
    <row r="1388" spans="2:14" x14ac:dyDescent="0.25">
      <c r="B1388" s="16" t="s">
        <v>43</v>
      </c>
      <c r="C1388" s="16" t="s">
        <v>2237</v>
      </c>
      <c r="D1388" s="16" t="s">
        <v>2238</v>
      </c>
      <c r="E1388" s="288">
        <v>33900</v>
      </c>
      <c r="F1388" s="288">
        <f>ROUND(IF($A1388="E",E1388*(1+Assumptions!C$15),E1388*(1+Assumptions!C$14)),-2)</f>
        <v>34400</v>
      </c>
      <c r="G1388" s="288">
        <f>ROUND(IF($A1388="E",F1388*(1+Assumptions!D$15),F1388*(1+Assumptions!D$14)),-2)</f>
        <v>35100</v>
      </c>
      <c r="H1388" s="288">
        <f>ROUND(IF($A1388="E",G1388*(1+Assumptions!E$15),G1388*(1+Assumptions!E$14)),-2)</f>
        <v>35800</v>
      </c>
      <c r="I1388" s="288">
        <f>ROUND(IF($A1388="E",H1388*(1+Assumptions!F$15),H1388*(1+Assumptions!F$14)),-2)</f>
        <v>36500</v>
      </c>
      <c r="J1388" s="288">
        <f>ROUND(IF($A1388="E",I1388*(1+Assumptions!G$15),I1388*(1+Assumptions!G$14)),-2)</f>
        <v>37200</v>
      </c>
      <c r="K1388" s="288">
        <f>ROUND(IF($A1388="E",J1388*(1+Assumptions!H$15),J1388*(1+Assumptions!H$14)),-2)</f>
        <v>37900</v>
      </c>
      <c r="L1388" s="288">
        <f>ROUND(IF($A1388="E",K1388*(1+Assumptions!I$15),K1388*(1+Assumptions!I$14)),-2)</f>
        <v>38800</v>
      </c>
      <c r="M1388" s="288">
        <f>ROUND(IF($A1388="E",L1388*(1+Assumptions!J$15),L1388*(1+Assumptions!J$14)),-2)</f>
        <v>39800</v>
      </c>
      <c r="N1388" s="288">
        <f>ROUND(IF($A1388="E",M1388*(1+Assumptions!K$15),M1388*(1+Assumptions!K$14)),-2)</f>
        <v>40800</v>
      </c>
    </row>
    <row r="1389" spans="2:14" x14ac:dyDescent="0.25">
      <c r="B1389" s="16" t="s">
        <v>43</v>
      </c>
      <c r="C1389" s="16" t="s">
        <v>2239</v>
      </c>
      <c r="D1389" s="16" t="s">
        <v>2240</v>
      </c>
      <c r="E1389" s="288">
        <v>13400</v>
      </c>
      <c r="F1389" s="288">
        <f>ROUND(IF($A1389="E",E1389*(1+Assumptions!C$15),E1389*(1+Assumptions!C$14)),-2)</f>
        <v>13600</v>
      </c>
      <c r="G1389" s="288">
        <f>ROUND(IF($A1389="E",F1389*(1+Assumptions!D$15),F1389*(1+Assumptions!D$14)),-2)</f>
        <v>13900</v>
      </c>
      <c r="H1389" s="288">
        <f>ROUND(IF($A1389="E",G1389*(1+Assumptions!E$15),G1389*(1+Assumptions!E$14)),-2)</f>
        <v>14200</v>
      </c>
      <c r="I1389" s="288">
        <f>ROUND(IF($A1389="E",H1389*(1+Assumptions!F$15),H1389*(1+Assumptions!F$14)),-2)</f>
        <v>14500</v>
      </c>
      <c r="J1389" s="288">
        <f>ROUND(IF($A1389="E",I1389*(1+Assumptions!G$15),I1389*(1+Assumptions!G$14)),-2)</f>
        <v>14800</v>
      </c>
      <c r="K1389" s="288">
        <f>ROUND(IF($A1389="E",J1389*(1+Assumptions!H$15),J1389*(1+Assumptions!H$14)),-2)</f>
        <v>15100</v>
      </c>
      <c r="L1389" s="288">
        <f>ROUND(IF($A1389="E",K1389*(1+Assumptions!I$15),K1389*(1+Assumptions!I$14)),-2)</f>
        <v>15500</v>
      </c>
      <c r="M1389" s="288">
        <f>ROUND(IF($A1389="E",L1389*(1+Assumptions!J$15),L1389*(1+Assumptions!J$14)),-2)</f>
        <v>15900</v>
      </c>
      <c r="N1389" s="288">
        <f>ROUND(IF($A1389="E",M1389*(1+Assumptions!K$15),M1389*(1+Assumptions!K$14)),-2)</f>
        <v>16300</v>
      </c>
    </row>
    <row r="1390" spans="2:14" x14ac:dyDescent="0.25">
      <c r="B1390" s="16" t="s">
        <v>43</v>
      </c>
      <c r="C1390" s="16" t="s">
        <v>2241</v>
      </c>
      <c r="D1390" s="16" t="s">
        <v>2242</v>
      </c>
      <c r="E1390" s="288">
        <v>16100</v>
      </c>
      <c r="F1390" s="288">
        <f>ROUND(IF($A1390="E",E1390*(1+Assumptions!C$15),E1390*(1+Assumptions!C$14)),-2)</f>
        <v>16300</v>
      </c>
      <c r="G1390" s="288">
        <f>ROUND(IF($A1390="E",F1390*(1+Assumptions!D$15),F1390*(1+Assumptions!D$14)),-2)</f>
        <v>16600</v>
      </c>
      <c r="H1390" s="288">
        <f>ROUND(IF($A1390="E",G1390*(1+Assumptions!E$15),G1390*(1+Assumptions!E$14)),-2)</f>
        <v>16900</v>
      </c>
      <c r="I1390" s="288">
        <f>ROUND(IF($A1390="E",H1390*(1+Assumptions!F$15),H1390*(1+Assumptions!F$14)),-2)</f>
        <v>17200</v>
      </c>
      <c r="J1390" s="288">
        <f>ROUND(IF($A1390="E",I1390*(1+Assumptions!G$15),I1390*(1+Assumptions!G$14)),-2)</f>
        <v>17500</v>
      </c>
      <c r="K1390" s="288">
        <f>ROUND(IF($A1390="E",J1390*(1+Assumptions!H$15),J1390*(1+Assumptions!H$14)),-2)</f>
        <v>17900</v>
      </c>
      <c r="L1390" s="288">
        <f>ROUND(IF($A1390="E",K1390*(1+Assumptions!I$15),K1390*(1+Assumptions!I$14)),-2)</f>
        <v>18300</v>
      </c>
      <c r="M1390" s="288">
        <f>ROUND(IF($A1390="E",L1390*(1+Assumptions!J$15),L1390*(1+Assumptions!J$14)),-2)</f>
        <v>18800</v>
      </c>
      <c r="N1390" s="288">
        <f>ROUND(IF($A1390="E",M1390*(1+Assumptions!K$15),M1390*(1+Assumptions!K$14)),-2)</f>
        <v>19300</v>
      </c>
    </row>
    <row r="1391" spans="2:14" x14ac:dyDescent="0.25">
      <c r="B1391" s="16" t="s">
        <v>43</v>
      </c>
      <c r="C1391" s="16" t="s">
        <v>2243</v>
      </c>
      <c r="D1391" s="16" t="s">
        <v>2244</v>
      </c>
      <c r="E1391" s="288">
        <v>12500</v>
      </c>
      <c r="F1391" s="288">
        <f>ROUND(IF($A1391="E",E1391*(1+Assumptions!C$15),E1391*(1+Assumptions!C$14)),-2)</f>
        <v>12700</v>
      </c>
      <c r="G1391" s="288">
        <f>ROUND(IF($A1391="E",F1391*(1+Assumptions!D$15),F1391*(1+Assumptions!D$14)),-2)</f>
        <v>13000</v>
      </c>
      <c r="H1391" s="288">
        <f>ROUND(IF($A1391="E",G1391*(1+Assumptions!E$15),G1391*(1+Assumptions!E$14)),-2)</f>
        <v>13300</v>
      </c>
      <c r="I1391" s="288">
        <f>ROUND(IF($A1391="E",H1391*(1+Assumptions!F$15),H1391*(1+Assumptions!F$14)),-2)</f>
        <v>13600</v>
      </c>
      <c r="J1391" s="288">
        <f>ROUND(IF($A1391="E",I1391*(1+Assumptions!G$15),I1391*(1+Assumptions!G$14)),-2)</f>
        <v>13900</v>
      </c>
      <c r="K1391" s="288">
        <f>ROUND(IF($A1391="E",J1391*(1+Assumptions!H$15),J1391*(1+Assumptions!H$14)),-2)</f>
        <v>14200</v>
      </c>
      <c r="L1391" s="288">
        <f>ROUND(IF($A1391="E",K1391*(1+Assumptions!I$15),K1391*(1+Assumptions!I$14)),-2)</f>
        <v>14600</v>
      </c>
      <c r="M1391" s="288">
        <f>ROUND(IF($A1391="E",L1391*(1+Assumptions!J$15),L1391*(1+Assumptions!J$14)),-2)</f>
        <v>15000</v>
      </c>
      <c r="N1391" s="288">
        <f>ROUND(IF($A1391="E",M1391*(1+Assumptions!K$15),M1391*(1+Assumptions!K$14)),-2)</f>
        <v>15400</v>
      </c>
    </row>
    <row r="1392" spans="2:14" x14ac:dyDescent="0.25">
      <c r="B1392" s="16" t="s">
        <v>43</v>
      </c>
      <c r="C1392" s="16" t="s">
        <v>2245</v>
      </c>
      <c r="D1392" s="16" t="s">
        <v>2246</v>
      </c>
      <c r="E1392" s="288">
        <v>22700</v>
      </c>
      <c r="F1392" s="288">
        <f>ROUND(IF($A1392="E",E1392*(1+Assumptions!C$15),E1392*(1+Assumptions!C$14)),-2)</f>
        <v>23000</v>
      </c>
      <c r="G1392" s="288">
        <f>ROUND(IF($A1392="E",F1392*(1+Assumptions!D$15),F1392*(1+Assumptions!D$14)),-2)</f>
        <v>23500</v>
      </c>
      <c r="H1392" s="288">
        <f>ROUND(IF($A1392="E",G1392*(1+Assumptions!E$15),G1392*(1+Assumptions!E$14)),-2)</f>
        <v>24000</v>
      </c>
      <c r="I1392" s="288">
        <f>ROUND(IF($A1392="E",H1392*(1+Assumptions!F$15),H1392*(1+Assumptions!F$14)),-2)</f>
        <v>24500</v>
      </c>
      <c r="J1392" s="288">
        <f>ROUND(IF($A1392="E",I1392*(1+Assumptions!G$15),I1392*(1+Assumptions!G$14)),-2)</f>
        <v>25000</v>
      </c>
      <c r="K1392" s="288">
        <f>ROUND(IF($A1392="E",J1392*(1+Assumptions!H$15),J1392*(1+Assumptions!H$14)),-2)</f>
        <v>25500</v>
      </c>
      <c r="L1392" s="288">
        <f>ROUND(IF($A1392="E",K1392*(1+Assumptions!I$15),K1392*(1+Assumptions!I$14)),-2)</f>
        <v>26100</v>
      </c>
      <c r="M1392" s="288">
        <f>ROUND(IF($A1392="E",L1392*(1+Assumptions!J$15),L1392*(1+Assumptions!J$14)),-2)</f>
        <v>26800</v>
      </c>
      <c r="N1392" s="288">
        <f>ROUND(IF($A1392="E",M1392*(1+Assumptions!K$15),M1392*(1+Assumptions!K$14)),-2)</f>
        <v>27500</v>
      </c>
    </row>
    <row r="1393" spans="1:14" x14ac:dyDescent="0.25">
      <c r="B1393" s="16" t="s">
        <v>43</v>
      </c>
      <c r="C1393" s="16" t="s">
        <v>2247</v>
      </c>
      <c r="D1393" s="16" t="s">
        <v>2248</v>
      </c>
      <c r="E1393" s="288">
        <v>11400</v>
      </c>
      <c r="F1393" s="288">
        <f>ROUND(IF($A1393="E",E1393*(1+Assumptions!C$15),E1393*(1+Assumptions!C$14)),-2)</f>
        <v>11600</v>
      </c>
      <c r="G1393" s="288">
        <f>ROUND(IF($A1393="E",F1393*(1+Assumptions!D$15),F1393*(1+Assumptions!D$14)),-2)</f>
        <v>11800</v>
      </c>
      <c r="H1393" s="288">
        <f>ROUND(IF($A1393="E",G1393*(1+Assumptions!E$15),G1393*(1+Assumptions!E$14)),-2)</f>
        <v>12000</v>
      </c>
      <c r="I1393" s="288">
        <f>ROUND(IF($A1393="E",H1393*(1+Assumptions!F$15),H1393*(1+Assumptions!F$14)),-2)</f>
        <v>12200</v>
      </c>
      <c r="J1393" s="288">
        <f>ROUND(IF($A1393="E",I1393*(1+Assumptions!G$15),I1393*(1+Assumptions!G$14)),-2)</f>
        <v>12400</v>
      </c>
      <c r="K1393" s="288">
        <f>ROUND(IF($A1393="E",J1393*(1+Assumptions!H$15),J1393*(1+Assumptions!H$14)),-2)</f>
        <v>12600</v>
      </c>
      <c r="L1393" s="288">
        <f>ROUND(IF($A1393="E",K1393*(1+Assumptions!I$15),K1393*(1+Assumptions!I$14)),-2)</f>
        <v>12900</v>
      </c>
      <c r="M1393" s="288">
        <f>ROUND(IF($A1393="E",L1393*(1+Assumptions!J$15),L1393*(1+Assumptions!J$14)),-2)</f>
        <v>13200</v>
      </c>
      <c r="N1393" s="288">
        <f>ROUND(IF($A1393="E",M1393*(1+Assumptions!K$15),M1393*(1+Assumptions!K$14)),-2)</f>
        <v>13500</v>
      </c>
    </row>
    <row r="1394" spans="1:14" x14ac:dyDescent="0.25">
      <c r="B1394" s="16" t="s">
        <v>43</v>
      </c>
      <c r="C1394" s="16" t="s">
        <v>2249</v>
      </c>
      <c r="D1394" s="16" t="s">
        <v>2250</v>
      </c>
      <c r="E1394" s="288">
        <v>5300</v>
      </c>
      <c r="F1394" s="288">
        <f>ROUND(IF($A1394="E",E1394*(1+Assumptions!C$15),E1394*(1+Assumptions!C$14)),-2)</f>
        <v>5400</v>
      </c>
      <c r="G1394" s="288">
        <f>ROUND(IF($A1394="E",F1394*(1+Assumptions!D$15),F1394*(1+Assumptions!D$14)),-2)</f>
        <v>5500</v>
      </c>
      <c r="H1394" s="288">
        <f>ROUND(IF($A1394="E",G1394*(1+Assumptions!E$15),G1394*(1+Assumptions!E$14)),-2)</f>
        <v>5600</v>
      </c>
      <c r="I1394" s="288">
        <f>ROUND(IF($A1394="E",H1394*(1+Assumptions!F$15),H1394*(1+Assumptions!F$14)),-2)</f>
        <v>5700</v>
      </c>
      <c r="J1394" s="288">
        <f>ROUND(IF($A1394="E",I1394*(1+Assumptions!G$15),I1394*(1+Assumptions!G$14)),-2)</f>
        <v>5800</v>
      </c>
      <c r="K1394" s="288">
        <f>ROUND(IF($A1394="E",J1394*(1+Assumptions!H$15),J1394*(1+Assumptions!H$14)),-2)</f>
        <v>5900</v>
      </c>
      <c r="L1394" s="288">
        <f>ROUND(IF($A1394="E",K1394*(1+Assumptions!I$15),K1394*(1+Assumptions!I$14)),-2)</f>
        <v>6000</v>
      </c>
      <c r="M1394" s="288">
        <f>ROUND(IF($A1394="E",L1394*(1+Assumptions!J$15),L1394*(1+Assumptions!J$14)),-2)</f>
        <v>6200</v>
      </c>
      <c r="N1394" s="288">
        <f>ROUND(IF($A1394="E",M1394*(1+Assumptions!K$15),M1394*(1+Assumptions!K$14)),-2)</f>
        <v>6400</v>
      </c>
    </row>
    <row r="1395" spans="1:14" x14ac:dyDescent="0.25">
      <c r="B1395" s="16" t="s">
        <v>43</v>
      </c>
      <c r="C1395" s="16" t="s">
        <v>2251</v>
      </c>
      <c r="D1395" s="16" t="s">
        <v>2252</v>
      </c>
      <c r="E1395" s="288">
        <v>9200</v>
      </c>
      <c r="F1395" s="288">
        <f>ROUND(IF($A1395="E",E1395*(1+Assumptions!C$15),E1395*(1+Assumptions!C$14)),-2)</f>
        <v>9300</v>
      </c>
      <c r="G1395" s="288">
        <f>ROUND(IF($A1395="E",F1395*(1+Assumptions!D$15),F1395*(1+Assumptions!D$14)),-2)</f>
        <v>9500</v>
      </c>
      <c r="H1395" s="288">
        <f>ROUND(IF($A1395="E",G1395*(1+Assumptions!E$15),G1395*(1+Assumptions!E$14)),-2)</f>
        <v>9700</v>
      </c>
      <c r="I1395" s="288">
        <f>ROUND(IF($A1395="E",H1395*(1+Assumptions!F$15),H1395*(1+Assumptions!F$14)),-2)</f>
        <v>9900</v>
      </c>
      <c r="J1395" s="288">
        <f>ROUND(IF($A1395="E",I1395*(1+Assumptions!G$15),I1395*(1+Assumptions!G$14)),-2)</f>
        <v>10100</v>
      </c>
      <c r="K1395" s="288">
        <f>ROUND(IF($A1395="E",J1395*(1+Assumptions!H$15),J1395*(1+Assumptions!H$14)),-2)</f>
        <v>10300</v>
      </c>
      <c r="L1395" s="288">
        <f>ROUND(IF($A1395="E",K1395*(1+Assumptions!I$15),K1395*(1+Assumptions!I$14)),-2)</f>
        <v>10600</v>
      </c>
      <c r="M1395" s="288">
        <f>ROUND(IF($A1395="E",L1395*(1+Assumptions!J$15),L1395*(1+Assumptions!J$14)),-2)</f>
        <v>10900</v>
      </c>
      <c r="N1395" s="288">
        <f>ROUND(IF($A1395="E",M1395*(1+Assumptions!K$15),M1395*(1+Assumptions!K$14)),-2)</f>
        <v>11200</v>
      </c>
    </row>
    <row r="1396" spans="1:14" x14ac:dyDescent="0.25">
      <c r="B1396" s="16" t="s">
        <v>43</v>
      </c>
      <c r="C1396" s="16" t="s">
        <v>2253</v>
      </c>
      <c r="D1396" s="16" t="s">
        <v>2254</v>
      </c>
      <c r="E1396" s="288">
        <v>8300</v>
      </c>
      <c r="F1396" s="288">
        <f>ROUND(IF($A1396="E",E1396*(1+Assumptions!C$15),E1396*(1+Assumptions!C$14)),-2)</f>
        <v>8400</v>
      </c>
      <c r="G1396" s="288">
        <f>ROUND(IF($A1396="E",F1396*(1+Assumptions!D$15),F1396*(1+Assumptions!D$14)),-2)</f>
        <v>8600</v>
      </c>
      <c r="H1396" s="288">
        <f>ROUND(IF($A1396="E",G1396*(1+Assumptions!E$15),G1396*(1+Assumptions!E$14)),-2)</f>
        <v>8800</v>
      </c>
      <c r="I1396" s="288">
        <f>ROUND(IF($A1396="E",H1396*(1+Assumptions!F$15),H1396*(1+Assumptions!F$14)),-2)</f>
        <v>9000</v>
      </c>
      <c r="J1396" s="288">
        <f>ROUND(IF($A1396="E",I1396*(1+Assumptions!G$15),I1396*(1+Assumptions!G$14)),-2)</f>
        <v>9200</v>
      </c>
      <c r="K1396" s="288">
        <f>ROUND(IF($A1396="E",J1396*(1+Assumptions!H$15),J1396*(1+Assumptions!H$14)),-2)</f>
        <v>9400</v>
      </c>
      <c r="L1396" s="288">
        <f>ROUND(IF($A1396="E",K1396*(1+Assumptions!I$15),K1396*(1+Assumptions!I$14)),-2)</f>
        <v>9600</v>
      </c>
      <c r="M1396" s="288">
        <f>ROUND(IF($A1396="E",L1396*(1+Assumptions!J$15),L1396*(1+Assumptions!J$14)),-2)</f>
        <v>9800</v>
      </c>
      <c r="N1396" s="288">
        <f>ROUND(IF($A1396="E",M1396*(1+Assumptions!K$15),M1396*(1+Assumptions!K$14)),-2)</f>
        <v>10000</v>
      </c>
    </row>
    <row r="1397" spans="1:14" x14ac:dyDescent="0.25">
      <c r="B1397" s="16" t="s">
        <v>45</v>
      </c>
      <c r="C1397" s="16" t="s">
        <v>2255</v>
      </c>
      <c r="D1397" s="16" t="s">
        <v>492</v>
      </c>
      <c r="E1397" s="288">
        <v>37300</v>
      </c>
      <c r="F1397" s="288">
        <f>ROUND(IF($A1397="E",E1397*(1+Assumptions!C$15),E1397*(1+Assumptions!C$14)),-2)</f>
        <v>37900</v>
      </c>
      <c r="G1397" s="288">
        <f>ROUND(IF($A1397="E",F1397*(1+Assumptions!D$15),F1397*(1+Assumptions!D$14)),-2)</f>
        <v>38700</v>
      </c>
      <c r="H1397" s="288">
        <f>ROUND(IF($A1397="E",G1397*(1+Assumptions!E$15),G1397*(1+Assumptions!E$14)),-2)</f>
        <v>39500</v>
      </c>
      <c r="I1397" s="288">
        <f>ROUND(IF($A1397="E",H1397*(1+Assumptions!F$15),H1397*(1+Assumptions!F$14)),-2)</f>
        <v>40300</v>
      </c>
      <c r="J1397" s="288">
        <f>ROUND(IF($A1397="E",I1397*(1+Assumptions!G$15),I1397*(1+Assumptions!G$14)),-2)</f>
        <v>41100</v>
      </c>
      <c r="K1397" s="288">
        <f>ROUND(IF($A1397="E",J1397*(1+Assumptions!H$15),J1397*(1+Assumptions!H$14)),-2)</f>
        <v>41900</v>
      </c>
      <c r="L1397" s="288">
        <f>ROUND(IF($A1397="E",K1397*(1+Assumptions!I$15),K1397*(1+Assumptions!I$14)),-2)</f>
        <v>42900</v>
      </c>
      <c r="M1397" s="288">
        <f>ROUND(IF($A1397="E",L1397*(1+Assumptions!J$15),L1397*(1+Assumptions!J$14)),-2)</f>
        <v>44000</v>
      </c>
      <c r="N1397" s="288">
        <f>ROUND(IF($A1397="E",M1397*(1+Assumptions!K$15),M1397*(1+Assumptions!K$14)),-2)</f>
        <v>45100</v>
      </c>
    </row>
    <row r="1398" spans="1:14" x14ac:dyDescent="0.25">
      <c r="B1398" s="16" t="s">
        <v>43</v>
      </c>
      <c r="C1398" s="16" t="s">
        <v>2256</v>
      </c>
      <c r="D1398" s="16" t="s">
        <v>844</v>
      </c>
      <c r="E1398" s="288">
        <v>19300</v>
      </c>
      <c r="F1398" s="288">
        <f>ROUND(IF($A1398="E",E1398*(1+Assumptions!C$15),E1398*(1+Assumptions!C$14)),-2)</f>
        <v>19600</v>
      </c>
      <c r="G1398" s="288">
        <f>ROUND(IF($A1398="E",F1398*(1+Assumptions!D$15),F1398*(1+Assumptions!D$14)),-2)</f>
        <v>20000</v>
      </c>
      <c r="H1398" s="288">
        <f>ROUND(IF($A1398="E",G1398*(1+Assumptions!E$15),G1398*(1+Assumptions!E$14)),-2)</f>
        <v>20400</v>
      </c>
      <c r="I1398" s="288">
        <f>ROUND(IF($A1398="E",H1398*(1+Assumptions!F$15),H1398*(1+Assumptions!F$14)),-2)</f>
        <v>20800</v>
      </c>
      <c r="J1398" s="288">
        <f>ROUND(IF($A1398="E",I1398*(1+Assumptions!G$15),I1398*(1+Assumptions!G$14)),-2)</f>
        <v>21200</v>
      </c>
      <c r="K1398" s="288">
        <f>ROUND(IF($A1398="E",J1398*(1+Assumptions!H$15),J1398*(1+Assumptions!H$14)),-2)</f>
        <v>21600</v>
      </c>
      <c r="L1398" s="288">
        <f>ROUND(IF($A1398="E",K1398*(1+Assumptions!I$15),K1398*(1+Assumptions!I$14)),-2)</f>
        <v>22100</v>
      </c>
      <c r="M1398" s="288">
        <f>ROUND(IF($A1398="E",L1398*(1+Assumptions!J$15),L1398*(1+Assumptions!J$14)),-2)</f>
        <v>22700</v>
      </c>
      <c r="N1398" s="288">
        <f>ROUND(IF($A1398="E",M1398*(1+Assumptions!K$15),M1398*(1+Assumptions!K$14)),-2)</f>
        <v>23300</v>
      </c>
    </row>
    <row r="1399" spans="1:14" x14ac:dyDescent="0.25">
      <c r="A1399" s="16" t="s">
        <v>4591</v>
      </c>
      <c r="B1399" s="397" t="s">
        <v>3231</v>
      </c>
      <c r="C1399" s="43" t="s">
        <v>3279</v>
      </c>
      <c r="D1399" s="16" t="s">
        <v>3278</v>
      </c>
      <c r="E1399" s="288">
        <v>74300</v>
      </c>
      <c r="F1399" s="288">
        <f>ROUND(IF($A1399="E",E1399*(1+Assumptions!C$15),E1399*(1+Assumptions!C$17)),-2)</f>
        <v>75000</v>
      </c>
      <c r="G1399" s="288">
        <f>ROUND(IF($A1399="E",F1399*(1+Assumptions!D$15),F1399*(1+Assumptions!D$17)),-2)</f>
        <v>75800</v>
      </c>
      <c r="H1399" s="288">
        <f>ROUND(IF($A1399="E",G1399*(1+Assumptions!E$15),G1399*(1+Assumptions!E$17)),-2)</f>
        <v>76600</v>
      </c>
      <c r="I1399" s="288">
        <f>ROUND(IF($A1399="E",H1399*(1+Assumptions!F$15),H1399*(1+Assumptions!F$17)),-2)</f>
        <v>77400</v>
      </c>
      <c r="J1399" s="288">
        <f>ROUND(IF($A1399="E",I1399*(1+Assumptions!G$15),I1399*(1+Assumptions!G$17)),-2)</f>
        <v>78200</v>
      </c>
      <c r="K1399" s="288">
        <f>ROUND(IF($A1399="E",J1399*(1+Assumptions!H$15),J1399*(1+Assumptions!H$17)),-2)</f>
        <v>79000</v>
      </c>
      <c r="L1399" s="288">
        <f>ROUND(IF($A1399="E",K1399*(1+Assumptions!I$15),K1399*(1+Assumptions!I$17)),-2)</f>
        <v>79800</v>
      </c>
      <c r="M1399" s="288">
        <f>ROUND(IF($A1399="E",L1399*(1+Assumptions!J$15),L1399*(1+Assumptions!J$17)),-2)</f>
        <v>80600</v>
      </c>
      <c r="N1399" s="288">
        <f>ROUND(IF($A1399="E",M1399*(1+Assumptions!K$15),M1399*(1+Assumptions!K$17)),-2)</f>
        <v>81400</v>
      </c>
    </row>
    <row r="1400" spans="1:14" x14ac:dyDescent="0.25">
      <c r="B1400" s="16" t="s">
        <v>43</v>
      </c>
      <c r="C1400" s="16" t="s">
        <v>2257</v>
      </c>
      <c r="D1400" s="16" t="s">
        <v>2258</v>
      </c>
      <c r="E1400" s="289"/>
      <c r="F1400" s="289"/>
      <c r="G1400" s="289"/>
      <c r="H1400" s="289"/>
      <c r="I1400" s="289"/>
      <c r="J1400" s="289"/>
      <c r="K1400" s="289"/>
      <c r="L1400" s="289"/>
      <c r="M1400" s="289"/>
      <c r="N1400" s="289"/>
    </row>
    <row r="1401" spans="1:14" x14ac:dyDescent="0.25">
      <c r="B1401" s="16" t="s">
        <v>43</v>
      </c>
      <c r="C1401" s="16" t="s">
        <v>2259</v>
      </c>
      <c r="D1401" s="16" t="s">
        <v>2260</v>
      </c>
      <c r="E1401" s="288">
        <v>40700</v>
      </c>
      <c r="F1401" s="288">
        <f>ROUND(IF($A1401="E",E1401*(1+Assumptions!C$15),E1401*(1+Assumptions!C$14)),-2)</f>
        <v>41300</v>
      </c>
      <c r="G1401" s="288">
        <f>ROUND(IF($A1401="E",F1401*(1+Assumptions!D$15),F1401*(1+Assumptions!D$14)),-2)</f>
        <v>42100</v>
      </c>
      <c r="H1401" s="288">
        <f>ROUND(IF($A1401="E",G1401*(1+Assumptions!E$15),G1401*(1+Assumptions!E$14)),-2)</f>
        <v>42900</v>
      </c>
      <c r="I1401" s="288">
        <f>ROUND(IF($A1401="E",H1401*(1+Assumptions!F$15),H1401*(1+Assumptions!F$14)),-2)</f>
        <v>43800</v>
      </c>
      <c r="J1401" s="288">
        <f>ROUND(IF($A1401="E",I1401*(1+Assumptions!G$15),I1401*(1+Assumptions!G$14)),-2)</f>
        <v>44700</v>
      </c>
      <c r="K1401" s="288">
        <f>ROUND(IF($A1401="E",J1401*(1+Assumptions!H$15),J1401*(1+Assumptions!H$14)),-2)</f>
        <v>45600</v>
      </c>
      <c r="L1401" s="288">
        <f>ROUND(IF($A1401="E",K1401*(1+Assumptions!I$15),K1401*(1+Assumptions!I$14)),-2)</f>
        <v>46700</v>
      </c>
      <c r="M1401" s="288">
        <f>ROUND(IF($A1401="E",L1401*(1+Assumptions!J$15),L1401*(1+Assumptions!J$14)),-2)</f>
        <v>47900</v>
      </c>
      <c r="N1401" s="288">
        <f>ROUND(IF($A1401="E",M1401*(1+Assumptions!K$15),M1401*(1+Assumptions!K$14)),-2)</f>
        <v>49100</v>
      </c>
    </row>
    <row r="1402" spans="1:14" x14ac:dyDescent="0.25">
      <c r="B1402" s="16" t="s">
        <v>43</v>
      </c>
      <c r="C1402" s="16" t="s">
        <v>2261</v>
      </c>
      <c r="D1402" s="16" t="s">
        <v>2262</v>
      </c>
      <c r="E1402" s="288">
        <v>41100</v>
      </c>
      <c r="F1402" s="288">
        <f>ROUND(IF($A1402="E",E1402*(1+Assumptions!C$15),E1402*(1+Assumptions!C$14)),-2)</f>
        <v>41700</v>
      </c>
      <c r="G1402" s="288">
        <f>ROUND(IF($A1402="E",F1402*(1+Assumptions!D$15),F1402*(1+Assumptions!D$14)),-2)</f>
        <v>42500</v>
      </c>
      <c r="H1402" s="288">
        <f>ROUND(IF($A1402="E",G1402*(1+Assumptions!E$15),G1402*(1+Assumptions!E$14)),-2)</f>
        <v>43400</v>
      </c>
      <c r="I1402" s="288">
        <f>ROUND(IF($A1402="E",H1402*(1+Assumptions!F$15),H1402*(1+Assumptions!F$14)),-2)</f>
        <v>44300</v>
      </c>
      <c r="J1402" s="288">
        <f>ROUND(IF($A1402="E",I1402*(1+Assumptions!G$15),I1402*(1+Assumptions!G$14)),-2)</f>
        <v>45200</v>
      </c>
      <c r="K1402" s="288">
        <f>ROUND(IF($A1402="E",J1402*(1+Assumptions!H$15),J1402*(1+Assumptions!H$14)),-2)</f>
        <v>46100</v>
      </c>
      <c r="L1402" s="288">
        <f>ROUND(IF($A1402="E",K1402*(1+Assumptions!I$15),K1402*(1+Assumptions!I$14)),-2)</f>
        <v>47300</v>
      </c>
      <c r="M1402" s="288">
        <f>ROUND(IF($A1402="E",L1402*(1+Assumptions!J$15),L1402*(1+Assumptions!J$14)),-2)</f>
        <v>48500</v>
      </c>
      <c r="N1402" s="288">
        <f>ROUND(IF($A1402="E",M1402*(1+Assumptions!K$15),M1402*(1+Assumptions!K$14)),-2)</f>
        <v>49700</v>
      </c>
    </row>
    <row r="1403" spans="1:14" x14ac:dyDescent="0.25">
      <c r="B1403" s="16" t="s">
        <v>43</v>
      </c>
      <c r="C1403" s="16" t="s">
        <v>2263</v>
      </c>
      <c r="D1403" s="16" t="s">
        <v>2264</v>
      </c>
      <c r="E1403" s="288">
        <v>18500</v>
      </c>
      <c r="F1403" s="288">
        <f>ROUND(IF($A1403="E",E1403*(1+Assumptions!C$15),E1403*(1+Assumptions!C$14)),-2)</f>
        <v>18800</v>
      </c>
      <c r="G1403" s="288">
        <f>ROUND(IF($A1403="E",F1403*(1+Assumptions!D$15),F1403*(1+Assumptions!D$14)),-2)</f>
        <v>19200</v>
      </c>
      <c r="H1403" s="288">
        <f>ROUND(IF($A1403="E",G1403*(1+Assumptions!E$15),G1403*(1+Assumptions!E$14)),-2)</f>
        <v>19600</v>
      </c>
      <c r="I1403" s="288">
        <f>ROUND(IF($A1403="E",H1403*(1+Assumptions!F$15),H1403*(1+Assumptions!F$14)),-2)</f>
        <v>20000</v>
      </c>
      <c r="J1403" s="288">
        <f>ROUND(IF($A1403="E",I1403*(1+Assumptions!G$15),I1403*(1+Assumptions!G$14)),-2)</f>
        <v>20400</v>
      </c>
      <c r="K1403" s="288">
        <f>ROUND(IF($A1403="E",J1403*(1+Assumptions!H$15),J1403*(1+Assumptions!H$14)),-2)</f>
        <v>20800</v>
      </c>
      <c r="L1403" s="288">
        <f>ROUND(IF($A1403="E",K1403*(1+Assumptions!I$15),K1403*(1+Assumptions!I$14)),-2)</f>
        <v>21300</v>
      </c>
      <c r="M1403" s="288">
        <f>ROUND(IF($A1403="E",L1403*(1+Assumptions!J$15),L1403*(1+Assumptions!J$14)),-2)</f>
        <v>21800</v>
      </c>
      <c r="N1403" s="288">
        <f>ROUND(IF($A1403="E",M1403*(1+Assumptions!K$15),M1403*(1+Assumptions!K$14)),-2)</f>
        <v>22300</v>
      </c>
    </row>
    <row r="1404" spans="1:14" x14ac:dyDescent="0.25">
      <c r="B1404" s="16" t="s">
        <v>45</v>
      </c>
      <c r="C1404" s="16" t="s">
        <v>2265</v>
      </c>
      <c r="D1404" s="16" t="s">
        <v>815</v>
      </c>
      <c r="E1404" s="288">
        <v>27000</v>
      </c>
      <c r="F1404" s="288">
        <f>ROUND(IF($A1404="E",E1404*(1+Assumptions!C$15),E1404*(1+Assumptions!C$14)),-2)</f>
        <v>27400</v>
      </c>
      <c r="G1404" s="288">
        <f>ROUND(IF($A1404="E",F1404*(1+Assumptions!D$15),F1404*(1+Assumptions!D$14)),-2)</f>
        <v>27900</v>
      </c>
      <c r="H1404" s="288">
        <f>ROUND(IF($A1404="E",G1404*(1+Assumptions!E$15),G1404*(1+Assumptions!E$14)),-2)</f>
        <v>28500</v>
      </c>
      <c r="I1404" s="288">
        <f>ROUND(IF($A1404="E",H1404*(1+Assumptions!F$15),H1404*(1+Assumptions!F$14)),-2)</f>
        <v>29100</v>
      </c>
      <c r="J1404" s="288">
        <f>ROUND(IF($A1404="E",I1404*(1+Assumptions!G$15),I1404*(1+Assumptions!G$14)),-2)</f>
        <v>29700</v>
      </c>
      <c r="K1404" s="288">
        <f>ROUND(IF($A1404="E",J1404*(1+Assumptions!H$15),J1404*(1+Assumptions!H$14)),-2)</f>
        <v>30300</v>
      </c>
      <c r="L1404" s="288">
        <f>ROUND(IF($A1404="E",K1404*(1+Assumptions!I$15),K1404*(1+Assumptions!I$14)),-2)</f>
        <v>31100</v>
      </c>
      <c r="M1404" s="288">
        <f>ROUND(IF($A1404="E",L1404*(1+Assumptions!J$15),L1404*(1+Assumptions!J$14)),-2)</f>
        <v>31900</v>
      </c>
      <c r="N1404" s="288">
        <f>ROUND(IF($A1404="E",M1404*(1+Assumptions!K$15),M1404*(1+Assumptions!K$14)),-2)</f>
        <v>32700</v>
      </c>
    </row>
    <row r="1405" spans="1:14" x14ac:dyDescent="0.25">
      <c r="B1405" s="16" t="s">
        <v>43</v>
      </c>
      <c r="C1405" s="16" t="s">
        <v>2266</v>
      </c>
      <c r="D1405" s="16" t="s">
        <v>2267</v>
      </c>
      <c r="E1405" s="288">
        <v>206700</v>
      </c>
      <c r="F1405" s="288">
        <f>ROUND(IF($A1405="E",E1405*(1+Assumptions!C$15),E1405*(1+Assumptions!C$14)),-2)</f>
        <v>209800</v>
      </c>
      <c r="G1405" s="288">
        <f>ROUND(IF($A1405="E",F1405*(1+Assumptions!D$15),F1405*(1+Assumptions!D$14)),-2)</f>
        <v>214000</v>
      </c>
      <c r="H1405" s="288">
        <f>ROUND(IF($A1405="E",G1405*(1+Assumptions!E$15),G1405*(1+Assumptions!E$14)),-2)</f>
        <v>218300</v>
      </c>
      <c r="I1405" s="288">
        <f>ROUND(IF($A1405="E",H1405*(1+Assumptions!F$15),H1405*(1+Assumptions!F$14)),-2)</f>
        <v>222700</v>
      </c>
      <c r="J1405" s="288">
        <f>ROUND(IF($A1405="E",I1405*(1+Assumptions!G$15),I1405*(1+Assumptions!G$14)),-2)</f>
        <v>227200</v>
      </c>
      <c r="K1405" s="288">
        <f>ROUND(IF($A1405="E",J1405*(1+Assumptions!H$15),J1405*(1+Assumptions!H$14)),-2)</f>
        <v>231700</v>
      </c>
      <c r="L1405" s="288">
        <f>ROUND(IF($A1405="E",K1405*(1+Assumptions!I$15),K1405*(1+Assumptions!I$14)),-2)</f>
        <v>237500</v>
      </c>
      <c r="M1405" s="288">
        <f>ROUND(IF($A1405="E",L1405*(1+Assumptions!J$15),L1405*(1+Assumptions!J$14)),-2)</f>
        <v>243400</v>
      </c>
      <c r="N1405" s="288">
        <f>ROUND(IF($A1405="E",M1405*(1+Assumptions!K$15),M1405*(1+Assumptions!K$14)),-2)</f>
        <v>249500</v>
      </c>
    </row>
    <row r="1406" spans="1:14" x14ac:dyDescent="0.25">
      <c r="B1406" s="16" t="s">
        <v>43</v>
      </c>
      <c r="C1406" s="16" t="s">
        <v>2268</v>
      </c>
      <c r="D1406" s="16" t="s">
        <v>2269</v>
      </c>
      <c r="E1406" s="288">
        <v>7600</v>
      </c>
      <c r="F1406" s="288">
        <f>ROUND(IF($A1406="E",E1406*(1+Assumptions!C$15),E1406*(1+Assumptions!C$14)),-2)</f>
        <v>7700</v>
      </c>
      <c r="G1406" s="288">
        <f>ROUND(IF($A1406="E",F1406*(1+Assumptions!D$15),F1406*(1+Assumptions!D$14)),-2)</f>
        <v>7900</v>
      </c>
      <c r="H1406" s="288">
        <f>ROUND(IF($A1406="E",G1406*(1+Assumptions!E$15),G1406*(1+Assumptions!E$14)),-2)</f>
        <v>8100</v>
      </c>
      <c r="I1406" s="288">
        <f>ROUND(IF($A1406="E",H1406*(1+Assumptions!F$15),H1406*(1+Assumptions!F$14)),-2)</f>
        <v>8300</v>
      </c>
      <c r="J1406" s="288">
        <f>ROUND(IF($A1406="E",I1406*(1+Assumptions!G$15),I1406*(1+Assumptions!G$14)),-2)</f>
        <v>8500</v>
      </c>
      <c r="K1406" s="288">
        <f>ROUND(IF($A1406="E",J1406*(1+Assumptions!H$15),J1406*(1+Assumptions!H$14)),-2)</f>
        <v>8700</v>
      </c>
      <c r="L1406" s="288">
        <f>ROUND(IF($A1406="E",K1406*(1+Assumptions!I$15),K1406*(1+Assumptions!I$14)),-2)</f>
        <v>8900</v>
      </c>
      <c r="M1406" s="288">
        <f>ROUND(IF($A1406="E",L1406*(1+Assumptions!J$15),L1406*(1+Assumptions!J$14)),-2)</f>
        <v>9100</v>
      </c>
      <c r="N1406" s="288">
        <f>ROUND(IF($A1406="E",M1406*(1+Assumptions!K$15),M1406*(1+Assumptions!K$14)),-2)</f>
        <v>9300</v>
      </c>
    </row>
    <row r="1407" spans="1:14" x14ac:dyDescent="0.25">
      <c r="B1407" s="16" t="s">
        <v>45</v>
      </c>
      <c r="C1407" s="16" t="s">
        <v>2270</v>
      </c>
      <c r="D1407" s="16" t="s">
        <v>492</v>
      </c>
      <c r="E1407" s="288">
        <v>4000</v>
      </c>
      <c r="F1407" s="288">
        <f>ROUND(IF($A1407="E",E1407*(1+Assumptions!C$15),E1407*(1+Assumptions!C$14)),-2)</f>
        <v>4100</v>
      </c>
      <c r="G1407" s="288">
        <f>ROUND(IF($A1407="E",F1407*(1+Assumptions!D$15),F1407*(1+Assumptions!D$14)),-2)</f>
        <v>4200</v>
      </c>
      <c r="H1407" s="288">
        <f>ROUND(IF($A1407="E",G1407*(1+Assumptions!E$15),G1407*(1+Assumptions!E$14)),-2)</f>
        <v>4300</v>
      </c>
      <c r="I1407" s="288">
        <f>ROUND(IF($A1407="E",H1407*(1+Assumptions!F$15),H1407*(1+Assumptions!F$14)),-2)</f>
        <v>4400</v>
      </c>
      <c r="J1407" s="288">
        <f>ROUND(IF($A1407="E",I1407*(1+Assumptions!G$15),I1407*(1+Assumptions!G$14)),-2)</f>
        <v>4500</v>
      </c>
      <c r="K1407" s="288">
        <f>ROUND(IF($A1407="E",J1407*(1+Assumptions!H$15),J1407*(1+Assumptions!H$14)),-2)</f>
        <v>4600</v>
      </c>
      <c r="L1407" s="288">
        <f>ROUND(IF($A1407="E",K1407*(1+Assumptions!I$15),K1407*(1+Assumptions!I$14)),-2)</f>
        <v>4700</v>
      </c>
      <c r="M1407" s="288">
        <f>ROUND(IF($A1407="E",L1407*(1+Assumptions!J$15),L1407*(1+Assumptions!J$14)),-2)</f>
        <v>4800</v>
      </c>
      <c r="N1407" s="288">
        <f>ROUND(IF($A1407="E",M1407*(1+Assumptions!K$15),M1407*(1+Assumptions!K$14)),-2)</f>
        <v>4900</v>
      </c>
    </row>
    <row r="1408" spans="1:14" x14ac:dyDescent="0.25">
      <c r="B1408" s="16" t="s">
        <v>43</v>
      </c>
      <c r="C1408" s="16" t="s">
        <v>2271</v>
      </c>
      <c r="D1408" s="16" t="s">
        <v>2272</v>
      </c>
      <c r="E1408" s="289"/>
      <c r="F1408" s="289"/>
      <c r="G1408" s="289"/>
      <c r="H1408" s="289"/>
      <c r="I1408" s="289"/>
      <c r="J1408" s="289"/>
      <c r="K1408" s="289"/>
      <c r="L1408" s="289"/>
      <c r="M1408" s="289"/>
      <c r="N1408" s="289"/>
    </row>
    <row r="1409" spans="2:14" x14ac:dyDescent="0.25">
      <c r="B1409" s="16" t="s">
        <v>43</v>
      </c>
      <c r="C1409" s="16" t="s">
        <v>2273</v>
      </c>
      <c r="D1409" s="16" t="s">
        <v>2260</v>
      </c>
      <c r="E1409" s="288">
        <v>40600</v>
      </c>
      <c r="F1409" s="288">
        <f>ROUND(IF($A1409="E",E1409*(1+Assumptions!C$15),E1409*(1+Assumptions!C$14)),-2)</f>
        <v>41200</v>
      </c>
      <c r="G1409" s="288">
        <f>ROUND(IF($A1409="E",F1409*(1+Assumptions!D$15),F1409*(1+Assumptions!D$14)),-2)</f>
        <v>42000</v>
      </c>
      <c r="H1409" s="288">
        <f>ROUND(IF($A1409="E",G1409*(1+Assumptions!E$15),G1409*(1+Assumptions!E$14)),-2)</f>
        <v>42800</v>
      </c>
      <c r="I1409" s="288">
        <f>ROUND(IF($A1409="E",H1409*(1+Assumptions!F$15),H1409*(1+Assumptions!F$14)),-2)</f>
        <v>43700</v>
      </c>
      <c r="J1409" s="288">
        <f>ROUND(IF($A1409="E",I1409*(1+Assumptions!G$15),I1409*(1+Assumptions!G$14)),-2)</f>
        <v>44600</v>
      </c>
      <c r="K1409" s="288">
        <f>ROUND(IF($A1409="E",J1409*(1+Assumptions!H$15),J1409*(1+Assumptions!H$14)),-2)</f>
        <v>45500</v>
      </c>
      <c r="L1409" s="288">
        <f>ROUND(IF($A1409="E",K1409*(1+Assumptions!I$15),K1409*(1+Assumptions!I$14)),-2)</f>
        <v>46600</v>
      </c>
      <c r="M1409" s="288">
        <f>ROUND(IF($A1409="E",L1409*(1+Assumptions!J$15),L1409*(1+Assumptions!J$14)),-2)</f>
        <v>47800</v>
      </c>
      <c r="N1409" s="288">
        <f>ROUND(IF($A1409="E",M1409*(1+Assumptions!K$15),M1409*(1+Assumptions!K$14)),-2)</f>
        <v>49000</v>
      </c>
    </row>
    <row r="1410" spans="2:14" x14ac:dyDescent="0.25">
      <c r="B1410" s="16" t="s">
        <v>43</v>
      </c>
      <c r="C1410" s="16" t="s">
        <v>2274</v>
      </c>
      <c r="D1410" s="16" t="s">
        <v>2262</v>
      </c>
      <c r="E1410" s="288">
        <v>61300</v>
      </c>
      <c r="F1410" s="288">
        <f>ROUND(IF($A1410="E",E1410*(1+Assumptions!C$15),E1410*(1+Assumptions!C$14)),-2)</f>
        <v>62200</v>
      </c>
      <c r="G1410" s="288">
        <f>ROUND(IF($A1410="E",F1410*(1+Assumptions!D$15),F1410*(1+Assumptions!D$14)),-2)</f>
        <v>63400</v>
      </c>
      <c r="H1410" s="288">
        <f>ROUND(IF($A1410="E",G1410*(1+Assumptions!E$15),G1410*(1+Assumptions!E$14)),-2)</f>
        <v>64700</v>
      </c>
      <c r="I1410" s="288">
        <f>ROUND(IF($A1410="E",H1410*(1+Assumptions!F$15),H1410*(1+Assumptions!F$14)),-2)</f>
        <v>66000</v>
      </c>
      <c r="J1410" s="288">
        <f>ROUND(IF($A1410="E",I1410*(1+Assumptions!G$15),I1410*(1+Assumptions!G$14)),-2)</f>
        <v>67300</v>
      </c>
      <c r="K1410" s="288">
        <f>ROUND(IF($A1410="E",J1410*(1+Assumptions!H$15),J1410*(1+Assumptions!H$14)),-2)</f>
        <v>68600</v>
      </c>
      <c r="L1410" s="288">
        <f>ROUND(IF($A1410="E",K1410*(1+Assumptions!I$15),K1410*(1+Assumptions!I$14)),-2)</f>
        <v>70300</v>
      </c>
      <c r="M1410" s="288">
        <f>ROUND(IF($A1410="E",L1410*(1+Assumptions!J$15),L1410*(1+Assumptions!J$14)),-2)</f>
        <v>72100</v>
      </c>
      <c r="N1410" s="288">
        <f>ROUND(IF($A1410="E",M1410*(1+Assumptions!K$15),M1410*(1+Assumptions!K$14)),-2)</f>
        <v>73900</v>
      </c>
    </row>
    <row r="1411" spans="2:14" x14ac:dyDescent="0.25">
      <c r="B1411" s="16" t="s">
        <v>45</v>
      </c>
      <c r="C1411" s="16" t="s">
        <v>2275</v>
      </c>
      <c r="D1411" s="16" t="s">
        <v>815</v>
      </c>
      <c r="E1411" s="288">
        <v>54800</v>
      </c>
      <c r="F1411" s="288">
        <f>ROUND(IF($A1411="E",E1411*(1+Assumptions!C$15),E1411*(1+Assumptions!C$14)),-2)</f>
        <v>55600</v>
      </c>
      <c r="G1411" s="288">
        <f>ROUND(IF($A1411="E",F1411*(1+Assumptions!D$15),F1411*(1+Assumptions!D$14)),-2)</f>
        <v>56700</v>
      </c>
      <c r="H1411" s="288">
        <f>ROUND(IF($A1411="E",G1411*(1+Assumptions!E$15),G1411*(1+Assumptions!E$14)),-2)</f>
        <v>57800</v>
      </c>
      <c r="I1411" s="288">
        <f>ROUND(IF($A1411="E",H1411*(1+Assumptions!F$15),H1411*(1+Assumptions!F$14)),-2)</f>
        <v>59000</v>
      </c>
      <c r="J1411" s="288">
        <f>ROUND(IF($A1411="E",I1411*(1+Assumptions!G$15),I1411*(1+Assumptions!G$14)),-2)</f>
        <v>60200</v>
      </c>
      <c r="K1411" s="288">
        <f>ROUND(IF($A1411="E",J1411*(1+Assumptions!H$15),J1411*(1+Assumptions!H$14)),-2)</f>
        <v>61400</v>
      </c>
      <c r="L1411" s="288">
        <f>ROUND(IF($A1411="E",K1411*(1+Assumptions!I$15),K1411*(1+Assumptions!I$14)),-2)</f>
        <v>62900</v>
      </c>
      <c r="M1411" s="288">
        <f>ROUND(IF($A1411="E",L1411*(1+Assumptions!J$15),L1411*(1+Assumptions!J$14)),-2)</f>
        <v>64500</v>
      </c>
      <c r="N1411" s="288">
        <f>ROUND(IF($A1411="E",M1411*(1+Assumptions!K$15),M1411*(1+Assumptions!K$14)),-2)</f>
        <v>66100</v>
      </c>
    </row>
    <row r="1412" spans="2:14" x14ac:dyDescent="0.25">
      <c r="B1412" s="16" t="s">
        <v>43</v>
      </c>
      <c r="C1412" s="16" t="s">
        <v>2276</v>
      </c>
      <c r="D1412" s="16" t="s">
        <v>2267</v>
      </c>
      <c r="E1412" s="288">
        <v>221000</v>
      </c>
      <c r="F1412" s="288">
        <f>ROUND(IF($A1412="E",E1412*(1+Assumptions!C$15),E1412*(1+Assumptions!C$14)),-2)</f>
        <v>224300</v>
      </c>
      <c r="G1412" s="288">
        <f>ROUND(IF($A1412="E",F1412*(1+Assumptions!D$15),F1412*(1+Assumptions!D$14)),-2)</f>
        <v>228800</v>
      </c>
      <c r="H1412" s="288">
        <f>ROUND(IF($A1412="E",G1412*(1+Assumptions!E$15),G1412*(1+Assumptions!E$14)),-2)</f>
        <v>233400</v>
      </c>
      <c r="I1412" s="288">
        <f>ROUND(IF($A1412="E",H1412*(1+Assumptions!F$15),H1412*(1+Assumptions!F$14)),-2)</f>
        <v>238100</v>
      </c>
      <c r="J1412" s="288">
        <f>ROUND(IF($A1412="E",I1412*(1+Assumptions!G$15),I1412*(1+Assumptions!G$14)),-2)</f>
        <v>242900</v>
      </c>
      <c r="K1412" s="288">
        <f>ROUND(IF($A1412="E",J1412*(1+Assumptions!H$15),J1412*(1+Assumptions!H$14)),-2)</f>
        <v>247800</v>
      </c>
      <c r="L1412" s="288">
        <f>ROUND(IF($A1412="E",K1412*(1+Assumptions!I$15),K1412*(1+Assumptions!I$14)),-2)</f>
        <v>254000</v>
      </c>
      <c r="M1412" s="288">
        <f>ROUND(IF($A1412="E",L1412*(1+Assumptions!J$15),L1412*(1+Assumptions!J$14)),-2)</f>
        <v>260400</v>
      </c>
      <c r="N1412" s="288">
        <f>ROUND(IF($A1412="E",M1412*(1+Assumptions!K$15),M1412*(1+Assumptions!K$14)),-2)</f>
        <v>266900</v>
      </c>
    </row>
    <row r="1413" spans="2:14" x14ac:dyDescent="0.25">
      <c r="B1413" s="16" t="s">
        <v>43</v>
      </c>
      <c r="C1413" s="16" t="s">
        <v>2277</v>
      </c>
      <c r="D1413" s="16" t="s">
        <v>2269</v>
      </c>
      <c r="E1413" s="288">
        <v>6100</v>
      </c>
      <c r="F1413" s="288">
        <f>ROUND(IF($A1413="E",E1413*(1+Assumptions!C$15),E1413*(1+Assumptions!C$14)),-2)</f>
        <v>6200</v>
      </c>
      <c r="G1413" s="288">
        <f>ROUND(IF($A1413="E",F1413*(1+Assumptions!D$15),F1413*(1+Assumptions!D$14)),-2)</f>
        <v>6300</v>
      </c>
      <c r="H1413" s="288">
        <f>ROUND(IF($A1413="E",G1413*(1+Assumptions!E$15),G1413*(1+Assumptions!E$14)),-2)</f>
        <v>6400</v>
      </c>
      <c r="I1413" s="288">
        <f>ROUND(IF($A1413="E",H1413*(1+Assumptions!F$15),H1413*(1+Assumptions!F$14)),-2)</f>
        <v>6500</v>
      </c>
      <c r="J1413" s="288">
        <f>ROUND(IF($A1413="E",I1413*(1+Assumptions!G$15),I1413*(1+Assumptions!G$14)),-2)</f>
        <v>6600</v>
      </c>
      <c r="K1413" s="288">
        <f>ROUND(IF($A1413="E",J1413*(1+Assumptions!H$15),J1413*(1+Assumptions!H$14)),-2)</f>
        <v>6700</v>
      </c>
      <c r="L1413" s="288">
        <f>ROUND(IF($A1413="E",K1413*(1+Assumptions!I$15),K1413*(1+Assumptions!I$14)),-2)</f>
        <v>6900</v>
      </c>
      <c r="M1413" s="288">
        <f>ROUND(IF($A1413="E",L1413*(1+Assumptions!J$15),L1413*(1+Assumptions!J$14)),-2)</f>
        <v>7100</v>
      </c>
      <c r="N1413" s="288">
        <f>ROUND(IF($A1413="E",M1413*(1+Assumptions!K$15),M1413*(1+Assumptions!K$14)),-2)</f>
        <v>7300</v>
      </c>
    </row>
    <row r="1414" spans="2:14" x14ac:dyDescent="0.25">
      <c r="B1414" s="16" t="s">
        <v>45</v>
      </c>
      <c r="C1414" s="16" t="s">
        <v>2278</v>
      </c>
      <c r="D1414" s="16" t="s">
        <v>492</v>
      </c>
      <c r="E1414" s="288">
        <v>4000</v>
      </c>
      <c r="F1414" s="288">
        <f>ROUND(IF($A1414="E",E1414*(1+Assumptions!C$15),E1414*(1+Assumptions!C$14)),-2)</f>
        <v>4100</v>
      </c>
      <c r="G1414" s="288">
        <f>ROUND(IF($A1414="E",F1414*(1+Assumptions!D$15),F1414*(1+Assumptions!D$14)),-2)</f>
        <v>4200</v>
      </c>
      <c r="H1414" s="288">
        <f>ROUND(IF($A1414="E",G1414*(1+Assumptions!E$15),G1414*(1+Assumptions!E$14)),-2)</f>
        <v>4300</v>
      </c>
      <c r="I1414" s="288">
        <f>ROUND(IF($A1414="E",H1414*(1+Assumptions!F$15),H1414*(1+Assumptions!F$14)),-2)</f>
        <v>4400</v>
      </c>
      <c r="J1414" s="288">
        <f>ROUND(IF($A1414="E",I1414*(1+Assumptions!G$15),I1414*(1+Assumptions!G$14)),-2)</f>
        <v>4500</v>
      </c>
      <c r="K1414" s="288">
        <f>ROUND(IF($A1414="E",J1414*(1+Assumptions!H$15),J1414*(1+Assumptions!H$14)),-2)</f>
        <v>4600</v>
      </c>
      <c r="L1414" s="288">
        <f>ROUND(IF($A1414="E",K1414*(1+Assumptions!I$15),K1414*(1+Assumptions!I$14)),-2)</f>
        <v>4700</v>
      </c>
      <c r="M1414" s="288">
        <f>ROUND(IF($A1414="E",L1414*(1+Assumptions!J$15),L1414*(1+Assumptions!J$14)),-2)</f>
        <v>4800</v>
      </c>
      <c r="N1414" s="288">
        <f>ROUND(IF($A1414="E",M1414*(1+Assumptions!K$15),M1414*(1+Assumptions!K$14)),-2)</f>
        <v>4900</v>
      </c>
    </row>
    <row r="1415" spans="2:14" x14ac:dyDescent="0.25">
      <c r="B1415" s="16" t="s">
        <v>43</v>
      </c>
      <c r="C1415" s="16" t="s">
        <v>2279</v>
      </c>
      <c r="D1415" s="16" t="s">
        <v>2280</v>
      </c>
      <c r="E1415" s="289"/>
      <c r="F1415" s="289"/>
      <c r="G1415" s="289"/>
      <c r="H1415" s="289"/>
      <c r="I1415" s="289"/>
      <c r="J1415" s="289"/>
      <c r="K1415" s="289"/>
      <c r="L1415" s="289"/>
      <c r="M1415" s="289"/>
      <c r="N1415" s="289"/>
    </row>
    <row r="1416" spans="2:14" x14ac:dyDescent="0.25">
      <c r="B1416" s="16" t="s">
        <v>43</v>
      </c>
      <c r="C1416" s="16" t="s">
        <v>2281</v>
      </c>
      <c r="D1416" s="16" t="s">
        <v>2282</v>
      </c>
      <c r="E1416" s="288">
        <v>0</v>
      </c>
      <c r="F1416" s="288">
        <f>ROUND(IF($A1416="E",E1416*(1+Assumptions!C$15),E1416*(1+Assumptions!C$14)),-2)</f>
        <v>0</v>
      </c>
      <c r="G1416" s="288">
        <f>ROUND(IF($A1416="E",F1416*(1+Assumptions!D$15),F1416*(1+Assumptions!D$14)),-2)</f>
        <v>0</v>
      </c>
      <c r="H1416" s="288">
        <f>ROUND(IF($A1416="E",G1416*(1+Assumptions!E$15),G1416*(1+Assumptions!E$14)),-2)</f>
        <v>0</v>
      </c>
      <c r="I1416" s="288">
        <f>ROUND(IF($A1416="E",H1416*(1+Assumptions!F$15),H1416*(1+Assumptions!F$14)),-2)</f>
        <v>0</v>
      </c>
      <c r="J1416" s="288">
        <f>ROUND(IF($A1416="E",I1416*(1+Assumptions!G$15),I1416*(1+Assumptions!G$14)),-2)</f>
        <v>0</v>
      </c>
      <c r="K1416" s="288">
        <f>ROUND(IF($A1416="E",J1416*(1+Assumptions!H$15),J1416*(1+Assumptions!H$14)),-2)</f>
        <v>0</v>
      </c>
      <c r="L1416" s="288">
        <f>ROUND(IF($A1416="E",K1416*(1+Assumptions!I$15),K1416*(1+Assumptions!I$14)),-2)</f>
        <v>0</v>
      </c>
      <c r="M1416" s="288">
        <f>ROUND(IF($A1416="E",L1416*(1+Assumptions!J$15),L1416*(1+Assumptions!J$14)),-2)</f>
        <v>0</v>
      </c>
      <c r="N1416" s="288">
        <f>ROUND(IF($A1416="E",M1416*(1+Assumptions!K$15),M1416*(1+Assumptions!K$14)),-2)</f>
        <v>0</v>
      </c>
    </row>
    <row r="1417" spans="2:14" x14ac:dyDescent="0.25">
      <c r="B1417" s="16" t="s">
        <v>42</v>
      </c>
      <c r="C1417" s="16" t="s">
        <v>2283</v>
      </c>
      <c r="D1417" s="16" t="s">
        <v>531</v>
      </c>
      <c r="E1417" s="289"/>
      <c r="F1417" s="289"/>
      <c r="G1417" s="289"/>
      <c r="H1417" s="289"/>
      <c r="I1417" s="289"/>
      <c r="J1417" s="289"/>
      <c r="K1417" s="289"/>
      <c r="L1417" s="289"/>
      <c r="M1417" s="289"/>
      <c r="N1417" s="289"/>
    </row>
    <row r="1418" spans="2:14" x14ac:dyDescent="0.25">
      <c r="B1418" s="16" t="s">
        <v>42</v>
      </c>
      <c r="C1418" s="16" t="s">
        <v>2284</v>
      </c>
      <c r="D1418" s="16" t="s">
        <v>531</v>
      </c>
      <c r="E1418" s="302">
        <v>132800</v>
      </c>
      <c r="F1418" s="302">
        <f>ROUND(loans!U82,-2)</f>
        <v>124100</v>
      </c>
      <c r="G1418" s="302">
        <f>ROUND(loans!Y82,-2)</f>
        <v>115500</v>
      </c>
      <c r="H1418" s="302">
        <f>ROUND(loans!AC82,-2)</f>
        <v>107100</v>
      </c>
      <c r="I1418" s="302">
        <f>ROUND(loans!AG82,-2)</f>
        <v>98900</v>
      </c>
      <c r="J1418" s="302">
        <f>ROUND(loans!AK82,-2)</f>
        <v>90200</v>
      </c>
      <c r="K1418" s="302">
        <f>ROUND(loans!AO82,-2)</f>
        <v>80800</v>
      </c>
      <c r="L1418" s="302">
        <f>ROUND(loans!AS82,-2)</f>
        <v>71000</v>
      </c>
      <c r="M1418" s="302">
        <f>ROUND(loans!AW82,-2)</f>
        <v>60300</v>
      </c>
      <c r="N1418" s="302">
        <f>ROUND(loans!BA82,-2)</f>
        <v>49000</v>
      </c>
    </row>
    <row r="1419" spans="2:14" x14ac:dyDescent="0.25">
      <c r="B1419" s="16" t="s">
        <v>43</v>
      </c>
      <c r="C1419" s="16" t="s">
        <v>2285</v>
      </c>
      <c r="D1419" s="16" t="s">
        <v>187</v>
      </c>
      <c r="E1419" s="289"/>
      <c r="F1419" s="289"/>
      <c r="G1419" s="289"/>
      <c r="H1419" s="289"/>
      <c r="I1419" s="289"/>
      <c r="J1419" s="289"/>
      <c r="K1419" s="289"/>
      <c r="L1419" s="289"/>
      <c r="M1419" s="289"/>
      <c r="N1419" s="289"/>
    </row>
    <row r="1420" spans="2:14" x14ac:dyDescent="0.25">
      <c r="B1420" s="16" t="s">
        <v>43</v>
      </c>
      <c r="C1420" s="16" t="s">
        <v>2286</v>
      </c>
      <c r="D1420" s="16" t="s">
        <v>193</v>
      </c>
      <c r="E1420" s="288">
        <v>244500</v>
      </c>
      <c r="F1420" s="288">
        <f>ROUND(IF($A1420="E",E1420*(1+Assumptions!C$15),E1420*(1+Assumptions!C$14)),-2)</f>
        <v>248200</v>
      </c>
      <c r="G1420" s="288">
        <f>ROUND(IF($A1420="E",F1420*(1+Assumptions!D$15),F1420*(1+Assumptions!D$14)),-2)</f>
        <v>253200</v>
      </c>
      <c r="H1420" s="288">
        <f>ROUND(IF($A1420="E",G1420*(1+Assumptions!E$15),G1420*(1+Assumptions!E$14)),-2)</f>
        <v>258300</v>
      </c>
      <c r="I1420" s="288">
        <f>ROUND(IF($A1420="E",H1420*(1+Assumptions!F$15),H1420*(1+Assumptions!F$14)),-2)</f>
        <v>263500</v>
      </c>
      <c r="J1420" s="288">
        <f>ROUND(IF($A1420="E",I1420*(1+Assumptions!G$15),I1420*(1+Assumptions!G$14)),-2)</f>
        <v>268800</v>
      </c>
      <c r="K1420" s="288">
        <f>ROUND(IF($A1420="E",J1420*(1+Assumptions!H$15),J1420*(1+Assumptions!H$14)),-2)</f>
        <v>274200</v>
      </c>
      <c r="L1420" s="288">
        <f>ROUND(IF($A1420="E",K1420*(1+Assumptions!I$15),K1420*(1+Assumptions!I$14)),-2)</f>
        <v>281100</v>
      </c>
      <c r="M1420" s="288">
        <f>ROUND(IF($A1420="E",L1420*(1+Assumptions!J$15),L1420*(1+Assumptions!J$14)),-2)</f>
        <v>288100</v>
      </c>
      <c r="N1420" s="288">
        <f>ROUND(IF($A1420="E",M1420*(1+Assumptions!K$15),M1420*(1+Assumptions!K$14)),-2)</f>
        <v>295300</v>
      </c>
    </row>
    <row r="1421" spans="2:14" x14ac:dyDescent="0.25">
      <c r="B1421" s="16" t="s">
        <v>43</v>
      </c>
      <c r="C1421" s="16" t="s">
        <v>2287</v>
      </c>
      <c r="D1421" s="16" t="s">
        <v>2288</v>
      </c>
      <c r="E1421" s="288">
        <v>-574200</v>
      </c>
      <c r="F1421" s="288">
        <f>ROUND(IF($A1421="E",E1421*(1+Assumptions!C$15),E1421*(1+Assumptions!C$14)),-2)</f>
        <v>-582800</v>
      </c>
      <c r="G1421" s="288">
        <f>ROUND(IF($A1421="E",F1421*(1+Assumptions!D$15),F1421*(1+Assumptions!D$14)),-2)</f>
        <v>-594500</v>
      </c>
      <c r="H1421" s="288">
        <f>ROUND(IF($A1421="E",G1421*(1+Assumptions!E$15),G1421*(1+Assumptions!E$14)),-2)</f>
        <v>-606400</v>
      </c>
      <c r="I1421" s="288">
        <f>ROUND(IF($A1421="E",H1421*(1+Assumptions!F$15),H1421*(1+Assumptions!F$14)),-2)</f>
        <v>-618500</v>
      </c>
      <c r="J1421" s="288">
        <f>ROUND(IF($A1421="E",I1421*(1+Assumptions!G$15),I1421*(1+Assumptions!G$14)),-2)</f>
        <v>-630900</v>
      </c>
      <c r="K1421" s="288">
        <f>ROUND(IF($A1421="E",J1421*(1+Assumptions!H$15),J1421*(1+Assumptions!H$14)),-2)</f>
        <v>-643500</v>
      </c>
      <c r="L1421" s="288">
        <f>ROUND(IF($A1421="E",K1421*(1+Assumptions!I$15),K1421*(1+Assumptions!I$14)),-2)</f>
        <v>-659600</v>
      </c>
      <c r="M1421" s="288">
        <f>ROUND(IF($A1421="E",L1421*(1+Assumptions!J$15),L1421*(1+Assumptions!J$14)),-2)</f>
        <v>-676100</v>
      </c>
      <c r="N1421" s="288">
        <f>ROUND(IF($A1421="E",M1421*(1+Assumptions!K$15),M1421*(1+Assumptions!K$14)),-2)</f>
        <v>-693000</v>
      </c>
    </row>
    <row r="1422" spans="2:14" x14ac:dyDescent="0.25">
      <c r="B1422" s="16" t="s">
        <v>43</v>
      </c>
      <c r="C1422" s="16" t="s">
        <v>2289</v>
      </c>
      <c r="D1422" s="16" t="s">
        <v>2290</v>
      </c>
      <c r="E1422" s="289"/>
      <c r="F1422" s="289"/>
      <c r="G1422" s="289"/>
      <c r="H1422" s="289"/>
      <c r="I1422" s="289"/>
      <c r="J1422" s="289"/>
      <c r="K1422" s="289"/>
      <c r="L1422" s="289"/>
      <c r="M1422" s="289"/>
      <c r="N1422" s="289"/>
    </row>
    <row r="1423" spans="2:14" x14ac:dyDescent="0.25">
      <c r="B1423" s="16" t="s">
        <v>43</v>
      </c>
      <c r="C1423" s="16" t="s">
        <v>2291</v>
      </c>
      <c r="D1423" s="16" t="s">
        <v>2292</v>
      </c>
      <c r="E1423" s="288">
        <v>80000</v>
      </c>
      <c r="F1423" s="288">
        <f>ROUND(IF($A1423="E",E1423*(1+Assumptions!C$15),E1423*(1+Assumptions!C$14)),-2)</f>
        <v>81200</v>
      </c>
      <c r="G1423" s="288">
        <f>ROUND(IF($A1423="E",F1423*(1+Assumptions!D$15),F1423*(1+Assumptions!D$14)),-2)</f>
        <v>82800</v>
      </c>
      <c r="H1423" s="288">
        <f>ROUND(IF($A1423="E",G1423*(1+Assumptions!E$15),G1423*(1+Assumptions!E$14)),-2)</f>
        <v>84500</v>
      </c>
      <c r="I1423" s="288">
        <f>ROUND(IF($A1423="E",H1423*(1+Assumptions!F$15),H1423*(1+Assumptions!F$14)),-2)</f>
        <v>86200</v>
      </c>
      <c r="J1423" s="288">
        <f>ROUND(IF($A1423="E",I1423*(1+Assumptions!G$15),I1423*(1+Assumptions!G$14)),-2)</f>
        <v>87900</v>
      </c>
      <c r="K1423" s="288">
        <f>ROUND(IF($A1423="E",J1423*(1+Assumptions!H$15),J1423*(1+Assumptions!H$14)),-2)</f>
        <v>89700</v>
      </c>
      <c r="L1423" s="288">
        <f>ROUND(IF($A1423="E",K1423*(1+Assumptions!I$15),K1423*(1+Assumptions!I$14)),-2)</f>
        <v>91900</v>
      </c>
      <c r="M1423" s="288">
        <f>ROUND(IF($A1423="E",L1423*(1+Assumptions!J$15),L1423*(1+Assumptions!J$14)),-2)</f>
        <v>94200</v>
      </c>
      <c r="N1423" s="288">
        <f>ROUND(IF($A1423="E",M1423*(1+Assumptions!K$15),M1423*(1+Assumptions!K$14)),-2)</f>
        <v>96600</v>
      </c>
    </row>
    <row r="1424" spans="2:14" x14ac:dyDescent="0.25">
      <c r="B1424" s="16" t="s">
        <v>43</v>
      </c>
      <c r="C1424" s="16" t="s">
        <v>2293</v>
      </c>
      <c r="D1424" s="16" t="s">
        <v>2294</v>
      </c>
      <c r="E1424" s="288">
        <v>29500</v>
      </c>
      <c r="F1424" s="288">
        <f>ROUND(IF($A1424="E",E1424*(1+Assumptions!C$15),E1424*(1+Assumptions!C$14)),-2)</f>
        <v>29900</v>
      </c>
      <c r="G1424" s="288">
        <f>ROUND(IF($A1424="E",F1424*(1+Assumptions!D$15),F1424*(1+Assumptions!D$14)),-2)</f>
        <v>30500</v>
      </c>
      <c r="H1424" s="288">
        <f>ROUND(IF($A1424="E",G1424*(1+Assumptions!E$15),G1424*(1+Assumptions!E$14)),-2)</f>
        <v>31100</v>
      </c>
      <c r="I1424" s="288">
        <f>ROUND(IF($A1424="E",H1424*(1+Assumptions!F$15),H1424*(1+Assumptions!F$14)),-2)</f>
        <v>31700</v>
      </c>
      <c r="J1424" s="288">
        <f>ROUND(IF($A1424="E",I1424*(1+Assumptions!G$15),I1424*(1+Assumptions!G$14)),-2)</f>
        <v>32300</v>
      </c>
      <c r="K1424" s="288">
        <f>ROUND(IF($A1424="E",J1424*(1+Assumptions!H$15),J1424*(1+Assumptions!H$14)),-2)</f>
        <v>32900</v>
      </c>
      <c r="L1424" s="288">
        <f>ROUND(IF($A1424="E",K1424*(1+Assumptions!I$15),K1424*(1+Assumptions!I$14)),-2)</f>
        <v>33700</v>
      </c>
      <c r="M1424" s="288">
        <f>ROUND(IF($A1424="E",L1424*(1+Assumptions!J$15),L1424*(1+Assumptions!J$14)),-2)</f>
        <v>34500</v>
      </c>
      <c r="N1424" s="288">
        <f>ROUND(IF($A1424="E",M1424*(1+Assumptions!K$15),M1424*(1+Assumptions!K$14)),-2)</f>
        <v>35400</v>
      </c>
    </row>
    <row r="1425" spans="2:14" x14ac:dyDescent="0.25">
      <c r="B1425" s="16" t="s">
        <v>43</v>
      </c>
      <c r="C1425" s="16" t="s">
        <v>2295</v>
      </c>
      <c r="D1425" s="16" t="s">
        <v>2296</v>
      </c>
      <c r="E1425" s="288">
        <v>60000</v>
      </c>
      <c r="F1425" s="288">
        <f>ROUND(IF($A1425="E",E1425*(1+Assumptions!C$15),E1425*(1+Assumptions!C$14)),-2)</f>
        <v>60900</v>
      </c>
      <c r="G1425" s="288">
        <f>ROUND(IF($A1425="E",F1425*(1+Assumptions!D$15),F1425*(1+Assumptions!D$14)),-2)</f>
        <v>62100</v>
      </c>
      <c r="H1425" s="288">
        <f>ROUND(IF($A1425="E",G1425*(1+Assumptions!E$15),G1425*(1+Assumptions!E$14)),-2)</f>
        <v>63300</v>
      </c>
      <c r="I1425" s="288">
        <f>ROUND(IF($A1425="E",H1425*(1+Assumptions!F$15),H1425*(1+Assumptions!F$14)),-2)</f>
        <v>64600</v>
      </c>
      <c r="J1425" s="288">
        <f>ROUND(IF($A1425="E",I1425*(1+Assumptions!G$15),I1425*(1+Assumptions!G$14)),-2)</f>
        <v>65900</v>
      </c>
      <c r="K1425" s="288">
        <f>ROUND(IF($A1425="E",J1425*(1+Assumptions!H$15),J1425*(1+Assumptions!H$14)),-2)</f>
        <v>67200</v>
      </c>
      <c r="L1425" s="288">
        <f>ROUND(IF($A1425="E",K1425*(1+Assumptions!I$15),K1425*(1+Assumptions!I$14)),-2)</f>
        <v>68900</v>
      </c>
      <c r="M1425" s="288">
        <f>ROUND(IF($A1425="E",L1425*(1+Assumptions!J$15),L1425*(1+Assumptions!J$14)),-2)</f>
        <v>70600</v>
      </c>
      <c r="N1425" s="288">
        <f>ROUND(IF($A1425="E",M1425*(1+Assumptions!K$15),M1425*(1+Assumptions!K$14)),-2)</f>
        <v>72400</v>
      </c>
    </row>
    <row r="1426" spans="2:14" x14ac:dyDescent="0.25">
      <c r="B1426" s="16" t="s">
        <v>43</v>
      </c>
      <c r="C1426" s="16" t="s">
        <v>2297</v>
      </c>
      <c r="D1426" s="16" t="s">
        <v>2298</v>
      </c>
      <c r="E1426" s="288">
        <v>0</v>
      </c>
      <c r="F1426" s="288">
        <f>ROUND(IF($A1426="E",E1426*(1+Assumptions!C$15),E1426*(1+Assumptions!C$14)),-2)</f>
        <v>0</v>
      </c>
      <c r="G1426" s="288">
        <f>ROUND(IF($A1426="E",F1426*(1+Assumptions!D$15),F1426*(1+Assumptions!D$14)),-2)</f>
        <v>0</v>
      </c>
      <c r="H1426" s="288">
        <f>ROUND(IF($A1426="E",G1426*(1+Assumptions!E$15),G1426*(1+Assumptions!E$14)),-2)</f>
        <v>0</v>
      </c>
      <c r="I1426" s="288">
        <f>ROUND(IF($A1426="E",H1426*(1+Assumptions!F$15),H1426*(1+Assumptions!F$14)),-2)</f>
        <v>0</v>
      </c>
      <c r="J1426" s="288">
        <f>ROUND(IF($A1426="E",I1426*(1+Assumptions!G$15),I1426*(1+Assumptions!G$14)),-2)</f>
        <v>0</v>
      </c>
      <c r="K1426" s="288">
        <f>ROUND(IF($A1426="E",J1426*(1+Assumptions!H$15),J1426*(1+Assumptions!H$14)),-2)</f>
        <v>0</v>
      </c>
      <c r="L1426" s="288">
        <f>ROUND(IF($A1426="E",K1426*(1+Assumptions!I$15),K1426*(1+Assumptions!I$14)),-2)</f>
        <v>0</v>
      </c>
      <c r="M1426" s="288">
        <f>ROUND(IF($A1426="E",L1426*(1+Assumptions!J$15),L1426*(1+Assumptions!J$14)),-2)</f>
        <v>0</v>
      </c>
      <c r="N1426" s="288">
        <f>ROUND(IF($A1426="E",M1426*(1+Assumptions!K$15),M1426*(1+Assumptions!K$14)),-2)</f>
        <v>0</v>
      </c>
    </row>
    <row r="1427" spans="2:14" x14ac:dyDescent="0.25">
      <c r="B1427" s="16" t="s">
        <v>43</v>
      </c>
      <c r="C1427" s="16" t="s">
        <v>2299</v>
      </c>
      <c r="D1427" s="16" t="s">
        <v>2300</v>
      </c>
      <c r="E1427" s="288">
        <v>0</v>
      </c>
      <c r="F1427" s="288">
        <f>ROUND(IF($A1427="E",E1427*(1+Assumptions!C$15),E1427*(1+Assumptions!C$14)),-2)</f>
        <v>0</v>
      </c>
      <c r="G1427" s="288">
        <f>ROUND(IF($A1427="E",F1427*(1+Assumptions!D$15),F1427*(1+Assumptions!D$14)),-2)</f>
        <v>0</v>
      </c>
      <c r="H1427" s="288">
        <f>ROUND(IF($A1427="E",G1427*(1+Assumptions!E$15),G1427*(1+Assumptions!E$14)),-2)</f>
        <v>0</v>
      </c>
      <c r="I1427" s="288">
        <f>ROUND(IF($A1427="E",H1427*(1+Assumptions!F$15),H1427*(1+Assumptions!F$14)),-2)</f>
        <v>0</v>
      </c>
      <c r="J1427" s="288">
        <f>ROUND(IF($A1427="E",I1427*(1+Assumptions!G$15),I1427*(1+Assumptions!G$14)),-2)</f>
        <v>0</v>
      </c>
      <c r="K1427" s="288">
        <f>ROUND(IF($A1427="E",J1427*(1+Assumptions!H$15),J1427*(1+Assumptions!H$14)),-2)</f>
        <v>0</v>
      </c>
      <c r="L1427" s="288">
        <f>ROUND(IF($A1427="E",K1427*(1+Assumptions!I$15),K1427*(1+Assumptions!I$14)),-2)</f>
        <v>0</v>
      </c>
      <c r="M1427" s="288">
        <f>ROUND(IF($A1427="E",L1427*(1+Assumptions!J$15),L1427*(1+Assumptions!J$14)),-2)</f>
        <v>0</v>
      </c>
      <c r="N1427" s="288">
        <f>ROUND(IF($A1427="E",M1427*(1+Assumptions!K$15),M1427*(1+Assumptions!K$14)),-2)</f>
        <v>0</v>
      </c>
    </row>
    <row r="1428" spans="2:14" x14ac:dyDescent="0.25">
      <c r="B1428" s="16" t="s">
        <v>43</v>
      </c>
      <c r="C1428" s="16" t="s">
        <v>2301</v>
      </c>
      <c r="D1428" s="16" t="s">
        <v>2302</v>
      </c>
      <c r="E1428" s="288">
        <v>0</v>
      </c>
      <c r="F1428" s="288">
        <f>ROUND(IF($A1428="E",E1428*(1+Assumptions!C$15),E1428*(1+Assumptions!C$14)),-2)</f>
        <v>0</v>
      </c>
      <c r="G1428" s="288">
        <f>ROUND(IF($A1428="E",F1428*(1+Assumptions!D$15),F1428*(1+Assumptions!D$14)),-2)</f>
        <v>0</v>
      </c>
      <c r="H1428" s="288">
        <f>ROUND(IF($A1428="E",G1428*(1+Assumptions!E$15),G1428*(1+Assumptions!E$14)),-2)</f>
        <v>0</v>
      </c>
      <c r="I1428" s="288">
        <f>ROUND(IF($A1428="E",H1428*(1+Assumptions!F$15),H1428*(1+Assumptions!F$14)),-2)</f>
        <v>0</v>
      </c>
      <c r="J1428" s="288">
        <f>ROUND(IF($A1428="E",I1428*(1+Assumptions!G$15),I1428*(1+Assumptions!G$14)),-2)</f>
        <v>0</v>
      </c>
      <c r="K1428" s="288">
        <f>ROUND(IF($A1428="E",J1428*(1+Assumptions!H$15),J1428*(1+Assumptions!H$14)),-2)</f>
        <v>0</v>
      </c>
      <c r="L1428" s="288">
        <f>ROUND(IF($A1428="E",K1428*(1+Assumptions!I$15),K1428*(1+Assumptions!I$14)),-2)</f>
        <v>0</v>
      </c>
      <c r="M1428" s="288">
        <f>ROUND(IF($A1428="E",L1428*(1+Assumptions!J$15),L1428*(1+Assumptions!J$14)),-2)</f>
        <v>0</v>
      </c>
      <c r="N1428" s="288">
        <f>ROUND(IF($A1428="E",M1428*(1+Assumptions!K$15),M1428*(1+Assumptions!K$14)),-2)</f>
        <v>0</v>
      </c>
    </row>
    <row r="1429" spans="2:14" x14ac:dyDescent="0.25">
      <c r="B1429" s="16" t="s">
        <v>43</v>
      </c>
      <c r="C1429" s="16" t="s">
        <v>2303</v>
      </c>
      <c r="D1429" s="16" t="s">
        <v>2304</v>
      </c>
      <c r="E1429" s="288">
        <v>70000</v>
      </c>
      <c r="F1429" s="288">
        <f>ROUND(IF($A1429="E",E1429*(1+Assumptions!C$15),E1429*(1+Assumptions!C$14)),-2)</f>
        <v>71100</v>
      </c>
      <c r="G1429" s="288">
        <f>ROUND(IF($A1429="E",F1429*(1+Assumptions!D$15),F1429*(1+Assumptions!D$14)),-2)</f>
        <v>72500</v>
      </c>
      <c r="H1429" s="288">
        <f>ROUND(IF($A1429="E",G1429*(1+Assumptions!E$15),G1429*(1+Assumptions!E$14)),-2)</f>
        <v>74000</v>
      </c>
      <c r="I1429" s="288">
        <f>ROUND(IF($A1429="E",H1429*(1+Assumptions!F$15),H1429*(1+Assumptions!F$14)),-2)</f>
        <v>75500</v>
      </c>
      <c r="J1429" s="288">
        <f>ROUND(IF($A1429="E",I1429*(1+Assumptions!G$15),I1429*(1+Assumptions!G$14)),-2)</f>
        <v>77000</v>
      </c>
      <c r="K1429" s="288">
        <f>ROUND(IF($A1429="E",J1429*(1+Assumptions!H$15),J1429*(1+Assumptions!H$14)),-2)</f>
        <v>78500</v>
      </c>
      <c r="L1429" s="288">
        <f>ROUND(IF($A1429="E",K1429*(1+Assumptions!I$15),K1429*(1+Assumptions!I$14)),-2)</f>
        <v>80500</v>
      </c>
      <c r="M1429" s="288">
        <f>ROUND(IF($A1429="E",L1429*(1+Assumptions!J$15),L1429*(1+Assumptions!J$14)),-2)</f>
        <v>82500</v>
      </c>
      <c r="N1429" s="288">
        <f>ROUND(IF($A1429="E",M1429*(1+Assumptions!K$15),M1429*(1+Assumptions!K$14)),-2)</f>
        <v>84600</v>
      </c>
    </row>
    <row r="1430" spans="2:14" x14ac:dyDescent="0.25">
      <c r="B1430" s="16" t="s">
        <v>43</v>
      </c>
      <c r="C1430" s="16" t="s">
        <v>2305</v>
      </c>
      <c r="D1430" s="16" t="s">
        <v>2306</v>
      </c>
      <c r="E1430" s="288">
        <v>40000</v>
      </c>
      <c r="F1430" s="288">
        <f>ROUND(IF($A1430="E",E1430*(1+Assumptions!C$15),E1430*(1+Assumptions!C$14)),-2)</f>
        <v>40600</v>
      </c>
      <c r="G1430" s="288">
        <f>ROUND(IF($A1430="E",F1430*(1+Assumptions!D$15),F1430*(1+Assumptions!D$14)),-2)</f>
        <v>41400</v>
      </c>
      <c r="H1430" s="288">
        <f>ROUND(IF($A1430="E",G1430*(1+Assumptions!E$15),G1430*(1+Assumptions!E$14)),-2)</f>
        <v>42200</v>
      </c>
      <c r="I1430" s="288">
        <f>ROUND(IF($A1430="E",H1430*(1+Assumptions!F$15),H1430*(1+Assumptions!F$14)),-2)</f>
        <v>43000</v>
      </c>
      <c r="J1430" s="288">
        <f>ROUND(IF($A1430="E",I1430*(1+Assumptions!G$15),I1430*(1+Assumptions!G$14)),-2)</f>
        <v>43900</v>
      </c>
      <c r="K1430" s="288">
        <f>ROUND(IF($A1430="E",J1430*(1+Assumptions!H$15),J1430*(1+Assumptions!H$14)),-2)</f>
        <v>44800</v>
      </c>
      <c r="L1430" s="288">
        <f>ROUND(IF($A1430="E",K1430*(1+Assumptions!I$15),K1430*(1+Assumptions!I$14)),-2)</f>
        <v>45900</v>
      </c>
      <c r="M1430" s="288">
        <f>ROUND(IF($A1430="E",L1430*(1+Assumptions!J$15),L1430*(1+Assumptions!J$14)),-2)</f>
        <v>47000</v>
      </c>
      <c r="N1430" s="288">
        <f>ROUND(IF($A1430="E",M1430*(1+Assumptions!K$15),M1430*(1+Assumptions!K$14)),-2)</f>
        <v>48200</v>
      </c>
    </row>
    <row r="1431" spans="2:14" x14ac:dyDescent="0.25">
      <c r="B1431" s="16" t="s">
        <v>43</v>
      </c>
      <c r="C1431" s="16" t="s">
        <v>2307</v>
      </c>
      <c r="D1431" s="16" t="s">
        <v>2308</v>
      </c>
      <c r="E1431" s="288">
        <v>20000</v>
      </c>
      <c r="F1431" s="288">
        <f>ROUND(IF($A1431="E",E1431*(1+Assumptions!C$15),E1431*(1+Assumptions!C$14)),-2)</f>
        <v>20300</v>
      </c>
      <c r="G1431" s="288">
        <f>ROUND(IF($A1431="E",F1431*(1+Assumptions!D$15),F1431*(1+Assumptions!D$14)),-2)</f>
        <v>20700</v>
      </c>
      <c r="H1431" s="288">
        <f>ROUND(IF($A1431="E",G1431*(1+Assumptions!E$15),G1431*(1+Assumptions!E$14)),-2)</f>
        <v>21100</v>
      </c>
      <c r="I1431" s="288">
        <f>ROUND(IF($A1431="E",H1431*(1+Assumptions!F$15),H1431*(1+Assumptions!F$14)),-2)</f>
        <v>21500</v>
      </c>
      <c r="J1431" s="288">
        <f>ROUND(IF($A1431="E",I1431*(1+Assumptions!G$15),I1431*(1+Assumptions!G$14)),-2)</f>
        <v>21900</v>
      </c>
      <c r="K1431" s="288">
        <f>ROUND(IF($A1431="E",J1431*(1+Assumptions!H$15),J1431*(1+Assumptions!H$14)),-2)</f>
        <v>22300</v>
      </c>
      <c r="L1431" s="288">
        <f>ROUND(IF($A1431="E",K1431*(1+Assumptions!I$15),K1431*(1+Assumptions!I$14)),-2)</f>
        <v>22900</v>
      </c>
      <c r="M1431" s="288">
        <f>ROUND(IF($A1431="E",L1431*(1+Assumptions!J$15),L1431*(1+Assumptions!J$14)),-2)</f>
        <v>23500</v>
      </c>
      <c r="N1431" s="288">
        <f>ROUND(IF($A1431="E",M1431*(1+Assumptions!K$15),M1431*(1+Assumptions!K$14)),-2)</f>
        <v>24100</v>
      </c>
    </row>
    <row r="1432" spans="2:14" x14ac:dyDescent="0.25">
      <c r="B1432" s="16" t="s">
        <v>43</v>
      </c>
      <c r="C1432" s="16" t="s">
        <v>2309</v>
      </c>
      <c r="D1432" s="16" t="s">
        <v>2310</v>
      </c>
      <c r="E1432" s="288">
        <v>25000</v>
      </c>
      <c r="F1432" s="288">
        <f>ROUND(IF($A1432="E",E1432*(1+Assumptions!C$15),E1432*(1+Assumptions!C$14)),-2)</f>
        <v>25400</v>
      </c>
      <c r="G1432" s="288">
        <f>ROUND(IF($A1432="E",F1432*(1+Assumptions!D$15),F1432*(1+Assumptions!D$14)),-2)</f>
        <v>25900</v>
      </c>
      <c r="H1432" s="288">
        <f>ROUND(IF($A1432="E",G1432*(1+Assumptions!E$15),G1432*(1+Assumptions!E$14)),-2)</f>
        <v>26400</v>
      </c>
      <c r="I1432" s="288">
        <f>ROUND(IF($A1432="E",H1432*(1+Assumptions!F$15),H1432*(1+Assumptions!F$14)),-2)</f>
        <v>26900</v>
      </c>
      <c r="J1432" s="288">
        <f>ROUND(IF($A1432="E",I1432*(1+Assumptions!G$15),I1432*(1+Assumptions!G$14)),-2)</f>
        <v>27400</v>
      </c>
      <c r="K1432" s="288">
        <f>ROUND(IF($A1432="E",J1432*(1+Assumptions!H$15),J1432*(1+Assumptions!H$14)),-2)</f>
        <v>27900</v>
      </c>
      <c r="L1432" s="288">
        <f>ROUND(IF($A1432="E",K1432*(1+Assumptions!I$15),K1432*(1+Assumptions!I$14)),-2)</f>
        <v>28600</v>
      </c>
      <c r="M1432" s="288">
        <f>ROUND(IF($A1432="E",L1432*(1+Assumptions!J$15),L1432*(1+Assumptions!J$14)),-2)</f>
        <v>29300</v>
      </c>
      <c r="N1432" s="288">
        <f>ROUND(IF($A1432="E",M1432*(1+Assumptions!K$15),M1432*(1+Assumptions!K$14)),-2)</f>
        <v>30000</v>
      </c>
    </row>
    <row r="1433" spans="2:14" x14ac:dyDescent="0.25">
      <c r="B1433" s="16" t="s">
        <v>43</v>
      </c>
      <c r="C1433" s="16" t="s">
        <v>2311</v>
      </c>
      <c r="D1433" s="16" t="s">
        <v>2312</v>
      </c>
      <c r="E1433" s="288">
        <v>10000</v>
      </c>
      <c r="F1433" s="288">
        <f>ROUND(IF($A1433="E",E1433*(1+Assumptions!C$15),E1433*(1+Assumptions!C$14)),-2)</f>
        <v>10200</v>
      </c>
      <c r="G1433" s="288">
        <f>ROUND(IF($A1433="E",F1433*(1+Assumptions!D$15),F1433*(1+Assumptions!D$14)),-2)</f>
        <v>10400</v>
      </c>
      <c r="H1433" s="288">
        <f>ROUND(IF($A1433="E",G1433*(1+Assumptions!E$15),G1433*(1+Assumptions!E$14)),-2)</f>
        <v>10600</v>
      </c>
      <c r="I1433" s="288">
        <f>ROUND(IF($A1433="E",H1433*(1+Assumptions!F$15),H1433*(1+Assumptions!F$14)),-2)</f>
        <v>10800</v>
      </c>
      <c r="J1433" s="288">
        <f>ROUND(IF($A1433="E",I1433*(1+Assumptions!G$15),I1433*(1+Assumptions!G$14)),-2)</f>
        <v>11000</v>
      </c>
      <c r="K1433" s="288">
        <f>ROUND(IF($A1433="E",J1433*(1+Assumptions!H$15),J1433*(1+Assumptions!H$14)),-2)</f>
        <v>11200</v>
      </c>
      <c r="L1433" s="288">
        <f>ROUND(IF($A1433="E",K1433*(1+Assumptions!I$15),K1433*(1+Assumptions!I$14)),-2)</f>
        <v>11500</v>
      </c>
      <c r="M1433" s="288">
        <f>ROUND(IF($A1433="E",L1433*(1+Assumptions!J$15),L1433*(1+Assumptions!J$14)),-2)</f>
        <v>11800</v>
      </c>
      <c r="N1433" s="288">
        <f>ROUND(IF($A1433="E",M1433*(1+Assumptions!K$15),M1433*(1+Assumptions!K$14)),-2)</f>
        <v>12100</v>
      </c>
    </row>
    <row r="1434" spans="2:14" x14ac:dyDescent="0.25">
      <c r="B1434" s="16" t="s">
        <v>43</v>
      </c>
      <c r="C1434" s="16" t="s">
        <v>2313</v>
      </c>
      <c r="D1434" s="16" t="s">
        <v>2314</v>
      </c>
      <c r="E1434" s="289"/>
      <c r="F1434" s="289"/>
      <c r="G1434" s="289"/>
      <c r="H1434" s="289"/>
      <c r="I1434" s="289"/>
      <c r="J1434" s="289"/>
      <c r="K1434" s="289"/>
      <c r="L1434" s="289"/>
      <c r="M1434" s="289"/>
      <c r="N1434" s="289"/>
    </row>
    <row r="1435" spans="2:14" x14ac:dyDescent="0.25">
      <c r="B1435" s="16" t="s">
        <v>43</v>
      </c>
      <c r="C1435" s="16" t="s">
        <v>2315</v>
      </c>
      <c r="D1435" s="16" t="s">
        <v>2316</v>
      </c>
      <c r="E1435" s="288">
        <v>8900</v>
      </c>
      <c r="F1435" s="288">
        <f>ROUND(IF($A1435="E",E1435*(1+Assumptions!C$15),E1435*(1+Assumptions!C$14)),-2)</f>
        <v>9000</v>
      </c>
      <c r="G1435" s="288">
        <f>ROUND(IF($A1435="E",F1435*(1+Assumptions!D$15),F1435*(1+Assumptions!D$14)),-2)</f>
        <v>9200</v>
      </c>
      <c r="H1435" s="288">
        <f>ROUND(IF($A1435="E",G1435*(1+Assumptions!E$15),G1435*(1+Assumptions!E$14)),-2)</f>
        <v>9400</v>
      </c>
      <c r="I1435" s="288">
        <f>ROUND(IF($A1435="E",H1435*(1+Assumptions!F$15),H1435*(1+Assumptions!F$14)),-2)</f>
        <v>9600</v>
      </c>
      <c r="J1435" s="288">
        <f>ROUND(IF($A1435="E",I1435*(1+Assumptions!G$15),I1435*(1+Assumptions!G$14)),-2)</f>
        <v>9800</v>
      </c>
      <c r="K1435" s="288">
        <f>ROUND(IF($A1435="E",J1435*(1+Assumptions!H$15),J1435*(1+Assumptions!H$14)),-2)</f>
        <v>10000</v>
      </c>
      <c r="L1435" s="288">
        <f>ROUND(IF($A1435="E",K1435*(1+Assumptions!I$15),K1435*(1+Assumptions!I$14)),-2)</f>
        <v>10300</v>
      </c>
      <c r="M1435" s="288">
        <f>ROUND(IF($A1435="E",L1435*(1+Assumptions!J$15),L1435*(1+Assumptions!J$14)),-2)</f>
        <v>10600</v>
      </c>
      <c r="N1435" s="288">
        <f>ROUND(IF($A1435="E",M1435*(1+Assumptions!K$15),M1435*(1+Assumptions!K$14)),-2)</f>
        <v>10900</v>
      </c>
    </row>
    <row r="1436" spans="2:14" x14ac:dyDescent="0.25">
      <c r="B1436" s="16" t="s">
        <v>43</v>
      </c>
      <c r="C1436" s="16" t="s">
        <v>2317</v>
      </c>
      <c r="D1436" s="16" t="s">
        <v>2250</v>
      </c>
      <c r="E1436" s="288">
        <v>17700</v>
      </c>
      <c r="F1436" s="288">
        <f>ROUND(IF($A1436="E",E1436*(1+Assumptions!C$15),E1436*(1+Assumptions!C$14)),-2)</f>
        <v>18000</v>
      </c>
      <c r="G1436" s="288">
        <f>ROUND(IF($A1436="E",F1436*(1+Assumptions!D$15),F1436*(1+Assumptions!D$14)),-2)</f>
        <v>18400</v>
      </c>
      <c r="H1436" s="288">
        <f>ROUND(IF($A1436="E",G1436*(1+Assumptions!E$15),G1436*(1+Assumptions!E$14)),-2)</f>
        <v>18800</v>
      </c>
      <c r="I1436" s="288">
        <f>ROUND(IF($A1436="E",H1436*(1+Assumptions!F$15),H1436*(1+Assumptions!F$14)),-2)</f>
        <v>19200</v>
      </c>
      <c r="J1436" s="288">
        <f>ROUND(IF($A1436="E",I1436*(1+Assumptions!G$15),I1436*(1+Assumptions!G$14)),-2)</f>
        <v>19600</v>
      </c>
      <c r="K1436" s="288">
        <f>ROUND(IF($A1436="E",J1436*(1+Assumptions!H$15),J1436*(1+Assumptions!H$14)),-2)</f>
        <v>20000</v>
      </c>
      <c r="L1436" s="288">
        <f>ROUND(IF($A1436="E",K1436*(1+Assumptions!I$15),K1436*(1+Assumptions!I$14)),-2)</f>
        <v>20500</v>
      </c>
      <c r="M1436" s="288">
        <f>ROUND(IF($A1436="E",L1436*(1+Assumptions!J$15),L1436*(1+Assumptions!J$14)),-2)</f>
        <v>21000</v>
      </c>
      <c r="N1436" s="288">
        <f>ROUND(IF($A1436="E",M1436*(1+Assumptions!K$15),M1436*(1+Assumptions!K$14)),-2)</f>
        <v>21500</v>
      </c>
    </row>
    <row r="1437" spans="2:14" x14ac:dyDescent="0.25">
      <c r="B1437" s="16" t="s">
        <v>43</v>
      </c>
      <c r="C1437" s="16" t="s">
        <v>2318</v>
      </c>
      <c r="D1437" s="16" t="s">
        <v>830</v>
      </c>
      <c r="E1437" s="288">
        <v>22700</v>
      </c>
      <c r="F1437" s="288">
        <f>ROUND(IF($A1437="E",E1437*(1+Assumptions!C$15),E1437*(1+Assumptions!C$14)),-2)</f>
        <v>23000</v>
      </c>
      <c r="G1437" s="288">
        <f>ROUND(IF($A1437="E",F1437*(1+Assumptions!D$15),F1437*(1+Assumptions!D$14)),-2)</f>
        <v>23500</v>
      </c>
      <c r="H1437" s="288">
        <f>ROUND(IF($A1437="E",G1437*(1+Assumptions!E$15),G1437*(1+Assumptions!E$14)),-2)</f>
        <v>24000</v>
      </c>
      <c r="I1437" s="288">
        <f>ROUND(IF($A1437="E",H1437*(1+Assumptions!F$15),H1437*(1+Assumptions!F$14)),-2)</f>
        <v>24500</v>
      </c>
      <c r="J1437" s="288">
        <f>ROUND(IF($A1437="E",I1437*(1+Assumptions!G$15),I1437*(1+Assumptions!G$14)),-2)</f>
        <v>25000</v>
      </c>
      <c r="K1437" s="288">
        <f>ROUND(IF($A1437="E",J1437*(1+Assumptions!H$15),J1437*(1+Assumptions!H$14)),-2)</f>
        <v>25500</v>
      </c>
      <c r="L1437" s="288">
        <f>ROUND(IF($A1437="E",K1437*(1+Assumptions!I$15),K1437*(1+Assumptions!I$14)),-2)</f>
        <v>26100</v>
      </c>
      <c r="M1437" s="288">
        <f>ROUND(IF($A1437="E",L1437*(1+Assumptions!J$15),L1437*(1+Assumptions!J$14)),-2)</f>
        <v>26800</v>
      </c>
      <c r="N1437" s="288">
        <f>ROUND(IF($A1437="E",M1437*(1+Assumptions!K$15),M1437*(1+Assumptions!K$14)),-2)</f>
        <v>27500</v>
      </c>
    </row>
    <row r="1438" spans="2:14" x14ac:dyDescent="0.25">
      <c r="B1438" s="16" t="s">
        <v>43</v>
      </c>
      <c r="C1438" s="16" t="s">
        <v>2319</v>
      </c>
      <c r="D1438" s="16" t="s">
        <v>2320</v>
      </c>
      <c r="E1438" s="288">
        <v>6900</v>
      </c>
      <c r="F1438" s="288">
        <f>ROUND(IF($A1438="E",E1438*(1+Assumptions!C$15),E1438*(1+Assumptions!C$14)),-2)</f>
        <v>7000</v>
      </c>
      <c r="G1438" s="288">
        <f>ROUND(IF($A1438="E",F1438*(1+Assumptions!D$15),F1438*(1+Assumptions!D$14)),-2)</f>
        <v>7100</v>
      </c>
      <c r="H1438" s="288">
        <f>ROUND(IF($A1438="E",G1438*(1+Assumptions!E$15),G1438*(1+Assumptions!E$14)),-2)</f>
        <v>7200</v>
      </c>
      <c r="I1438" s="288">
        <f>ROUND(IF($A1438="E",H1438*(1+Assumptions!F$15),H1438*(1+Assumptions!F$14)),-2)</f>
        <v>7300</v>
      </c>
      <c r="J1438" s="288">
        <f>ROUND(IF($A1438="E",I1438*(1+Assumptions!G$15),I1438*(1+Assumptions!G$14)),-2)</f>
        <v>7400</v>
      </c>
      <c r="K1438" s="288">
        <f>ROUND(IF($A1438="E",J1438*(1+Assumptions!H$15),J1438*(1+Assumptions!H$14)),-2)</f>
        <v>7500</v>
      </c>
      <c r="L1438" s="288">
        <f>ROUND(IF($A1438="E",K1438*(1+Assumptions!I$15),K1438*(1+Assumptions!I$14)),-2)</f>
        <v>7700</v>
      </c>
      <c r="M1438" s="288">
        <f>ROUND(IF($A1438="E",L1438*(1+Assumptions!J$15),L1438*(1+Assumptions!J$14)),-2)</f>
        <v>7900</v>
      </c>
      <c r="N1438" s="288">
        <f>ROUND(IF($A1438="E",M1438*(1+Assumptions!K$15),M1438*(1+Assumptions!K$14)),-2)</f>
        <v>8100</v>
      </c>
    </row>
    <row r="1439" spans="2:14" x14ac:dyDescent="0.25">
      <c r="B1439" s="16" t="s">
        <v>43</v>
      </c>
      <c r="C1439" s="16" t="s">
        <v>2321</v>
      </c>
      <c r="D1439" s="16" t="s">
        <v>2322</v>
      </c>
      <c r="E1439" s="289"/>
      <c r="F1439" s="289"/>
      <c r="G1439" s="289"/>
      <c r="H1439" s="289"/>
      <c r="I1439" s="289"/>
      <c r="J1439" s="289"/>
      <c r="K1439" s="289"/>
      <c r="L1439" s="289"/>
      <c r="M1439" s="289"/>
      <c r="N1439" s="289"/>
    </row>
    <row r="1440" spans="2:14" x14ac:dyDescent="0.25">
      <c r="B1440" s="16" t="s">
        <v>43</v>
      </c>
      <c r="C1440" s="16" t="s">
        <v>2323</v>
      </c>
      <c r="D1440" s="16" t="s">
        <v>2324</v>
      </c>
      <c r="E1440" s="288">
        <v>4800</v>
      </c>
      <c r="F1440" s="288">
        <f>ROUND(IF($A1440="E",E1440*(1+Assumptions!C$15),E1440*(1+Assumptions!C$14)),-2)</f>
        <v>4900</v>
      </c>
      <c r="G1440" s="288">
        <f>ROUND(IF($A1440="E",F1440*(1+Assumptions!D$15),F1440*(1+Assumptions!D$14)),-2)</f>
        <v>5000</v>
      </c>
      <c r="H1440" s="288">
        <f>ROUND(IF($A1440="E",G1440*(1+Assumptions!E$15),G1440*(1+Assumptions!E$14)),-2)</f>
        <v>5100</v>
      </c>
      <c r="I1440" s="288">
        <f>ROUND(IF($A1440="E",H1440*(1+Assumptions!F$15),H1440*(1+Assumptions!F$14)),-2)</f>
        <v>5200</v>
      </c>
      <c r="J1440" s="288">
        <f>ROUND(IF($A1440="E",I1440*(1+Assumptions!G$15),I1440*(1+Assumptions!G$14)),-2)</f>
        <v>5300</v>
      </c>
      <c r="K1440" s="288">
        <f>ROUND(IF($A1440="E",J1440*(1+Assumptions!H$15),J1440*(1+Assumptions!H$14)),-2)</f>
        <v>5400</v>
      </c>
      <c r="L1440" s="288">
        <f>ROUND(IF($A1440="E",K1440*(1+Assumptions!I$15),K1440*(1+Assumptions!I$14)),-2)</f>
        <v>5500</v>
      </c>
      <c r="M1440" s="288">
        <f>ROUND(IF($A1440="E",L1440*(1+Assumptions!J$15),L1440*(1+Assumptions!J$14)),-2)</f>
        <v>5600</v>
      </c>
      <c r="N1440" s="288">
        <f>ROUND(IF($A1440="E",M1440*(1+Assumptions!K$15),M1440*(1+Assumptions!K$14)),-2)</f>
        <v>5700</v>
      </c>
    </row>
    <row r="1441" spans="2:14" x14ac:dyDescent="0.25">
      <c r="B1441" s="16" t="s">
        <v>43</v>
      </c>
      <c r="C1441" s="16" t="s">
        <v>2325</v>
      </c>
      <c r="D1441" s="16" t="s">
        <v>2326</v>
      </c>
      <c r="E1441" s="288">
        <v>22700</v>
      </c>
      <c r="F1441" s="288">
        <f>ROUND(IF($A1441="E",E1441*(1+Assumptions!C$15),E1441*(1+Assumptions!C$14)),-2)</f>
        <v>23000</v>
      </c>
      <c r="G1441" s="288">
        <f>ROUND(IF($A1441="E",F1441*(1+Assumptions!D$15),F1441*(1+Assumptions!D$14)),-2)</f>
        <v>23500</v>
      </c>
      <c r="H1441" s="288">
        <f>ROUND(IF($A1441="E",G1441*(1+Assumptions!E$15),G1441*(1+Assumptions!E$14)),-2)</f>
        <v>24000</v>
      </c>
      <c r="I1441" s="288">
        <f>ROUND(IF($A1441="E",H1441*(1+Assumptions!F$15),H1441*(1+Assumptions!F$14)),-2)</f>
        <v>24500</v>
      </c>
      <c r="J1441" s="288">
        <f>ROUND(IF($A1441="E",I1441*(1+Assumptions!G$15),I1441*(1+Assumptions!G$14)),-2)</f>
        <v>25000</v>
      </c>
      <c r="K1441" s="288">
        <f>ROUND(IF($A1441="E",J1441*(1+Assumptions!H$15),J1441*(1+Assumptions!H$14)),-2)</f>
        <v>25500</v>
      </c>
      <c r="L1441" s="288">
        <f>ROUND(IF($A1441="E",K1441*(1+Assumptions!I$15),K1441*(1+Assumptions!I$14)),-2)</f>
        <v>26100</v>
      </c>
      <c r="M1441" s="288">
        <f>ROUND(IF($A1441="E",L1441*(1+Assumptions!J$15),L1441*(1+Assumptions!J$14)),-2)</f>
        <v>26800</v>
      </c>
      <c r="N1441" s="288">
        <f>ROUND(IF($A1441="E",M1441*(1+Assumptions!K$15),M1441*(1+Assumptions!K$14)),-2)</f>
        <v>27500</v>
      </c>
    </row>
    <row r="1442" spans="2:14" x14ac:dyDescent="0.25">
      <c r="B1442" s="16" t="s">
        <v>43</v>
      </c>
      <c r="C1442" s="16" t="s">
        <v>2327</v>
      </c>
      <c r="D1442" s="16" t="s">
        <v>2328</v>
      </c>
      <c r="E1442" s="288">
        <v>4800</v>
      </c>
      <c r="F1442" s="288">
        <f>ROUND(IF($A1442="E",E1442*(1+Assumptions!C$15),E1442*(1+Assumptions!C$14)),-2)</f>
        <v>4900</v>
      </c>
      <c r="G1442" s="288">
        <f>ROUND(IF($A1442="E",F1442*(1+Assumptions!D$15),F1442*(1+Assumptions!D$14)),-2)</f>
        <v>5000</v>
      </c>
      <c r="H1442" s="288">
        <f>ROUND(IF($A1442="E",G1442*(1+Assumptions!E$15),G1442*(1+Assumptions!E$14)),-2)</f>
        <v>5100</v>
      </c>
      <c r="I1442" s="288">
        <f>ROUND(IF($A1442="E",H1442*(1+Assumptions!F$15),H1442*(1+Assumptions!F$14)),-2)</f>
        <v>5200</v>
      </c>
      <c r="J1442" s="288">
        <f>ROUND(IF($A1442="E",I1442*(1+Assumptions!G$15),I1442*(1+Assumptions!G$14)),-2)</f>
        <v>5300</v>
      </c>
      <c r="K1442" s="288">
        <f>ROUND(IF($A1442="E",J1442*(1+Assumptions!H$15),J1442*(1+Assumptions!H$14)),-2)</f>
        <v>5400</v>
      </c>
      <c r="L1442" s="288">
        <f>ROUND(IF($A1442="E",K1442*(1+Assumptions!I$15),K1442*(1+Assumptions!I$14)),-2)</f>
        <v>5500</v>
      </c>
      <c r="M1442" s="288">
        <f>ROUND(IF($A1442="E",L1442*(1+Assumptions!J$15),L1442*(1+Assumptions!J$14)),-2)</f>
        <v>5600</v>
      </c>
      <c r="N1442" s="288">
        <f>ROUND(IF($A1442="E",M1442*(1+Assumptions!K$15),M1442*(1+Assumptions!K$14)),-2)</f>
        <v>5700</v>
      </c>
    </row>
    <row r="1443" spans="2:14" x14ac:dyDescent="0.25">
      <c r="B1443" s="16" t="s">
        <v>43</v>
      </c>
      <c r="C1443" s="16" t="s">
        <v>2329</v>
      </c>
      <c r="D1443" s="16" t="s">
        <v>114</v>
      </c>
      <c r="E1443" s="288">
        <v>23500</v>
      </c>
      <c r="F1443" s="288">
        <f>ROUND(IF($A1443="E",E1443*(1+Assumptions!C$15),E1443*(1+Assumptions!C$14)),-2)</f>
        <v>23900</v>
      </c>
      <c r="G1443" s="288">
        <f>ROUND(IF($A1443="E",F1443*(1+Assumptions!D$15),F1443*(1+Assumptions!D$14)),-2)</f>
        <v>24400</v>
      </c>
      <c r="H1443" s="288">
        <f>ROUND(IF($A1443="E",G1443*(1+Assumptions!E$15),G1443*(1+Assumptions!E$14)),-2)</f>
        <v>24900</v>
      </c>
      <c r="I1443" s="288">
        <f>ROUND(IF($A1443="E",H1443*(1+Assumptions!F$15),H1443*(1+Assumptions!F$14)),-2)</f>
        <v>25400</v>
      </c>
      <c r="J1443" s="288">
        <f>ROUND(IF($A1443="E",I1443*(1+Assumptions!G$15),I1443*(1+Assumptions!G$14)),-2)</f>
        <v>25900</v>
      </c>
      <c r="K1443" s="288">
        <f>ROUND(IF($A1443="E",J1443*(1+Assumptions!H$15),J1443*(1+Assumptions!H$14)),-2)</f>
        <v>26400</v>
      </c>
      <c r="L1443" s="288">
        <f>ROUND(IF($A1443="E",K1443*(1+Assumptions!I$15),K1443*(1+Assumptions!I$14)),-2)</f>
        <v>27100</v>
      </c>
      <c r="M1443" s="288">
        <f>ROUND(IF($A1443="E",L1443*(1+Assumptions!J$15),L1443*(1+Assumptions!J$14)),-2)</f>
        <v>27800</v>
      </c>
      <c r="N1443" s="288">
        <f>ROUND(IF($A1443="E",M1443*(1+Assumptions!K$15),M1443*(1+Assumptions!K$14)),-2)</f>
        <v>28500</v>
      </c>
    </row>
    <row r="1444" spans="2:14" x14ac:dyDescent="0.25">
      <c r="B1444" s="16" t="s">
        <v>43</v>
      </c>
      <c r="C1444" s="16" t="s">
        <v>2330</v>
      </c>
      <c r="D1444" s="16" t="s">
        <v>2331</v>
      </c>
      <c r="E1444" s="288">
        <v>18500</v>
      </c>
      <c r="F1444" s="288">
        <f>ROUND(IF($A1444="E",E1444*(1+Assumptions!C$15),E1444*(1+Assumptions!C$14)),-2)</f>
        <v>18800</v>
      </c>
      <c r="G1444" s="288">
        <f>ROUND(IF($A1444="E",F1444*(1+Assumptions!D$15),F1444*(1+Assumptions!D$14)),-2)</f>
        <v>19200</v>
      </c>
      <c r="H1444" s="288">
        <f>ROUND(IF($A1444="E",G1444*(1+Assumptions!E$15),G1444*(1+Assumptions!E$14)),-2)</f>
        <v>19600</v>
      </c>
      <c r="I1444" s="288">
        <f>ROUND(IF($A1444="E",H1444*(1+Assumptions!F$15),H1444*(1+Assumptions!F$14)),-2)</f>
        <v>20000</v>
      </c>
      <c r="J1444" s="288">
        <f>ROUND(IF($A1444="E",I1444*(1+Assumptions!G$15),I1444*(1+Assumptions!G$14)),-2)</f>
        <v>20400</v>
      </c>
      <c r="K1444" s="288">
        <f>ROUND(IF($A1444="E",J1444*(1+Assumptions!H$15),J1444*(1+Assumptions!H$14)),-2)</f>
        <v>20800</v>
      </c>
      <c r="L1444" s="288">
        <f>ROUND(IF($A1444="E",K1444*(1+Assumptions!I$15),K1444*(1+Assumptions!I$14)),-2)</f>
        <v>21300</v>
      </c>
      <c r="M1444" s="288">
        <f>ROUND(IF($A1444="E",L1444*(1+Assumptions!J$15),L1444*(1+Assumptions!J$14)),-2)</f>
        <v>21800</v>
      </c>
      <c r="N1444" s="288">
        <f>ROUND(IF($A1444="E",M1444*(1+Assumptions!K$15),M1444*(1+Assumptions!K$14)),-2)</f>
        <v>22300</v>
      </c>
    </row>
    <row r="1445" spans="2:14" x14ac:dyDescent="0.25">
      <c r="B1445" s="16" t="s">
        <v>43</v>
      </c>
      <c r="C1445" s="16" t="s">
        <v>2332</v>
      </c>
      <c r="D1445" s="16" t="s">
        <v>2333</v>
      </c>
      <c r="E1445" s="288">
        <v>32000</v>
      </c>
      <c r="F1445" s="288">
        <f>ROUND(IF($A1445="E",E1445*(1+Assumptions!C$15),E1445*(1+Assumptions!C$14)),-2)</f>
        <v>32500</v>
      </c>
      <c r="G1445" s="288">
        <f>ROUND(IF($A1445="E",F1445*(1+Assumptions!D$15),F1445*(1+Assumptions!D$14)),-2)</f>
        <v>33200</v>
      </c>
      <c r="H1445" s="288">
        <f>ROUND(IF($A1445="E",G1445*(1+Assumptions!E$15),G1445*(1+Assumptions!E$14)),-2)</f>
        <v>33900</v>
      </c>
      <c r="I1445" s="288">
        <f>ROUND(IF($A1445="E",H1445*(1+Assumptions!F$15),H1445*(1+Assumptions!F$14)),-2)</f>
        <v>34600</v>
      </c>
      <c r="J1445" s="288">
        <f>ROUND(IF($A1445="E",I1445*(1+Assumptions!G$15),I1445*(1+Assumptions!G$14)),-2)</f>
        <v>35300</v>
      </c>
      <c r="K1445" s="288">
        <f>ROUND(IF($A1445="E",J1445*(1+Assumptions!H$15),J1445*(1+Assumptions!H$14)),-2)</f>
        <v>36000</v>
      </c>
      <c r="L1445" s="288">
        <f>ROUND(IF($A1445="E",K1445*(1+Assumptions!I$15),K1445*(1+Assumptions!I$14)),-2)</f>
        <v>36900</v>
      </c>
      <c r="M1445" s="288">
        <f>ROUND(IF($A1445="E",L1445*(1+Assumptions!J$15),L1445*(1+Assumptions!J$14)),-2)</f>
        <v>37800</v>
      </c>
      <c r="N1445" s="288">
        <f>ROUND(IF($A1445="E",M1445*(1+Assumptions!K$15),M1445*(1+Assumptions!K$14)),-2)</f>
        <v>38700</v>
      </c>
    </row>
    <row r="1446" spans="2:14" x14ac:dyDescent="0.25">
      <c r="B1446" s="16" t="s">
        <v>43</v>
      </c>
      <c r="C1446" s="16" t="s">
        <v>2334</v>
      </c>
      <c r="D1446" s="16" t="s">
        <v>2335</v>
      </c>
      <c r="E1446" s="289"/>
      <c r="F1446" s="289"/>
      <c r="G1446" s="289"/>
      <c r="H1446" s="289"/>
      <c r="I1446" s="289"/>
      <c r="J1446" s="289"/>
      <c r="K1446" s="289"/>
      <c r="L1446" s="289"/>
      <c r="M1446" s="289"/>
      <c r="N1446" s="289"/>
    </row>
    <row r="1447" spans="2:14" x14ac:dyDescent="0.25">
      <c r="B1447" s="16" t="s">
        <v>45</v>
      </c>
      <c r="C1447" s="16" t="s">
        <v>2336</v>
      </c>
      <c r="D1447" s="16" t="s">
        <v>2228</v>
      </c>
      <c r="E1447" s="288">
        <v>22400</v>
      </c>
      <c r="F1447" s="288">
        <f>ROUND(IF($A1447="E",E1447*(1+Assumptions!C$15),E1447*(1+Assumptions!C$14)),-2)</f>
        <v>22700</v>
      </c>
      <c r="G1447" s="288">
        <f>ROUND(IF($A1447="E",F1447*(1+Assumptions!D$15),F1447*(1+Assumptions!D$14)),-2)</f>
        <v>23200</v>
      </c>
      <c r="H1447" s="288">
        <f>ROUND(IF($A1447="E",G1447*(1+Assumptions!E$15),G1447*(1+Assumptions!E$14)),-2)</f>
        <v>23700</v>
      </c>
      <c r="I1447" s="288">
        <f>ROUND(IF($A1447="E",H1447*(1+Assumptions!F$15),H1447*(1+Assumptions!F$14)),-2)</f>
        <v>24200</v>
      </c>
      <c r="J1447" s="288">
        <f>ROUND(IF($A1447="E",I1447*(1+Assumptions!G$15),I1447*(1+Assumptions!G$14)),-2)</f>
        <v>24700</v>
      </c>
      <c r="K1447" s="288">
        <f>ROUND(IF($A1447="E",J1447*(1+Assumptions!H$15),J1447*(1+Assumptions!H$14)),-2)</f>
        <v>25200</v>
      </c>
      <c r="L1447" s="288">
        <f>ROUND(IF($A1447="E",K1447*(1+Assumptions!I$15),K1447*(1+Assumptions!I$14)),-2)</f>
        <v>25800</v>
      </c>
      <c r="M1447" s="288">
        <f>ROUND(IF($A1447="E",L1447*(1+Assumptions!J$15),L1447*(1+Assumptions!J$14)),-2)</f>
        <v>26400</v>
      </c>
      <c r="N1447" s="288">
        <f>ROUND(IF($A1447="E",M1447*(1+Assumptions!K$15),M1447*(1+Assumptions!K$14)),-2)</f>
        <v>27100</v>
      </c>
    </row>
    <row r="1448" spans="2:14" x14ac:dyDescent="0.25">
      <c r="B1448" s="16" t="s">
        <v>43</v>
      </c>
      <c r="C1448" s="16" t="s">
        <v>2337</v>
      </c>
      <c r="D1448" s="16" t="s">
        <v>2338</v>
      </c>
      <c r="E1448" s="288">
        <v>2100</v>
      </c>
      <c r="F1448" s="288">
        <f>ROUND(IF($A1448="E",E1448*(1+Assumptions!C$15),E1448*(1+Assumptions!C$14)),-2)</f>
        <v>2100</v>
      </c>
      <c r="G1448" s="288">
        <f>ROUND(IF($A1448="E",F1448*(1+Assumptions!D$15),F1448*(1+Assumptions!D$14)),-2)</f>
        <v>2100</v>
      </c>
      <c r="H1448" s="288">
        <f>ROUND(IF($A1448="E",G1448*(1+Assumptions!E$15),G1448*(1+Assumptions!E$14)),-2)</f>
        <v>2100</v>
      </c>
      <c r="I1448" s="288">
        <f>ROUND(IF($A1448="E",H1448*(1+Assumptions!F$15),H1448*(1+Assumptions!F$14)),-2)</f>
        <v>2100</v>
      </c>
      <c r="J1448" s="288">
        <f>ROUND(IF($A1448="E",I1448*(1+Assumptions!G$15),I1448*(1+Assumptions!G$14)),-2)</f>
        <v>2100</v>
      </c>
      <c r="K1448" s="288">
        <f>ROUND(IF($A1448="E",J1448*(1+Assumptions!H$15),J1448*(1+Assumptions!H$14)),-2)</f>
        <v>2100</v>
      </c>
      <c r="L1448" s="288">
        <f>ROUND(IF($A1448="E",K1448*(1+Assumptions!I$15),K1448*(1+Assumptions!I$14)),-2)</f>
        <v>2200</v>
      </c>
      <c r="M1448" s="288">
        <f>ROUND(IF($A1448="E",L1448*(1+Assumptions!J$15),L1448*(1+Assumptions!J$14)),-2)</f>
        <v>2300</v>
      </c>
      <c r="N1448" s="288">
        <f>ROUND(IF($A1448="E",M1448*(1+Assumptions!K$15),M1448*(1+Assumptions!K$14)),-2)</f>
        <v>2400</v>
      </c>
    </row>
    <row r="1449" spans="2:14" x14ac:dyDescent="0.25">
      <c r="B1449" s="16" t="s">
        <v>43</v>
      </c>
      <c r="C1449" s="16" t="s">
        <v>2339</v>
      </c>
      <c r="D1449" s="16" t="s">
        <v>2340</v>
      </c>
      <c r="E1449" s="288">
        <v>900</v>
      </c>
      <c r="F1449" s="288">
        <f>ROUND(IF($A1449="E",E1449*(1+Assumptions!C$15),E1449*(1+Assumptions!C$14)),-2)</f>
        <v>900</v>
      </c>
      <c r="G1449" s="288">
        <f>ROUND(IF($A1449="E",F1449*(1+Assumptions!D$15),F1449*(1+Assumptions!D$14)),-2)</f>
        <v>900</v>
      </c>
      <c r="H1449" s="288">
        <f>ROUND(IF($A1449="E",G1449*(1+Assumptions!E$15),G1449*(1+Assumptions!E$14)),-2)</f>
        <v>900</v>
      </c>
      <c r="I1449" s="288">
        <f>ROUND(IF($A1449="E",H1449*(1+Assumptions!F$15),H1449*(1+Assumptions!F$14)),-2)</f>
        <v>900</v>
      </c>
      <c r="J1449" s="288">
        <f>ROUND(IF($A1449="E",I1449*(1+Assumptions!G$15),I1449*(1+Assumptions!G$14)),-2)</f>
        <v>900</v>
      </c>
      <c r="K1449" s="288">
        <f>ROUND(IF($A1449="E",J1449*(1+Assumptions!H$15),J1449*(1+Assumptions!H$14)),-2)</f>
        <v>900</v>
      </c>
      <c r="L1449" s="288">
        <f>ROUND(IF($A1449="E",K1449*(1+Assumptions!I$15),K1449*(1+Assumptions!I$14)),-2)</f>
        <v>900</v>
      </c>
      <c r="M1449" s="288">
        <f>ROUND(IF($A1449="E",L1449*(1+Assumptions!J$15),L1449*(1+Assumptions!J$14)),-2)</f>
        <v>900</v>
      </c>
      <c r="N1449" s="288">
        <f>ROUND(IF($A1449="E",M1449*(1+Assumptions!K$15),M1449*(1+Assumptions!K$14)),-2)</f>
        <v>900</v>
      </c>
    </row>
    <row r="1450" spans="2:14" x14ac:dyDescent="0.25">
      <c r="B1450" s="16" t="s">
        <v>43</v>
      </c>
      <c r="C1450" s="16" t="s">
        <v>2341</v>
      </c>
      <c r="D1450" s="16" t="s">
        <v>2342</v>
      </c>
      <c r="E1450" s="289"/>
      <c r="F1450" s="289"/>
      <c r="G1450" s="289"/>
      <c r="H1450" s="289"/>
      <c r="I1450" s="289"/>
      <c r="J1450" s="289"/>
      <c r="K1450" s="289"/>
      <c r="L1450" s="289"/>
      <c r="M1450" s="289"/>
      <c r="N1450" s="289"/>
    </row>
    <row r="1451" spans="2:14" x14ac:dyDescent="0.25">
      <c r="B1451" s="16" t="s">
        <v>43</v>
      </c>
      <c r="C1451" s="16" t="s">
        <v>2343</v>
      </c>
      <c r="D1451" s="16" t="s">
        <v>2344</v>
      </c>
      <c r="E1451" s="288">
        <v>5700</v>
      </c>
      <c r="F1451" s="288">
        <f>ROUND(IF($A1451="E",E1451*(1+Assumptions!C$15),E1451*(1+Assumptions!C$14)),-2)</f>
        <v>5800</v>
      </c>
      <c r="G1451" s="288">
        <f>ROUND(IF($A1451="E",F1451*(1+Assumptions!D$15),F1451*(1+Assumptions!D$14)),-2)</f>
        <v>5900</v>
      </c>
      <c r="H1451" s="288">
        <f>ROUND(IF($A1451="E",G1451*(1+Assumptions!E$15),G1451*(1+Assumptions!E$14)),-2)</f>
        <v>6000</v>
      </c>
      <c r="I1451" s="288">
        <f>ROUND(IF($A1451="E",H1451*(1+Assumptions!F$15),H1451*(1+Assumptions!F$14)),-2)</f>
        <v>6100</v>
      </c>
      <c r="J1451" s="288">
        <f>ROUND(IF($A1451="E",I1451*(1+Assumptions!G$15),I1451*(1+Assumptions!G$14)),-2)</f>
        <v>6200</v>
      </c>
      <c r="K1451" s="288">
        <f>ROUND(IF($A1451="E",J1451*(1+Assumptions!H$15),J1451*(1+Assumptions!H$14)),-2)</f>
        <v>6300</v>
      </c>
      <c r="L1451" s="288">
        <f>ROUND(IF($A1451="E",K1451*(1+Assumptions!I$15),K1451*(1+Assumptions!I$14)),-2)</f>
        <v>6500</v>
      </c>
      <c r="M1451" s="288">
        <f>ROUND(IF($A1451="E",L1451*(1+Assumptions!J$15),L1451*(1+Assumptions!J$14)),-2)</f>
        <v>6700</v>
      </c>
      <c r="N1451" s="288">
        <f>ROUND(IF($A1451="E",M1451*(1+Assumptions!K$15),M1451*(1+Assumptions!K$14)),-2)</f>
        <v>6900</v>
      </c>
    </row>
    <row r="1452" spans="2:14" x14ac:dyDescent="0.25">
      <c r="B1452" s="16" t="s">
        <v>43</v>
      </c>
      <c r="C1452" s="16" t="s">
        <v>2345</v>
      </c>
      <c r="D1452" s="16" t="s">
        <v>2346</v>
      </c>
      <c r="E1452" s="288">
        <v>146800</v>
      </c>
      <c r="F1452" s="288">
        <f>ROUND(IF($A1452="E",E1452*(1+Assumptions!C$15),E1452*(1+Assumptions!C$14)),-2)</f>
        <v>149000</v>
      </c>
      <c r="G1452" s="288">
        <f>ROUND(IF($A1452="E",F1452*(1+Assumptions!D$15),F1452*(1+Assumptions!D$14)),-2)</f>
        <v>152000</v>
      </c>
      <c r="H1452" s="288">
        <f>ROUND(IF($A1452="E",G1452*(1+Assumptions!E$15),G1452*(1+Assumptions!E$14)),-2)</f>
        <v>155000</v>
      </c>
      <c r="I1452" s="288">
        <f>ROUND(IF($A1452="E",H1452*(1+Assumptions!F$15),H1452*(1+Assumptions!F$14)),-2)</f>
        <v>158100</v>
      </c>
      <c r="J1452" s="288">
        <f>ROUND(IF($A1452="E",I1452*(1+Assumptions!G$15),I1452*(1+Assumptions!G$14)),-2)</f>
        <v>161300</v>
      </c>
      <c r="K1452" s="288">
        <f>ROUND(IF($A1452="E",J1452*(1+Assumptions!H$15),J1452*(1+Assumptions!H$14)),-2)</f>
        <v>164500</v>
      </c>
      <c r="L1452" s="288">
        <f>ROUND(IF($A1452="E",K1452*(1+Assumptions!I$15),K1452*(1+Assumptions!I$14)),-2)</f>
        <v>168600</v>
      </c>
      <c r="M1452" s="288">
        <f>ROUND(IF($A1452="E",L1452*(1+Assumptions!J$15),L1452*(1+Assumptions!J$14)),-2)</f>
        <v>172800</v>
      </c>
      <c r="N1452" s="288">
        <f>ROUND(IF($A1452="E",M1452*(1+Assumptions!K$15),M1452*(1+Assumptions!K$14)),-2)</f>
        <v>177100</v>
      </c>
    </row>
    <row r="1453" spans="2:14" x14ac:dyDescent="0.25">
      <c r="B1453" s="16" t="s">
        <v>43</v>
      </c>
      <c r="C1453" s="16" t="s">
        <v>2347</v>
      </c>
      <c r="D1453" s="16" t="s">
        <v>2348</v>
      </c>
      <c r="E1453" s="288">
        <v>1400</v>
      </c>
      <c r="F1453" s="288">
        <f>ROUND(IF($A1453="E",E1453*(1+Assumptions!C$15),E1453*(1+Assumptions!C$14)),-2)</f>
        <v>1400</v>
      </c>
      <c r="G1453" s="288">
        <f>ROUND(IF($A1453="E",F1453*(1+Assumptions!D$15),F1453*(1+Assumptions!D$14)),-2)</f>
        <v>1400</v>
      </c>
      <c r="H1453" s="288">
        <f>ROUND(IF($A1453="E",G1453*(1+Assumptions!E$15),G1453*(1+Assumptions!E$14)),-2)</f>
        <v>1400</v>
      </c>
      <c r="I1453" s="288">
        <f>ROUND(IF($A1453="E",H1453*(1+Assumptions!F$15),H1453*(1+Assumptions!F$14)),-2)</f>
        <v>1400</v>
      </c>
      <c r="J1453" s="288">
        <f>ROUND(IF($A1453="E",I1453*(1+Assumptions!G$15),I1453*(1+Assumptions!G$14)),-2)</f>
        <v>1400</v>
      </c>
      <c r="K1453" s="288">
        <f>ROUND(IF($A1453="E",J1453*(1+Assumptions!H$15),J1453*(1+Assumptions!H$14)),-2)</f>
        <v>1400</v>
      </c>
      <c r="L1453" s="288">
        <f>ROUND(IF($A1453="E",K1453*(1+Assumptions!I$15),K1453*(1+Assumptions!I$14)),-2)</f>
        <v>1400</v>
      </c>
      <c r="M1453" s="288">
        <f>ROUND(IF($A1453="E",L1453*(1+Assumptions!J$15),L1453*(1+Assumptions!J$14)),-2)</f>
        <v>1400</v>
      </c>
      <c r="N1453" s="288">
        <f>ROUND(IF($A1453="E",M1453*(1+Assumptions!K$15),M1453*(1+Assumptions!K$14)),-2)</f>
        <v>1400</v>
      </c>
    </row>
    <row r="1454" spans="2:14" x14ac:dyDescent="0.25">
      <c r="B1454" s="16" t="s">
        <v>45</v>
      </c>
      <c r="C1454" s="16" t="s">
        <v>2349</v>
      </c>
      <c r="D1454" s="16" t="s">
        <v>492</v>
      </c>
      <c r="E1454" s="288">
        <v>49800</v>
      </c>
      <c r="F1454" s="288">
        <f>ROUND(IF($A1454="E",E1454*(1+Assumptions!C$15),E1454*(1+Assumptions!C$14)),-2)</f>
        <v>50500</v>
      </c>
      <c r="G1454" s="288">
        <f>ROUND(IF($A1454="E",F1454*(1+Assumptions!D$15),F1454*(1+Assumptions!D$14)),-2)</f>
        <v>51500</v>
      </c>
      <c r="H1454" s="288">
        <f>ROUND(IF($A1454="E",G1454*(1+Assumptions!E$15),G1454*(1+Assumptions!E$14)),-2)</f>
        <v>52500</v>
      </c>
      <c r="I1454" s="288">
        <f>ROUND(IF($A1454="E",H1454*(1+Assumptions!F$15),H1454*(1+Assumptions!F$14)),-2)</f>
        <v>53600</v>
      </c>
      <c r="J1454" s="288">
        <f>ROUND(IF($A1454="E",I1454*(1+Assumptions!G$15),I1454*(1+Assumptions!G$14)),-2)</f>
        <v>54700</v>
      </c>
      <c r="K1454" s="288">
        <f>ROUND(IF($A1454="E",J1454*(1+Assumptions!H$15),J1454*(1+Assumptions!H$14)),-2)</f>
        <v>55800</v>
      </c>
      <c r="L1454" s="288">
        <f>ROUND(IF($A1454="E",K1454*(1+Assumptions!I$15),K1454*(1+Assumptions!I$14)),-2)</f>
        <v>57200</v>
      </c>
      <c r="M1454" s="288">
        <f>ROUND(IF($A1454="E",L1454*(1+Assumptions!J$15),L1454*(1+Assumptions!J$14)),-2)</f>
        <v>58600</v>
      </c>
      <c r="N1454" s="288">
        <f>ROUND(IF($A1454="E",M1454*(1+Assumptions!K$15),M1454*(1+Assumptions!K$14)),-2)</f>
        <v>60100</v>
      </c>
    </row>
    <row r="1455" spans="2:14" x14ac:dyDescent="0.25">
      <c r="B1455" s="16" t="s">
        <v>43</v>
      </c>
      <c r="C1455" s="16" t="s">
        <v>2350</v>
      </c>
      <c r="D1455" s="16" t="s">
        <v>2351</v>
      </c>
      <c r="E1455" s="289"/>
      <c r="F1455" s="289"/>
      <c r="G1455" s="289"/>
      <c r="H1455" s="289"/>
      <c r="I1455" s="289"/>
      <c r="J1455" s="289"/>
      <c r="K1455" s="289"/>
      <c r="L1455" s="289"/>
      <c r="M1455" s="289"/>
      <c r="N1455" s="289"/>
    </row>
    <row r="1456" spans="2:14" x14ac:dyDescent="0.25">
      <c r="B1456" s="16" t="s">
        <v>43</v>
      </c>
      <c r="C1456" s="16" t="s">
        <v>2352</v>
      </c>
      <c r="D1456" s="16" t="s">
        <v>2316</v>
      </c>
      <c r="E1456" s="288">
        <v>2500</v>
      </c>
      <c r="F1456" s="288">
        <f>ROUND(IF($A1456="E",E1456*(1+Assumptions!C$15),E1456*(1+Assumptions!C$14)),-2)</f>
        <v>2500</v>
      </c>
      <c r="G1456" s="288">
        <f>ROUND(IF($A1456="E",F1456*(1+Assumptions!D$15),F1456*(1+Assumptions!D$14)),-2)</f>
        <v>2600</v>
      </c>
      <c r="H1456" s="288">
        <f>ROUND(IF($A1456="E",G1456*(1+Assumptions!E$15),G1456*(1+Assumptions!E$14)),-2)</f>
        <v>2700</v>
      </c>
      <c r="I1456" s="288">
        <f>ROUND(IF($A1456="E",H1456*(1+Assumptions!F$15),H1456*(1+Assumptions!F$14)),-2)</f>
        <v>2800</v>
      </c>
      <c r="J1456" s="288">
        <f>ROUND(IF($A1456="E",I1456*(1+Assumptions!G$15),I1456*(1+Assumptions!G$14)),-2)</f>
        <v>2900</v>
      </c>
      <c r="K1456" s="288">
        <f>ROUND(IF($A1456="E",J1456*(1+Assumptions!H$15),J1456*(1+Assumptions!H$14)),-2)</f>
        <v>3000</v>
      </c>
      <c r="L1456" s="288">
        <f>ROUND(IF($A1456="E",K1456*(1+Assumptions!I$15),K1456*(1+Assumptions!I$14)),-2)</f>
        <v>3100</v>
      </c>
      <c r="M1456" s="288">
        <f>ROUND(IF($A1456="E",L1456*(1+Assumptions!J$15),L1456*(1+Assumptions!J$14)),-2)</f>
        <v>3200</v>
      </c>
      <c r="N1456" s="288">
        <f>ROUND(IF($A1456="E",M1456*(1+Assumptions!K$15),M1456*(1+Assumptions!K$14)),-2)</f>
        <v>3300</v>
      </c>
    </row>
    <row r="1457" spans="2:14" x14ac:dyDescent="0.25">
      <c r="B1457" s="16" t="s">
        <v>43</v>
      </c>
      <c r="C1457" s="16" t="s">
        <v>2353</v>
      </c>
      <c r="D1457" s="16" t="s">
        <v>2340</v>
      </c>
      <c r="E1457" s="288">
        <v>1900</v>
      </c>
      <c r="F1457" s="288">
        <f>ROUND(IF($A1457="E",E1457*(1+Assumptions!C$15),E1457*(1+Assumptions!C$14)),-2)</f>
        <v>1900</v>
      </c>
      <c r="G1457" s="288">
        <f>ROUND(IF($A1457="E",F1457*(1+Assumptions!D$15),F1457*(1+Assumptions!D$14)),-2)</f>
        <v>1900</v>
      </c>
      <c r="H1457" s="288">
        <f>ROUND(IF($A1457="E",G1457*(1+Assumptions!E$15),G1457*(1+Assumptions!E$14)),-2)</f>
        <v>1900</v>
      </c>
      <c r="I1457" s="288">
        <f>ROUND(IF($A1457="E",H1457*(1+Assumptions!F$15),H1457*(1+Assumptions!F$14)),-2)</f>
        <v>1900</v>
      </c>
      <c r="J1457" s="288">
        <f>ROUND(IF($A1457="E",I1457*(1+Assumptions!G$15),I1457*(1+Assumptions!G$14)),-2)</f>
        <v>1900</v>
      </c>
      <c r="K1457" s="288">
        <f>ROUND(IF($A1457="E",J1457*(1+Assumptions!H$15),J1457*(1+Assumptions!H$14)),-2)</f>
        <v>1900</v>
      </c>
      <c r="L1457" s="288">
        <f>ROUND(IF($A1457="E",K1457*(1+Assumptions!I$15),K1457*(1+Assumptions!I$14)),-2)</f>
        <v>1900</v>
      </c>
      <c r="M1457" s="288">
        <f>ROUND(IF($A1457="E",L1457*(1+Assumptions!J$15),L1457*(1+Assumptions!J$14)),-2)</f>
        <v>1900</v>
      </c>
      <c r="N1457" s="288">
        <f>ROUND(IF($A1457="E",M1457*(1+Assumptions!K$15),M1457*(1+Assumptions!K$14)),-2)</f>
        <v>1900</v>
      </c>
    </row>
    <row r="1458" spans="2:14" x14ac:dyDescent="0.25">
      <c r="B1458" s="16" t="s">
        <v>43</v>
      </c>
      <c r="C1458" s="16" t="s">
        <v>2354</v>
      </c>
      <c r="D1458" s="16" t="s">
        <v>2355</v>
      </c>
      <c r="E1458" s="289"/>
      <c r="F1458" s="289"/>
      <c r="G1458" s="289"/>
      <c r="H1458" s="289"/>
      <c r="I1458" s="289"/>
      <c r="J1458" s="289"/>
      <c r="K1458" s="289"/>
      <c r="L1458" s="289"/>
      <c r="M1458" s="289"/>
      <c r="N1458" s="289"/>
    </row>
    <row r="1459" spans="2:14" x14ac:dyDescent="0.25">
      <c r="B1459" s="16" t="s">
        <v>43</v>
      </c>
      <c r="C1459" s="16" t="s">
        <v>2356</v>
      </c>
      <c r="D1459" s="16" t="s">
        <v>2340</v>
      </c>
      <c r="E1459" s="288">
        <v>5900</v>
      </c>
      <c r="F1459" s="288">
        <f>ROUND(IF($A1459="E",E1459*(1+Assumptions!C$15),E1459*(1+Assumptions!C$14)),-2)</f>
        <v>6000</v>
      </c>
      <c r="G1459" s="288">
        <f>ROUND(IF($A1459="E",F1459*(1+Assumptions!D$15),F1459*(1+Assumptions!D$14)),-2)</f>
        <v>6100</v>
      </c>
      <c r="H1459" s="288">
        <f>ROUND(IF($A1459="E",G1459*(1+Assumptions!E$15),G1459*(1+Assumptions!E$14)),-2)</f>
        <v>6200</v>
      </c>
      <c r="I1459" s="288">
        <f>ROUND(IF($A1459="E",H1459*(1+Assumptions!F$15),H1459*(1+Assumptions!F$14)),-2)</f>
        <v>6300</v>
      </c>
      <c r="J1459" s="288">
        <f>ROUND(IF($A1459="E",I1459*(1+Assumptions!G$15),I1459*(1+Assumptions!G$14)),-2)</f>
        <v>6400</v>
      </c>
      <c r="K1459" s="288">
        <f>ROUND(IF($A1459="E",J1459*(1+Assumptions!H$15),J1459*(1+Assumptions!H$14)),-2)</f>
        <v>6500</v>
      </c>
      <c r="L1459" s="288">
        <f>ROUND(IF($A1459="E",K1459*(1+Assumptions!I$15),K1459*(1+Assumptions!I$14)),-2)</f>
        <v>6700</v>
      </c>
      <c r="M1459" s="288">
        <f>ROUND(IF($A1459="E",L1459*(1+Assumptions!J$15),L1459*(1+Assumptions!J$14)),-2)</f>
        <v>6900</v>
      </c>
      <c r="N1459" s="288">
        <f>ROUND(IF($A1459="E",M1459*(1+Assumptions!K$15),M1459*(1+Assumptions!K$14)),-2)</f>
        <v>7100</v>
      </c>
    </row>
    <row r="1460" spans="2:14" x14ac:dyDescent="0.25">
      <c r="B1460" s="16" t="s">
        <v>43</v>
      </c>
      <c r="C1460" s="16" t="s">
        <v>2357</v>
      </c>
      <c r="D1460" s="16" t="s">
        <v>2358</v>
      </c>
      <c r="E1460" s="289"/>
      <c r="F1460" s="289"/>
      <c r="G1460" s="289"/>
      <c r="H1460" s="289"/>
      <c r="I1460" s="289"/>
      <c r="J1460" s="289"/>
      <c r="K1460" s="289"/>
      <c r="L1460" s="289"/>
      <c r="M1460" s="289"/>
      <c r="N1460" s="289"/>
    </row>
    <row r="1461" spans="2:14" x14ac:dyDescent="0.25">
      <c r="B1461" s="16" t="s">
        <v>43</v>
      </c>
      <c r="C1461" s="16" t="s">
        <v>2359</v>
      </c>
      <c r="D1461" s="16" t="s">
        <v>2340</v>
      </c>
      <c r="E1461" s="288">
        <v>900</v>
      </c>
      <c r="F1461" s="288">
        <f>ROUND(IF($A1461="E",E1461*(1+Assumptions!C$15),E1461*(1+Assumptions!C$14)),-2)</f>
        <v>900</v>
      </c>
      <c r="G1461" s="288">
        <f>ROUND(IF($A1461="E",F1461*(1+Assumptions!D$15),F1461*(1+Assumptions!D$14)),-2)</f>
        <v>900</v>
      </c>
      <c r="H1461" s="288">
        <f>ROUND(IF($A1461="E",G1461*(1+Assumptions!E$15),G1461*(1+Assumptions!E$14)),-2)</f>
        <v>900</v>
      </c>
      <c r="I1461" s="288">
        <f>ROUND(IF($A1461="E",H1461*(1+Assumptions!F$15),H1461*(1+Assumptions!F$14)),-2)</f>
        <v>900</v>
      </c>
      <c r="J1461" s="288">
        <f>ROUND(IF($A1461="E",I1461*(1+Assumptions!G$15),I1461*(1+Assumptions!G$14)),-2)</f>
        <v>900</v>
      </c>
      <c r="K1461" s="288">
        <f>ROUND(IF($A1461="E",J1461*(1+Assumptions!H$15),J1461*(1+Assumptions!H$14)),-2)</f>
        <v>900</v>
      </c>
      <c r="L1461" s="288">
        <f>ROUND(IF($A1461="E",K1461*(1+Assumptions!I$15),K1461*(1+Assumptions!I$14)),-2)</f>
        <v>900</v>
      </c>
      <c r="M1461" s="288">
        <f>ROUND(IF($A1461="E",L1461*(1+Assumptions!J$15),L1461*(1+Assumptions!J$14)),-2)</f>
        <v>900</v>
      </c>
      <c r="N1461" s="288">
        <f>ROUND(IF($A1461="E",M1461*(1+Assumptions!K$15),M1461*(1+Assumptions!K$14)),-2)</f>
        <v>900</v>
      </c>
    </row>
    <row r="1462" spans="2:14" x14ac:dyDescent="0.25">
      <c r="B1462" s="16" t="s">
        <v>43</v>
      </c>
      <c r="C1462" s="16" t="s">
        <v>2360</v>
      </c>
      <c r="D1462" s="16" t="s">
        <v>2361</v>
      </c>
      <c r="E1462" s="289"/>
      <c r="F1462" s="289"/>
      <c r="G1462" s="289"/>
      <c r="H1462" s="289"/>
      <c r="I1462" s="289"/>
      <c r="J1462" s="289"/>
      <c r="K1462" s="289"/>
      <c r="L1462" s="289"/>
      <c r="M1462" s="289"/>
      <c r="N1462" s="289"/>
    </row>
    <row r="1463" spans="2:14" x14ac:dyDescent="0.25">
      <c r="B1463" s="16" t="s">
        <v>43</v>
      </c>
      <c r="C1463" s="16" t="s">
        <v>2362</v>
      </c>
      <c r="D1463" s="16" t="s">
        <v>2363</v>
      </c>
      <c r="E1463" s="288">
        <v>8000</v>
      </c>
      <c r="F1463" s="288">
        <f>ROUND(IF($A1463="E",E1463*(1+Assumptions!C$15),E1463*(1+Assumptions!C$14)),-2)</f>
        <v>8100</v>
      </c>
      <c r="G1463" s="288">
        <f>ROUND(IF($A1463="E",F1463*(1+Assumptions!D$15),F1463*(1+Assumptions!D$14)),-2)</f>
        <v>8300</v>
      </c>
      <c r="H1463" s="288">
        <f>ROUND(IF($A1463="E",G1463*(1+Assumptions!E$15),G1463*(1+Assumptions!E$14)),-2)</f>
        <v>8500</v>
      </c>
      <c r="I1463" s="288">
        <f>ROUND(IF($A1463="E",H1463*(1+Assumptions!F$15),H1463*(1+Assumptions!F$14)),-2)</f>
        <v>8700</v>
      </c>
      <c r="J1463" s="288">
        <f>ROUND(IF($A1463="E",I1463*(1+Assumptions!G$15),I1463*(1+Assumptions!G$14)),-2)</f>
        <v>8900</v>
      </c>
      <c r="K1463" s="288">
        <f>ROUND(IF($A1463="E",J1463*(1+Assumptions!H$15),J1463*(1+Assumptions!H$14)),-2)</f>
        <v>9100</v>
      </c>
      <c r="L1463" s="288">
        <f>ROUND(IF($A1463="E",K1463*(1+Assumptions!I$15),K1463*(1+Assumptions!I$14)),-2)</f>
        <v>9300</v>
      </c>
      <c r="M1463" s="288">
        <f>ROUND(IF($A1463="E",L1463*(1+Assumptions!J$15),L1463*(1+Assumptions!J$14)),-2)</f>
        <v>9500</v>
      </c>
      <c r="N1463" s="288">
        <f>ROUND(IF($A1463="E",M1463*(1+Assumptions!K$15),M1463*(1+Assumptions!K$14)),-2)</f>
        <v>9700</v>
      </c>
    </row>
    <row r="1464" spans="2:14" x14ac:dyDescent="0.25">
      <c r="B1464" s="16" t="s">
        <v>43</v>
      </c>
      <c r="C1464" s="16" t="s">
        <v>2364</v>
      </c>
      <c r="D1464" s="16" t="s">
        <v>2365</v>
      </c>
      <c r="E1464" s="288">
        <v>32000</v>
      </c>
      <c r="F1464" s="288">
        <f>ROUND(IF($A1464="E",E1464*(1+Assumptions!C$15),E1464*(1+Assumptions!C$14)),-2)</f>
        <v>32500</v>
      </c>
      <c r="G1464" s="288">
        <f>ROUND(IF($A1464="E",F1464*(1+Assumptions!D$15),F1464*(1+Assumptions!D$14)),-2)</f>
        <v>33200</v>
      </c>
      <c r="H1464" s="288">
        <f>ROUND(IF($A1464="E",G1464*(1+Assumptions!E$15),G1464*(1+Assumptions!E$14)),-2)</f>
        <v>33900</v>
      </c>
      <c r="I1464" s="288">
        <f>ROUND(IF($A1464="E",H1464*(1+Assumptions!F$15),H1464*(1+Assumptions!F$14)),-2)</f>
        <v>34600</v>
      </c>
      <c r="J1464" s="288">
        <f>ROUND(IF($A1464="E",I1464*(1+Assumptions!G$15),I1464*(1+Assumptions!G$14)),-2)</f>
        <v>35300</v>
      </c>
      <c r="K1464" s="288">
        <f>ROUND(IF($A1464="E",J1464*(1+Assumptions!H$15),J1464*(1+Assumptions!H$14)),-2)</f>
        <v>36000</v>
      </c>
      <c r="L1464" s="288">
        <f>ROUND(IF($A1464="E",K1464*(1+Assumptions!I$15),K1464*(1+Assumptions!I$14)),-2)</f>
        <v>36900</v>
      </c>
      <c r="M1464" s="288">
        <f>ROUND(IF($A1464="E",L1464*(1+Assumptions!J$15),L1464*(1+Assumptions!J$14)),-2)</f>
        <v>37800</v>
      </c>
      <c r="N1464" s="288">
        <f>ROUND(IF($A1464="E",M1464*(1+Assumptions!K$15),M1464*(1+Assumptions!K$14)),-2)</f>
        <v>38700</v>
      </c>
    </row>
    <row r="1465" spans="2:14" x14ac:dyDescent="0.25">
      <c r="B1465" s="16" t="s">
        <v>43</v>
      </c>
      <c r="C1465" s="16" t="s">
        <v>2366</v>
      </c>
      <c r="D1465" s="16" t="s">
        <v>2367</v>
      </c>
      <c r="E1465" s="289"/>
      <c r="F1465" s="289"/>
      <c r="G1465" s="289"/>
      <c r="H1465" s="289"/>
      <c r="I1465" s="289"/>
      <c r="J1465" s="289"/>
      <c r="K1465" s="289"/>
      <c r="L1465" s="289"/>
      <c r="M1465" s="289"/>
      <c r="N1465" s="289"/>
    </row>
    <row r="1466" spans="2:14" x14ac:dyDescent="0.25">
      <c r="B1466" s="16" t="s">
        <v>43</v>
      </c>
      <c r="C1466" s="16" t="s">
        <v>2368</v>
      </c>
      <c r="D1466" s="16" t="s">
        <v>2369</v>
      </c>
      <c r="E1466" s="288">
        <v>3500</v>
      </c>
      <c r="F1466" s="288">
        <f>ROUND(IF($A1466="E",E1466*(1+Assumptions!C$15),E1466*(1+Assumptions!C$14)),-2)</f>
        <v>3600</v>
      </c>
      <c r="G1466" s="288">
        <f>ROUND(IF($A1466="E",F1466*(1+Assumptions!D$15),F1466*(1+Assumptions!D$14)),-2)</f>
        <v>3700</v>
      </c>
      <c r="H1466" s="288">
        <f>ROUND(IF($A1466="E",G1466*(1+Assumptions!E$15),G1466*(1+Assumptions!E$14)),-2)</f>
        <v>3800</v>
      </c>
      <c r="I1466" s="288">
        <f>ROUND(IF($A1466="E",H1466*(1+Assumptions!F$15),H1466*(1+Assumptions!F$14)),-2)</f>
        <v>3900</v>
      </c>
      <c r="J1466" s="288">
        <f>ROUND(IF($A1466="E",I1466*(1+Assumptions!G$15),I1466*(1+Assumptions!G$14)),-2)</f>
        <v>4000</v>
      </c>
      <c r="K1466" s="288">
        <f>ROUND(IF($A1466="E",J1466*(1+Assumptions!H$15),J1466*(1+Assumptions!H$14)),-2)</f>
        <v>4100</v>
      </c>
      <c r="L1466" s="288">
        <f>ROUND(IF($A1466="E",K1466*(1+Assumptions!I$15),K1466*(1+Assumptions!I$14)),-2)</f>
        <v>4200</v>
      </c>
      <c r="M1466" s="288">
        <f>ROUND(IF($A1466="E",L1466*(1+Assumptions!J$15),L1466*(1+Assumptions!J$14)),-2)</f>
        <v>4300</v>
      </c>
      <c r="N1466" s="288">
        <f>ROUND(IF($A1466="E",M1466*(1+Assumptions!K$15),M1466*(1+Assumptions!K$14)),-2)</f>
        <v>4400</v>
      </c>
    </row>
    <row r="1467" spans="2:14" x14ac:dyDescent="0.25">
      <c r="B1467" s="16" t="s">
        <v>43</v>
      </c>
      <c r="C1467" s="16" t="s">
        <v>2370</v>
      </c>
      <c r="D1467" s="16" t="s">
        <v>2371</v>
      </c>
      <c r="E1467" s="288">
        <v>2500</v>
      </c>
      <c r="F1467" s="288">
        <f>ROUND(IF($A1467="E",E1467*(1+Assumptions!C$15),E1467*(1+Assumptions!C$14)),-2)</f>
        <v>2500</v>
      </c>
      <c r="G1467" s="288">
        <f>ROUND(IF($A1467="E",F1467*(1+Assumptions!D$15),F1467*(1+Assumptions!D$14)),-2)</f>
        <v>2600</v>
      </c>
      <c r="H1467" s="288">
        <f>ROUND(IF($A1467="E",G1467*(1+Assumptions!E$15),G1467*(1+Assumptions!E$14)),-2)</f>
        <v>2700</v>
      </c>
      <c r="I1467" s="288">
        <f>ROUND(IF($A1467="E",H1467*(1+Assumptions!F$15),H1467*(1+Assumptions!F$14)),-2)</f>
        <v>2800</v>
      </c>
      <c r="J1467" s="288">
        <f>ROUND(IF($A1467="E",I1467*(1+Assumptions!G$15),I1467*(1+Assumptions!G$14)),-2)</f>
        <v>2900</v>
      </c>
      <c r="K1467" s="288">
        <f>ROUND(IF($A1467="E",J1467*(1+Assumptions!H$15),J1467*(1+Assumptions!H$14)),-2)</f>
        <v>3000</v>
      </c>
      <c r="L1467" s="288">
        <f>ROUND(IF($A1467="E",K1467*(1+Assumptions!I$15),K1467*(1+Assumptions!I$14)),-2)</f>
        <v>3100</v>
      </c>
      <c r="M1467" s="288">
        <f>ROUND(IF($A1467="E",L1467*(1+Assumptions!J$15),L1467*(1+Assumptions!J$14)),-2)</f>
        <v>3200</v>
      </c>
      <c r="N1467" s="288">
        <f>ROUND(IF($A1467="E",M1467*(1+Assumptions!K$15),M1467*(1+Assumptions!K$14)),-2)</f>
        <v>3300</v>
      </c>
    </row>
    <row r="1468" spans="2:14" x14ac:dyDescent="0.25">
      <c r="B1468" s="16" t="s">
        <v>43</v>
      </c>
      <c r="C1468" s="16" t="s">
        <v>2372</v>
      </c>
      <c r="D1468" s="16" t="s">
        <v>2373</v>
      </c>
      <c r="E1468" s="288">
        <v>16200</v>
      </c>
      <c r="F1468" s="288">
        <f>ROUND(IF($A1468="E",E1468*(1+Assumptions!C$15),E1468*(1+Assumptions!C$14)),-2)</f>
        <v>16400</v>
      </c>
      <c r="G1468" s="288">
        <f>ROUND(IF($A1468="E",F1468*(1+Assumptions!D$15),F1468*(1+Assumptions!D$14)),-2)</f>
        <v>16700</v>
      </c>
      <c r="H1468" s="288">
        <f>ROUND(IF($A1468="E",G1468*(1+Assumptions!E$15),G1468*(1+Assumptions!E$14)),-2)</f>
        <v>17000</v>
      </c>
      <c r="I1468" s="288">
        <f>ROUND(IF($A1468="E",H1468*(1+Assumptions!F$15),H1468*(1+Assumptions!F$14)),-2)</f>
        <v>17300</v>
      </c>
      <c r="J1468" s="288">
        <f>ROUND(IF($A1468="E",I1468*(1+Assumptions!G$15),I1468*(1+Assumptions!G$14)),-2)</f>
        <v>17600</v>
      </c>
      <c r="K1468" s="288">
        <f>ROUND(IF($A1468="E",J1468*(1+Assumptions!H$15),J1468*(1+Assumptions!H$14)),-2)</f>
        <v>18000</v>
      </c>
      <c r="L1468" s="288">
        <f>ROUND(IF($A1468="E",K1468*(1+Assumptions!I$15),K1468*(1+Assumptions!I$14)),-2)</f>
        <v>18500</v>
      </c>
      <c r="M1468" s="288">
        <f>ROUND(IF($A1468="E",L1468*(1+Assumptions!J$15),L1468*(1+Assumptions!J$14)),-2)</f>
        <v>19000</v>
      </c>
      <c r="N1468" s="288">
        <f>ROUND(IF($A1468="E",M1468*(1+Assumptions!K$15),M1468*(1+Assumptions!K$14)),-2)</f>
        <v>19500</v>
      </c>
    </row>
    <row r="1469" spans="2:14" x14ac:dyDescent="0.25">
      <c r="B1469" s="16" t="s">
        <v>43</v>
      </c>
      <c r="C1469" s="16" t="s">
        <v>2374</v>
      </c>
      <c r="D1469" s="16" t="s">
        <v>2375</v>
      </c>
      <c r="E1469" s="288">
        <v>4300</v>
      </c>
      <c r="F1469" s="288">
        <f>ROUND(IF($A1469="E",E1469*(1+Assumptions!C$15),E1469*(1+Assumptions!C$14)),-2)</f>
        <v>4400</v>
      </c>
      <c r="G1469" s="288">
        <f>ROUND(IF($A1469="E",F1469*(1+Assumptions!D$15),F1469*(1+Assumptions!D$14)),-2)</f>
        <v>4500</v>
      </c>
      <c r="H1469" s="288">
        <f>ROUND(IF($A1469="E",G1469*(1+Assumptions!E$15),G1469*(1+Assumptions!E$14)),-2)</f>
        <v>4600</v>
      </c>
      <c r="I1469" s="288">
        <f>ROUND(IF($A1469="E",H1469*(1+Assumptions!F$15),H1469*(1+Assumptions!F$14)),-2)</f>
        <v>4700</v>
      </c>
      <c r="J1469" s="288">
        <f>ROUND(IF($A1469="E",I1469*(1+Assumptions!G$15),I1469*(1+Assumptions!G$14)),-2)</f>
        <v>4800</v>
      </c>
      <c r="K1469" s="288">
        <f>ROUND(IF($A1469="E",J1469*(1+Assumptions!H$15),J1469*(1+Assumptions!H$14)),-2)</f>
        <v>4900</v>
      </c>
      <c r="L1469" s="288">
        <f>ROUND(IF($A1469="E",K1469*(1+Assumptions!I$15),K1469*(1+Assumptions!I$14)),-2)</f>
        <v>5000</v>
      </c>
      <c r="M1469" s="288">
        <f>ROUND(IF($A1469="E",L1469*(1+Assumptions!J$15),L1469*(1+Assumptions!J$14)),-2)</f>
        <v>5100</v>
      </c>
      <c r="N1469" s="288">
        <f>ROUND(IF($A1469="E",M1469*(1+Assumptions!K$15),M1469*(1+Assumptions!K$14)),-2)</f>
        <v>5200</v>
      </c>
    </row>
    <row r="1470" spans="2:14" x14ac:dyDescent="0.25">
      <c r="B1470" s="16" t="s">
        <v>43</v>
      </c>
      <c r="C1470" s="16" t="s">
        <v>2376</v>
      </c>
      <c r="D1470" s="16" t="s">
        <v>2377</v>
      </c>
      <c r="E1470" s="289"/>
      <c r="F1470" s="289"/>
      <c r="G1470" s="289"/>
      <c r="H1470" s="289"/>
      <c r="I1470" s="289"/>
      <c r="J1470" s="289"/>
      <c r="K1470" s="289"/>
      <c r="L1470" s="289"/>
      <c r="M1470" s="289"/>
      <c r="N1470" s="289"/>
    </row>
    <row r="1471" spans="2:14" x14ac:dyDescent="0.25">
      <c r="B1471" s="16" t="s">
        <v>43</v>
      </c>
      <c r="C1471" s="16" t="s">
        <v>2378</v>
      </c>
      <c r="D1471" s="16" t="s">
        <v>2379</v>
      </c>
      <c r="E1471" s="288">
        <v>3400</v>
      </c>
      <c r="F1471" s="288">
        <f>ROUND(IF($A1471="E",E1471*(1+Assumptions!C$15),E1471*(1+Assumptions!C$14)),-2)</f>
        <v>3500</v>
      </c>
      <c r="G1471" s="288">
        <f>ROUND(IF($A1471="E",F1471*(1+Assumptions!D$15),F1471*(1+Assumptions!D$14)),-2)</f>
        <v>3600</v>
      </c>
      <c r="H1471" s="288">
        <f>ROUND(IF($A1471="E",G1471*(1+Assumptions!E$15),G1471*(1+Assumptions!E$14)),-2)</f>
        <v>3700</v>
      </c>
      <c r="I1471" s="288">
        <f>ROUND(IF($A1471="E",H1471*(1+Assumptions!F$15),H1471*(1+Assumptions!F$14)),-2)</f>
        <v>3800</v>
      </c>
      <c r="J1471" s="288">
        <f>ROUND(IF($A1471="E",I1471*(1+Assumptions!G$15),I1471*(1+Assumptions!G$14)),-2)</f>
        <v>3900</v>
      </c>
      <c r="K1471" s="288">
        <f>ROUND(IF($A1471="E",J1471*(1+Assumptions!H$15),J1471*(1+Assumptions!H$14)),-2)</f>
        <v>4000</v>
      </c>
      <c r="L1471" s="288">
        <f>ROUND(IF($A1471="E",K1471*(1+Assumptions!I$15),K1471*(1+Assumptions!I$14)),-2)</f>
        <v>4100</v>
      </c>
      <c r="M1471" s="288">
        <f>ROUND(IF($A1471="E",L1471*(1+Assumptions!J$15),L1471*(1+Assumptions!J$14)),-2)</f>
        <v>4200</v>
      </c>
      <c r="N1471" s="288">
        <f>ROUND(IF($A1471="E",M1471*(1+Assumptions!K$15),M1471*(1+Assumptions!K$14)),-2)</f>
        <v>4300</v>
      </c>
    </row>
    <row r="1472" spans="2:14" x14ac:dyDescent="0.25">
      <c r="B1472" s="16" t="s">
        <v>43</v>
      </c>
      <c r="C1472" s="16" t="s">
        <v>2380</v>
      </c>
      <c r="D1472" s="16" t="s">
        <v>2381</v>
      </c>
      <c r="E1472" s="289"/>
      <c r="F1472" s="289"/>
      <c r="G1472" s="289"/>
      <c r="H1472" s="289"/>
      <c r="I1472" s="289"/>
      <c r="J1472" s="289"/>
      <c r="K1472" s="289"/>
      <c r="L1472" s="289"/>
      <c r="M1472" s="289"/>
      <c r="N1472" s="289"/>
    </row>
    <row r="1473" spans="1:14" x14ac:dyDescent="0.25">
      <c r="B1473" s="16" t="s">
        <v>43</v>
      </c>
      <c r="C1473" s="16" t="s">
        <v>2382</v>
      </c>
      <c r="D1473" s="16" t="s">
        <v>2383</v>
      </c>
      <c r="E1473" s="288">
        <v>3600</v>
      </c>
      <c r="F1473" s="288">
        <f>ROUND(IF($A1473="E",E1473*(1+Assumptions!C$15),E1473*(1+Assumptions!C$14)),-2)</f>
        <v>3700</v>
      </c>
      <c r="G1473" s="288">
        <f>ROUND(IF($A1473="E",F1473*(1+Assumptions!D$15),F1473*(1+Assumptions!D$14)),-2)</f>
        <v>3800</v>
      </c>
      <c r="H1473" s="288">
        <f>ROUND(IF($A1473="E",G1473*(1+Assumptions!E$15),G1473*(1+Assumptions!E$14)),-2)</f>
        <v>3900</v>
      </c>
      <c r="I1473" s="288">
        <f>ROUND(IF($A1473="E",H1473*(1+Assumptions!F$15),H1473*(1+Assumptions!F$14)),-2)</f>
        <v>4000</v>
      </c>
      <c r="J1473" s="288">
        <f>ROUND(IF($A1473="E",I1473*(1+Assumptions!G$15),I1473*(1+Assumptions!G$14)),-2)</f>
        <v>4100</v>
      </c>
      <c r="K1473" s="288">
        <f>ROUND(IF($A1473="E",J1473*(1+Assumptions!H$15),J1473*(1+Assumptions!H$14)),-2)</f>
        <v>4200</v>
      </c>
      <c r="L1473" s="288">
        <f>ROUND(IF($A1473="E",K1473*(1+Assumptions!I$15),K1473*(1+Assumptions!I$14)),-2)</f>
        <v>4300</v>
      </c>
      <c r="M1473" s="288">
        <f>ROUND(IF($A1473="E",L1473*(1+Assumptions!J$15),L1473*(1+Assumptions!J$14)),-2)</f>
        <v>4400</v>
      </c>
      <c r="N1473" s="288">
        <f>ROUND(IF($A1473="E",M1473*(1+Assumptions!K$15),M1473*(1+Assumptions!K$14)),-2)</f>
        <v>4500</v>
      </c>
    </row>
    <row r="1474" spans="1:14" x14ac:dyDescent="0.25">
      <c r="B1474" s="16" t="s">
        <v>43</v>
      </c>
      <c r="C1474" s="16" t="s">
        <v>2384</v>
      </c>
      <c r="D1474" s="16" t="s">
        <v>2385</v>
      </c>
      <c r="E1474" s="288">
        <v>45500</v>
      </c>
      <c r="F1474" s="288">
        <f>ROUND(IF($A1474="E",E1474*(1+Assumptions!C$15),E1474*(1+Assumptions!C$14)),-2)</f>
        <v>46200</v>
      </c>
      <c r="G1474" s="288">
        <f>ROUND(IF($A1474="E",F1474*(1+Assumptions!D$15),F1474*(1+Assumptions!D$14)),-2)</f>
        <v>47100</v>
      </c>
      <c r="H1474" s="288">
        <f>ROUND(IF($A1474="E",G1474*(1+Assumptions!E$15),G1474*(1+Assumptions!E$14)),-2)</f>
        <v>48000</v>
      </c>
      <c r="I1474" s="288">
        <f>ROUND(IF($A1474="E",H1474*(1+Assumptions!F$15),H1474*(1+Assumptions!F$14)),-2)</f>
        <v>49000</v>
      </c>
      <c r="J1474" s="288">
        <f>ROUND(IF($A1474="E",I1474*(1+Assumptions!G$15),I1474*(1+Assumptions!G$14)),-2)</f>
        <v>50000</v>
      </c>
      <c r="K1474" s="288">
        <f>ROUND(IF($A1474="E",J1474*(1+Assumptions!H$15),J1474*(1+Assumptions!H$14)),-2)</f>
        <v>51000</v>
      </c>
      <c r="L1474" s="288">
        <f>ROUND(IF($A1474="E",K1474*(1+Assumptions!I$15),K1474*(1+Assumptions!I$14)),-2)</f>
        <v>52300</v>
      </c>
      <c r="M1474" s="288">
        <f>ROUND(IF($A1474="E",L1474*(1+Assumptions!J$15),L1474*(1+Assumptions!J$14)),-2)</f>
        <v>53600</v>
      </c>
      <c r="N1474" s="288">
        <f>ROUND(IF($A1474="E",M1474*(1+Assumptions!K$15),M1474*(1+Assumptions!K$14)),-2)</f>
        <v>54900</v>
      </c>
    </row>
    <row r="1475" spans="1:14" x14ac:dyDescent="0.25">
      <c r="B1475" s="16" t="s">
        <v>43</v>
      </c>
      <c r="C1475" s="16" t="s">
        <v>2386</v>
      </c>
      <c r="D1475" s="16" t="s">
        <v>2387</v>
      </c>
      <c r="E1475" s="288">
        <v>39800</v>
      </c>
      <c r="F1475" s="288">
        <f>ROUND(IF($A1475="E",E1475*(1+Assumptions!C$15),E1475*(1+Assumptions!C$14)),-2)</f>
        <v>40400</v>
      </c>
      <c r="G1475" s="288">
        <f>ROUND(IF($A1475="E",F1475*(1+Assumptions!D$15),F1475*(1+Assumptions!D$14)),-2)</f>
        <v>41200</v>
      </c>
      <c r="H1475" s="288">
        <f>ROUND(IF($A1475="E",G1475*(1+Assumptions!E$15),G1475*(1+Assumptions!E$14)),-2)</f>
        <v>42000</v>
      </c>
      <c r="I1475" s="288">
        <f>ROUND(IF($A1475="E",H1475*(1+Assumptions!F$15),H1475*(1+Assumptions!F$14)),-2)</f>
        <v>42800</v>
      </c>
      <c r="J1475" s="288">
        <f>ROUND(IF($A1475="E",I1475*(1+Assumptions!G$15),I1475*(1+Assumptions!G$14)),-2)</f>
        <v>43700</v>
      </c>
      <c r="K1475" s="288">
        <f>ROUND(IF($A1475="E",J1475*(1+Assumptions!H$15),J1475*(1+Assumptions!H$14)),-2)</f>
        <v>44600</v>
      </c>
      <c r="L1475" s="288">
        <f>ROUND(IF($A1475="E",K1475*(1+Assumptions!I$15),K1475*(1+Assumptions!I$14)),-2)</f>
        <v>45700</v>
      </c>
      <c r="M1475" s="288">
        <f>ROUND(IF($A1475="E",L1475*(1+Assumptions!J$15),L1475*(1+Assumptions!J$14)),-2)</f>
        <v>46800</v>
      </c>
      <c r="N1475" s="288">
        <f>ROUND(IF($A1475="E",M1475*(1+Assumptions!K$15),M1475*(1+Assumptions!K$14)),-2)</f>
        <v>48000</v>
      </c>
    </row>
    <row r="1476" spans="1:14" x14ac:dyDescent="0.25">
      <c r="B1476" s="16" t="s">
        <v>43</v>
      </c>
      <c r="C1476" s="16" t="s">
        <v>2388</v>
      </c>
      <c r="D1476" s="16" t="s">
        <v>2389</v>
      </c>
      <c r="E1476" s="288">
        <v>22800</v>
      </c>
      <c r="F1476" s="288">
        <f>ROUND(IF($A1476="E",E1476*(1+Assumptions!C$15),E1476*(1+Assumptions!C$14)),-2)</f>
        <v>23100</v>
      </c>
      <c r="G1476" s="288">
        <f>ROUND(IF($A1476="E",F1476*(1+Assumptions!D$15),F1476*(1+Assumptions!D$14)),-2)</f>
        <v>23600</v>
      </c>
      <c r="H1476" s="288">
        <f>ROUND(IF($A1476="E",G1476*(1+Assumptions!E$15),G1476*(1+Assumptions!E$14)),-2)</f>
        <v>24100</v>
      </c>
      <c r="I1476" s="288">
        <f>ROUND(IF($A1476="E",H1476*(1+Assumptions!F$15),H1476*(1+Assumptions!F$14)),-2)</f>
        <v>24600</v>
      </c>
      <c r="J1476" s="288">
        <f>ROUND(IF($A1476="E",I1476*(1+Assumptions!G$15),I1476*(1+Assumptions!G$14)),-2)</f>
        <v>25100</v>
      </c>
      <c r="K1476" s="288">
        <f>ROUND(IF($A1476="E",J1476*(1+Assumptions!H$15),J1476*(1+Assumptions!H$14)),-2)</f>
        <v>25600</v>
      </c>
      <c r="L1476" s="288">
        <f>ROUND(IF($A1476="E",K1476*(1+Assumptions!I$15),K1476*(1+Assumptions!I$14)),-2)</f>
        <v>26200</v>
      </c>
      <c r="M1476" s="288">
        <f>ROUND(IF($A1476="E",L1476*(1+Assumptions!J$15),L1476*(1+Assumptions!J$14)),-2)</f>
        <v>26900</v>
      </c>
      <c r="N1476" s="288">
        <f>ROUND(IF($A1476="E",M1476*(1+Assumptions!K$15),M1476*(1+Assumptions!K$14)),-2)</f>
        <v>27600</v>
      </c>
    </row>
    <row r="1477" spans="1:14" x14ac:dyDescent="0.25">
      <c r="B1477" s="16" t="s">
        <v>43</v>
      </c>
      <c r="C1477" s="16" t="s">
        <v>2390</v>
      </c>
      <c r="D1477" s="16" t="s">
        <v>2391</v>
      </c>
      <c r="E1477" s="288">
        <v>21700</v>
      </c>
      <c r="F1477" s="288">
        <f>ROUND(IF($A1477="E",E1477*(1+Assumptions!C$15),E1477*(1+Assumptions!C$14)),-2)</f>
        <v>22000</v>
      </c>
      <c r="G1477" s="288">
        <f>ROUND(IF($A1477="E",F1477*(1+Assumptions!D$15),F1477*(1+Assumptions!D$14)),-2)</f>
        <v>22400</v>
      </c>
      <c r="H1477" s="288">
        <f>ROUND(IF($A1477="E",G1477*(1+Assumptions!E$15),G1477*(1+Assumptions!E$14)),-2)</f>
        <v>22800</v>
      </c>
      <c r="I1477" s="288">
        <f>ROUND(IF($A1477="E",H1477*(1+Assumptions!F$15),H1477*(1+Assumptions!F$14)),-2)</f>
        <v>23300</v>
      </c>
      <c r="J1477" s="288">
        <f>ROUND(IF($A1477="E",I1477*(1+Assumptions!G$15),I1477*(1+Assumptions!G$14)),-2)</f>
        <v>23800</v>
      </c>
      <c r="K1477" s="288">
        <f>ROUND(IF($A1477="E",J1477*(1+Assumptions!H$15),J1477*(1+Assumptions!H$14)),-2)</f>
        <v>24300</v>
      </c>
      <c r="L1477" s="288">
        <f>ROUND(IF($A1477="E",K1477*(1+Assumptions!I$15),K1477*(1+Assumptions!I$14)),-2)</f>
        <v>24900</v>
      </c>
      <c r="M1477" s="288">
        <f>ROUND(IF($A1477="E",L1477*(1+Assumptions!J$15),L1477*(1+Assumptions!J$14)),-2)</f>
        <v>25500</v>
      </c>
      <c r="N1477" s="288">
        <f>ROUND(IF($A1477="E",M1477*(1+Assumptions!K$15),M1477*(1+Assumptions!K$14)),-2)</f>
        <v>26100</v>
      </c>
    </row>
    <row r="1478" spans="1:14" x14ac:dyDescent="0.25">
      <c r="B1478" s="16" t="s">
        <v>43</v>
      </c>
      <c r="C1478" s="16" t="s">
        <v>2392</v>
      </c>
      <c r="D1478" s="16" t="s">
        <v>2393</v>
      </c>
      <c r="E1478" s="288">
        <v>33300</v>
      </c>
      <c r="F1478" s="288">
        <f>ROUND(IF($A1478="E",E1478*(1+Assumptions!C$15),E1478*(1+Assumptions!C$14)),-2)</f>
        <v>33800</v>
      </c>
      <c r="G1478" s="288">
        <f>ROUND(IF($A1478="E",F1478*(1+Assumptions!D$15),F1478*(1+Assumptions!D$14)),-2)</f>
        <v>34500</v>
      </c>
      <c r="H1478" s="288">
        <f>ROUND(IF($A1478="E",G1478*(1+Assumptions!E$15),G1478*(1+Assumptions!E$14)),-2)</f>
        <v>35200</v>
      </c>
      <c r="I1478" s="288">
        <f>ROUND(IF($A1478="E",H1478*(1+Assumptions!F$15),H1478*(1+Assumptions!F$14)),-2)</f>
        <v>35900</v>
      </c>
      <c r="J1478" s="288">
        <f>ROUND(IF($A1478="E",I1478*(1+Assumptions!G$15),I1478*(1+Assumptions!G$14)),-2)</f>
        <v>36600</v>
      </c>
      <c r="K1478" s="288">
        <f>ROUND(IF($A1478="E",J1478*(1+Assumptions!H$15),J1478*(1+Assumptions!H$14)),-2)</f>
        <v>37300</v>
      </c>
      <c r="L1478" s="288">
        <f>ROUND(IF($A1478="E",K1478*(1+Assumptions!I$15),K1478*(1+Assumptions!I$14)),-2)</f>
        <v>38200</v>
      </c>
      <c r="M1478" s="288">
        <f>ROUND(IF($A1478="E",L1478*(1+Assumptions!J$15),L1478*(1+Assumptions!J$14)),-2)</f>
        <v>39200</v>
      </c>
      <c r="N1478" s="288">
        <f>ROUND(IF($A1478="E",M1478*(1+Assumptions!K$15),M1478*(1+Assumptions!K$14)),-2)</f>
        <v>40200</v>
      </c>
    </row>
    <row r="1479" spans="1:14" x14ac:dyDescent="0.25">
      <c r="B1479" s="16" t="s">
        <v>43</v>
      </c>
      <c r="C1479" s="16" t="s">
        <v>2394</v>
      </c>
      <c r="D1479" s="16" t="s">
        <v>2395</v>
      </c>
      <c r="E1479" s="288">
        <v>33800</v>
      </c>
      <c r="F1479" s="288">
        <f>ROUND(IF($A1479="E",E1479*(1+Assumptions!C$15),E1479*(1+Assumptions!C$14)),-2)</f>
        <v>34300</v>
      </c>
      <c r="G1479" s="288">
        <f>ROUND(IF($A1479="E",F1479*(1+Assumptions!D$15),F1479*(1+Assumptions!D$14)),-2)</f>
        <v>35000</v>
      </c>
      <c r="H1479" s="288">
        <f>ROUND(IF($A1479="E",G1479*(1+Assumptions!E$15),G1479*(1+Assumptions!E$14)),-2)</f>
        <v>35700</v>
      </c>
      <c r="I1479" s="288">
        <f>ROUND(IF($A1479="E",H1479*(1+Assumptions!F$15),H1479*(1+Assumptions!F$14)),-2)</f>
        <v>36400</v>
      </c>
      <c r="J1479" s="288">
        <f>ROUND(IF($A1479="E",I1479*(1+Assumptions!G$15),I1479*(1+Assumptions!G$14)),-2)</f>
        <v>37100</v>
      </c>
      <c r="K1479" s="288">
        <f>ROUND(IF($A1479="E",J1479*(1+Assumptions!H$15),J1479*(1+Assumptions!H$14)),-2)</f>
        <v>37800</v>
      </c>
      <c r="L1479" s="288">
        <f>ROUND(IF($A1479="E",K1479*(1+Assumptions!I$15),K1479*(1+Assumptions!I$14)),-2)</f>
        <v>38700</v>
      </c>
      <c r="M1479" s="288">
        <f>ROUND(IF($A1479="E",L1479*(1+Assumptions!J$15),L1479*(1+Assumptions!J$14)),-2)</f>
        <v>39700</v>
      </c>
      <c r="N1479" s="288">
        <f>ROUND(IF($A1479="E",M1479*(1+Assumptions!K$15),M1479*(1+Assumptions!K$14)),-2)</f>
        <v>40700</v>
      </c>
    </row>
    <row r="1480" spans="1:14" x14ac:dyDescent="0.25">
      <c r="B1480" s="16" t="s">
        <v>43</v>
      </c>
      <c r="C1480" s="16" t="s">
        <v>2396</v>
      </c>
      <c r="D1480" s="16" t="s">
        <v>2397</v>
      </c>
      <c r="E1480" s="289"/>
      <c r="F1480" s="289"/>
      <c r="G1480" s="289"/>
      <c r="H1480" s="289"/>
      <c r="I1480" s="289"/>
      <c r="J1480" s="289"/>
      <c r="K1480" s="289"/>
      <c r="L1480" s="289"/>
      <c r="M1480" s="289"/>
      <c r="N1480" s="289"/>
    </row>
    <row r="1481" spans="1:14" x14ac:dyDescent="0.25">
      <c r="B1481" s="16" t="s">
        <v>43</v>
      </c>
      <c r="C1481" s="16" t="s">
        <v>2398</v>
      </c>
      <c r="D1481" s="16" t="s">
        <v>2399</v>
      </c>
      <c r="E1481" s="288">
        <v>2300</v>
      </c>
      <c r="F1481" s="288">
        <f>ROUND(IF($A1481="E",E1481*(1+Assumptions!C$15),E1481*(1+Assumptions!C$14)),-2)</f>
        <v>2300</v>
      </c>
      <c r="G1481" s="288">
        <f>ROUND(IF($A1481="E",F1481*(1+Assumptions!D$15),F1481*(1+Assumptions!D$14)),-2)</f>
        <v>2300</v>
      </c>
      <c r="H1481" s="288">
        <f>ROUND(IF($A1481="E",G1481*(1+Assumptions!E$15),G1481*(1+Assumptions!E$14)),-2)</f>
        <v>2300</v>
      </c>
      <c r="I1481" s="288">
        <f>ROUND(IF($A1481="E",H1481*(1+Assumptions!F$15),H1481*(1+Assumptions!F$14)),-2)</f>
        <v>2300</v>
      </c>
      <c r="J1481" s="288">
        <f>ROUND(IF($A1481="E",I1481*(1+Assumptions!G$15),I1481*(1+Assumptions!G$14)),-2)</f>
        <v>2300</v>
      </c>
      <c r="K1481" s="288">
        <f>ROUND(IF($A1481="E",J1481*(1+Assumptions!H$15),J1481*(1+Assumptions!H$14)),-2)</f>
        <v>2300</v>
      </c>
      <c r="L1481" s="288">
        <f>ROUND(IF($A1481="E",K1481*(1+Assumptions!I$15),K1481*(1+Assumptions!I$14)),-2)</f>
        <v>2400</v>
      </c>
      <c r="M1481" s="288">
        <f>ROUND(IF($A1481="E",L1481*(1+Assumptions!J$15),L1481*(1+Assumptions!J$14)),-2)</f>
        <v>2500</v>
      </c>
      <c r="N1481" s="288">
        <f>ROUND(IF($A1481="E",M1481*(1+Assumptions!K$15),M1481*(1+Assumptions!K$14)),-2)</f>
        <v>2600</v>
      </c>
    </row>
    <row r="1482" spans="1:14" x14ac:dyDescent="0.25">
      <c r="B1482" s="16" t="s">
        <v>43</v>
      </c>
      <c r="C1482" s="16" t="s">
        <v>2400</v>
      </c>
      <c r="D1482" s="16" t="s">
        <v>2401</v>
      </c>
      <c r="E1482" s="288">
        <v>128500</v>
      </c>
      <c r="F1482" s="288">
        <f>ROUND(IF($A1482="E",E1482*(1+Assumptions!C$15),E1482*(1+Assumptions!C$14)),-2)</f>
        <v>130400</v>
      </c>
      <c r="G1482" s="288">
        <f>ROUND(IF($A1482="E",F1482*(1+Assumptions!D$15),F1482*(1+Assumptions!D$14)),-2)</f>
        <v>133000</v>
      </c>
      <c r="H1482" s="288">
        <f>ROUND(IF($A1482="E",G1482*(1+Assumptions!E$15),G1482*(1+Assumptions!E$14)),-2)</f>
        <v>135700</v>
      </c>
      <c r="I1482" s="288">
        <f>ROUND(IF($A1482="E",H1482*(1+Assumptions!F$15),H1482*(1+Assumptions!F$14)),-2)</f>
        <v>138400</v>
      </c>
      <c r="J1482" s="288">
        <f>ROUND(IF($A1482="E",I1482*(1+Assumptions!G$15),I1482*(1+Assumptions!G$14)),-2)</f>
        <v>141200</v>
      </c>
      <c r="K1482" s="288">
        <f>ROUND(IF($A1482="E",J1482*(1+Assumptions!H$15),J1482*(1+Assumptions!H$14)),-2)</f>
        <v>144000</v>
      </c>
      <c r="L1482" s="288">
        <f>ROUND(IF($A1482="E",K1482*(1+Assumptions!I$15),K1482*(1+Assumptions!I$14)),-2)</f>
        <v>147600</v>
      </c>
      <c r="M1482" s="288">
        <f>ROUND(IF($A1482="E",L1482*(1+Assumptions!J$15),L1482*(1+Assumptions!J$14)),-2)</f>
        <v>151300</v>
      </c>
      <c r="N1482" s="288">
        <f>ROUND(IF($A1482="E",M1482*(1+Assumptions!K$15),M1482*(1+Assumptions!K$14)),-2)</f>
        <v>155100</v>
      </c>
    </row>
    <row r="1483" spans="1:14" x14ac:dyDescent="0.25">
      <c r="B1483" s="16" t="s">
        <v>43</v>
      </c>
      <c r="C1483" s="16" t="s">
        <v>2402</v>
      </c>
      <c r="D1483" s="16" t="s">
        <v>2403</v>
      </c>
      <c r="E1483" s="288">
        <v>3800</v>
      </c>
      <c r="F1483" s="288">
        <f>ROUND(IF($A1483="E",E1483*(1+Assumptions!C$15),E1483*(1+Assumptions!C$14)),-2)</f>
        <v>3900</v>
      </c>
      <c r="G1483" s="288">
        <f>ROUND(IF($A1483="E",F1483*(1+Assumptions!D$15),F1483*(1+Assumptions!D$14)),-2)</f>
        <v>4000</v>
      </c>
      <c r="H1483" s="288">
        <f>ROUND(IF($A1483="E",G1483*(1+Assumptions!E$15),G1483*(1+Assumptions!E$14)),-2)</f>
        <v>4100</v>
      </c>
      <c r="I1483" s="288">
        <f>ROUND(IF($A1483="E",H1483*(1+Assumptions!F$15),H1483*(1+Assumptions!F$14)),-2)</f>
        <v>4200</v>
      </c>
      <c r="J1483" s="288">
        <f>ROUND(IF($A1483="E",I1483*(1+Assumptions!G$15),I1483*(1+Assumptions!G$14)),-2)</f>
        <v>4300</v>
      </c>
      <c r="K1483" s="288">
        <f>ROUND(IF($A1483="E",J1483*(1+Assumptions!H$15),J1483*(1+Assumptions!H$14)),-2)</f>
        <v>4400</v>
      </c>
      <c r="L1483" s="288">
        <f>ROUND(IF($A1483="E",K1483*(1+Assumptions!I$15),K1483*(1+Assumptions!I$14)),-2)</f>
        <v>4500</v>
      </c>
      <c r="M1483" s="288">
        <f>ROUND(IF($A1483="E",L1483*(1+Assumptions!J$15),L1483*(1+Assumptions!J$14)),-2)</f>
        <v>4600</v>
      </c>
      <c r="N1483" s="288">
        <f>ROUND(IF($A1483="E",M1483*(1+Assumptions!K$15),M1483*(1+Assumptions!K$14)),-2)</f>
        <v>4700</v>
      </c>
    </row>
    <row r="1484" spans="1:14" x14ac:dyDescent="0.25">
      <c r="B1484" s="16" t="s">
        <v>43</v>
      </c>
      <c r="C1484" s="16" t="s">
        <v>2404</v>
      </c>
      <c r="D1484" s="16" t="s">
        <v>2405</v>
      </c>
      <c r="E1484" s="288">
        <v>1800</v>
      </c>
      <c r="F1484" s="288">
        <f>ROUND(IF($A1484="E",E1484*(1+Assumptions!C$15),E1484*(1+Assumptions!C$14)),-2)</f>
        <v>1800</v>
      </c>
      <c r="G1484" s="288">
        <f>ROUND(IF($A1484="E",F1484*(1+Assumptions!D$15),F1484*(1+Assumptions!D$14)),-2)</f>
        <v>1800</v>
      </c>
      <c r="H1484" s="288">
        <f>ROUND(IF($A1484="E",G1484*(1+Assumptions!E$15),G1484*(1+Assumptions!E$14)),-2)</f>
        <v>1800</v>
      </c>
      <c r="I1484" s="288">
        <f>ROUND(IF($A1484="E",H1484*(1+Assumptions!F$15),H1484*(1+Assumptions!F$14)),-2)</f>
        <v>1800</v>
      </c>
      <c r="J1484" s="288">
        <f>ROUND(IF($A1484="E",I1484*(1+Assumptions!G$15),I1484*(1+Assumptions!G$14)),-2)</f>
        <v>1800</v>
      </c>
      <c r="K1484" s="288">
        <f>ROUND(IF($A1484="E",J1484*(1+Assumptions!H$15),J1484*(1+Assumptions!H$14)),-2)</f>
        <v>1800</v>
      </c>
      <c r="L1484" s="288">
        <f>ROUND(IF($A1484="E",K1484*(1+Assumptions!I$15),K1484*(1+Assumptions!I$14)),-2)</f>
        <v>1800</v>
      </c>
      <c r="M1484" s="288">
        <f>ROUND(IF($A1484="E",L1484*(1+Assumptions!J$15),L1484*(1+Assumptions!J$14)),-2)</f>
        <v>1800</v>
      </c>
      <c r="N1484" s="288">
        <f>ROUND(IF($A1484="E",M1484*(1+Assumptions!K$15),M1484*(1+Assumptions!K$14)),-2)</f>
        <v>1800</v>
      </c>
    </row>
    <row r="1485" spans="1:14" x14ac:dyDescent="0.25">
      <c r="B1485" s="16" t="s">
        <v>43</v>
      </c>
      <c r="C1485" s="16" t="s">
        <v>2406</v>
      </c>
      <c r="D1485" s="16" t="s">
        <v>2407</v>
      </c>
      <c r="E1485" s="288">
        <v>67500</v>
      </c>
      <c r="F1485" s="288">
        <f>ROUND(IF($A1485="E",E1485*(1+Assumptions!C$15),E1485*(1+Assumptions!C$14)),-2)</f>
        <v>68500</v>
      </c>
      <c r="G1485" s="288">
        <f>ROUND(IF($A1485="E",F1485*(1+Assumptions!D$15),F1485*(1+Assumptions!D$14)),-2)</f>
        <v>69900</v>
      </c>
      <c r="H1485" s="288">
        <f>ROUND(IF($A1485="E",G1485*(1+Assumptions!E$15),G1485*(1+Assumptions!E$14)),-2)</f>
        <v>71300</v>
      </c>
      <c r="I1485" s="288">
        <f>ROUND(IF($A1485="E",H1485*(1+Assumptions!F$15),H1485*(1+Assumptions!F$14)),-2)</f>
        <v>72700</v>
      </c>
      <c r="J1485" s="288">
        <f>ROUND(IF($A1485="E",I1485*(1+Assumptions!G$15),I1485*(1+Assumptions!G$14)),-2)</f>
        <v>74200</v>
      </c>
      <c r="K1485" s="288">
        <f>ROUND(IF($A1485="E",J1485*(1+Assumptions!H$15),J1485*(1+Assumptions!H$14)),-2)</f>
        <v>75700</v>
      </c>
      <c r="L1485" s="288">
        <f>ROUND(IF($A1485="E",K1485*(1+Assumptions!I$15),K1485*(1+Assumptions!I$14)),-2)</f>
        <v>77600</v>
      </c>
      <c r="M1485" s="288">
        <f>ROUND(IF($A1485="E",L1485*(1+Assumptions!J$15),L1485*(1+Assumptions!J$14)),-2)</f>
        <v>79500</v>
      </c>
      <c r="N1485" s="288">
        <f>ROUND(IF($A1485="E",M1485*(1+Assumptions!K$15),M1485*(1+Assumptions!K$14)),-2)</f>
        <v>81500</v>
      </c>
    </row>
    <row r="1486" spans="1:14" x14ac:dyDescent="0.25">
      <c r="A1486" s="16" t="s">
        <v>4591</v>
      </c>
      <c r="B1486" s="397" t="s">
        <v>3231</v>
      </c>
      <c r="C1486" s="43" t="s">
        <v>3284</v>
      </c>
      <c r="D1486" s="44" t="s">
        <v>3280</v>
      </c>
      <c r="E1486" s="288">
        <v>38000</v>
      </c>
      <c r="F1486" s="288">
        <f>ROUND(IF($A1486="E",E1486*(1+Assumptions!C$15),E1486*(1+Assumptions!C$17)),-2)</f>
        <v>38400</v>
      </c>
      <c r="G1486" s="288">
        <f>ROUND(IF($A1486="E",F1486*(1+Assumptions!D$15),F1486*(1+Assumptions!D$17)),-2)</f>
        <v>38800</v>
      </c>
      <c r="H1486" s="288">
        <f>ROUND(IF($A1486="E",G1486*(1+Assumptions!E$15),G1486*(1+Assumptions!E$17)),-2)</f>
        <v>39200</v>
      </c>
      <c r="I1486" s="288">
        <f>ROUND(IF($A1486="E",H1486*(1+Assumptions!F$15),H1486*(1+Assumptions!F$17)),-2)</f>
        <v>39600</v>
      </c>
      <c r="J1486" s="288">
        <f>ROUND(IF($A1486="E",I1486*(1+Assumptions!G$15),I1486*(1+Assumptions!G$17)),-2)</f>
        <v>40000</v>
      </c>
      <c r="K1486" s="288">
        <f>ROUND(IF($A1486="E",J1486*(1+Assumptions!H$15),J1486*(1+Assumptions!H$17)),-2)</f>
        <v>40400</v>
      </c>
      <c r="L1486" s="288">
        <f>ROUND(IF($A1486="E",K1486*(1+Assumptions!I$15),K1486*(1+Assumptions!I$17)),-2)</f>
        <v>40800</v>
      </c>
      <c r="M1486" s="288">
        <f>ROUND(IF($A1486="E",L1486*(1+Assumptions!J$15),L1486*(1+Assumptions!J$17)),-2)</f>
        <v>41200</v>
      </c>
      <c r="N1486" s="288">
        <f>ROUND(IF($A1486="E",M1486*(1+Assumptions!K$15),M1486*(1+Assumptions!K$17)),-2)</f>
        <v>41600</v>
      </c>
    </row>
    <row r="1487" spans="1:14" x14ac:dyDescent="0.25">
      <c r="A1487" s="16" t="s">
        <v>4591</v>
      </c>
      <c r="B1487" s="397" t="s">
        <v>3231</v>
      </c>
      <c r="C1487" s="43" t="s">
        <v>3285</v>
      </c>
      <c r="D1487" s="45" t="s">
        <v>3281</v>
      </c>
      <c r="E1487" s="288">
        <v>134000</v>
      </c>
      <c r="F1487" s="288">
        <f>ROUND(IF($A1487="E",E1487*(1+Assumptions!C$15),E1487*(1+Assumptions!C$17)),-2)</f>
        <v>135300</v>
      </c>
      <c r="G1487" s="288">
        <f>ROUND(IF($A1487="E",F1487*(1+Assumptions!D$15),F1487*(1+Assumptions!D$17)),-2)</f>
        <v>136700</v>
      </c>
      <c r="H1487" s="288">
        <f>ROUND(IF($A1487="E",G1487*(1+Assumptions!E$15),G1487*(1+Assumptions!E$17)),-2)</f>
        <v>138100</v>
      </c>
      <c r="I1487" s="288">
        <f>ROUND(IF($A1487="E",H1487*(1+Assumptions!F$15),H1487*(1+Assumptions!F$17)),-2)</f>
        <v>139500</v>
      </c>
      <c r="J1487" s="288">
        <f>ROUND(IF($A1487="E",I1487*(1+Assumptions!G$15),I1487*(1+Assumptions!G$17)),-2)</f>
        <v>140900</v>
      </c>
      <c r="K1487" s="288">
        <f>ROUND(IF($A1487="E",J1487*(1+Assumptions!H$15),J1487*(1+Assumptions!H$17)),-2)</f>
        <v>142300</v>
      </c>
      <c r="L1487" s="288">
        <f>ROUND(IF($A1487="E",K1487*(1+Assumptions!I$15),K1487*(1+Assumptions!I$17)),-2)</f>
        <v>143700</v>
      </c>
      <c r="M1487" s="288">
        <f>ROUND(IF($A1487="E",L1487*(1+Assumptions!J$15),L1487*(1+Assumptions!J$17)),-2)</f>
        <v>145100</v>
      </c>
      <c r="N1487" s="288">
        <f>ROUND(IF($A1487="E",M1487*(1+Assumptions!K$15),M1487*(1+Assumptions!K$17)),-2)</f>
        <v>146600</v>
      </c>
    </row>
    <row r="1488" spans="1:14" x14ac:dyDescent="0.25">
      <c r="A1488" s="16" t="s">
        <v>4591</v>
      </c>
      <c r="B1488" s="397" t="s">
        <v>3231</v>
      </c>
      <c r="C1488" s="43" t="s">
        <v>3286</v>
      </c>
      <c r="D1488" s="45" t="s">
        <v>3282</v>
      </c>
      <c r="E1488" s="288">
        <v>106600</v>
      </c>
      <c r="F1488" s="288">
        <f>ROUND(IF($A1488="E",E1488*(1+Assumptions!C$15),E1488*(1+Assumptions!C$17)),-2)</f>
        <v>107700</v>
      </c>
      <c r="G1488" s="288">
        <f>ROUND(IF($A1488="E",F1488*(1+Assumptions!D$15),F1488*(1+Assumptions!D$17)),-2)</f>
        <v>108800</v>
      </c>
      <c r="H1488" s="288">
        <f>ROUND(IF($A1488="E",G1488*(1+Assumptions!E$15),G1488*(1+Assumptions!E$17)),-2)</f>
        <v>109900</v>
      </c>
      <c r="I1488" s="288">
        <f>ROUND(IF($A1488="E",H1488*(1+Assumptions!F$15),H1488*(1+Assumptions!F$17)),-2)</f>
        <v>111000</v>
      </c>
      <c r="J1488" s="288">
        <f>ROUND(IF($A1488="E",I1488*(1+Assumptions!G$15),I1488*(1+Assumptions!G$17)),-2)</f>
        <v>112100</v>
      </c>
      <c r="K1488" s="288">
        <f>ROUND(IF($A1488="E",J1488*(1+Assumptions!H$15),J1488*(1+Assumptions!H$17)),-2)</f>
        <v>113200</v>
      </c>
      <c r="L1488" s="288">
        <f>ROUND(IF($A1488="E",K1488*(1+Assumptions!I$15),K1488*(1+Assumptions!I$17)),-2)</f>
        <v>114300</v>
      </c>
      <c r="M1488" s="288">
        <f>ROUND(IF($A1488="E",L1488*(1+Assumptions!J$15),L1488*(1+Assumptions!J$17)),-2)</f>
        <v>115400</v>
      </c>
      <c r="N1488" s="288">
        <f>ROUND(IF($A1488="E",M1488*(1+Assumptions!K$15),M1488*(1+Assumptions!K$17)),-2)</f>
        <v>116600</v>
      </c>
    </row>
    <row r="1489" spans="1:14" x14ac:dyDescent="0.25">
      <c r="A1489" s="16" t="s">
        <v>4591</v>
      </c>
      <c r="B1489" s="397" t="s">
        <v>3231</v>
      </c>
      <c r="C1489" s="43" t="s">
        <v>3287</v>
      </c>
      <c r="D1489" s="45" t="s">
        <v>3283</v>
      </c>
      <c r="E1489" s="288">
        <v>1800</v>
      </c>
      <c r="F1489" s="288">
        <f>ROUND(IF($A1489="E",E1489*(1+Assumptions!C$15),E1489*(1+Assumptions!C$17)),-2)</f>
        <v>1800</v>
      </c>
      <c r="G1489" s="288">
        <f>ROUND(IF($A1489="E",F1489*(1+Assumptions!D$15),F1489*(1+Assumptions!D$17)),-2)</f>
        <v>1800</v>
      </c>
      <c r="H1489" s="288">
        <f>ROUND(IF($A1489="E",G1489*(1+Assumptions!E$15),G1489*(1+Assumptions!E$17)),-2)</f>
        <v>1800</v>
      </c>
      <c r="I1489" s="288">
        <f>ROUND(IF($A1489="E",H1489*(1+Assumptions!F$15),H1489*(1+Assumptions!F$17)),-2)</f>
        <v>1800</v>
      </c>
      <c r="J1489" s="288">
        <f>ROUND(IF($A1489="E",I1489*(1+Assumptions!G$15),I1489*(1+Assumptions!G$17)),-2)</f>
        <v>1800</v>
      </c>
      <c r="K1489" s="288">
        <f>ROUND(IF($A1489="E",J1489*(1+Assumptions!H$15),J1489*(1+Assumptions!H$17)),-2)</f>
        <v>1800</v>
      </c>
      <c r="L1489" s="288">
        <f>ROUND(IF($A1489="E",K1489*(1+Assumptions!I$15),K1489*(1+Assumptions!I$17)),-2)</f>
        <v>1800</v>
      </c>
      <c r="M1489" s="288">
        <f>ROUND(IF($A1489="E",L1489*(1+Assumptions!J$15),L1489*(1+Assumptions!J$17)),-2)</f>
        <v>1800</v>
      </c>
      <c r="N1489" s="288">
        <f>ROUND(IF($A1489="E",M1489*(1+Assumptions!K$15),M1489*(1+Assumptions!K$17)),-2)</f>
        <v>1800</v>
      </c>
    </row>
    <row r="1490" spans="1:14" x14ac:dyDescent="0.25">
      <c r="B1490" s="397"/>
      <c r="C1490" s="43"/>
      <c r="D1490" s="45"/>
      <c r="E1490" s="288"/>
      <c r="F1490" s="288"/>
      <c r="G1490" s="288"/>
      <c r="H1490" s="288"/>
      <c r="I1490" s="288"/>
      <c r="J1490" s="288"/>
      <c r="K1490" s="288"/>
      <c r="L1490" s="288"/>
      <c r="M1490" s="288"/>
      <c r="N1490" s="288"/>
    </row>
    <row r="1491" spans="1:14" x14ac:dyDescent="0.25">
      <c r="B1491" s="397"/>
      <c r="C1491" s="43"/>
      <c r="D1491" s="470" t="s">
        <v>4621</v>
      </c>
      <c r="E1491" s="288"/>
      <c r="F1491" s="288">
        <f>-'reservecalc-internal'!B1522</f>
        <v>24400</v>
      </c>
      <c r="G1491" s="288">
        <f>-'reservecalc-internal'!C1522</f>
        <v>46800</v>
      </c>
      <c r="H1491" s="288">
        <f>-'reservecalc-internal'!D1522</f>
        <v>71400</v>
      </c>
      <c r="I1491" s="288">
        <f>-'reservecalc-internal'!E1522</f>
        <v>98400</v>
      </c>
      <c r="J1491" s="288">
        <f>-'reservecalc-internal'!F1522</f>
        <v>100900</v>
      </c>
      <c r="K1491" s="288">
        <f>-'reservecalc-internal'!G1522</f>
        <v>103400</v>
      </c>
      <c r="L1491" s="288">
        <f>-'reservecalc-internal'!H1522</f>
        <v>106000</v>
      </c>
      <c r="M1491" s="288">
        <f>-'reservecalc-internal'!I1522</f>
        <v>108600</v>
      </c>
      <c r="N1491" s="288">
        <f>-'reservecalc-internal'!J1522</f>
        <v>111300</v>
      </c>
    </row>
    <row r="1492" spans="1:14" ht="12.75" customHeight="1" x14ac:dyDescent="0.25">
      <c r="E1492" s="288"/>
      <c r="F1492" s="288"/>
      <c r="G1492" s="288"/>
      <c r="H1492" s="288"/>
      <c r="I1492" s="288"/>
      <c r="J1492" s="288"/>
      <c r="K1492" s="288"/>
      <c r="L1492" s="288"/>
      <c r="M1492" s="288"/>
      <c r="N1492" s="288"/>
    </row>
    <row r="1493" spans="1:14" ht="12.75" customHeight="1" x14ac:dyDescent="0.25">
      <c r="D1493" s="19" t="s">
        <v>3234</v>
      </c>
      <c r="E1493" s="291">
        <f>SUM(E1377:E1492)</f>
        <v>2729400</v>
      </c>
      <c r="F1493" s="291">
        <f t="shared" ref="F1493:N1493" si="43">SUM(F1377:F1492)</f>
        <v>2782200</v>
      </c>
      <c r="G1493" s="291">
        <f t="shared" si="43"/>
        <v>2845500</v>
      </c>
      <c r="H1493" s="291">
        <f t="shared" si="43"/>
        <v>2912000</v>
      </c>
      <c r="I1493" s="291">
        <f t="shared" si="43"/>
        <v>2982200</v>
      </c>
      <c r="J1493" s="291">
        <f t="shared" si="43"/>
        <v>3028000</v>
      </c>
      <c r="K1493" s="291">
        <f t="shared" si="43"/>
        <v>3073700</v>
      </c>
      <c r="L1493" s="291">
        <f t="shared" si="43"/>
        <v>3132500</v>
      </c>
      <c r="M1493" s="291">
        <f t="shared" si="43"/>
        <v>3192600</v>
      </c>
      <c r="N1493" s="291">
        <f t="shared" si="43"/>
        <v>3253900</v>
      </c>
    </row>
    <row r="1494" spans="1:14" ht="12.75" customHeight="1" x14ac:dyDescent="0.25">
      <c r="E1494" s="288"/>
      <c r="F1494" s="288"/>
      <c r="G1494" s="288"/>
      <c r="H1494" s="288"/>
      <c r="I1494" s="288"/>
      <c r="J1494" s="288"/>
      <c r="K1494" s="288"/>
      <c r="L1494" s="288"/>
      <c r="M1494" s="288"/>
      <c r="N1494" s="288"/>
    </row>
    <row r="1495" spans="1:14" x14ac:dyDescent="0.25">
      <c r="C1495" s="16" t="s">
        <v>315</v>
      </c>
      <c r="E1495" s="288"/>
      <c r="F1495" s="288"/>
      <c r="G1495" s="288"/>
      <c r="H1495" s="288"/>
      <c r="I1495" s="288"/>
      <c r="J1495" s="288"/>
      <c r="K1495" s="288"/>
      <c r="L1495" s="288"/>
      <c r="M1495" s="288"/>
      <c r="N1495" s="288"/>
    </row>
    <row r="1496" spans="1:14" x14ac:dyDescent="0.25">
      <c r="B1496" s="16" t="s">
        <v>3228</v>
      </c>
      <c r="C1496" s="16" t="s">
        <v>2408</v>
      </c>
      <c r="D1496" s="16" t="s">
        <v>2409</v>
      </c>
      <c r="E1496" s="289"/>
      <c r="F1496" s="289"/>
      <c r="G1496" s="289"/>
      <c r="H1496" s="289"/>
      <c r="I1496" s="289"/>
      <c r="J1496" s="289"/>
      <c r="K1496" s="289"/>
      <c r="L1496" s="289"/>
      <c r="M1496" s="289"/>
      <c r="N1496" s="289"/>
    </row>
    <row r="1497" spans="1:14" x14ac:dyDescent="0.25">
      <c r="B1497" s="16" t="s">
        <v>3228</v>
      </c>
      <c r="C1497" s="16" t="s">
        <v>2410</v>
      </c>
      <c r="D1497" s="16" t="s">
        <v>2411</v>
      </c>
      <c r="E1497" s="288">
        <v>-19300</v>
      </c>
      <c r="F1497" s="288">
        <f>ROUND(E1497+(E1497*Assumptions!C$13),-2)</f>
        <v>-19700</v>
      </c>
      <c r="G1497" s="288">
        <f>ROUND(F1497+(F1497*Assumptions!D$13),-2)</f>
        <v>-20200</v>
      </c>
      <c r="H1497" s="288">
        <f>ROUND(G1497+(G1497*Assumptions!E$13),-2)</f>
        <v>-20700</v>
      </c>
      <c r="I1497" s="288">
        <f>ROUND(H1497+(H1497*Assumptions!F$13),-2)</f>
        <v>-21200</v>
      </c>
      <c r="J1497" s="288">
        <f>ROUND(I1497+(I1497*Assumptions!G$13),-2)</f>
        <v>-21700</v>
      </c>
      <c r="K1497" s="288">
        <f>ROUND(J1497+(J1497*Assumptions!H$13),-2)</f>
        <v>-22200</v>
      </c>
      <c r="L1497" s="288">
        <f>ROUND(K1497+(K1497*Assumptions!I$13),-2)</f>
        <v>-22800</v>
      </c>
      <c r="M1497" s="288">
        <f>ROUND(L1497+(L1497*Assumptions!J$13),-2)</f>
        <v>-23400</v>
      </c>
      <c r="N1497" s="288">
        <f>ROUND(M1497+(M1497*Assumptions!K$13),-2)</f>
        <v>-24000</v>
      </c>
    </row>
    <row r="1498" spans="1:14" x14ac:dyDescent="0.25">
      <c r="B1498" s="16" t="s">
        <v>3228</v>
      </c>
      <c r="C1498" s="16" t="s">
        <v>2412</v>
      </c>
      <c r="D1498" s="16" t="s">
        <v>2413</v>
      </c>
      <c r="E1498" s="288">
        <v>-71100</v>
      </c>
      <c r="F1498" s="288">
        <f>ROUND(E1498+(E1498*Assumptions!C$13),-2)</f>
        <v>-72500</v>
      </c>
      <c r="G1498" s="288">
        <f>ROUND(F1498+(F1498*Assumptions!D$13),-2)</f>
        <v>-74300</v>
      </c>
      <c r="H1498" s="288">
        <f>ROUND(G1498+(G1498*Assumptions!E$13),-2)</f>
        <v>-76200</v>
      </c>
      <c r="I1498" s="288">
        <f>ROUND(H1498+(H1498*Assumptions!F$13),-2)</f>
        <v>-78100</v>
      </c>
      <c r="J1498" s="288">
        <f>ROUND(I1498+(I1498*Assumptions!G$13),-2)</f>
        <v>-80100</v>
      </c>
      <c r="K1498" s="288">
        <f>ROUND(J1498+(J1498*Assumptions!H$13),-2)</f>
        <v>-82100</v>
      </c>
      <c r="L1498" s="288">
        <f>ROUND(K1498+(K1498*Assumptions!I$13),-2)</f>
        <v>-84200</v>
      </c>
      <c r="M1498" s="288">
        <f>ROUND(L1498+(L1498*Assumptions!J$13),-2)</f>
        <v>-86300</v>
      </c>
      <c r="N1498" s="288">
        <f>ROUND(M1498+(M1498*Assumptions!K$13),-2)</f>
        <v>-88500</v>
      </c>
    </row>
    <row r="1499" spans="1:14" x14ac:dyDescent="0.25">
      <c r="B1499" s="16" t="s">
        <v>3228</v>
      </c>
      <c r="C1499" s="16" t="s">
        <v>2414</v>
      </c>
      <c r="D1499" s="16" t="s">
        <v>1851</v>
      </c>
      <c r="E1499" s="288">
        <v>-7800</v>
      </c>
      <c r="F1499" s="288">
        <f>ROUND(E1499+(E1499*Assumptions!C$13),-2)</f>
        <v>-8000</v>
      </c>
      <c r="G1499" s="288">
        <f>ROUND(F1499+(F1499*Assumptions!D$13),-2)</f>
        <v>-8200</v>
      </c>
      <c r="H1499" s="288">
        <f>ROUND(G1499+(G1499*Assumptions!E$13),-2)</f>
        <v>-8400</v>
      </c>
      <c r="I1499" s="288">
        <f>ROUND(H1499+(H1499*Assumptions!F$13),-2)</f>
        <v>-8600</v>
      </c>
      <c r="J1499" s="288">
        <f>ROUND(I1499+(I1499*Assumptions!G$13),-2)</f>
        <v>-8800</v>
      </c>
      <c r="K1499" s="288">
        <f>ROUND(J1499+(J1499*Assumptions!H$13),-2)</f>
        <v>-9000</v>
      </c>
      <c r="L1499" s="288">
        <f>ROUND(K1499+(K1499*Assumptions!I$13),-2)</f>
        <v>-9200</v>
      </c>
      <c r="M1499" s="288">
        <f>ROUND(L1499+(L1499*Assumptions!J$13),-2)</f>
        <v>-9400</v>
      </c>
      <c r="N1499" s="288">
        <f>ROUND(M1499+(M1499*Assumptions!K$13),-2)</f>
        <v>-9600</v>
      </c>
    </row>
    <row r="1500" spans="1:14" x14ac:dyDescent="0.25">
      <c r="B1500" s="16" t="s">
        <v>3228</v>
      </c>
      <c r="C1500" s="16" t="s">
        <v>2415</v>
      </c>
      <c r="D1500" s="16" t="s">
        <v>667</v>
      </c>
      <c r="E1500" s="288">
        <v>-90400</v>
      </c>
      <c r="F1500" s="288">
        <f>ROUND(E1500+(E1500*Assumptions!C$13),-2)</f>
        <v>-92200</v>
      </c>
      <c r="G1500" s="288">
        <f>ROUND(F1500+(F1500*Assumptions!D$13),-2)</f>
        <v>-94500</v>
      </c>
      <c r="H1500" s="288">
        <f>ROUND(G1500+(G1500*Assumptions!E$13),-2)</f>
        <v>-96900</v>
      </c>
      <c r="I1500" s="288">
        <f>ROUND(H1500+(H1500*Assumptions!F$13),-2)</f>
        <v>-99300</v>
      </c>
      <c r="J1500" s="288">
        <f>ROUND(I1500+(I1500*Assumptions!G$13),-2)</f>
        <v>-101800</v>
      </c>
      <c r="K1500" s="288">
        <f>ROUND(J1500+(J1500*Assumptions!H$13),-2)</f>
        <v>-104300</v>
      </c>
      <c r="L1500" s="288">
        <f>ROUND(K1500+(K1500*Assumptions!I$13),-2)</f>
        <v>-106900</v>
      </c>
      <c r="M1500" s="288">
        <f>ROUND(L1500+(L1500*Assumptions!J$13),-2)</f>
        <v>-109600</v>
      </c>
      <c r="N1500" s="288">
        <f>ROUND(M1500+(M1500*Assumptions!K$13),-2)</f>
        <v>-112300</v>
      </c>
    </row>
    <row r="1501" spans="1:14" x14ac:dyDescent="0.25">
      <c r="B1501" s="16" t="s">
        <v>3228</v>
      </c>
      <c r="C1501" s="16" t="s">
        <v>2416</v>
      </c>
      <c r="D1501" s="16" t="s">
        <v>2417</v>
      </c>
      <c r="E1501" s="289"/>
      <c r="F1501" s="289"/>
      <c r="G1501" s="289"/>
      <c r="H1501" s="289"/>
      <c r="I1501" s="289"/>
      <c r="J1501" s="289"/>
      <c r="K1501" s="289"/>
      <c r="L1501" s="289"/>
      <c r="M1501" s="289"/>
      <c r="N1501" s="289"/>
    </row>
    <row r="1502" spans="1:14" x14ac:dyDescent="0.25">
      <c r="B1502" s="16" t="s">
        <v>3228</v>
      </c>
      <c r="C1502" s="16" t="s">
        <v>2418</v>
      </c>
      <c r="D1502" s="16" t="s">
        <v>2419</v>
      </c>
      <c r="E1502" s="288">
        <v>-144600</v>
      </c>
      <c r="F1502" s="288">
        <f>ROUND(E1502+(E1502*Assumptions!C$13),-2)</f>
        <v>-147500</v>
      </c>
      <c r="G1502" s="288">
        <f>ROUND(F1502+(F1502*Assumptions!D$13),-2)</f>
        <v>-151200</v>
      </c>
      <c r="H1502" s="288">
        <f>ROUND(G1502+(G1502*Assumptions!E$13),-2)</f>
        <v>-155000</v>
      </c>
      <c r="I1502" s="288">
        <f>ROUND(H1502+(H1502*Assumptions!F$13),-2)</f>
        <v>-158900</v>
      </c>
      <c r="J1502" s="288">
        <f>ROUND(I1502+(I1502*Assumptions!G$13),-2)</f>
        <v>-162900</v>
      </c>
      <c r="K1502" s="288">
        <f>ROUND(J1502+(J1502*Assumptions!H$13),-2)</f>
        <v>-167000</v>
      </c>
      <c r="L1502" s="288">
        <f>ROUND(K1502+(K1502*Assumptions!I$13),-2)</f>
        <v>-171200</v>
      </c>
      <c r="M1502" s="288">
        <f>ROUND(L1502+(L1502*Assumptions!J$13),-2)</f>
        <v>-175500</v>
      </c>
      <c r="N1502" s="288">
        <f>ROUND(M1502+(M1502*Assumptions!K$13),-2)</f>
        <v>-179900</v>
      </c>
    </row>
    <row r="1503" spans="1:14" x14ac:dyDescent="0.25">
      <c r="B1503" s="16" t="s">
        <v>3228</v>
      </c>
      <c r="C1503" s="16" t="s">
        <v>2420</v>
      </c>
      <c r="D1503" s="16" t="s">
        <v>2421</v>
      </c>
      <c r="E1503" s="289"/>
      <c r="F1503" s="289"/>
      <c r="G1503" s="289"/>
      <c r="H1503" s="289"/>
      <c r="I1503" s="289"/>
      <c r="J1503" s="289"/>
      <c r="K1503" s="289"/>
      <c r="L1503" s="289"/>
      <c r="M1503" s="289"/>
      <c r="N1503" s="289"/>
    </row>
    <row r="1504" spans="1:14" x14ac:dyDescent="0.25">
      <c r="B1504" s="16" t="s">
        <v>3228</v>
      </c>
      <c r="C1504" s="16" t="s">
        <v>2422</v>
      </c>
      <c r="D1504" s="16" t="s">
        <v>2423</v>
      </c>
      <c r="E1504" s="288">
        <v>-10700</v>
      </c>
      <c r="F1504" s="288">
        <f>ROUND(E1504+(E1504*Assumptions!C$13),-2)</f>
        <v>-10900</v>
      </c>
      <c r="G1504" s="288">
        <f>ROUND(F1504+(F1504*Assumptions!D$13),-2)</f>
        <v>-11200</v>
      </c>
      <c r="H1504" s="288">
        <f>ROUND(G1504+(G1504*Assumptions!E$13),-2)</f>
        <v>-11500</v>
      </c>
      <c r="I1504" s="288">
        <f>ROUND(H1504+(H1504*Assumptions!F$13),-2)</f>
        <v>-11800</v>
      </c>
      <c r="J1504" s="288">
        <f>ROUND(I1504+(I1504*Assumptions!G$13),-2)</f>
        <v>-12100</v>
      </c>
      <c r="K1504" s="288">
        <f>ROUND(J1504+(J1504*Assumptions!H$13),-2)</f>
        <v>-12400</v>
      </c>
      <c r="L1504" s="288">
        <f>ROUND(K1504+(K1504*Assumptions!I$13),-2)</f>
        <v>-12700</v>
      </c>
      <c r="M1504" s="288">
        <f>ROUND(L1504+(L1504*Assumptions!J$13),-2)</f>
        <v>-13000</v>
      </c>
      <c r="N1504" s="288">
        <f>ROUND(M1504+(M1504*Assumptions!K$13),-2)</f>
        <v>-13300</v>
      </c>
    </row>
    <row r="1505" spans="2:14" x14ac:dyDescent="0.25">
      <c r="B1505" s="16" t="s">
        <v>3228</v>
      </c>
      <c r="C1505" s="16" t="s">
        <v>2424</v>
      </c>
      <c r="D1505" s="16" t="s">
        <v>2425</v>
      </c>
      <c r="E1505" s="288">
        <v>-61400</v>
      </c>
      <c r="F1505" s="288">
        <f>ROUND(E1505+(E1505*Assumptions!C$13),-2)</f>
        <v>-62600</v>
      </c>
      <c r="G1505" s="288">
        <f>ROUND(F1505+(F1505*Assumptions!D$13),-2)</f>
        <v>-64200</v>
      </c>
      <c r="H1505" s="288">
        <f>ROUND(G1505+(G1505*Assumptions!E$13),-2)</f>
        <v>-65800</v>
      </c>
      <c r="I1505" s="288">
        <f>ROUND(H1505+(H1505*Assumptions!F$13),-2)</f>
        <v>-67400</v>
      </c>
      <c r="J1505" s="288">
        <f>ROUND(I1505+(I1505*Assumptions!G$13),-2)</f>
        <v>-69100</v>
      </c>
      <c r="K1505" s="288">
        <f>ROUND(J1505+(J1505*Assumptions!H$13),-2)</f>
        <v>-70800</v>
      </c>
      <c r="L1505" s="288">
        <f>ROUND(K1505+(K1505*Assumptions!I$13),-2)</f>
        <v>-72600</v>
      </c>
      <c r="M1505" s="288">
        <f>ROUND(L1505+(L1505*Assumptions!J$13),-2)</f>
        <v>-74400</v>
      </c>
      <c r="N1505" s="288">
        <f>ROUND(M1505+(M1505*Assumptions!K$13),-2)</f>
        <v>-76300</v>
      </c>
    </row>
    <row r="1506" spans="2:14" x14ac:dyDescent="0.25">
      <c r="B1506" s="16" t="s">
        <v>3228</v>
      </c>
      <c r="C1506" s="16" t="s">
        <v>2426</v>
      </c>
      <c r="D1506" s="16" t="s">
        <v>2427</v>
      </c>
      <c r="E1506" s="288">
        <v>-46000</v>
      </c>
      <c r="F1506" s="288">
        <f>ROUND(E1506+(E1506*Assumptions!C$13),-2)</f>
        <v>-46900</v>
      </c>
      <c r="G1506" s="288">
        <f>ROUND(F1506+(F1506*Assumptions!D$13),-2)</f>
        <v>-48100</v>
      </c>
      <c r="H1506" s="288">
        <f>ROUND(G1506+(G1506*Assumptions!E$13),-2)</f>
        <v>-49300</v>
      </c>
      <c r="I1506" s="288">
        <f>ROUND(H1506+(H1506*Assumptions!F$13),-2)</f>
        <v>-50500</v>
      </c>
      <c r="J1506" s="288">
        <f>ROUND(I1506+(I1506*Assumptions!G$13),-2)</f>
        <v>-51800</v>
      </c>
      <c r="K1506" s="288">
        <f>ROUND(J1506+(J1506*Assumptions!H$13),-2)</f>
        <v>-53100</v>
      </c>
      <c r="L1506" s="288">
        <f>ROUND(K1506+(K1506*Assumptions!I$13),-2)</f>
        <v>-54400</v>
      </c>
      <c r="M1506" s="288">
        <f>ROUND(L1506+(L1506*Assumptions!J$13),-2)</f>
        <v>-55800</v>
      </c>
      <c r="N1506" s="288">
        <f>ROUND(M1506+(M1506*Assumptions!K$13),-2)</f>
        <v>-57200</v>
      </c>
    </row>
    <row r="1507" spans="2:14" x14ac:dyDescent="0.25">
      <c r="B1507" s="16" t="s">
        <v>3228</v>
      </c>
      <c r="C1507" s="16" t="s">
        <v>2428</v>
      </c>
      <c r="D1507" s="16" t="s">
        <v>2340</v>
      </c>
      <c r="E1507" s="288">
        <v>-49800</v>
      </c>
      <c r="F1507" s="288">
        <f>ROUND(E1507+(E1507*Assumptions!C$13),-2)</f>
        <v>-50800</v>
      </c>
      <c r="G1507" s="288">
        <f>ROUND(F1507+(F1507*Assumptions!D$13),-2)</f>
        <v>-52100</v>
      </c>
      <c r="H1507" s="288">
        <f>ROUND(G1507+(G1507*Assumptions!E$13),-2)</f>
        <v>-53400</v>
      </c>
      <c r="I1507" s="288">
        <f>ROUND(H1507+(H1507*Assumptions!F$13),-2)</f>
        <v>-54700</v>
      </c>
      <c r="J1507" s="288">
        <f>ROUND(I1507+(I1507*Assumptions!G$13),-2)</f>
        <v>-56100</v>
      </c>
      <c r="K1507" s="288">
        <f>ROUND(J1507+(J1507*Assumptions!H$13),-2)</f>
        <v>-57500</v>
      </c>
      <c r="L1507" s="288">
        <f>ROUND(K1507+(K1507*Assumptions!I$13),-2)</f>
        <v>-58900</v>
      </c>
      <c r="M1507" s="288">
        <f>ROUND(L1507+(L1507*Assumptions!J$13),-2)</f>
        <v>-60400</v>
      </c>
      <c r="N1507" s="288">
        <f>ROUND(M1507+(M1507*Assumptions!K$13),-2)</f>
        <v>-61900</v>
      </c>
    </row>
    <row r="1508" spans="2:14" x14ac:dyDescent="0.25">
      <c r="B1508" s="16" t="s">
        <v>3228</v>
      </c>
      <c r="C1508" s="16" t="s">
        <v>2429</v>
      </c>
      <c r="D1508" s="16" t="s">
        <v>2430</v>
      </c>
      <c r="E1508" s="288">
        <v>-40200</v>
      </c>
      <c r="F1508" s="288">
        <f>ROUND(E1508+(E1508*Assumptions!C$13),-2)</f>
        <v>-41000</v>
      </c>
      <c r="G1508" s="288">
        <f>ROUND(F1508+(F1508*Assumptions!D$13),-2)</f>
        <v>-42000</v>
      </c>
      <c r="H1508" s="288">
        <f>ROUND(G1508+(G1508*Assumptions!E$13),-2)</f>
        <v>-43100</v>
      </c>
      <c r="I1508" s="288">
        <f>ROUND(H1508+(H1508*Assumptions!F$13),-2)</f>
        <v>-44200</v>
      </c>
      <c r="J1508" s="288">
        <f>ROUND(I1508+(I1508*Assumptions!G$13),-2)</f>
        <v>-45300</v>
      </c>
      <c r="K1508" s="288">
        <f>ROUND(J1508+(J1508*Assumptions!H$13),-2)</f>
        <v>-46400</v>
      </c>
      <c r="L1508" s="288">
        <f>ROUND(K1508+(K1508*Assumptions!I$13),-2)</f>
        <v>-47600</v>
      </c>
      <c r="M1508" s="288">
        <f>ROUND(L1508+(L1508*Assumptions!J$13),-2)</f>
        <v>-48800</v>
      </c>
      <c r="N1508" s="288">
        <f>ROUND(M1508+(M1508*Assumptions!K$13),-2)</f>
        <v>-50000</v>
      </c>
    </row>
    <row r="1509" spans="2:14" x14ac:dyDescent="0.25">
      <c r="B1509" s="16" t="s">
        <v>3228</v>
      </c>
      <c r="C1509" s="16" t="s">
        <v>2431</v>
      </c>
      <c r="D1509" s="16" t="s">
        <v>2432</v>
      </c>
      <c r="E1509" s="289"/>
      <c r="F1509" s="289"/>
      <c r="G1509" s="289"/>
      <c r="H1509" s="289"/>
      <c r="I1509" s="289"/>
      <c r="J1509" s="289"/>
      <c r="K1509" s="289"/>
      <c r="L1509" s="289"/>
      <c r="M1509" s="289"/>
      <c r="N1509" s="289"/>
    </row>
    <row r="1510" spans="2:14" x14ac:dyDescent="0.25">
      <c r="B1510" s="16" t="s">
        <v>3228</v>
      </c>
      <c r="C1510" s="16" t="s">
        <v>2433</v>
      </c>
      <c r="D1510" s="16" t="s">
        <v>2434</v>
      </c>
      <c r="E1510" s="288">
        <v>-183500</v>
      </c>
      <c r="F1510" s="288">
        <f>ROUND(E1510+(E1510*Assumptions!C$13),-2)</f>
        <v>-187200</v>
      </c>
      <c r="G1510" s="288">
        <f>ROUND(F1510+(F1510*Assumptions!D$13),-2)</f>
        <v>-191900</v>
      </c>
      <c r="H1510" s="288">
        <f>ROUND(G1510+(G1510*Assumptions!E$13),-2)</f>
        <v>-196700</v>
      </c>
      <c r="I1510" s="288">
        <f>ROUND(H1510+(H1510*Assumptions!F$13),-2)</f>
        <v>-201600</v>
      </c>
      <c r="J1510" s="288">
        <f>ROUND(I1510+(I1510*Assumptions!G$13),-2)</f>
        <v>-206600</v>
      </c>
      <c r="K1510" s="288">
        <f>ROUND(J1510+(J1510*Assumptions!H$13),-2)</f>
        <v>-211800</v>
      </c>
      <c r="L1510" s="288">
        <f>ROUND(K1510+(K1510*Assumptions!I$13),-2)</f>
        <v>-217100</v>
      </c>
      <c r="M1510" s="288">
        <f>ROUND(L1510+(L1510*Assumptions!J$13),-2)</f>
        <v>-222500</v>
      </c>
      <c r="N1510" s="288">
        <f>ROUND(M1510+(M1510*Assumptions!K$13),-2)</f>
        <v>-228100</v>
      </c>
    </row>
    <row r="1511" spans="2:14" x14ac:dyDescent="0.25">
      <c r="B1511" s="16" t="s">
        <v>3228</v>
      </c>
      <c r="C1511" s="16" t="s">
        <v>2435</v>
      </c>
      <c r="D1511" s="16" t="s">
        <v>2363</v>
      </c>
      <c r="E1511" s="288">
        <v>-2200</v>
      </c>
      <c r="F1511" s="288">
        <f>ROUND(E1511+(E1511*Assumptions!C$13),-2)</f>
        <v>-2200</v>
      </c>
      <c r="G1511" s="288">
        <f>ROUND(F1511+(F1511*Assumptions!D$13),-2)</f>
        <v>-2300</v>
      </c>
      <c r="H1511" s="288">
        <f>ROUND(G1511+(G1511*Assumptions!E$13),-2)</f>
        <v>-2400</v>
      </c>
      <c r="I1511" s="288">
        <f>ROUND(H1511+(H1511*Assumptions!F$13),-2)</f>
        <v>-2500</v>
      </c>
      <c r="J1511" s="288">
        <f>ROUND(I1511+(I1511*Assumptions!G$13),-2)</f>
        <v>-2600</v>
      </c>
      <c r="K1511" s="288">
        <f>ROUND(J1511+(J1511*Assumptions!H$13),-2)</f>
        <v>-2700</v>
      </c>
      <c r="L1511" s="288">
        <f>ROUND(K1511+(K1511*Assumptions!I$13),-2)</f>
        <v>-2800</v>
      </c>
      <c r="M1511" s="288">
        <f>ROUND(L1511+(L1511*Assumptions!J$13),-2)</f>
        <v>-2900</v>
      </c>
      <c r="N1511" s="288">
        <f>ROUND(M1511+(M1511*Assumptions!K$13),-2)</f>
        <v>-3000</v>
      </c>
    </row>
    <row r="1512" spans="2:14" x14ac:dyDescent="0.25">
      <c r="B1512" s="16" t="s">
        <v>3228</v>
      </c>
      <c r="C1512" s="16" t="s">
        <v>2436</v>
      </c>
      <c r="D1512" s="16" t="s">
        <v>2437</v>
      </c>
      <c r="E1512" s="289"/>
      <c r="F1512" s="289"/>
      <c r="G1512" s="289"/>
      <c r="H1512" s="289"/>
      <c r="I1512" s="289"/>
      <c r="J1512" s="289"/>
      <c r="K1512" s="289"/>
      <c r="L1512" s="289"/>
      <c r="M1512" s="289"/>
      <c r="N1512" s="289"/>
    </row>
    <row r="1513" spans="2:14" x14ac:dyDescent="0.25">
      <c r="B1513" s="16" t="s">
        <v>3228</v>
      </c>
      <c r="C1513" s="16" t="s">
        <v>2438</v>
      </c>
      <c r="D1513" s="16" t="s">
        <v>2439</v>
      </c>
      <c r="E1513" s="288">
        <v>-134300</v>
      </c>
      <c r="F1513" s="288">
        <f>ROUND(E1513+(E1513*Assumptions!C$13),-2)</f>
        <v>-137000</v>
      </c>
      <c r="G1513" s="288">
        <f>ROUND(F1513+(F1513*Assumptions!D$13),-2)</f>
        <v>-140400</v>
      </c>
      <c r="H1513" s="288">
        <f>ROUND(G1513+(G1513*Assumptions!E$13),-2)</f>
        <v>-143900</v>
      </c>
      <c r="I1513" s="288">
        <f>ROUND(H1513+(H1513*Assumptions!F$13),-2)</f>
        <v>-147500</v>
      </c>
      <c r="J1513" s="288">
        <f>ROUND(I1513+(I1513*Assumptions!G$13),-2)</f>
        <v>-151200</v>
      </c>
      <c r="K1513" s="288">
        <f>ROUND(J1513+(J1513*Assumptions!H$13),-2)</f>
        <v>-155000</v>
      </c>
      <c r="L1513" s="288">
        <f>ROUND(K1513+(K1513*Assumptions!I$13),-2)</f>
        <v>-158900</v>
      </c>
      <c r="M1513" s="288">
        <f>ROUND(L1513+(L1513*Assumptions!J$13),-2)</f>
        <v>-162900</v>
      </c>
      <c r="N1513" s="288">
        <f>ROUND(M1513+(M1513*Assumptions!K$13),-2)</f>
        <v>-167000</v>
      </c>
    </row>
    <row r="1514" spans="2:14" x14ac:dyDescent="0.25">
      <c r="B1514" s="16" t="s">
        <v>3228</v>
      </c>
      <c r="C1514" s="16" t="s">
        <v>2440</v>
      </c>
      <c r="D1514" s="16" t="s">
        <v>2441</v>
      </c>
      <c r="E1514" s="289"/>
      <c r="F1514" s="289"/>
      <c r="G1514" s="289"/>
      <c r="H1514" s="289"/>
      <c r="I1514" s="289"/>
      <c r="J1514" s="289"/>
      <c r="K1514" s="289"/>
      <c r="L1514" s="289"/>
      <c r="M1514" s="289"/>
      <c r="N1514" s="289"/>
    </row>
    <row r="1515" spans="2:14" x14ac:dyDescent="0.25">
      <c r="B1515" s="16" t="s">
        <v>3228</v>
      </c>
      <c r="C1515" s="16" t="s">
        <v>2442</v>
      </c>
      <c r="D1515" s="16" t="s">
        <v>2443</v>
      </c>
      <c r="E1515" s="288">
        <v>-82700</v>
      </c>
      <c r="F1515" s="288">
        <f>ROUND(E1515+(E1515*Assumptions!C$13),-2)</f>
        <v>-84400</v>
      </c>
      <c r="G1515" s="288">
        <f>ROUND(F1515+(F1515*Assumptions!D$13),-2)</f>
        <v>-86500</v>
      </c>
      <c r="H1515" s="288">
        <f>ROUND(G1515+(G1515*Assumptions!E$13),-2)</f>
        <v>-88700</v>
      </c>
      <c r="I1515" s="288">
        <f>ROUND(H1515+(H1515*Assumptions!F$13),-2)</f>
        <v>-90900</v>
      </c>
      <c r="J1515" s="288">
        <f>ROUND(I1515+(I1515*Assumptions!G$13),-2)</f>
        <v>-93200</v>
      </c>
      <c r="K1515" s="288">
        <f>ROUND(J1515+(J1515*Assumptions!H$13),-2)</f>
        <v>-95500</v>
      </c>
      <c r="L1515" s="288">
        <f>ROUND(K1515+(K1515*Assumptions!I$13),-2)</f>
        <v>-97900</v>
      </c>
      <c r="M1515" s="288">
        <f>ROUND(L1515+(L1515*Assumptions!J$13),-2)</f>
        <v>-100300</v>
      </c>
      <c r="N1515" s="288">
        <f>ROUND(M1515+(M1515*Assumptions!K$13),-2)</f>
        <v>-102800</v>
      </c>
    </row>
    <row r="1516" spans="2:14" x14ac:dyDescent="0.25">
      <c r="B1516" s="16" t="s">
        <v>3228</v>
      </c>
      <c r="C1516" s="16" t="s">
        <v>2444</v>
      </c>
      <c r="D1516" s="16" t="s">
        <v>663</v>
      </c>
      <c r="E1516" s="288">
        <v>-15500</v>
      </c>
      <c r="F1516" s="288">
        <f>ROUND(E1516+(E1516*Assumptions!C$13),-2)</f>
        <v>-15800</v>
      </c>
      <c r="G1516" s="288">
        <f>ROUND(F1516+(F1516*Assumptions!D$13),-2)</f>
        <v>-16200</v>
      </c>
      <c r="H1516" s="288">
        <f>ROUND(G1516+(G1516*Assumptions!E$13),-2)</f>
        <v>-16600</v>
      </c>
      <c r="I1516" s="288">
        <f>ROUND(H1516+(H1516*Assumptions!F$13),-2)</f>
        <v>-17000</v>
      </c>
      <c r="J1516" s="288">
        <f>ROUND(I1516+(I1516*Assumptions!G$13),-2)</f>
        <v>-17400</v>
      </c>
      <c r="K1516" s="288">
        <f>ROUND(J1516+(J1516*Assumptions!H$13),-2)</f>
        <v>-17800</v>
      </c>
      <c r="L1516" s="288">
        <f>ROUND(K1516+(K1516*Assumptions!I$13),-2)</f>
        <v>-18200</v>
      </c>
      <c r="M1516" s="288">
        <f>ROUND(L1516+(L1516*Assumptions!J$13),-2)</f>
        <v>-18700</v>
      </c>
      <c r="N1516" s="288">
        <f>ROUND(M1516+(M1516*Assumptions!K$13),-2)</f>
        <v>-19200</v>
      </c>
    </row>
    <row r="1517" spans="2:14" x14ac:dyDescent="0.25">
      <c r="B1517" s="16" t="s">
        <v>3228</v>
      </c>
      <c r="C1517" s="16" t="s">
        <v>2445</v>
      </c>
      <c r="D1517" s="16" t="s">
        <v>2446</v>
      </c>
      <c r="E1517" s="288">
        <v>-300</v>
      </c>
      <c r="F1517" s="288">
        <f>ROUND(E1517+(E1517*Assumptions!C$13),-2)</f>
        <v>-300</v>
      </c>
      <c r="G1517" s="288">
        <f>ROUND(F1517+(F1517*Assumptions!D$13),-2)</f>
        <v>-300</v>
      </c>
      <c r="H1517" s="288">
        <f>ROUND(G1517+(G1517*Assumptions!E$13),-2)</f>
        <v>-300</v>
      </c>
      <c r="I1517" s="288">
        <f>ROUND(H1517+(H1517*Assumptions!F$13),-2)</f>
        <v>-300</v>
      </c>
      <c r="J1517" s="288">
        <f>ROUND(I1517+(I1517*Assumptions!G$13),-2)</f>
        <v>-300</v>
      </c>
      <c r="K1517" s="288">
        <f>ROUND(J1517+(J1517*Assumptions!H$13),-2)</f>
        <v>-300</v>
      </c>
      <c r="L1517" s="288">
        <f>ROUND(K1517+(K1517*Assumptions!I$13),-2)</f>
        <v>-300</v>
      </c>
      <c r="M1517" s="288">
        <f>ROUND(L1517+(L1517*Assumptions!J$13),-2)</f>
        <v>-300</v>
      </c>
      <c r="N1517" s="288">
        <f>ROUND(M1517+(M1517*Assumptions!K$13),-2)</f>
        <v>-300</v>
      </c>
    </row>
    <row r="1518" spans="2:14" x14ac:dyDescent="0.25">
      <c r="B1518" s="16" t="s">
        <v>3228</v>
      </c>
      <c r="C1518" s="16" t="s">
        <v>2447</v>
      </c>
      <c r="D1518" s="16" t="s">
        <v>2448</v>
      </c>
      <c r="E1518" s="288">
        <v>-3900</v>
      </c>
      <c r="F1518" s="288">
        <f>ROUND(E1518+(E1518*Assumptions!C$13),-2)</f>
        <v>-4000</v>
      </c>
      <c r="G1518" s="288">
        <f>ROUND(F1518+(F1518*Assumptions!D$13),-2)</f>
        <v>-4100</v>
      </c>
      <c r="H1518" s="288">
        <f>ROUND(G1518+(G1518*Assumptions!E$13),-2)</f>
        <v>-4200</v>
      </c>
      <c r="I1518" s="288">
        <f>ROUND(H1518+(H1518*Assumptions!F$13),-2)</f>
        <v>-4300</v>
      </c>
      <c r="J1518" s="288">
        <f>ROUND(I1518+(I1518*Assumptions!G$13),-2)</f>
        <v>-4400</v>
      </c>
      <c r="K1518" s="288">
        <f>ROUND(J1518+(J1518*Assumptions!H$13),-2)</f>
        <v>-4500</v>
      </c>
      <c r="L1518" s="288">
        <f>ROUND(K1518+(K1518*Assumptions!I$13),-2)</f>
        <v>-4600</v>
      </c>
      <c r="M1518" s="288">
        <f>ROUND(L1518+(L1518*Assumptions!J$13),-2)</f>
        <v>-4700</v>
      </c>
      <c r="N1518" s="288">
        <f>ROUND(M1518+(M1518*Assumptions!K$13),-2)</f>
        <v>-4800</v>
      </c>
    </row>
    <row r="1519" spans="2:14" ht="12.75" customHeight="1" x14ac:dyDescent="0.25">
      <c r="E1519" s="288"/>
      <c r="F1519" s="288"/>
      <c r="G1519" s="288"/>
      <c r="H1519" s="288"/>
      <c r="I1519" s="288"/>
      <c r="J1519" s="288"/>
      <c r="K1519" s="288"/>
      <c r="L1519" s="288"/>
      <c r="M1519" s="288"/>
      <c r="N1519" s="288"/>
    </row>
    <row r="1520" spans="2:14" ht="12.75" customHeight="1" x14ac:dyDescent="0.25">
      <c r="D1520" s="19" t="s">
        <v>3234</v>
      </c>
      <c r="E1520" s="291">
        <f>SUM(E1496:E1519)</f>
        <v>-963700</v>
      </c>
      <c r="F1520" s="291">
        <f t="shared" ref="F1520:N1520" si="44">SUM(F1496:F1519)</f>
        <v>-983000</v>
      </c>
      <c r="G1520" s="291">
        <f t="shared" si="44"/>
        <v>-1007700</v>
      </c>
      <c r="H1520" s="291">
        <f t="shared" si="44"/>
        <v>-1033100</v>
      </c>
      <c r="I1520" s="291">
        <f t="shared" si="44"/>
        <v>-1058800</v>
      </c>
      <c r="J1520" s="291">
        <f t="shared" si="44"/>
        <v>-1085400</v>
      </c>
      <c r="K1520" s="291">
        <f t="shared" si="44"/>
        <v>-1112400</v>
      </c>
      <c r="L1520" s="291">
        <f t="shared" si="44"/>
        <v>-1140300</v>
      </c>
      <c r="M1520" s="291">
        <f t="shared" si="44"/>
        <v>-1168900</v>
      </c>
      <c r="N1520" s="291">
        <f t="shared" si="44"/>
        <v>-1198200</v>
      </c>
    </row>
    <row r="1521" spans="2:14" ht="12.75" customHeight="1" x14ac:dyDescent="0.25">
      <c r="E1521" s="288"/>
      <c r="F1521" s="288"/>
      <c r="G1521" s="288"/>
      <c r="H1521" s="288"/>
      <c r="I1521" s="288"/>
      <c r="J1521" s="288"/>
      <c r="K1521" s="288"/>
      <c r="L1521" s="288"/>
      <c r="M1521" s="288"/>
      <c r="N1521" s="288"/>
    </row>
    <row r="1522" spans="2:14" x14ac:dyDescent="0.25">
      <c r="C1522" s="19" t="s">
        <v>2449</v>
      </c>
      <c r="E1522" s="288"/>
      <c r="F1522" s="288"/>
      <c r="G1522" s="288"/>
      <c r="H1522" s="288"/>
      <c r="I1522" s="288"/>
      <c r="J1522" s="288"/>
      <c r="K1522" s="288"/>
      <c r="L1522" s="288"/>
      <c r="M1522" s="288"/>
      <c r="N1522" s="288"/>
    </row>
    <row r="1523" spans="2:14" ht="12.75" customHeight="1" x14ac:dyDescent="0.25">
      <c r="E1523" s="288"/>
      <c r="F1523" s="288"/>
      <c r="G1523" s="288"/>
      <c r="H1523" s="288"/>
      <c r="I1523" s="288"/>
      <c r="J1523" s="288"/>
      <c r="K1523" s="288"/>
      <c r="L1523" s="288"/>
      <c r="M1523" s="288"/>
      <c r="N1523" s="288"/>
    </row>
    <row r="1524" spans="2:14" x14ac:dyDescent="0.25">
      <c r="C1524" s="16" t="s">
        <v>87</v>
      </c>
      <c r="E1524" s="288"/>
      <c r="F1524" s="288"/>
      <c r="G1524" s="288"/>
      <c r="H1524" s="288"/>
      <c r="I1524" s="288"/>
      <c r="J1524" s="288"/>
      <c r="K1524" s="288"/>
      <c r="L1524" s="288"/>
      <c r="M1524" s="288"/>
      <c r="N1524" s="288"/>
    </row>
    <row r="1525" spans="2:14" x14ac:dyDescent="0.25">
      <c r="C1525" s="16" t="s">
        <v>2450</v>
      </c>
      <c r="D1525" s="16" t="s">
        <v>2451</v>
      </c>
      <c r="E1525" s="289"/>
      <c r="F1525" s="289"/>
      <c r="G1525" s="289"/>
      <c r="H1525" s="289"/>
      <c r="I1525" s="289"/>
      <c r="J1525" s="289"/>
      <c r="K1525" s="289"/>
      <c r="L1525" s="289"/>
      <c r="M1525" s="289"/>
      <c r="N1525" s="289"/>
    </row>
    <row r="1526" spans="2:14" x14ac:dyDescent="0.25">
      <c r="B1526" s="16" t="s">
        <v>45</v>
      </c>
      <c r="C1526" s="16" t="s">
        <v>2452</v>
      </c>
      <c r="D1526" s="16" t="s">
        <v>230</v>
      </c>
      <c r="E1526" s="288">
        <v>10900</v>
      </c>
      <c r="F1526" s="288">
        <f>ROUND(IF($A1526="E",E1526*(1+Assumptions!C$15),E1526*(1+Assumptions!C$14)),-2)</f>
        <v>11100</v>
      </c>
      <c r="G1526" s="288">
        <f>ROUND(IF($A1526="E",F1526*(1+Assumptions!D$15),F1526*(1+Assumptions!D$14)),-2)</f>
        <v>11300</v>
      </c>
      <c r="H1526" s="288">
        <f>ROUND(IF($A1526="E",G1526*(1+Assumptions!E$15),G1526*(1+Assumptions!E$14)),-2)</f>
        <v>11500</v>
      </c>
      <c r="I1526" s="288">
        <f>ROUND(IF($A1526="E",H1526*(1+Assumptions!F$15),H1526*(1+Assumptions!F$14)),-2)</f>
        <v>11700</v>
      </c>
      <c r="J1526" s="288">
        <f>ROUND(IF($A1526="E",I1526*(1+Assumptions!G$15),I1526*(1+Assumptions!G$14)),-2)</f>
        <v>11900</v>
      </c>
      <c r="K1526" s="288">
        <f>ROUND(IF($A1526="E",J1526*(1+Assumptions!H$15),J1526*(1+Assumptions!H$14)),-2)</f>
        <v>12100</v>
      </c>
      <c r="L1526" s="288">
        <f>ROUND(IF($A1526="E",K1526*(1+Assumptions!I$15),K1526*(1+Assumptions!I$14)),-2)</f>
        <v>12400</v>
      </c>
      <c r="M1526" s="288">
        <f>ROUND(IF($A1526="E",L1526*(1+Assumptions!J$15),L1526*(1+Assumptions!J$14)),-2)</f>
        <v>12700</v>
      </c>
      <c r="N1526" s="288">
        <f>ROUND(IF($A1526="E",M1526*(1+Assumptions!K$15),M1526*(1+Assumptions!K$14)),-2)</f>
        <v>13000</v>
      </c>
    </row>
    <row r="1527" spans="2:14" x14ac:dyDescent="0.25">
      <c r="B1527" s="16" t="s">
        <v>45</v>
      </c>
      <c r="C1527" s="16" t="s">
        <v>2453</v>
      </c>
      <c r="D1527" s="16" t="s">
        <v>2454</v>
      </c>
      <c r="E1527" s="288">
        <v>2400</v>
      </c>
      <c r="F1527" s="288">
        <f>ROUND(IF($A1527="E",E1527*(1+Assumptions!C$15),E1527*(1+Assumptions!C$14)),-2)</f>
        <v>2400</v>
      </c>
      <c r="G1527" s="288">
        <f>ROUND(IF($A1527="E",F1527*(1+Assumptions!D$15),F1527*(1+Assumptions!D$14)),-2)</f>
        <v>2400</v>
      </c>
      <c r="H1527" s="288">
        <f>ROUND(IF($A1527="E",G1527*(1+Assumptions!E$15),G1527*(1+Assumptions!E$14)),-2)</f>
        <v>2400</v>
      </c>
      <c r="I1527" s="288">
        <f>ROUND(IF($A1527="E",H1527*(1+Assumptions!F$15),H1527*(1+Assumptions!F$14)),-2)</f>
        <v>2400</v>
      </c>
      <c r="J1527" s="288">
        <f>ROUND(IF($A1527="E",I1527*(1+Assumptions!G$15),I1527*(1+Assumptions!G$14)),-2)</f>
        <v>2400</v>
      </c>
      <c r="K1527" s="288">
        <f>ROUND(IF($A1527="E",J1527*(1+Assumptions!H$15),J1527*(1+Assumptions!H$14)),-2)</f>
        <v>2400</v>
      </c>
      <c r="L1527" s="288">
        <f>ROUND(IF($A1527="E",K1527*(1+Assumptions!I$15),K1527*(1+Assumptions!I$14)),-2)</f>
        <v>2500</v>
      </c>
      <c r="M1527" s="288">
        <f>ROUND(IF($A1527="E",L1527*(1+Assumptions!J$15),L1527*(1+Assumptions!J$14)),-2)</f>
        <v>2600</v>
      </c>
      <c r="N1527" s="288">
        <f>ROUND(IF($A1527="E",M1527*(1+Assumptions!K$15),M1527*(1+Assumptions!K$14)),-2)</f>
        <v>2700</v>
      </c>
    </row>
    <row r="1528" spans="2:14" x14ac:dyDescent="0.25">
      <c r="B1528" s="16" t="s">
        <v>43</v>
      </c>
      <c r="C1528" s="16" t="s">
        <v>2455</v>
      </c>
      <c r="D1528" s="16" t="s">
        <v>2456</v>
      </c>
      <c r="E1528" s="288">
        <v>766100</v>
      </c>
      <c r="F1528" s="288">
        <f>ROUND(IF($A1528="E",E1528*(1+Assumptions!C$15),E1528*(1+Assumptions!C$14)),-2)</f>
        <v>777600</v>
      </c>
      <c r="G1528" s="288">
        <f>ROUND(IF($A1528="E",F1528*(1+Assumptions!D$15),F1528*(1+Assumptions!D$14)),-2)</f>
        <v>793200</v>
      </c>
      <c r="H1528" s="288">
        <f>ROUND(IF($A1528="E",G1528*(1+Assumptions!E$15),G1528*(1+Assumptions!E$14)),-2)</f>
        <v>809100</v>
      </c>
      <c r="I1528" s="288">
        <f>ROUND(IF($A1528="E",H1528*(1+Assumptions!F$15),H1528*(1+Assumptions!F$14)),-2)</f>
        <v>825300</v>
      </c>
      <c r="J1528" s="288">
        <f>ROUND(IF($A1528="E",I1528*(1+Assumptions!G$15),I1528*(1+Assumptions!G$14)),-2)</f>
        <v>841800</v>
      </c>
      <c r="K1528" s="288">
        <f>ROUND(IF($A1528="E",J1528*(1+Assumptions!H$15),J1528*(1+Assumptions!H$14)),-2)</f>
        <v>858600</v>
      </c>
      <c r="L1528" s="288">
        <f>ROUND(IF($A1528="E",K1528*(1+Assumptions!I$15),K1528*(1+Assumptions!I$14)),-2)</f>
        <v>880100</v>
      </c>
      <c r="M1528" s="288">
        <f>ROUND(IF($A1528="E",L1528*(1+Assumptions!J$15),L1528*(1+Assumptions!J$14)),-2)</f>
        <v>902100</v>
      </c>
      <c r="N1528" s="288">
        <f>ROUND(IF($A1528="E",M1528*(1+Assumptions!K$15),M1528*(1+Assumptions!K$14)),-2)</f>
        <v>924700</v>
      </c>
    </row>
    <row r="1529" spans="2:14" x14ac:dyDescent="0.25">
      <c r="B1529" s="16" t="s">
        <v>45</v>
      </c>
      <c r="C1529" s="16" t="s">
        <v>2457</v>
      </c>
      <c r="D1529" s="16" t="s">
        <v>815</v>
      </c>
      <c r="E1529" s="288">
        <v>72700</v>
      </c>
      <c r="F1529" s="288">
        <f>ROUND(IF($A1529="E",E1529*(1+Assumptions!C$15),E1529*(1+Assumptions!C$14)),-2)</f>
        <v>73800</v>
      </c>
      <c r="G1529" s="288">
        <f>ROUND(IF($A1529="E",F1529*(1+Assumptions!D$15),F1529*(1+Assumptions!D$14)),-2)</f>
        <v>75300</v>
      </c>
      <c r="H1529" s="288">
        <f>ROUND(IF($A1529="E",G1529*(1+Assumptions!E$15),G1529*(1+Assumptions!E$14)),-2)</f>
        <v>76800</v>
      </c>
      <c r="I1529" s="288">
        <f>ROUND(IF($A1529="E",H1529*(1+Assumptions!F$15),H1529*(1+Assumptions!F$14)),-2)</f>
        <v>78300</v>
      </c>
      <c r="J1529" s="288">
        <f>ROUND(IF($A1529="E",I1529*(1+Assumptions!G$15),I1529*(1+Assumptions!G$14)),-2)</f>
        <v>79900</v>
      </c>
      <c r="K1529" s="288">
        <f>ROUND(IF($A1529="E",J1529*(1+Assumptions!H$15),J1529*(1+Assumptions!H$14)),-2)</f>
        <v>81500</v>
      </c>
      <c r="L1529" s="288">
        <f>ROUND(IF($A1529="E",K1529*(1+Assumptions!I$15),K1529*(1+Assumptions!I$14)),-2)</f>
        <v>83500</v>
      </c>
      <c r="M1529" s="288">
        <f>ROUND(IF($A1529="E",L1529*(1+Assumptions!J$15),L1529*(1+Assumptions!J$14)),-2)</f>
        <v>85600</v>
      </c>
      <c r="N1529" s="288">
        <f>ROUND(IF($A1529="E",M1529*(1+Assumptions!K$15),M1529*(1+Assumptions!K$14)),-2)</f>
        <v>87700</v>
      </c>
    </row>
    <row r="1530" spans="2:14" x14ac:dyDescent="0.25">
      <c r="B1530" s="16" t="s">
        <v>43</v>
      </c>
      <c r="C1530" s="16" t="s">
        <v>2458</v>
      </c>
      <c r="D1530" s="16" t="s">
        <v>2459</v>
      </c>
      <c r="E1530" s="288">
        <v>11700</v>
      </c>
      <c r="F1530" s="288">
        <f>ROUND(IF($A1530="E",E1530*(1+Assumptions!C$15),E1530*(1+Assumptions!C$14)),-2)</f>
        <v>11900</v>
      </c>
      <c r="G1530" s="288">
        <f>ROUND(IF($A1530="E",F1530*(1+Assumptions!D$15),F1530*(1+Assumptions!D$14)),-2)</f>
        <v>12100</v>
      </c>
      <c r="H1530" s="288">
        <f>ROUND(IF($A1530="E",G1530*(1+Assumptions!E$15),G1530*(1+Assumptions!E$14)),-2)</f>
        <v>12300</v>
      </c>
      <c r="I1530" s="288">
        <f>ROUND(IF($A1530="E",H1530*(1+Assumptions!F$15),H1530*(1+Assumptions!F$14)),-2)</f>
        <v>12500</v>
      </c>
      <c r="J1530" s="288">
        <f>ROUND(IF($A1530="E",I1530*(1+Assumptions!G$15),I1530*(1+Assumptions!G$14)),-2)</f>
        <v>12800</v>
      </c>
      <c r="K1530" s="288">
        <f>ROUND(IF($A1530="E",J1530*(1+Assumptions!H$15),J1530*(1+Assumptions!H$14)),-2)</f>
        <v>13100</v>
      </c>
      <c r="L1530" s="288">
        <f>ROUND(IF($A1530="E",K1530*(1+Assumptions!I$15),K1530*(1+Assumptions!I$14)),-2)</f>
        <v>13400</v>
      </c>
      <c r="M1530" s="288">
        <f>ROUND(IF($A1530="E",L1530*(1+Assumptions!J$15),L1530*(1+Assumptions!J$14)),-2)</f>
        <v>13700</v>
      </c>
      <c r="N1530" s="288">
        <f>ROUND(IF($A1530="E",M1530*(1+Assumptions!K$15),M1530*(1+Assumptions!K$14)),-2)</f>
        <v>14000</v>
      </c>
    </row>
    <row r="1531" spans="2:14" x14ac:dyDescent="0.25">
      <c r="B1531" s="16" t="s">
        <v>43</v>
      </c>
      <c r="C1531" s="16" t="s">
        <v>2460</v>
      </c>
      <c r="D1531" s="16" t="s">
        <v>817</v>
      </c>
      <c r="E1531" s="288">
        <v>9200</v>
      </c>
      <c r="F1531" s="288">
        <f>ROUND(IF($A1531="E",E1531*(1+Assumptions!C$15),E1531*(1+Assumptions!C$14)),-2)</f>
        <v>9300</v>
      </c>
      <c r="G1531" s="288">
        <f>ROUND(IF($A1531="E",F1531*(1+Assumptions!D$15),F1531*(1+Assumptions!D$14)),-2)</f>
        <v>9500</v>
      </c>
      <c r="H1531" s="288">
        <f>ROUND(IF($A1531="E",G1531*(1+Assumptions!E$15),G1531*(1+Assumptions!E$14)),-2)</f>
        <v>9700</v>
      </c>
      <c r="I1531" s="288">
        <f>ROUND(IF($A1531="E",H1531*(1+Assumptions!F$15),H1531*(1+Assumptions!F$14)),-2)</f>
        <v>9900</v>
      </c>
      <c r="J1531" s="288">
        <f>ROUND(IF($A1531="E",I1531*(1+Assumptions!G$15),I1531*(1+Assumptions!G$14)),-2)</f>
        <v>10100</v>
      </c>
      <c r="K1531" s="288">
        <f>ROUND(IF($A1531="E",J1531*(1+Assumptions!H$15),J1531*(1+Assumptions!H$14)),-2)</f>
        <v>10300</v>
      </c>
      <c r="L1531" s="288">
        <f>ROUND(IF($A1531="E",K1531*(1+Assumptions!I$15),K1531*(1+Assumptions!I$14)),-2)</f>
        <v>10600</v>
      </c>
      <c r="M1531" s="288">
        <f>ROUND(IF($A1531="E",L1531*(1+Assumptions!J$15),L1531*(1+Assumptions!J$14)),-2)</f>
        <v>10900</v>
      </c>
      <c r="N1531" s="288">
        <f>ROUND(IF($A1531="E",M1531*(1+Assumptions!K$15),M1531*(1+Assumptions!K$14)),-2)</f>
        <v>11200</v>
      </c>
    </row>
    <row r="1532" spans="2:14" x14ac:dyDescent="0.25">
      <c r="B1532" s="16" t="s">
        <v>43</v>
      </c>
      <c r="C1532" s="16" t="s">
        <v>2461</v>
      </c>
      <c r="D1532" s="16" t="s">
        <v>2462</v>
      </c>
      <c r="E1532" s="288">
        <v>4000</v>
      </c>
      <c r="F1532" s="288">
        <f>ROUND(IF($A1532="E",E1532*(1+Assumptions!C$15),E1532*(1+Assumptions!C$14)),-2)</f>
        <v>4100</v>
      </c>
      <c r="G1532" s="288">
        <f>ROUND(IF($A1532="E",F1532*(1+Assumptions!D$15),F1532*(1+Assumptions!D$14)),-2)</f>
        <v>4200</v>
      </c>
      <c r="H1532" s="288">
        <f>ROUND(IF($A1532="E",G1532*(1+Assumptions!E$15),G1532*(1+Assumptions!E$14)),-2)</f>
        <v>4300</v>
      </c>
      <c r="I1532" s="288">
        <f>ROUND(IF($A1532="E",H1532*(1+Assumptions!F$15),H1532*(1+Assumptions!F$14)),-2)</f>
        <v>4400</v>
      </c>
      <c r="J1532" s="288">
        <f>ROUND(IF($A1532="E",I1532*(1+Assumptions!G$15),I1532*(1+Assumptions!G$14)),-2)</f>
        <v>4500</v>
      </c>
      <c r="K1532" s="288">
        <f>ROUND(IF($A1532="E",J1532*(1+Assumptions!H$15),J1532*(1+Assumptions!H$14)),-2)</f>
        <v>4600</v>
      </c>
      <c r="L1532" s="288">
        <f>ROUND(IF($A1532="E",K1532*(1+Assumptions!I$15),K1532*(1+Assumptions!I$14)),-2)</f>
        <v>4700</v>
      </c>
      <c r="M1532" s="288">
        <f>ROUND(IF($A1532="E",L1532*(1+Assumptions!J$15),L1532*(1+Assumptions!J$14)),-2)</f>
        <v>4800</v>
      </c>
      <c r="N1532" s="288">
        <f>ROUND(IF($A1532="E",M1532*(1+Assumptions!K$15),M1532*(1+Assumptions!K$14)),-2)</f>
        <v>4900</v>
      </c>
    </row>
    <row r="1533" spans="2:14" x14ac:dyDescent="0.25">
      <c r="B1533" s="16" t="s">
        <v>43</v>
      </c>
      <c r="C1533" s="16" t="s">
        <v>2463</v>
      </c>
      <c r="D1533" s="16" t="s">
        <v>2464</v>
      </c>
      <c r="E1533" s="288">
        <v>57300</v>
      </c>
      <c r="F1533" s="288">
        <f>ROUND(IF($A1533="E",E1533*(1+Assumptions!C$15),E1533*(1+Assumptions!C$14)),-2)</f>
        <v>58200</v>
      </c>
      <c r="G1533" s="288">
        <f>ROUND(IF($A1533="E",F1533*(1+Assumptions!D$15),F1533*(1+Assumptions!D$14)),-2)</f>
        <v>59400</v>
      </c>
      <c r="H1533" s="288">
        <f>ROUND(IF($A1533="E",G1533*(1+Assumptions!E$15),G1533*(1+Assumptions!E$14)),-2)</f>
        <v>60600</v>
      </c>
      <c r="I1533" s="288">
        <f>ROUND(IF($A1533="E",H1533*(1+Assumptions!F$15),H1533*(1+Assumptions!F$14)),-2)</f>
        <v>61800</v>
      </c>
      <c r="J1533" s="288">
        <f>ROUND(IF($A1533="E",I1533*(1+Assumptions!G$15),I1533*(1+Assumptions!G$14)),-2)</f>
        <v>63000</v>
      </c>
      <c r="K1533" s="288">
        <f>ROUND(IF($A1533="E",J1533*(1+Assumptions!H$15),J1533*(1+Assumptions!H$14)),-2)</f>
        <v>64300</v>
      </c>
      <c r="L1533" s="288">
        <f>ROUND(IF($A1533="E",K1533*(1+Assumptions!I$15),K1533*(1+Assumptions!I$14)),-2)</f>
        <v>65900</v>
      </c>
      <c r="M1533" s="288">
        <f>ROUND(IF($A1533="E",L1533*(1+Assumptions!J$15),L1533*(1+Assumptions!J$14)),-2)</f>
        <v>67500</v>
      </c>
      <c r="N1533" s="288">
        <f>ROUND(IF($A1533="E",M1533*(1+Assumptions!K$15),M1533*(1+Assumptions!K$14)),-2)</f>
        <v>69200</v>
      </c>
    </row>
    <row r="1534" spans="2:14" x14ac:dyDescent="0.25">
      <c r="B1534" s="16" t="s">
        <v>43</v>
      </c>
      <c r="C1534" s="16" t="s">
        <v>2465</v>
      </c>
      <c r="D1534" s="16" t="s">
        <v>2466</v>
      </c>
      <c r="E1534" s="288">
        <v>62300</v>
      </c>
      <c r="F1534" s="288">
        <f>ROUND(IF($A1534="E",E1534*(1+Assumptions!C$15),E1534*(1+Assumptions!C$14)),-2)</f>
        <v>63200</v>
      </c>
      <c r="G1534" s="288">
        <f>ROUND(IF($A1534="E",F1534*(1+Assumptions!D$15),F1534*(1+Assumptions!D$14)),-2)</f>
        <v>64500</v>
      </c>
      <c r="H1534" s="288">
        <f>ROUND(IF($A1534="E",G1534*(1+Assumptions!E$15),G1534*(1+Assumptions!E$14)),-2)</f>
        <v>65800</v>
      </c>
      <c r="I1534" s="288">
        <f>ROUND(IF($A1534="E",H1534*(1+Assumptions!F$15),H1534*(1+Assumptions!F$14)),-2)</f>
        <v>67100</v>
      </c>
      <c r="J1534" s="288">
        <f>ROUND(IF($A1534="E",I1534*(1+Assumptions!G$15),I1534*(1+Assumptions!G$14)),-2)</f>
        <v>68400</v>
      </c>
      <c r="K1534" s="288">
        <f>ROUND(IF($A1534="E",J1534*(1+Assumptions!H$15),J1534*(1+Assumptions!H$14)),-2)</f>
        <v>69800</v>
      </c>
      <c r="L1534" s="288">
        <f>ROUND(IF($A1534="E",K1534*(1+Assumptions!I$15),K1534*(1+Assumptions!I$14)),-2)</f>
        <v>71500</v>
      </c>
      <c r="M1534" s="288">
        <f>ROUND(IF($A1534="E",L1534*(1+Assumptions!J$15),L1534*(1+Assumptions!J$14)),-2)</f>
        <v>73300</v>
      </c>
      <c r="N1534" s="288">
        <f>ROUND(IF($A1534="E",M1534*(1+Assumptions!K$15),M1534*(1+Assumptions!K$14)),-2)</f>
        <v>75100</v>
      </c>
    </row>
    <row r="1535" spans="2:14" x14ac:dyDescent="0.25">
      <c r="B1535" s="16" t="s">
        <v>43</v>
      </c>
      <c r="C1535" s="16" t="s">
        <v>2467</v>
      </c>
      <c r="D1535" s="16" t="s">
        <v>2468</v>
      </c>
      <c r="E1535" s="288">
        <v>2500</v>
      </c>
      <c r="F1535" s="288">
        <f>ROUND(IF($A1535="E",E1535*(1+Assumptions!C$15),E1535*(1+Assumptions!C$14)),-2)</f>
        <v>2500</v>
      </c>
      <c r="G1535" s="288">
        <f>ROUND(IF($A1535="E",F1535*(1+Assumptions!D$15),F1535*(1+Assumptions!D$14)),-2)</f>
        <v>2600</v>
      </c>
      <c r="H1535" s="288">
        <f>ROUND(IF($A1535="E",G1535*(1+Assumptions!E$15),G1535*(1+Assumptions!E$14)),-2)</f>
        <v>2700</v>
      </c>
      <c r="I1535" s="288">
        <f>ROUND(IF($A1535="E",H1535*(1+Assumptions!F$15),H1535*(1+Assumptions!F$14)),-2)</f>
        <v>2800</v>
      </c>
      <c r="J1535" s="288">
        <f>ROUND(IF($A1535="E",I1535*(1+Assumptions!G$15),I1535*(1+Assumptions!G$14)),-2)</f>
        <v>2900</v>
      </c>
      <c r="K1535" s="288">
        <f>ROUND(IF($A1535="E",J1535*(1+Assumptions!H$15),J1535*(1+Assumptions!H$14)),-2)</f>
        <v>3000</v>
      </c>
      <c r="L1535" s="288">
        <f>ROUND(IF($A1535="E",K1535*(1+Assumptions!I$15),K1535*(1+Assumptions!I$14)),-2)</f>
        <v>3100</v>
      </c>
      <c r="M1535" s="288">
        <f>ROUND(IF($A1535="E",L1535*(1+Assumptions!J$15),L1535*(1+Assumptions!J$14)),-2)</f>
        <v>3200</v>
      </c>
      <c r="N1535" s="288">
        <f>ROUND(IF($A1535="E",M1535*(1+Assumptions!K$15),M1535*(1+Assumptions!K$14)),-2)</f>
        <v>3300</v>
      </c>
    </row>
    <row r="1536" spans="2:14" x14ac:dyDescent="0.25">
      <c r="B1536" s="16" t="s">
        <v>43</v>
      </c>
      <c r="C1536" s="16" t="s">
        <v>2469</v>
      </c>
      <c r="D1536" s="16" t="s">
        <v>2470</v>
      </c>
      <c r="E1536" s="288">
        <v>17400</v>
      </c>
      <c r="F1536" s="288">
        <f>ROUND(IF($A1536="E",E1536*(1+Assumptions!C$15),E1536*(1+Assumptions!C$14)),-2)</f>
        <v>17700</v>
      </c>
      <c r="G1536" s="288">
        <f>ROUND(IF($A1536="E",F1536*(1+Assumptions!D$15),F1536*(1+Assumptions!D$14)),-2)</f>
        <v>18100</v>
      </c>
      <c r="H1536" s="288">
        <f>ROUND(IF($A1536="E",G1536*(1+Assumptions!E$15),G1536*(1+Assumptions!E$14)),-2)</f>
        <v>18500</v>
      </c>
      <c r="I1536" s="288">
        <f>ROUND(IF($A1536="E",H1536*(1+Assumptions!F$15),H1536*(1+Assumptions!F$14)),-2)</f>
        <v>18900</v>
      </c>
      <c r="J1536" s="288">
        <f>ROUND(IF($A1536="E",I1536*(1+Assumptions!G$15),I1536*(1+Assumptions!G$14)),-2)</f>
        <v>19300</v>
      </c>
      <c r="K1536" s="288">
        <f>ROUND(IF($A1536="E",J1536*(1+Assumptions!H$15),J1536*(1+Assumptions!H$14)),-2)</f>
        <v>19700</v>
      </c>
      <c r="L1536" s="288">
        <f>ROUND(IF($A1536="E",K1536*(1+Assumptions!I$15),K1536*(1+Assumptions!I$14)),-2)</f>
        <v>20200</v>
      </c>
      <c r="M1536" s="288">
        <f>ROUND(IF($A1536="E",L1536*(1+Assumptions!J$15),L1536*(1+Assumptions!J$14)),-2)</f>
        <v>20700</v>
      </c>
      <c r="N1536" s="288">
        <f>ROUND(IF($A1536="E",M1536*(1+Assumptions!K$15),M1536*(1+Assumptions!K$14)),-2)</f>
        <v>21200</v>
      </c>
    </row>
    <row r="1537" spans="1:14" x14ac:dyDescent="0.25">
      <c r="B1537" s="16" t="s">
        <v>43</v>
      </c>
      <c r="C1537" s="16" t="s">
        <v>2471</v>
      </c>
      <c r="D1537" s="16" t="s">
        <v>2472</v>
      </c>
      <c r="E1537" s="288">
        <v>10100</v>
      </c>
      <c r="F1537" s="288">
        <f>ROUND(IF($A1537="E",E1537*(1+Assumptions!C$15),E1537*(1+Assumptions!C$14)),-2)</f>
        <v>10300</v>
      </c>
      <c r="G1537" s="288">
        <f>ROUND(IF($A1537="E",F1537*(1+Assumptions!D$15),F1537*(1+Assumptions!D$14)),-2)</f>
        <v>10500</v>
      </c>
      <c r="H1537" s="288">
        <f>ROUND(IF($A1537="E",G1537*(1+Assumptions!E$15),G1537*(1+Assumptions!E$14)),-2)</f>
        <v>10700</v>
      </c>
      <c r="I1537" s="288">
        <f>ROUND(IF($A1537="E",H1537*(1+Assumptions!F$15),H1537*(1+Assumptions!F$14)),-2)</f>
        <v>10900</v>
      </c>
      <c r="J1537" s="288">
        <f>ROUND(IF($A1537="E",I1537*(1+Assumptions!G$15),I1537*(1+Assumptions!G$14)),-2)</f>
        <v>11100</v>
      </c>
      <c r="K1537" s="288">
        <f>ROUND(IF($A1537="E",J1537*(1+Assumptions!H$15),J1537*(1+Assumptions!H$14)),-2)</f>
        <v>11300</v>
      </c>
      <c r="L1537" s="288">
        <f>ROUND(IF($A1537="E",K1537*(1+Assumptions!I$15),K1537*(1+Assumptions!I$14)),-2)</f>
        <v>11600</v>
      </c>
      <c r="M1537" s="288">
        <f>ROUND(IF($A1537="E",L1537*(1+Assumptions!J$15),L1537*(1+Assumptions!J$14)),-2)</f>
        <v>11900</v>
      </c>
      <c r="N1537" s="288">
        <f>ROUND(IF($A1537="E",M1537*(1+Assumptions!K$15),M1537*(1+Assumptions!K$14)),-2)</f>
        <v>12200</v>
      </c>
    </row>
    <row r="1538" spans="1:14" x14ac:dyDescent="0.25">
      <c r="B1538" s="16" t="s">
        <v>43</v>
      </c>
      <c r="C1538" s="16" t="s">
        <v>2473</v>
      </c>
      <c r="D1538" s="16" t="s">
        <v>2474</v>
      </c>
      <c r="E1538" s="288">
        <v>50400</v>
      </c>
      <c r="F1538" s="288">
        <f>ROUND(IF($A1538="E",E1538*(1+Assumptions!C$15),E1538*(1+Assumptions!C$14)),-2)</f>
        <v>51200</v>
      </c>
      <c r="G1538" s="288">
        <f>ROUND(IF($A1538="E",F1538*(1+Assumptions!D$15),F1538*(1+Assumptions!D$14)),-2)</f>
        <v>52200</v>
      </c>
      <c r="H1538" s="288">
        <f>ROUND(IF($A1538="E",G1538*(1+Assumptions!E$15),G1538*(1+Assumptions!E$14)),-2)</f>
        <v>53200</v>
      </c>
      <c r="I1538" s="288">
        <f>ROUND(IF($A1538="E",H1538*(1+Assumptions!F$15),H1538*(1+Assumptions!F$14)),-2)</f>
        <v>54300</v>
      </c>
      <c r="J1538" s="288">
        <f>ROUND(IF($A1538="E",I1538*(1+Assumptions!G$15),I1538*(1+Assumptions!G$14)),-2)</f>
        <v>55400</v>
      </c>
      <c r="K1538" s="288">
        <f>ROUND(IF($A1538="E",J1538*(1+Assumptions!H$15),J1538*(1+Assumptions!H$14)),-2)</f>
        <v>56500</v>
      </c>
      <c r="L1538" s="288">
        <f>ROUND(IF($A1538="E",K1538*(1+Assumptions!I$15),K1538*(1+Assumptions!I$14)),-2)</f>
        <v>57900</v>
      </c>
      <c r="M1538" s="288">
        <f>ROUND(IF($A1538="E",L1538*(1+Assumptions!J$15),L1538*(1+Assumptions!J$14)),-2)</f>
        <v>59300</v>
      </c>
      <c r="N1538" s="288">
        <f>ROUND(IF($A1538="E",M1538*(1+Assumptions!K$15),M1538*(1+Assumptions!K$14)),-2)</f>
        <v>60800</v>
      </c>
    </row>
    <row r="1539" spans="1:14" x14ac:dyDescent="0.25">
      <c r="B1539" s="16" t="s">
        <v>43</v>
      </c>
      <c r="C1539" s="16" t="s">
        <v>2475</v>
      </c>
      <c r="D1539" s="16" t="s">
        <v>2476</v>
      </c>
      <c r="E1539" s="288">
        <v>50400</v>
      </c>
      <c r="F1539" s="288">
        <f>ROUND(IF($A1539="E",E1539*(1+Assumptions!C$15),E1539*(1+Assumptions!C$14)),-2)</f>
        <v>51200</v>
      </c>
      <c r="G1539" s="288">
        <f>ROUND(IF($A1539="E",F1539*(1+Assumptions!D$15),F1539*(1+Assumptions!D$14)),-2)</f>
        <v>52200</v>
      </c>
      <c r="H1539" s="288">
        <f>ROUND(IF($A1539="E",G1539*(1+Assumptions!E$15),G1539*(1+Assumptions!E$14)),-2)</f>
        <v>53200</v>
      </c>
      <c r="I1539" s="288">
        <f>ROUND(IF($A1539="E",H1539*(1+Assumptions!F$15),H1539*(1+Assumptions!F$14)),-2)</f>
        <v>54300</v>
      </c>
      <c r="J1539" s="288">
        <f>ROUND(IF($A1539="E",I1539*(1+Assumptions!G$15),I1539*(1+Assumptions!G$14)),-2)</f>
        <v>55400</v>
      </c>
      <c r="K1539" s="288">
        <f>ROUND(IF($A1539="E",J1539*(1+Assumptions!H$15),J1539*(1+Assumptions!H$14)),-2)</f>
        <v>56500</v>
      </c>
      <c r="L1539" s="288">
        <f>ROUND(IF($A1539="E",K1539*(1+Assumptions!I$15),K1539*(1+Assumptions!I$14)),-2)</f>
        <v>57900</v>
      </c>
      <c r="M1539" s="288">
        <f>ROUND(IF($A1539="E",L1539*(1+Assumptions!J$15),L1539*(1+Assumptions!J$14)),-2)</f>
        <v>59300</v>
      </c>
      <c r="N1539" s="288">
        <f>ROUND(IF($A1539="E",M1539*(1+Assumptions!K$15),M1539*(1+Assumptions!K$14)),-2)</f>
        <v>60800</v>
      </c>
    </row>
    <row r="1540" spans="1:14" x14ac:dyDescent="0.25">
      <c r="B1540" s="16" t="s">
        <v>43</v>
      </c>
      <c r="C1540" s="16" t="s">
        <v>2477</v>
      </c>
      <c r="D1540" s="16" t="s">
        <v>2478</v>
      </c>
      <c r="E1540" s="288">
        <v>30200</v>
      </c>
      <c r="F1540" s="288">
        <f>ROUND(IF($A1540="E",E1540*(1+Assumptions!C$15),E1540*(1+Assumptions!C$14)),-2)</f>
        <v>30700</v>
      </c>
      <c r="G1540" s="288">
        <f>ROUND(IF($A1540="E",F1540*(1+Assumptions!D$15),F1540*(1+Assumptions!D$14)),-2)</f>
        <v>31300</v>
      </c>
      <c r="H1540" s="288">
        <f>ROUND(IF($A1540="E",G1540*(1+Assumptions!E$15),G1540*(1+Assumptions!E$14)),-2)</f>
        <v>31900</v>
      </c>
      <c r="I1540" s="288">
        <f>ROUND(IF($A1540="E",H1540*(1+Assumptions!F$15),H1540*(1+Assumptions!F$14)),-2)</f>
        <v>32500</v>
      </c>
      <c r="J1540" s="288">
        <f>ROUND(IF($A1540="E",I1540*(1+Assumptions!G$15),I1540*(1+Assumptions!G$14)),-2)</f>
        <v>33200</v>
      </c>
      <c r="K1540" s="288">
        <f>ROUND(IF($A1540="E",J1540*(1+Assumptions!H$15),J1540*(1+Assumptions!H$14)),-2)</f>
        <v>33900</v>
      </c>
      <c r="L1540" s="288">
        <f>ROUND(IF($A1540="E",K1540*(1+Assumptions!I$15),K1540*(1+Assumptions!I$14)),-2)</f>
        <v>34700</v>
      </c>
      <c r="M1540" s="288">
        <f>ROUND(IF($A1540="E",L1540*(1+Assumptions!J$15),L1540*(1+Assumptions!J$14)),-2)</f>
        <v>35600</v>
      </c>
      <c r="N1540" s="288">
        <f>ROUND(IF($A1540="E",M1540*(1+Assumptions!K$15),M1540*(1+Assumptions!K$14)),-2)</f>
        <v>36500</v>
      </c>
    </row>
    <row r="1541" spans="1:14" x14ac:dyDescent="0.25">
      <c r="B1541" s="16" t="s">
        <v>43</v>
      </c>
      <c r="C1541" s="16" t="s">
        <v>2479</v>
      </c>
      <c r="D1541" s="16" t="s">
        <v>2480</v>
      </c>
      <c r="E1541" s="288">
        <v>88300</v>
      </c>
      <c r="F1541" s="288">
        <f>ROUND(IF($A1541="E",E1541*(1+Assumptions!C$15),E1541*(1+Assumptions!C$14)),-2)</f>
        <v>89600</v>
      </c>
      <c r="G1541" s="288">
        <f>ROUND(IF($A1541="E",F1541*(1+Assumptions!D$15),F1541*(1+Assumptions!D$14)),-2)</f>
        <v>91400</v>
      </c>
      <c r="H1541" s="288">
        <f>ROUND(IF($A1541="E",G1541*(1+Assumptions!E$15),G1541*(1+Assumptions!E$14)),-2)</f>
        <v>93200</v>
      </c>
      <c r="I1541" s="288">
        <f>ROUND(IF($A1541="E",H1541*(1+Assumptions!F$15),H1541*(1+Assumptions!F$14)),-2)</f>
        <v>95100</v>
      </c>
      <c r="J1541" s="288">
        <f>ROUND(IF($A1541="E",I1541*(1+Assumptions!G$15),I1541*(1+Assumptions!G$14)),-2)</f>
        <v>97000</v>
      </c>
      <c r="K1541" s="288">
        <f>ROUND(IF($A1541="E",J1541*(1+Assumptions!H$15),J1541*(1+Assumptions!H$14)),-2)</f>
        <v>98900</v>
      </c>
      <c r="L1541" s="288">
        <f>ROUND(IF($A1541="E",K1541*(1+Assumptions!I$15),K1541*(1+Assumptions!I$14)),-2)</f>
        <v>101400</v>
      </c>
      <c r="M1541" s="288">
        <f>ROUND(IF($A1541="E",L1541*(1+Assumptions!J$15),L1541*(1+Assumptions!J$14)),-2)</f>
        <v>103900</v>
      </c>
      <c r="N1541" s="288">
        <f>ROUND(IF($A1541="E",M1541*(1+Assumptions!K$15),M1541*(1+Assumptions!K$14)),-2)</f>
        <v>106500</v>
      </c>
    </row>
    <row r="1542" spans="1:14" x14ac:dyDescent="0.25">
      <c r="B1542" s="16" t="s">
        <v>43</v>
      </c>
      <c r="C1542" s="16" t="s">
        <v>2481</v>
      </c>
      <c r="D1542" s="16" t="s">
        <v>2482</v>
      </c>
      <c r="E1542" s="288">
        <v>8900</v>
      </c>
      <c r="F1542" s="288">
        <f>ROUND(IF($A1542="E",E1542*(1+Assumptions!C$15),E1542*(1+Assumptions!C$14)),-2)</f>
        <v>9000</v>
      </c>
      <c r="G1542" s="288">
        <f>ROUND(IF($A1542="E",F1542*(1+Assumptions!D$15),F1542*(1+Assumptions!D$14)),-2)</f>
        <v>9200</v>
      </c>
      <c r="H1542" s="288">
        <f>ROUND(IF($A1542="E",G1542*(1+Assumptions!E$15),G1542*(1+Assumptions!E$14)),-2)</f>
        <v>9400</v>
      </c>
      <c r="I1542" s="288">
        <f>ROUND(IF($A1542="E",H1542*(1+Assumptions!F$15),H1542*(1+Assumptions!F$14)),-2)</f>
        <v>9600</v>
      </c>
      <c r="J1542" s="288">
        <f>ROUND(IF($A1542="E",I1542*(1+Assumptions!G$15),I1542*(1+Assumptions!G$14)),-2)</f>
        <v>9800</v>
      </c>
      <c r="K1542" s="288">
        <f>ROUND(IF($A1542="E",J1542*(1+Assumptions!H$15),J1542*(1+Assumptions!H$14)),-2)</f>
        <v>10000</v>
      </c>
      <c r="L1542" s="288">
        <f>ROUND(IF($A1542="E",K1542*(1+Assumptions!I$15),K1542*(1+Assumptions!I$14)),-2)</f>
        <v>10300</v>
      </c>
      <c r="M1542" s="288">
        <f>ROUND(IF($A1542="E",L1542*(1+Assumptions!J$15),L1542*(1+Assumptions!J$14)),-2)</f>
        <v>10600</v>
      </c>
      <c r="N1542" s="288">
        <f>ROUND(IF($A1542="E",M1542*(1+Assumptions!K$15),M1542*(1+Assumptions!K$14)),-2)</f>
        <v>10900</v>
      </c>
    </row>
    <row r="1543" spans="1:14" x14ac:dyDescent="0.25">
      <c r="B1543" s="16" t="s">
        <v>43</v>
      </c>
      <c r="C1543" s="16" t="s">
        <v>2483</v>
      </c>
      <c r="D1543" s="16" t="s">
        <v>2484</v>
      </c>
      <c r="E1543" s="288">
        <v>41500</v>
      </c>
      <c r="F1543" s="288">
        <f>ROUND(IF($A1543="E",E1543*(1+Assumptions!C$15),E1543*(1+Assumptions!C$14)),-2)</f>
        <v>42100</v>
      </c>
      <c r="G1543" s="288">
        <f>ROUND(IF($A1543="E",F1543*(1+Assumptions!D$15),F1543*(1+Assumptions!D$14)),-2)</f>
        <v>42900</v>
      </c>
      <c r="H1543" s="288">
        <f>ROUND(IF($A1543="E",G1543*(1+Assumptions!E$15),G1543*(1+Assumptions!E$14)),-2)</f>
        <v>43800</v>
      </c>
      <c r="I1543" s="288">
        <f>ROUND(IF($A1543="E",H1543*(1+Assumptions!F$15),H1543*(1+Assumptions!F$14)),-2)</f>
        <v>44700</v>
      </c>
      <c r="J1543" s="288">
        <f>ROUND(IF($A1543="E",I1543*(1+Assumptions!G$15),I1543*(1+Assumptions!G$14)),-2)</f>
        <v>45600</v>
      </c>
      <c r="K1543" s="288">
        <f>ROUND(IF($A1543="E",J1543*(1+Assumptions!H$15),J1543*(1+Assumptions!H$14)),-2)</f>
        <v>46500</v>
      </c>
      <c r="L1543" s="288">
        <f>ROUND(IF($A1543="E",K1543*(1+Assumptions!I$15),K1543*(1+Assumptions!I$14)),-2)</f>
        <v>47700</v>
      </c>
      <c r="M1543" s="288">
        <f>ROUND(IF($A1543="E",L1543*(1+Assumptions!J$15),L1543*(1+Assumptions!J$14)),-2)</f>
        <v>48900</v>
      </c>
      <c r="N1543" s="288">
        <f>ROUND(IF($A1543="E",M1543*(1+Assumptions!K$15),M1543*(1+Assumptions!K$14)),-2)</f>
        <v>50100</v>
      </c>
    </row>
    <row r="1544" spans="1:14" x14ac:dyDescent="0.25">
      <c r="B1544" s="16" t="s">
        <v>43</v>
      </c>
      <c r="C1544" s="16" t="s">
        <v>2485</v>
      </c>
      <c r="D1544" s="16" t="s">
        <v>844</v>
      </c>
      <c r="E1544" s="288">
        <v>90700</v>
      </c>
      <c r="F1544" s="288">
        <f>ROUND(IF($A1544="E",E1544*(1+Assumptions!C$15),E1544*(1+Assumptions!C$14)),-2)</f>
        <v>92100</v>
      </c>
      <c r="G1544" s="288">
        <f>ROUND(IF($A1544="E",F1544*(1+Assumptions!D$15),F1544*(1+Assumptions!D$14)),-2)</f>
        <v>93900</v>
      </c>
      <c r="H1544" s="288">
        <f>ROUND(IF($A1544="E",G1544*(1+Assumptions!E$15),G1544*(1+Assumptions!E$14)),-2)</f>
        <v>95800</v>
      </c>
      <c r="I1544" s="288">
        <f>ROUND(IF($A1544="E",H1544*(1+Assumptions!F$15),H1544*(1+Assumptions!F$14)),-2)</f>
        <v>97700</v>
      </c>
      <c r="J1544" s="288">
        <f>ROUND(IF($A1544="E",I1544*(1+Assumptions!G$15),I1544*(1+Assumptions!G$14)),-2)</f>
        <v>99700</v>
      </c>
      <c r="K1544" s="288">
        <f>ROUND(IF($A1544="E",J1544*(1+Assumptions!H$15),J1544*(1+Assumptions!H$14)),-2)</f>
        <v>101700</v>
      </c>
      <c r="L1544" s="288">
        <f>ROUND(IF($A1544="E",K1544*(1+Assumptions!I$15),K1544*(1+Assumptions!I$14)),-2)</f>
        <v>104200</v>
      </c>
      <c r="M1544" s="288">
        <f>ROUND(IF($A1544="E",L1544*(1+Assumptions!J$15),L1544*(1+Assumptions!J$14)),-2)</f>
        <v>106800</v>
      </c>
      <c r="N1544" s="288">
        <f>ROUND(IF($A1544="E",M1544*(1+Assumptions!K$15),M1544*(1+Assumptions!K$14)),-2)</f>
        <v>109500</v>
      </c>
    </row>
    <row r="1545" spans="1:14" x14ac:dyDescent="0.25">
      <c r="B1545" s="16" t="s">
        <v>43</v>
      </c>
      <c r="C1545" s="16" t="s">
        <v>2486</v>
      </c>
      <c r="D1545" s="16" t="s">
        <v>2487</v>
      </c>
      <c r="E1545" s="288">
        <v>56400</v>
      </c>
      <c r="F1545" s="288">
        <f>ROUND(IF($A1545="E",E1545*(1+Assumptions!C$15),E1545*(1+Assumptions!C$14)),-2)</f>
        <v>57200</v>
      </c>
      <c r="G1545" s="288">
        <f>ROUND(IF($A1545="E",F1545*(1+Assumptions!D$15),F1545*(1+Assumptions!D$14)),-2)</f>
        <v>58300</v>
      </c>
      <c r="H1545" s="288">
        <f>ROUND(IF($A1545="E",G1545*(1+Assumptions!E$15),G1545*(1+Assumptions!E$14)),-2)</f>
        <v>59500</v>
      </c>
      <c r="I1545" s="288">
        <f>ROUND(IF($A1545="E",H1545*(1+Assumptions!F$15),H1545*(1+Assumptions!F$14)),-2)</f>
        <v>60700</v>
      </c>
      <c r="J1545" s="288">
        <f>ROUND(IF($A1545="E",I1545*(1+Assumptions!G$15),I1545*(1+Assumptions!G$14)),-2)</f>
        <v>61900</v>
      </c>
      <c r="K1545" s="288">
        <f>ROUND(IF($A1545="E",J1545*(1+Assumptions!H$15),J1545*(1+Assumptions!H$14)),-2)</f>
        <v>63100</v>
      </c>
      <c r="L1545" s="288">
        <f>ROUND(IF($A1545="E",K1545*(1+Assumptions!I$15),K1545*(1+Assumptions!I$14)),-2)</f>
        <v>64700</v>
      </c>
      <c r="M1545" s="288">
        <f>ROUND(IF($A1545="E",L1545*(1+Assumptions!J$15),L1545*(1+Assumptions!J$14)),-2)</f>
        <v>66300</v>
      </c>
      <c r="N1545" s="288">
        <f>ROUND(IF($A1545="E",M1545*(1+Assumptions!K$15),M1545*(1+Assumptions!K$14)),-2)</f>
        <v>68000</v>
      </c>
    </row>
    <row r="1546" spans="1:14" x14ac:dyDescent="0.25">
      <c r="B1546" s="16" t="s">
        <v>43</v>
      </c>
      <c r="C1546" s="16" t="s">
        <v>2488</v>
      </c>
      <c r="D1546" s="16" t="s">
        <v>187</v>
      </c>
      <c r="E1546" s="289"/>
      <c r="F1546" s="289"/>
      <c r="G1546" s="289"/>
      <c r="H1546" s="289"/>
      <c r="I1546" s="289"/>
      <c r="J1546" s="289"/>
      <c r="K1546" s="289"/>
      <c r="L1546" s="289"/>
      <c r="M1546" s="289"/>
      <c r="N1546" s="289"/>
    </row>
    <row r="1547" spans="1:14" x14ac:dyDescent="0.25">
      <c r="B1547" s="16" t="s">
        <v>43</v>
      </c>
      <c r="C1547" s="16" t="s">
        <v>2489</v>
      </c>
      <c r="D1547" s="16" t="s">
        <v>367</v>
      </c>
      <c r="E1547" s="288">
        <v>812700</v>
      </c>
      <c r="F1547" s="288">
        <f>ROUND(IF($A1547="E",E1547*(1+Assumptions!C$15),E1547*(1+Assumptions!C$14)),-2)</f>
        <v>824900</v>
      </c>
      <c r="G1547" s="288">
        <f>ROUND(IF($A1547="E",F1547*(1+Assumptions!D$15),F1547*(1+Assumptions!D$14)),-2)</f>
        <v>841400</v>
      </c>
      <c r="H1547" s="288">
        <f>ROUND(IF($A1547="E",G1547*(1+Assumptions!E$15),G1547*(1+Assumptions!E$14)),-2)</f>
        <v>858200</v>
      </c>
      <c r="I1547" s="288">
        <f>ROUND(IF($A1547="E",H1547*(1+Assumptions!F$15),H1547*(1+Assumptions!F$14)),-2)</f>
        <v>875400</v>
      </c>
      <c r="J1547" s="288">
        <f>ROUND(IF($A1547="E",I1547*(1+Assumptions!G$15),I1547*(1+Assumptions!G$14)),-2)</f>
        <v>892900</v>
      </c>
      <c r="K1547" s="288">
        <f>ROUND(IF($A1547="E",J1547*(1+Assumptions!H$15),J1547*(1+Assumptions!H$14)),-2)</f>
        <v>910800</v>
      </c>
      <c r="L1547" s="288">
        <f>ROUND(IF($A1547="E",K1547*(1+Assumptions!I$15),K1547*(1+Assumptions!I$14)),-2)</f>
        <v>933600</v>
      </c>
      <c r="M1547" s="288">
        <f>ROUND(IF($A1547="E",L1547*(1+Assumptions!J$15),L1547*(1+Assumptions!J$14)),-2)</f>
        <v>956900</v>
      </c>
      <c r="N1547" s="288">
        <f>ROUND(IF($A1547="E",M1547*(1+Assumptions!K$15),M1547*(1+Assumptions!K$14)),-2)</f>
        <v>980800</v>
      </c>
    </row>
    <row r="1548" spans="1:14" x14ac:dyDescent="0.25">
      <c r="B1548" s="16" t="s">
        <v>43</v>
      </c>
      <c r="C1548" s="16" t="s">
        <v>2490</v>
      </c>
      <c r="D1548" s="16" t="s">
        <v>193</v>
      </c>
      <c r="E1548" s="288">
        <v>133500</v>
      </c>
      <c r="F1548" s="288">
        <f>ROUND(IF($A1548="E",E1548*(1+Assumptions!C$15),E1548*(1+Assumptions!C$14)),-2)</f>
        <v>135500</v>
      </c>
      <c r="G1548" s="288">
        <f>ROUND(IF($A1548="E",F1548*(1+Assumptions!D$15),F1548*(1+Assumptions!D$14)),-2)</f>
        <v>138200</v>
      </c>
      <c r="H1548" s="288">
        <f>ROUND(IF($A1548="E",G1548*(1+Assumptions!E$15),G1548*(1+Assumptions!E$14)),-2)</f>
        <v>141000</v>
      </c>
      <c r="I1548" s="288">
        <f>ROUND(IF($A1548="E",H1548*(1+Assumptions!F$15),H1548*(1+Assumptions!F$14)),-2)</f>
        <v>143800</v>
      </c>
      <c r="J1548" s="288">
        <f>ROUND(IF($A1548="E",I1548*(1+Assumptions!G$15),I1548*(1+Assumptions!G$14)),-2)</f>
        <v>146700</v>
      </c>
      <c r="K1548" s="288">
        <f>ROUND(IF($A1548="E",J1548*(1+Assumptions!H$15),J1548*(1+Assumptions!H$14)),-2)</f>
        <v>149600</v>
      </c>
      <c r="L1548" s="288">
        <f>ROUND(IF($A1548="E",K1548*(1+Assumptions!I$15),K1548*(1+Assumptions!I$14)),-2)</f>
        <v>153300</v>
      </c>
      <c r="M1548" s="288">
        <f>ROUND(IF($A1548="E",L1548*(1+Assumptions!J$15),L1548*(1+Assumptions!J$14)),-2)</f>
        <v>157100</v>
      </c>
      <c r="N1548" s="288">
        <f>ROUND(IF($A1548="E",M1548*(1+Assumptions!K$15),M1548*(1+Assumptions!K$14)),-2)</f>
        <v>161000</v>
      </c>
    </row>
    <row r="1549" spans="1:14" x14ac:dyDescent="0.25">
      <c r="B1549" s="16" t="s">
        <v>43</v>
      </c>
      <c r="C1549" s="16" t="s">
        <v>2491</v>
      </c>
      <c r="D1549" s="16" t="s">
        <v>2288</v>
      </c>
      <c r="E1549" s="288">
        <v>7400</v>
      </c>
      <c r="F1549" s="288">
        <f>ROUND(IF($A1549="E",E1549*(1+Assumptions!C$15),E1549*(1+Assumptions!C$14)),-2)</f>
        <v>7500</v>
      </c>
      <c r="G1549" s="288">
        <f>ROUND(IF($A1549="E",F1549*(1+Assumptions!D$15),F1549*(1+Assumptions!D$14)),-2)</f>
        <v>7700</v>
      </c>
      <c r="H1549" s="288">
        <f>ROUND(IF($A1549="E",G1549*(1+Assumptions!E$15),G1549*(1+Assumptions!E$14)),-2)</f>
        <v>7900</v>
      </c>
      <c r="I1549" s="288">
        <f>ROUND(IF($A1549="E",H1549*(1+Assumptions!F$15),H1549*(1+Assumptions!F$14)),-2)</f>
        <v>8100</v>
      </c>
      <c r="J1549" s="288">
        <f>ROUND(IF($A1549="E",I1549*(1+Assumptions!G$15),I1549*(1+Assumptions!G$14)),-2)</f>
        <v>8300</v>
      </c>
      <c r="K1549" s="288">
        <f>ROUND(IF($A1549="E",J1549*(1+Assumptions!H$15),J1549*(1+Assumptions!H$14)),-2)</f>
        <v>8500</v>
      </c>
      <c r="L1549" s="288">
        <f>ROUND(IF($A1549="E",K1549*(1+Assumptions!I$15),K1549*(1+Assumptions!I$14)),-2)</f>
        <v>8700</v>
      </c>
      <c r="M1549" s="288">
        <f>ROUND(IF($A1549="E",L1549*(1+Assumptions!J$15),L1549*(1+Assumptions!J$14)),-2)</f>
        <v>8900</v>
      </c>
      <c r="N1549" s="288">
        <f>ROUND(IF($A1549="E",M1549*(1+Assumptions!K$15),M1549*(1+Assumptions!K$14)),-2)</f>
        <v>9100</v>
      </c>
    </row>
    <row r="1550" spans="1:14" ht="12.75" customHeight="1" x14ac:dyDescent="0.25">
      <c r="A1550" s="16" t="s">
        <v>4591</v>
      </c>
      <c r="B1550" s="397" t="s">
        <v>3231</v>
      </c>
      <c r="C1550" s="43" t="s">
        <v>3274</v>
      </c>
      <c r="D1550" s="16" t="s">
        <v>3275</v>
      </c>
      <c r="E1550" s="288">
        <v>86000</v>
      </c>
      <c r="F1550" s="288">
        <f>ROUND(IF($A1550="E",E1550*(1+Assumptions!C$15),E1550*(1+Assumptions!C$17)),-2)</f>
        <v>86900</v>
      </c>
      <c r="G1550" s="288">
        <f>ROUND(IF($A1550="E",F1550*(1+Assumptions!D$15),F1550*(1+Assumptions!D$17)),-2)</f>
        <v>87800</v>
      </c>
      <c r="H1550" s="288">
        <f>ROUND(IF($A1550="E",G1550*(1+Assumptions!E$15),G1550*(1+Assumptions!E$17)),-2)</f>
        <v>88700</v>
      </c>
      <c r="I1550" s="288">
        <f>ROUND(IF($A1550="E",H1550*(1+Assumptions!F$15),H1550*(1+Assumptions!F$17)),-2)</f>
        <v>89600</v>
      </c>
      <c r="J1550" s="288">
        <f>ROUND(IF($A1550="E",I1550*(1+Assumptions!G$15),I1550*(1+Assumptions!G$17)),-2)</f>
        <v>90500</v>
      </c>
      <c r="K1550" s="288">
        <f>ROUND(IF($A1550="E",J1550*(1+Assumptions!H$15),J1550*(1+Assumptions!H$17)),-2)</f>
        <v>91400</v>
      </c>
      <c r="L1550" s="288">
        <f>ROUND(IF($A1550="E",K1550*(1+Assumptions!I$15),K1550*(1+Assumptions!I$17)),-2)</f>
        <v>92300</v>
      </c>
      <c r="M1550" s="288">
        <f>ROUND(IF($A1550="E",L1550*(1+Assumptions!J$15),L1550*(1+Assumptions!J$17)),-2)</f>
        <v>93200</v>
      </c>
      <c r="N1550" s="288">
        <f>ROUND(IF($A1550="E",M1550*(1+Assumptions!K$15),M1550*(1+Assumptions!K$17)),-2)</f>
        <v>94100</v>
      </c>
    </row>
    <row r="1551" spans="1:14" ht="12.75" customHeight="1" x14ac:dyDescent="0.25">
      <c r="E1551" s="288"/>
      <c r="F1551" s="288"/>
      <c r="G1551" s="288"/>
      <c r="H1551" s="288"/>
      <c r="I1551" s="288"/>
      <c r="J1551" s="288"/>
      <c r="K1551" s="288"/>
      <c r="L1551" s="288"/>
      <c r="M1551" s="288"/>
      <c r="N1551" s="288"/>
    </row>
    <row r="1552" spans="1:14" ht="12.75" customHeight="1" x14ac:dyDescent="0.25">
      <c r="D1552" s="19" t="s">
        <v>3234</v>
      </c>
      <c r="E1552" s="291">
        <f>SUM(E1526:E1550)</f>
        <v>2483000</v>
      </c>
      <c r="F1552" s="291">
        <f t="shared" ref="F1552:N1552" si="45">SUM(F1526:F1550)</f>
        <v>2520000</v>
      </c>
      <c r="G1552" s="291">
        <f t="shared" si="45"/>
        <v>2569600</v>
      </c>
      <c r="H1552" s="291">
        <f t="shared" si="45"/>
        <v>2620200</v>
      </c>
      <c r="I1552" s="291">
        <f t="shared" si="45"/>
        <v>2671800</v>
      </c>
      <c r="J1552" s="291">
        <f t="shared" si="45"/>
        <v>2724500</v>
      </c>
      <c r="K1552" s="291">
        <f t="shared" si="45"/>
        <v>2778100</v>
      </c>
      <c r="L1552" s="291">
        <f t="shared" si="45"/>
        <v>2846200</v>
      </c>
      <c r="M1552" s="291">
        <f t="shared" si="45"/>
        <v>2915800</v>
      </c>
      <c r="N1552" s="291">
        <f t="shared" si="45"/>
        <v>2987300</v>
      </c>
    </row>
    <row r="1553" spans="2:14" x14ac:dyDescent="0.25">
      <c r="C1553" s="16" t="s">
        <v>315</v>
      </c>
      <c r="E1553" s="288"/>
      <c r="F1553" s="288"/>
      <c r="G1553" s="288"/>
      <c r="H1553" s="288"/>
      <c r="I1553" s="288"/>
      <c r="J1553" s="288"/>
      <c r="K1553" s="288"/>
      <c r="L1553" s="288"/>
      <c r="M1553" s="288"/>
      <c r="N1553" s="288"/>
    </row>
    <row r="1554" spans="2:14" x14ac:dyDescent="0.25">
      <c r="B1554" s="16" t="s">
        <v>3228</v>
      </c>
      <c r="C1554" s="16" t="s">
        <v>2492</v>
      </c>
      <c r="D1554" s="16" t="s">
        <v>2493</v>
      </c>
      <c r="E1554" s="289"/>
      <c r="F1554" s="289"/>
      <c r="G1554" s="289"/>
      <c r="H1554" s="289"/>
      <c r="I1554" s="289"/>
      <c r="J1554" s="289"/>
      <c r="K1554" s="289"/>
      <c r="L1554" s="289"/>
      <c r="M1554" s="289"/>
      <c r="N1554" s="289"/>
    </row>
    <row r="1555" spans="2:14" x14ac:dyDescent="0.25">
      <c r="B1555" s="16" t="s">
        <v>3228</v>
      </c>
      <c r="C1555" s="16" t="s">
        <v>2494</v>
      </c>
      <c r="D1555" s="16" t="s">
        <v>2495</v>
      </c>
      <c r="E1555" s="288">
        <v>-1108800</v>
      </c>
      <c r="F1555" s="288">
        <f>ROUND(E1555+(E1555*Assumptions!C$13),-2)</f>
        <v>-1131000</v>
      </c>
      <c r="G1555" s="288">
        <f>ROUND(F1555+(F1555*Assumptions!D$13),-2)</f>
        <v>-1159300</v>
      </c>
      <c r="H1555" s="288">
        <f>ROUND(G1555+(G1555*Assumptions!E$13),-2)</f>
        <v>-1188300</v>
      </c>
      <c r="I1555" s="288">
        <f>ROUND(H1555+(H1555*Assumptions!F$13),-2)</f>
        <v>-1218000</v>
      </c>
      <c r="J1555" s="288">
        <f>ROUND(I1555+(I1555*Assumptions!G$13),-2)</f>
        <v>-1248500</v>
      </c>
      <c r="K1555" s="288">
        <f>ROUND(J1555+(J1555*Assumptions!H$13),-2)</f>
        <v>-1279700</v>
      </c>
      <c r="L1555" s="288">
        <f>ROUND(K1555+(K1555*Assumptions!I$13),-2)</f>
        <v>-1311700</v>
      </c>
      <c r="M1555" s="288">
        <f>ROUND(L1555+(L1555*Assumptions!J$13),-2)</f>
        <v>-1344500</v>
      </c>
      <c r="N1555" s="288">
        <f>ROUND(M1555+(M1555*Assumptions!K$13),-2)</f>
        <v>-1378100</v>
      </c>
    </row>
    <row r="1556" spans="2:14" x14ac:dyDescent="0.25">
      <c r="B1556" s="16" t="s">
        <v>3228</v>
      </c>
      <c r="C1556" s="16" t="s">
        <v>2496</v>
      </c>
      <c r="D1556" s="16" t="s">
        <v>2497</v>
      </c>
      <c r="E1556" s="288">
        <v>-1310400</v>
      </c>
      <c r="F1556" s="288">
        <f>ROUND(E1556+(E1556*Assumptions!C$13),-2)</f>
        <v>-1336600</v>
      </c>
      <c r="G1556" s="288">
        <f>ROUND(F1556+(F1556*Assumptions!D$13),-2)</f>
        <v>-1370000</v>
      </c>
      <c r="H1556" s="288">
        <f>ROUND(G1556+(G1556*Assumptions!E$13),-2)</f>
        <v>-1404300</v>
      </c>
      <c r="I1556" s="288">
        <f>ROUND(H1556+(H1556*Assumptions!F$13),-2)</f>
        <v>-1439400</v>
      </c>
      <c r="J1556" s="288">
        <f>ROUND(I1556+(I1556*Assumptions!G$13),-2)</f>
        <v>-1475400</v>
      </c>
      <c r="K1556" s="288">
        <f>ROUND(J1556+(J1556*Assumptions!H$13),-2)</f>
        <v>-1512300</v>
      </c>
      <c r="L1556" s="288">
        <f>ROUND(K1556+(K1556*Assumptions!I$13),-2)</f>
        <v>-1550100</v>
      </c>
      <c r="M1556" s="288">
        <f>ROUND(L1556+(L1556*Assumptions!J$13),-2)</f>
        <v>-1588900</v>
      </c>
      <c r="N1556" s="288">
        <f>ROUND(M1556+(M1556*Assumptions!K$13),-2)</f>
        <v>-1628600</v>
      </c>
    </row>
    <row r="1557" spans="2:14" x14ac:dyDescent="0.25">
      <c r="B1557" s="16" t="s">
        <v>3228</v>
      </c>
      <c r="C1557" s="16" t="s">
        <v>2498</v>
      </c>
      <c r="D1557" s="16" t="s">
        <v>2499</v>
      </c>
      <c r="E1557" s="288">
        <v>-403200</v>
      </c>
      <c r="F1557" s="288">
        <f>ROUND(E1557+(E1557*Assumptions!C$13),-2)</f>
        <v>-411300</v>
      </c>
      <c r="G1557" s="288">
        <f>ROUND(F1557+(F1557*Assumptions!D$13),-2)</f>
        <v>-421600</v>
      </c>
      <c r="H1557" s="288">
        <f>ROUND(G1557+(G1557*Assumptions!E$13),-2)</f>
        <v>-432100</v>
      </c>
      <c r="I1557" s="288">
        <f>ROUND(H1557+(H1557*Assumptions!F$13),-2)</f>
        <v>-442900</v>
      </c>
      <c r="J1557" s="288">
        <f>ROUND(I1557+(I1557*Assumptions!G$13),-2)</f>
        <v>-454000</v>
      </c>
      <c r="K1557" s="288">
        <f>ROUND(J1557+(J1557*Assumptions!H$13),-2)</f>
        <v>-465400</v>
      </c>
      <c r="L1557" s="288">
        <f>ROUND(K1557+(K1557*Assumptions!I$13),-2)</f>
        <v>-477000</v>
      </c>
      <c r="M1557" s="288">
        <f>ROUND(L1557+(L1557*Assumptions!J$13),-2)</f>
        <v>-488900</v>
      </c>
      <c r="N1557" s="288">
        <f>ROUND(M1557+(M1557*Assumptions!K$13),-2)</f>
        <v>-501100</v>
      </c>
    </row>
    <row r="1558" spans="2:14" x14ac:dyDescent="0.25">
      <c r="B1558" s="16" t="s">
        <v>3228</v>
      </c>
      <c r="C1558" s="16" t="s">
        <v>2500</v>
      </c>
      <c r="D1558" s="16" t="s">
        <v>2501</v>
      </c>
      <c r="E1558" s="288">
        <v>-151200</v>
      </c>
      <c r="F1558" s="288">
        <f>ROUND(E1558+(E1558*Assumptions!C$13),-2)</f>
        <v>-154200</v>
      </c>
      <c r="G1558" s="288">
        <f>ROUND(F1558+(F1558*Assumptions!D$13),-2)</f>
        <v>-158100</v>
      </c>
      <c r="H1558" s="288">
        <f>ROUND(G1558+(G1558*Assumptions!E$13),-2)</f>
        <v>-162100</v>
      </c>
      <c r="I1558" s="288">
        <f>ROUND(H1558+(H1558*Assumptions!F$13),-2)</f>
        <v>-166200</v>
      </c>
      <c r="J1558" s="288">
        <f>ROUND(I1558+(I1558*Assumptions!G$13),-2)</f>
        <v>-170400</v>
      </c>
      <c r="K1558" s="288">
        <f>ROUND(J1558+(J1558*Assumptions!H$13),-2)</f>
        <v>-174700</v>
      </c>
      <c r="L1558" s="288">
        <f>ROUND(K1558+(K1558*Assumptions!I$13),-2)</f>
        <v>-179100</v>
      </c>
      <c r="M1558" s="288">
        <f>ROUND(L1558+(L1558*Assumptions!J$13),-2)</f>
        <v>-183600</v>
      </c>
      <c r="N1558" s="288">
        <f>ROUND(M1558+(M1558*Assumptions!K$13),-2)</f>
        <v>-188200</v>
      </c>
    </row>
    <row r="1559" spans="2:14" x14ac:dyDescent="0.25">
      <c r="B1559" s="16" t="s">
        <v>3228</v>
      </c>
      <c r="C1559" s="16" t="s">
        <v>2502</v>
      </c>
      <c r="D1559" s="16" t="s">
        <v>2503</v>
      </c>
      <c r="E1559" s="289"/>
      <c r="F1559" s="289"/>
      <c r="G1559" s="289"/>
      <c r="H1559" s="289"/>
      <c r="I1559" s="289"/>
      <c r="J1559" s="289"/>
      <c r="K1559" s="289"/>
      <c r="L1559" s="289"/>
      <c r="M1559" s="289"/>
      <c r="N1559" s="289"/>
    </row>
    <row r="1560" spans="2:14" x14ac:dyDescent="0.25">
      <c r="B1560" s="16" t="s">
        <v>3228</v>
      </c>
      <c r="C1560" s="16" t="s">
        <v>2504</v>
      </c>
      <c r="D1560" s="16" t="s">
        <v>2505</v>
      </c>
      <c r="E1560" s="288">
        <v>-20600</v>
      </c>
      <c r="F1560" s="288">
        <f>ROUND(E1560+(E1560*Assumptions!C$13),-2)</f>
        <v>-21000</v>
      </c>
      <c r="G1560" s="288">
        <f>ROUND(F1560+(F1560*Assumptions!D$13),-2)</f>
        <v>-21500</v>
      </c>
      <c r="H1560" s="288">
        <f>ROUND(G1560+(G1560*Assumptions!E$13),-2)</f>
        <v>-22000</v>
      </c>
      <c r="I1560" s="288">
        <f>ROUND(H1560+(H1560*Assumptions!F$13),-2)</f>
        <v>-22600</v>
      </c>
      <c r="J1560" s="288">
        <f>ROUND(I1560+(I1560*Assumptions!G$13),-2)</f>
        <v>-23200</v>
      </c>
      <c r="K1560" s="288">
        <f>ROUND(J1560+(J1560*Assumptions!H$13),-2)</f>
        <v>-23800</v>
      </c>
      <c r="L1560" s="288">
        <f>ROUND(K1560+(K1560*Assumptions!I$13),-2)</f>
        <v>-24400</v>
      </c>
      <c r="M1560" s="288">
        <f>ROUND(L1560+(L1560*Assumptions!J$13),-2)</f>
        <v>-25000</v>
      </c>
      <c r="N1560" s="288">
        <f>ROUND(M1560+(M1560*Assumptions!K$13),-2)</f>
        <v>-25600</v>
      </c>
    </row>
    <row r="1561" spans="2:14" x14ac:dyDescent="0.25">
      <c r="B1561" s="16" t="s">
        <v>3228</v>
      </c>
      <c r="C1561" s="16" t="s">
        <v>2506</v>
      </c>
      <c r="D1561" s="16" t="s">
        <v>2507</v>
      </c>
      <c r="E1561" s="288">
        <v>0</v>
      </c>
      <c r="F1561" s="288">
        <f>ROUND(E1561+(E1561*Assumptions!C$13),-2)</f>
        <v>0</v>
      </c>
      <c r="G1561" s="288">
        <f>ROUND(F1561+(F1561*Assumptions!D$13),-2)</f>
        <v>0</v>
      </c>
      <c r="H1561" s="288">
        <f>ROUND(G1561+(G1561*Assumptions!E$13),-2)</f>
        <v>0</v>
      </c>
      <c r="I1561" s="288">
        <f>ROUND(H1561+(H1561*Assumptions!F$13),-2)</f>
        <v>0</v>
      </c>
      <c r="J1561" s="288">
        <f>ROUND(I1561+(I1561*Assumptions!G$13),-2)</f>
        <v>0</v>
      </c>
      <c r="K1561" s="288">
        <f>ROUND(J1561+(J1561*Assumptions!H$13),-2)</f>
        <v>0</v>
      </c>
      <c r="L1561" s="288">
        <f>ROUND(K1561+(K1561*Assumptions!I$13),-2)</f>
        <v>0</v>
      </c>
      <c r="M1561" s="288">
        <f>ROUND(L1561+(L1561*Assumptions!J$13),-2)</f>
        <v>0</v>
      </c>
      <c r="N1561" s="288">
        <f>ROUND(M1561+(M1561*Assumptions!K$13),-2)</f>
        <v>0</v>
      </c>
    </row>
    <row r="1562" spans="2:14" x14ac:dyDescent="0.25">
      <c r="B1562" s="16" t="s">
        <v>3228</v>
      </c>
      <c r="C1562" s="16" t="s">
        <v>2508</v>
      </c>
      <c r="D1562" s="16" t="s">
        <v>2509</v>
      </c>
      <c r="E1562" s="288">
        <v>0</v>
      </c>
      <c r="F1562" s="288">
        <f>ROUND(E1562+(E1562*Assumptions!C$13),-2)</f>
        <v>0</v>
      </c>
      <c r="G1562" s="288">
        <f>ROUND(F1562+(F1562*Assumptions!D$13),-2)</f>
        <v>0</v>
      </c>
      <c r="H1562" s="288">
        <f>ROUND(G1562+(G1562*Assumptions!E$13),-2)</f>
        <v>0</v>
      </c>
      <c r="I1562" s="288">
        <f>ROUND(H1562+(H1562*Assumptions!F$13),-2)</f>
        <v>0</v>
      </c>
      <c r="J1562" s="288">
        <f>ROUND(I1562+(I1562*Assumptions!G$13),-2)</f>
        <v>0</v>
      </c>
      <c r="K1562" s="288">
        <f>ROUND(J1562+(J1562*Assumptions!H$13),-2)</f>
        <v>0</v>
      </c>
      <c r="L1562" s="288">
        <f>ROUND(K1562+(K1562*Assumptions!I$13),-2)</f>
        <v>0</v>
      </c>
      <c r="M1562" s="288">
        <f>ROUND(L1562+(L1562*Assumptions!J$13),-2)</f>
        <v>0</v>
      </c>
      <c r="N1562" s="288">
        <f>ROUND(M1562+(M1562*Assumptions!K$13),-2)</f>
        <v>0</v>
      </c>
    </row>
    <row r="1563" spans="2:14" ht="12.75" customHeight="1" x14ac:dyDescent="0.25">
      <c r="E1563" s="288"/>
      <c r="F1563" s="288"/>
      <c r="G1563" s="288"/>
      <c r="H1563" s="288"/>
      <c r="I1563" s="288"/>
      <c r="J1563" s="288"/>
      <c r="K1563" s="288"/>
      <c r="L1563" s="288"/>
      <c r="M1563" s="288"/>
      <c r="N1563" s="288"/>
    </row>
    <row r="1564" spans="2:14" ht="12.75" customHeight="1" x14ac:dyDescent="0.25">
      <c r="D1564" s="19" t="s">
        <v>3234</v>
      </c>
      <c r="E1564" s="291">
        <f>SUM(E1554:E1563)</f>
        <v>-2994200</v>
      </c>
      <c r="F1564" s="291">
        <f t="shared" ref="F1564:N1564" si="46">SUM(F1554:F1563)</f>
        <v>-3054100</v>
      </c>
      <c r="G1564" s="291">
        <f t="shared" si="46"/>
        <v>-3130500</v>
      </c>
      <c r="H1564" s="291">
        <f t="shared" si="46"/>
        <v>-3208800</v>
      </c>
      <c r="I1564" s="291">
        <f t="shared" si="46"/>
        <v>-3289100</v>
      </c>
      <c r="J1564" s="291">
        <f t="shared" si="46"/>
        <v>-3371500</v>
      </c>
      <c r="K1564" s="291">
        <f t="shared" si="46"/>
        <v>-3455900</v>
      </c>
      <c r="L1564" s="291">
        <f t="shared" si="46"/>
        <v>-3542300</v>
      </c>
      <c r="M1564" s="291">
        <f t="shared" si="46"/>
        <v>-3630900</v>
      </c>
      <c r="N1564" s="291">
        <f t="shared" si="46"/>
        <v>-3721600</v>
      </c>
    </row>
    <row r="1565" spans="2:14" ht="12.75" customHeight="1" x14ac:dyDescent="0.25">
      <c r="E1565" s="288"/>
      <c r="F1565" s="288"/>
      <c r="G1565" s="288"/>
      <c r="H1565" s="288"/>
      <c r="I1565" s="288"/>
      <c r="J1565" s="288"/>
      <c r="K1565" s="288"/>
      <c r="L1565" s="288"/>
      <c r="M1565" s="288"/>
      <c r="N1565" s="288"/>
    </row>
    <row r="1566" spans="2:14" x14ac:dyDescent="0.25">
      <c r="C1566" s="19" t="s">
        <v>2510</v>
      </c>
      <c r="E1566" s="288"/>
      <c r="F1566" s="288"/>
      <c r="G1566" s="288"/>
      <c r="H1566" s="288"/>
      <c r="I1566" s="288"/>
      <c r="J1566" s="288"/>
      <c r="K1566" s="288"/>
      <c r="L1566" s="288"/>
      <c r="M1566" s="288"/>
      <c r="N1566" s="288"/>
    </row>
    <row r="1567" spans="2:14" ht="12.75" customHeight="1" x14ac:dyDescent="0.25">
      <c r="E1567" s="288"/>
      <c r="F1567" s="288"/>
      <c r="G1567" s="288"/>
      <c r="H1567" s="288"/>
      <c r="I1567" s="288"/>
      <c r="J1567" s="288"/>
      <c r="K1567" s="288"/>
      <c r="L1567" s="288"/>
      <c r="M1567" s="288"/>
      <c r="N1567" s="288"/>
    </row>
    <row r="1568" spans="2:14" x14ac:dyDescent="0.25">
      <c r="C1568" s="16" t="s">
        <v>87</v>
      </c>
      <c r="E1568" s="288"/>
      <c r="F1568" s="288"/>
      <c r="G1568" s="288"/>
      <c r="H1568" s="288"/>
      <c r="I1568" s="288"/>
      <c r="J1568" s="288"/>
      <c r="K1568" s="288"/>
      <c r="L1568" s="288"/>
      <c r="M1568" s="288"/>
      <c r="N1568" s="288"/>
    </row>
    <row r="1569" spans="2:14" x14ac:dyDescent="0.25">
      <c r="B1569" s="16" t="s">
        <v>43</v>
      </c>
      <c r="C1569" s="16" t="s">
        <v>2511</v>
      </c>
      <c r="D1569" s="16" t="s">
        <v>2512</v>
      </c>
      <c r="E1569" s="289"/>
      <c r="F1569" s="289"/>
      <c r="G1569" s="289"/>
      <c r="H1569" s="289"/>
      <c r="I1569" s="289"/>
      <c r="J1569" s="289"/>
      <c r="K1569" s="289"/>
      <c r="L1569" s="289"/>
      <c r="M1569" s="289"/>
      <c r="N1569" s="289"/>
    </row>
    <row r="1570" spans="2:14" x14ac:dyDescent="0.25">
      <c r="B1570" s="16" t="s">
        <v>45</v>
      </c>
      <c r="C1570" s="16" t="s">
        <v>2513</v>
      </c>
      <c r="D1570" s="16" t="s">
        <v>230</v>
      </c>
      <c r="E1570" s="288">
        <v>18100</v>
      </c>
      <c r="F1570" s="288">
        <f>ROUND(IF($A1570="E",E1570*(1+Assumptions!C$15),E1570*(1+Assumptions!C$14)),-2)</f>
        <v>18400</v>
      </c>
      <c r="G1570" s="288">
        <f>ROUND(IF($A1570="E",F1570*(1+Assumptions!D$15),F1570*(1+Assumptions!D$14)),-2)</f>
        <v>18800</v>
      </c>
      <c r="H1570" s="288">
        <f>ROUND(IF($A1570="E",G1570*(1+Assumptions!E$15),G1570*(1+Assumptions!E$14)),-2)</f>
        <v>19200</v>
      </c>
      <c r="I1570" s="288">
        <f>ROUND(IF($A1570="E",H1570*(1+Assumptions!F$15),H1570*(1+Assumptions!F$14)),-2)</f>
        <v>19600</v>
      </c>
      <c r="J1570" s="288">
        <f>ROUND(IF($A1570="E",I1570*(1+Assumptions!G$15),I1570*(1+Assumptions!G$14)),-2)</f>
        <v>20000</v>
      </c>
      <c r="K1570" s="288">
        <f>ROUND(IF($A1570="E",J1570*(1+Assumptions!H$15),J1570*(1+Assumptions!H$14)),-2)</f>
        <v>20400</v>
      </c>
      <c r="L1570" s="288">
        <f>ROUND(IF($A1570="E",K1570*(1+Assumptions!I$15),K1570*(1+Assumptions!I$14)),-2)</f>
        <v>20900</v>
      </c>
      <c r="M1570" s="288">
        <f>ROUND(IF($A1570="E",L1570*(1+Assumptions!J$15),L1570*(1+Assumptions!J$14)),-2)</f>
        <v>21400</v>
      </c>
      <c r="N1570" s="288">
        <f>ROUND(IF($A1570="E",M1570*(1+Assumptions!K$15),M1570*(1+Assumptions!K$14)),-2)</f>
        <v>21900</v>
      </c>
    </row>
    <row r="1571" spans="2:14" x14ac:dyDescent="0.25">
      <c r="B1571" s="16" t="s">
        <v>43</v>
      </c>
      <c r="C1571" s="16" t="s">
        <v>2514</v>
      </c>
      <c r="D1571" s="16" t="s">
        <v>2456</v>
      </c>
      <c r="E1571" s="288">
        <v>397200</v>
      </c>
      <c r="F1571" s="288">
        <f>ROUND(IF($A1571="E",E1571*(1+Assumptions!C$15),E1571*(1+Assumptions!C$14)),-2)</f>
        <v>403200</v>
      </c>
      <c r="G1571" s="288">
        <f>ROUND(IF($A1571="E",F1571*(1+Assumptions!D$15),F1571*(1+Assumptions!D$14)),-2)</f>
        <v>411300</v>
      </c>
      <c r="H1571" s="288">
        <f>ROUND(IF($A1571="E",G1571*(1+Assumptions!E$15),G1571*(1+Assumptions!E$14)),-2)</f>
        <v>419500</v>
      </c>
      <c r="I1571" s="288">
        <f>ROUND(IF($A1571="E",H1571*(1+Assumptions!F$15),H1571*(1+Assumptions!F$14)),-2)</f>
        <v>427900</v>
      </c>
      <c r="J1571" s="288">
        <f>ROUND(IF($A1571="E",I1571*(1+Assumptions!G$15),I1571*(1+Assumptions!G$14)),-2)</f>
        <v>436500</v>
      </c>
      <c r="K1571" s="288">
        <f>ROUND(IF($A1571="E",J1571*(1+Assumptions!H$15),J1571*(1+Assumptions!H$14)),-2)</f>
        <v>445200</v>
      </c>
      <c r="L1571" s="288">
        <f>ROUND(IF($A1571="E",K1571*(1+Assumptions!I$15),K1571*(1+Assumptions!I$14)),-2)</f>
        <v>456300</v>
      </c>
      <c r="M1571" s="288">
        <f>ROUND(IF($A1571="E",L1571*(1+Assumptions!J$15),L1571*(1+Assumptions!J$14)),-2)</f>
        <v>467700</v>
      </c>
      <c r="N1571" s="288">
        <f>ROUND(IF($A1571="E",M1571*(1+Assumptions!K$15),M1571*(1+Assumptions!K$14)),-2)</f>
        <v>479400</v>
      </c>
    </row>
    <row r="1572" spans="2:14" x14ac:dyDescent="0.25">
      <c r="B1572" s="16" t="s">
        <v>43</v>
      </c>
      <c r="C1572" s="16" t="s">
        <v>2515</v>
      </c>
      <c r="D1572" s="16" t="s">
        <v>817</v>
      </c>
      <c r="E1572" s="288">
        <v>4600</v>
      </c>
      <c r="F1572" s="288">
        <f>ROUND(IF($A1572="E",E1572*(1+Assumptions!C$15),E1572*(1+Assumptions!C$14)),-2)</f>
        <v>4700</v>
      </c>
      <c r="G1572" s="288">
        <f>ROUND(IF($A1572="E",F1572*(1+Assumptions!D$15),F1572*(1+Assumptions!D$14)),-2)</f>
        <v>4800</v>
      </c>
      <c r="H1572" s="288">
        <f>ROUND(IF($A1572="E",G1572*(1+Assumptions!E$15),G1572*(1+Assumptions!E$14)),-2)</f>
        <v>4900</v>
      </c>
      <c r="I1572" s="288">
        <f>ROUND(IF($A1572="E",H1572*(1+Assumptions!F$15),H1572*(1+Assumptions!F$14)),-2)</f>
        <v>5000</v>
      </c>
      <c r="J1572" s="288">
        <f>ROUND(IF($A1572="E",I1572*(1+Assumptions!G$15),I1572*(1+Assumptions!G$14)),-2)</f>
        <v>5100</v>
      </c>
      <c r="K1572" s="288">
        <f>ROUND(IF($A1572="E",J1572*(1+Assumptions!H$15),J1572*(1+Assumptions!H$14)),-2)</f>
        <v>5200</v>
      </c>
      <c r="L1572" s="288">
        <f>ROUND(IF($A1572="E",K1572*(1+Assumptions!I$15),K1572*(1+Assumptions!I$14)),-2)</f>
        <v>5300</v>
      </c>
      <c r="M1572" s="288">
        <f>ROUND(IF($A1572="E",L1572*(1+Assumptions!J$15),L1572*(1+Assumptions!J$14)),-2)</f>
        <v>5400</v>
      </c>
      <c r="N1572" s="288">
        <f>ROUND(IF($A1572="E",M1572*(1+Assumptions!K$15),M1572*(1+Assumptions!K$14)),-2)</f>
        <v>5500</v>
      </c>
    </row>
    <row r="1573" spans="2:14" x14ac:dyDescent="0.25">
      <c r="B1573" s="16" t="s">
        <v>43</v>
      </c>
      <c r="C1573" s="16" t="s">
        <v>2516</v>
      </c>
      <c r="D1573" s="16" t="s">
        <v>2464</v>
      </c>
      <c r="E1573" s="288">
        <v>10400</v>
      </c>
      <c r="F1573" s="288">
        <f>ROUND(IF($A1573="E",E1573*(1+Assumptions!C$15),E1573*(1+Assumptions!C$14)),-2)</f>
        <v>10600</v>
      </c>
      <c r="G1573" s="288">
        <f>ROUND(IF($A1573="E",F1573*(1+Assumptions!D$15),F1573*(1+Assumptions!D$14)),-2)</f>
        <v>10800</v>
      </c>
      <c r="H1573" s="288">
        <f>ROUND(IF($A1573="E",G1573*(1+Assumptions!E$15),G1573*(1+Assumptions!E$14)),-2)</f>
        <v>11000</v>
      </c>
      <c r="I1573" s="288">
        <f>ROUND(IF($A1573="E",H1573*(1+Assumptions!F$15),H1573*(1+Assumptions!F$14)),-2)</f>
        <v>11200</v>
      </c>
      <c r="J1573" s="288">
        <f>ROUND(IF($A1573="E",I1573*(1+Assumptions!G$15),I1573*(1+Assumptions!G$14)),-2)</f>
        <v>11400</v>
      </c>
      <c r="K1573" s="288">
        <f>ROUND(IF($A1573="E",J1573*(1+Assumptions!H$15),J1573*(1+Assumptions!H$14)),-2)</f>
        <v>11600</v>
      </c>
      <c r="L1573" s="288">
        <f>ROUND(IF($A1573="E",K1573*(1+Assumptions!I$15),K1573*(1+Assumptions!I$14)),-2)</f>
        <v>11900</v>
      </c>
      <c r="M1573" s="288">
        <f>ROUND(IF($A1573="E",L1573*(1+Assumptions!J$15),L1573*(1+Assumptions!J$14)),-2)</f>
        <v>12200</v>
      </c>
      <c r="N1573" s="288">
        <f>ROUND(IF($A1573="E",M1573*(1+Assumptions!K$15),M1573*(1+Assumptions!K$14)),-2)</f>
        <v>12500</v>
      </c>
    </row>
    <row r="1574" spans="2:14" x14ac:dyDescent="0.25">
      <c r="B1574" s="16" t="s">
        <v>43</v>
      </c>
      <c r="C1574" s="16" t="s">
        <v>2517</v>
      </c>
      <c r="D1574" s="16" t="s">
        <v>2468</v>
      </c>
      <c r="E1574" s="288">
        <v>8100</v>
      </c>
      <c r="F1574" s="288">
        <f>ROUND(IF($A1574="E",E1574*(1+Assumptions!C$15),E1574*(1+Assumptions!C$14)),-2)</f>
        <v>8200</v>
      </c>
      <c r="G1574" s="288">
        <f>ROUND(IF($A1574="E",F1574*(1+Assumptions!D$15),F1574*(1+Assumptions!D$14)),-2)</f>
        <v>8400</v>
      </c>
      <c r="H1574" s="288">
        <f>ROUND(IF($A1574="E",G1574*(1+Assumptions!E$15),G1574*(1+Assumptions!E$14)),-2)</f>
        <v>8600</v>
      </c>
      <c r="I1574" s="288">
        <f>ROUND(IF($A1574="E",H1574*(1+Assumptions!F$15),H1574*(1+Assumptions!F$14)),-2)</f>
        <v>8800</v>
      </c>
      <c r="J1574" s="288">
        <f>ROUND(IF($A1574="E",I1574*(1+Assumptions!G$15),I1574*(1+Assumptions!G$14)),-2)</f>
        <v>9000</v>
      </c>
      <c r="K1574" s="288">
        <f>ROUND(IF($A1574="E",J1574*(1+Assumptions!H$15),J1574*(1+Assumptions!H$14)),-2)</f>
        <v>9200</v>
      </c>
      <c r="L1574" s="288">
        <f>ROUND(IF($A1574="E",K1574*(1+Assumptions!I$15),K1574*(1+Assumptions!I$14)),-2)</f>
        <v>9400</v>
      </c>
      <c r="M1574" s="288">
        <f>ROUND(IF($A1574="E",L1574*(1+Assumptions!J$15),L1574*(1+Assumptions!J$14)),-2)</f>
        <v>9600</v>
      </c>
      <c r="N1574" s="288">
        <f>ROUND(IF($A1574="E",M1574*(1+Assumptions!K$15),M1574*(1+Assumptions!K$14)),-2)</f>
        <v>9800</v>
      </c>
    </row>
    <row r="1575" spans="2:14" x14ac:dyDescent="0.25">
      <c r="B1575" s="16" t="s">
        <v>45</v>
      </c>
      <c r="C1575" s="16" t="s">
        <v>2518</v>
      </c>
      <c r="D1575" s="16" t="s">
        <v>2472</v>
      </c>
      <c r="E1575" s="288">
        <v>13100</v>
      </c>
      <c r="F1575" s="288">
        <f>ROUND(IF($A1575="E",E1575*(1+Assumptions!C$15),E1575*(1+Assumptions!C$14)),-2)</f>
        <v>13300</v>
      </c>
      <c r="G1575" s="288">
        <f>ROUND(IF($A1575="E",F1575*(1+Assumptions!D$15),F1575*(1+Assumptions!D$14)),-2)</f>
        <v>13600</v>
      </c>
      <c r="H1575" s="288">
        <f>ROUND(IF($A1575="E",G1575*(1+Assumptions!E$15),G1575*(1+Assumptions!E$14)),-2)</f>
        <v>13900</v>
      </c>
      <c r="I1575" s="288">
        <f>ROUND(IF($A1575="E",H1575*(1+Assumptions!F$15),H1575*(1+Assumptions!F$14)),-2)</f>
        <v>14200</v>
      </c>
      <c r="J1575" s="288">
        <f>ROUND(IF($A1575="E",I1575*(1+Assumptions!G$15),I1575*(1+Assumptions!G$14)),-2)</f>
        <v>14500</v>
      </c>
      <c r="K1575" s="288">
        <f>ROUND(IF($A1575="E",J1575*(1+Assumptions!H$15),J1575*(1+Assumptions!H$14)),-2)</f>
        <v>14800</v>
      </c>
      <c r="L1575" s="288">
        <f>ROUND(IF($A1575="E",K1575*(1+Assumptions!I$15),K1575*(1+Assumptions!I$14)),-2)</f>
        <v>15200</v>
      </c>
      <c r="M1575" s="288">
        <f>ROUND(IF($A1575="E",L1575*(1+Assumptions!J$15),L1575*(1+Assumptions!J$14)),-2)</f>
        <v>15600</v>
      </c>
      <c r="N1575" s="288">
        <f>ROUND(IF($A1575="E",M1575*(1+Assumptions!K$15),M1575*(1+Assumptions!K$14)),-2)</f>
        <v>16000</v>
      </c>
    </row>
    <row r="1576" spans="2:14" x14ac:dyDescent="0.25">
      <c r="B1576" s="16" t="s">
        <v>43</v>
      </c>
      <c r="C1576" s="16" t="s">
        <v>2519</v>
      </c>
      <c r="D1576" s="16" t="s">
        <v>2474</v>
      </c>
      <c r="E1576" s="288">
        <v>20800</v>
      </c>
      <c r="F1576" s="288">
        <f>ROUND(IF($A1576="E",E1576*(1+Assumptions!C$15),E1576*(1+Assumptions!C$14)),-2)</f>
        <v>21100</v>
      </c>
      <c r="G1576" s="288">
        <f>ROUND(IF($A1576="E",F1576*(1+Assumptions!D$15),F1576*(1+Assumptions!D$14)),-2)</f>
        <v>21500</v>
      </c>
      <c r="H1576" s="288">
        <f>ROUND(IF($A1576="E",G1576*(1+Assumptions!E$15),G1576*(1+Assumptions!E$14)),-2)</f>
        <v>21900</v>
      </c>
      <c r="I1576" s="288">
        <f>ROUND(IF($A1576="E",H1576*(1+Assumptions!F$15),H1576*(1+Assumptions!F$14)),-2)</f>
        <v>22300</v>
      </c>
      <c r="J1576" s="288">
        <f>ROUND(IF($A1576="E",I1576*(1+Assumptions!G$15),I1576*(1+Assumptions!G$14)),-2)</f>
        <v>22700</v>
      </c>
      <c r="K1576" s="288">
        <f>ROUND(IF($A1576="E",J1576*(1+Assumptions!H$15),J1576*(1+Assumptions!H$14)),-2)</f>
        <v>23200</v>
      </c>
      <c r="L1576" s="288">
        <f>ROUND(IF($A1576="E",K1576*(1+Assumptions!I$15),K1576*(1+Assumptions!I$14)),-2)</f>
        <v>23800</v>
      </c>
      <c r="M1576" s="288">
        <f>ROUND(IF($A1576="E",L1576*(1+Assumptions!J$15),L1576*(1+Assumptions!J$14)),-2)</f>
        <v>24400</v>
      </c>
      <c r="N1576" s="288">
        <f>ROUND(IF($A1576="E",M1576*(1+Assumptions!K$15),M1576*(1+Assumptions!K$14)),-2)</f>
        <v>25000</v>
      </c>
    </row>
    <row r="1577" spans="2:14" x14ac:dyDescent="0.25">
      <c r="B1577" s="16" t="s">
        <v>43</v>
      </c>
      <c r="C1577" s="16" t="s">
        <v>2520</v>
      </c>
      <c r="D1577" s="16" t="s">
        <v>2476</v>
      </c>
      <c r="E1577" s="288">
        <v>16500</v>
      </c>
      <c r="F1577" s="288">
        <f>ROUND(IF($A1577="E",E1577*(1+Assumptions!C$15),E1577*(1+Assumptions!C$14)),-2)</f>
        <v>16700</v>
      </c>
      <c r="G1577" s="288">
        <f>ROUND(IF($A1577="E",F1577*(1+Assumptions!D$15),F1577*(1+Assumptions!D$14)),-2)</f>
        <v>17000</v>
      </c>
      <c r="H1577" s="288">
        <f>ROUND(IF($A1577="E",G1577*(1+Assumptions!E$15),G1577*(1+Assumptions!E$14)),-2)</f>
        <v>17300</v>
      </c>
      <c r="I1577" s="288">
        <f>ROUND(IF($A1577="E",H1577*(1+Assumptions!F$15),H1577*(1+Assumptions!F$14)),-2)</f>
        <v>17600</v>
      </c>
      <c r="J1577" s="288">
        <f>ROUND(IF($A1577="E",I1577*(1+Assumptions!G$15),I1577*(1+Assumptions!G$14)),-2)</f>
        <v>18000</v>
      </c>
      <c r="K1577" s="288">
        <f>ROUND(IF($A1577="E",J1577*(1+Assumptions!H$15),J1577*(1+Assumptions!H$14)),-2)</f>
        <v>18400</v>
      </c>
      <c r="L1577" s="288">
        <f>ROUND(IF($A1577="E",K1577*(1+Assumptions!I$15),K1577*(1+Assumptions!I$14)),-2)</f>
        <v>18900</v>
      </c>
      <c r="M1577" s="288">
        <f>ROUND(IF($A1577="E",L1577*(1+Assumptions!J$15),L1577*(1+Assumptions!J$14)),-2)</f>
        <v>19400</v>
      </c>
      <c r="N1577" s="288">
        <f>ROUND(IF($A1577="E",M1577*(1+Assumptions!K$15),M1577*(1+Assumptions!K$14)),-2)</f>
        <v>19900</v>
      </c>
    </row>
    <row r="1578" spans="2:14" x14ac:dyDescent="0.25">
      <c r="B1578" s="16" t="s">
        <v>43</v>
      </c>
      <c r="C1578" s="16" t="s">
        <v>2521</v>
      </c>
      <c r="D1578" s="16" t="s">
        <v>2478</v>
      </c>
      <c r="E1578" s="288">
        <v>18000</v>
      </c>
      <c r="F1578" s="288">
        <f>ROUND(IF($A1578="E",E1578*(1+Assumptions!C$15),E1578*(1+Assumptions!C$14)),-2)</f>
        <v>18300</v>
      </c>
      <c r="G1578" s="288">
        <f>ROUND(IF($A1578="E",F1578*(1+Assumptions!D$15),F1578*(1+Assumptions!D$14)),-2)</f>
        <v>18700</v>
      </c>
      <c r="H1578" s="288">
        <f>ROUND(IF($A1578="E",G1578*(1+Assumptions!E$15),G1578*(1+Assumptions!E$14)),-2)</f>
        <v>19100</v>
      </c>
      <c r="I1578" s="288">
        <f>ROUND(IF($A1578="E",H1578*(1+Assumptions!F$15),H1578*(1+Assumptions!F$14)),-2)</f>
        <v>19500</v>
      </c>
      <c r="J1578" s="288">
        <f>ROUND(IF($A1578="E",I1578*(1+Assumptions!G$15),I1578*(1+Assumptions!G$14)),-2)</f>
        <v>19900</v>
      </c>
      <c r="K1578" s="288">
        <f>ROUND(IF($A1578="E",J1578*(1+Assumptions!H$15),J1578*(1+Assumptions!H$14)),-2)</f>
        <v>20300</v>
      </c>
      <c r="L1578" s="288">
        <f>ROUND(IF($A1578="E",K1578*(1+Assumptions!I$15),K1578*(1+Assumptions!I$14)),-2)</f>
        <v>20800</v>
      </c>
      <c r="M1578" s="288">
        <f>ROUND(IF($A1578="E",L1578*(1+Assumptions!J$15),L1578*(1+Assumptions!J$14)),-2)</f>
        <v>21300</v>
      </c>
      <c r="N1578" s="288">
        <f>ROUND(IF($A1578="E",M1578*(1+Assumptions!K$15),M1578*(1+Assumptions!K$14)),-2)</f>
        <v>21800</v>
      </c>
    </row>
    <row r="1579" spans="2:14" x14ac:dyDescent="0.25">
      <c r="B1579" s="16" t="s">
        <v>45</v>
      </c>
      <c r="C1579" s="16" t="s">
        <v>2522</v>
      </c>
      <c r="D1579" s="16" t="s">
        <v>2523</v>
      </c>
      <c r="E1579" s="288">
        <v>46800</v>
      </c>
      <c r="F1579" s="288">
        <f>ROUND(IF($A1579="E",E1579*(1+Assumptions!C$15),E1579*(1+Assumptions!C$14)),-2)</f>
        <v>47500</v>
      </c>
      <c r="G1579" s="288">
        <f>ROUND(IF($A1579="E",F1579*(1+Assumptions!D$15),F1579*(1+Assumptions!D$14)),-2)</f>
        <v>48500</v>
      </c>
      <c r="H1579" s="288">
        <f>ROUND(IF($A1579="E",G1579*(1+Assumptions!E$15),G1579*(1+Assumptions!E$14)),-2)</f>
        <v>49500</v>
      </c>
      <c r="I1579" s="288">
        <f>ROUND(IF($A1579="E",H1579*(1+Assumptions!F$15),H1579*(1+Assumptions!F$14)),-2)</f>
        <v>50500</v>
      </c>
      <c r="J1579" s="288">
        <f>ROUND(IF($A1579="E",I1579*(1+Assumptions!G$15),I1579*(1+Assumptions!G$14)),-2)</f>
        <v>51500</v>
      </c>
      <c r="K1579" s="288">
        <f>ROUND(IF($A1579="E",J1579*(1+Assumptions!H$15),J1579*(1+Assumptions!H$14)),-2)</f>
        <v>52500</v>
      </c>
      <c r="L1579" s="288">
        <f>ROUND(IF($A1579="E",K1579*(1+Assumptions!I$15),K1579*(1+Assumptions!I$14)),-2)</f>
        <v>53800</v>
      </c>
      <c r="M1579" s="288">
        <f>ROUND(IF($A1579="E",L1579*(1+Assumptions!J$15),L1579*(1+Assumptions!J$14)),-2)</f>
        <v>55100</v>
      </c>
      <c r="N1579" s="288">
        <f>ROUND(IF($A1579="E",M1579*(1+Assumptions!K$15),M1579*(1+Assumptions!K$14)),-2)</f>
        <v>56500</v>
      </c>
    </row>
    <row r="1580" spans="2:14" x14ac:dyDescent="0.25">
      <c r="B1580" s="16" t="s">
        <v>43</v>
      </c>
      <c r="C1580" s="16" t="s">
        <v>2524</v>
      </c>
      <c r="D1580" s="16" t="s">
        <v>2525</v>
      </c>
      <c r="E1580" s="288">
        <v>18100</v>
      </c>
      <c r="F1580" s="288">
        <f>ROUND(IF($A1580="E",E1580*(1+Assumptions!C$15),E1580*(1+Assumptions!C$14)),-2)</f>
        <v>18400</v>
      </c>
      <c r="G1580" s="288">
        <f>ROUND(IF($A1580="E",F1580*(1+Assumptions!D$15),F1580*(1+Assumptions!D$14)),-2)</f>
        <v>18800</v>
      </c>
      <c r="H1580" s="288">
        <f>ROUND(IF($A1580="E",G1580*(1+Assumptions!E$15),G1580*(1+Assumptions!E$14)),-2)</f>
        <v>19200</v>
      </c>
      <c r="I1580" s="288">
        <f>ROUND(IF($A1580="E",H1580*(1+Assumptions!F$15),H1580*(1+Assumptions!F$14)),-2)</f>
        <v>19600</v>
      </c>
      <c r="J1580" s="288">
        <f>ROUND(IF($A1580="E",I1580*(1+Assumptions!G$15),I1580*(1+Assumptions!G$14)),-2)</f>
        <v>20000</v>
      </c>
      <c r="K1580" s="288">
        <f>ROUND(IF($A1580="E",J1580*(1+Assumptions!H$15),J1580*(1+Assumptions!H$14)),-2)</f>
        <v>20400</v>
      </c>
      <c r="L1580" s="288">
        <f>ROUND(IF($A1580="E",K1580*(1+Assumptions!I$15),K1580*(1+Assumptions!I$14)),-2)</f>
        <v>20900</v>
      </c>
      <c r="M1580" s="288">
        <f>ROUND(IF($A1580="E",L1580*(1+Assumptions!J$15),L1580*(1+Assumptions!J$14)),-2)</f>
        <v>21400</v>
      </c>
      <c r="N1580" s="288">
        <f>ROUND(IF($A1580="E",M1580*(1+Assumptions!K$15),M1580*(1+Assumptions!K$14)),-2)</f>
        <v>21900</v>
      </c>
    </row>
    <row r="1581" spans="2:14" x14ac:dyDescent="0.25">
      <c r="B1581" s="16" t="s">
        <v>43</v>
      </c>
      <c r="C1581" s="16" t="s">
        <v>2526</v>
      </c>
      <c r="D1581" s="16" t="s">
        <v>2527</v>
      </c>
      <c r="E1581" s="288">
        <v>20800</v>
      </c>
      <c r="F1581" s="288">
        <f>ROUND(IF($A1581="E",E1581*(1+Assumptions!C$15),E1581*(1+Assumptions!C$14)),-2)</f>
        <v>21100</v>
      </c>
      <c r="G1581" s="288">
        <f>ROUND(IF($A1581="E",F1581*(1+Assumptions!D$15),F1581*(1+Assumptions!D$14)),-2)</f>
        <v>21500</v>
      </c>
      <c r="H1581" s="288">
        <f>ROUND(IF($A1581="E",G1581*(1+Assumptions!E$15),G1581*(1+Assumptions!E$14)),-2)</f>
        <v>21900</v>
      </c>
      <c r="I1581" s="288">
        <f>ROUND(IF($A1581="E",H1581*(1+Assumptions!F$15),H1581*(1+Assumptions!F$14)),-2)</f>
        <v>22300</v>
      </c>
      <c r="J1581" s="288">
        <f>ROUND(IF($A1581="E",I1581*(1+Assumptions!G$15),I1581*(1+Assumptions!G$14)),-2)</f>
        <v>22700</v>
      </c>
      <c r="K1581" s="288">
        <f>ROUND(IF($A1581="E",J1581*(1+Assumptions!H$15),J1581*(1+Assumptions!H$14)),-2)</f>
        <v>23200</v>
      </c>
      <c r="L1581" s="288">
        <f>ROUND(IF($A1581="E",K1581*(1+Assumptions!I$15),K1581*(1+Assumptions!I$14)),-2)</f>
        <v>23800</v>
      </c>
      <c r="M1581" s="288">
        <f>ROUND(IF($A1581="E",L1581*(1+Assumptions!J$15),L1581*(1+Assumptions!J$14)),-2)</f>
        <v>24400</v>
      </c>
      <c r="N1581" s="288">
        <f>ROUND(IF($A1581="E",M1581*(1+Assumptions!K$15),M1581*(1+Assumptions!K$14)),-2)</f>
        <v>25000</v>
      </c>
    </row>
    <row r="1582" spans="2:14" x14ac:dyDescent="0.25">
      <c r="B1582" s="16" t="s">
        <v>43</v>
      </c>
      <c r="C1582" s="16" t="s">
        <v>2528</v>
      </c>
      <c r="D1582" s="16" t="s">
        <v>2529</v>
      </c>
      <c r="E1582" s="288">
        <v>20800</v>
      </c>
      <c r="F1582" s="288">
        <f>ROUND(IF($A1582="E",E1582*(1+Assumptions!C$15),E1582*(1+Assumptions!C$14)),-2)</f>
        <v>21100</v>
      </c>
      <c r="G1582" s="288">
        <f>ROUND(IF($A1582="E",F1582*(1+Assumptions!D$15),F1582*(1+Assumptions!D$14)),-2)</f>
        <v>21500</v>
      </c>
      <c r="H1582" s="288">
        <f>ROUND(IF($A1582="E",G1582*(1+Assumptions!E$15),G1582*(1+Assumptions!E$14)),-2)</f>
        <v>21900</v>
      </c>
      <c r="I1582" s="288">
        <f>ROUND(IF($A1582="E",H1582*(1+Assumptions!F$15),H1582*(1+Assumptions!F$14)),-2)</f>
        <v>22300</v>
      </c>
      <c r="J1582" s="288">
        <f>ROUND(IF($A1582="E",I1582*(1+Assumptions!G$15),I1582*(1+Assumptions!G$14)),-2)</f>
        <v>22700</v>
      </c>
      <c r="K1582" s="288">
        <f>ROUND(IF($A1582="E",J1582*(1+Assumptions!H$15),J1582*(1+Assumptions!H$14)),-2)</f>
        <v>23200</v>
      </c>
      <c r="L1582" s="288">
        <f>ROUND(IF($A1582="E",K1582*(1+Assumptions!I$15),K1582*(1+Assumptions!I$14)),-2)</f>
        <v>23800</v>
      </c>
      <c r="M1582" s="288">
        <f>ROUND(IF($A1582="E",L1582*(1+Assumptions!J$15),L1582*(1+Assumptions!J$14)),-2)</f>
        <v>24400</v>
      </c>
      <c r="N1582" s="288">
        <f>ROUND(IF($A1582="E",M1582*(1+Assumptions!K$15),M1582*(1+Assumptions!K$14)),-2)</f>
        <v>25000</v>
      </c>
    </row>
    <row r="1583" spans="2:14" x14ac:dyDescent="0.25">
      <c r="B1583" s="16" t="s">
        <v>43</v>
      </c>
      <c r="C1583" s="16" t="s">
        <v>2530</v>
      </c>
      <c r="D1583" s="16" t="s">
        <v>830</v>
      </c>
      <c r="E1583" s="288">
        <v>10100</v>
      </c>
      <c r="F1583" s="288">
        <f>ROUND(IF($A1583="E",E1583*(1+Assumptions!C$15),E1583*(1+Assumptions!C$14)),-2)</f>
        <v>10300</v>
      </c>
      <c r="G1583" s="288">
        <f>ROUND(IF($A1583="E",F1583*(1+Assumptions!D$15),F1583*(1+Assumptions!D$14)),-2)</f>
        <v>10500</v>
      </c>
      <c r="H1583" s="288">
        <f>ROUND(IF($A1583="E",G1583*(1+Assumptions!E$15),G1583*(1+Assumptions!E$14)),-2)</f>
        <v>10700</v>
      </c>
      <c r="I1583" s="288">
        <f>ROUND(IF($A1583="E",H1583*(1+Assumptions!F$15),H1583*(1+Assumptions!F$14)),-2)</f>
        <v>10900</v>
      </c>
      <c r="J1583" s="288">
        <f>ROUND(IF($A1583="E",I1583*(1+Assumptions!G$15),I1583*(1+Assumptions!G$14)),-2)</f>
        <v>11100</v>
      </c>
      <c r="K1583" s="288">
        <f>ROUND(IF($A1583="E",J1583*(1+Assumptions!H$15),J1583*(1+Assumptions!H$14)),-2)</f>
        <v>11300</v>
      </c>
      <c r="L1583" s="288">
        <f>ROUND(IF($A1583="E",K1583*(1+Assumptions!I$15),K1583*(1+Assumptions!I$14)),-2)</f>
        <v>11600</v>
      </c>
      <c r="M1583" s="288">
        <f>ROUND(IF($A1583="E",L1583*(1+Assumptions!J$15),L1583*(1+Assumptions!J$14)),-2)</f>
        <v>11900</v>
      </c>
      <c r="N1583" s="288">
        <f>ROUND(IF($A1583="E",M1583*(1+Assumptions!K$15),M1583*(1+Assumptions!K$14)),-2)</f>
        <v>12200</v>
      </c>
    </row>
    <row r="1584" spans="2:14" x14ac:dyDescent="0.25">
      <c r="B1584" s="16" t="s">
        <v>43</v>
      </c>
      <c r="C1584" s="16" t="s">
        <v>2531</v>
      </c>
      <c r="D1584" s="16" t="s">
        <v>2482</v>
      </c>
      <c r="E1584" s="288">
        <v>5000</v>
      </c>
      <c r="F1584" s="288">
        <f>ROUND(IF($A1584="E",E1584*(1+Assumptions!C$15),E1584*(1+Assumptions!C$14)),-2)</f>
        <v>5100</v>
      </c>
      <c r="G1584" s="288">
        <f>ROUND(IF($A1584="E",F1584*(1+Assumptions!D$15),F1584*(1+Assumptions!D$14)),-2)</f>
        <v>5200</v>
      </c>
      <c r="H1584" s="288">
        <f>ROUND(IF($A1584="E",G1584*(1+Assumptions!E$15),G1584*(1+Assumptions!E$14)),-2)</f>
        <v>5300</v>
      </c>
      <c r="I1584" s="288">
        <f>ROUND(IF($A1584="E",H1584*(1+Assumptions!F$15),H1584*(1+Assumptions!F$14)),-2)</f>
        <v>5400</v>
      </c>
      <c r="J1584" s="288">
        <f>ROUND(IF($A1584="E",I1584*(1+Assumptions!G$15),I1584*(1+Assumptions!G$14)),-2)</f>
        <v>5500</v>
      </c>
      <c r="K1584" s="288">
        <f>ROUND(IF($A1584="E",J1584*(1+Assumptions!H$15),J1584*(1+Assumptions!H$14)),-2)</f>
        <v>5600</v>
      </c>
      <c r="L1584" s="288">
        <f>ROUND(IF($A1584="E",K1584*(1+Assumptions!I$15),K1584*(1+Assumptions!I$14)),-2)</f>
        <v>5700</v>
      </c>
      <c r="M1584" s="288">
        <f>ROUND(IF($A1584="E",L1584*(1+Assumptions!J$15),L1584*(1+Assumptions!J$14)),-2)</f>
        <v>5800</v>
      </c>
      <c r="N1584" s="288">
        <f>ROUND(IF($A1584="E",M1584*(1+Assumptions!K$15),M1584*(1+Assumptions!K$14)),-2)</f>
        <v>5900</v>
      </c>
    </row>
    <row r="1585" spans="1:14" x14ac:dyDescent="0.25">
      <c r="B1585" s="16" t="s">
        <v>43</v>
      </c>
      <c r="C1585" s="16" t="s">
        <v>2532</v>
      </c>
      <c r="D1585" s="16" t="s">
        <v>2484</v>
      </c>
      <c r="E1585" s="288">
        <v>62300</v>
      </c>
      <c r="F1585" s="288">
        <f>ROUND(IF($A1585="E",E1585*(1+Assumptions!C$15),E1585*(1+Assumptions!C$14)),-2)</f>
        <v>63200</v>
      </c>
      <c r="G1585" s="288">
        <f>ROUND(IF($A1585="E",F1585*(1+Assumptions!D$15),F1585*(1+Assumptions!D$14)),-2)</f>
        <v>64500</v>
      </c>
      <c r="H1585" s="288">
        <f>ROUND(IF($A1585="E",G1585*(1+Assumptions!E$15),G1585*(1+Assumptions!E$14)),-2)</f>
        <v>65800</v>
      </c>
      <c r="I1585" s="288">
        <f>ROUND(IF($A1585="E",H1585*(1+Assumptions!F$15),H1585*(1+Assumptions!F$14)),-2)</f>
        <v>67100</v>
      </c>
      <c r="J1585" s="288">
        <f>ROUND(IF($A1585="E",I1585*(1+Assumptions!G$15),I1585*(1+Assumptions!G$14)),-2)</f>
        <v>68400</v>
      </c>
      <c r="K1585" s="288">
        <f>ROUND(IF($A1585="E",J1585*(1+Assumptions!H$15),J1585*(1+Assumptions!H$14)),-2)</f>
        <v>69800</v>
      </c>
      <c r="L1585" s="288">
        <f>ROUND(IF($A1585="E",K1585*(1+Assumptions!I$15),K1585*(1+Assumptions!I$14)),-2)</f>
        <v>71500</v>
      </c>
      <c r="M1585" s="288">
        <f>ROUND(IF($A1585="E",L1585*(1+Assumptions!J$15),L1585*(1+Assumptions!J$14)),-2)</f>
        <v>73300</v>
      </c>
      <c r="N1585" s="288">
        <f>ROUND(IF($A1585="E",M1585*(1+Assumptions!K$15),M1585*(1+Assumptions!K$14)),-2)</f>
        <v>75100</v>
      </c>
    </row>
    <row r="1586" spans="1:14" x14ac:dyDescent="0.25">
      <c r="B1586" s="16" t="s">
        <v>43</v>
      </c>
      <c r="C1586" s="16" t="s">
        <v>2533</v>
      </c>
      <c r="D1586" s="16" t="s">
        <v>2534</v>
      </c>
      <c r="E1586" s="288">
        <v>30200</v>
      </c>
      <c r="F1586" s="288">
        <f>ROUND(IF($A1586="E",E1586*(1+Assumptions!C$15),E1586*(1+Assumptions!C$14)),-2)</f>
        <v>30700</v>
      </c>
      <c r="G1586" s="288">
        <f>ROUND(IF($A1586="E",F1586*(1+Assumptions!D$15),F1586*(1+Assumptions!D$14)),-2)</f>
        <v>31300</v>
      </c>
      <c r="H1586" s="288">
        <f>ROUND(IF($A1586="E",G1586*(1+Assumptions!E$15),G1586*(1+Assumptions!E$14)),-2)</f>
        <v>31900</v>
      </c>
      <c r="I1586" s="288">
        <f>ROUND(IF($A1586="E",H1586*(1+Assumptions!F$15),H1586*(1+Assumptions!F$14)),-2)</f>
        <v>32500</v>
      </c>
      <c r="J1586" s="288">
        <f>ROUND(IF($A1586="E",I1586*(1+Assumptions!G$15),I1586*(1+Assumptions!G$14)),-2)</f>
        <v>33200</v>
      </c>
      <c r="K1586" s="288">
        <f>ROUND(IF($A1586="E",J1586*(1+Assumptions!H$15),J1586*(1+Assumptions!H$14)),-2)</f>
        <v>33900</v>
      </c>
      <c r="L1586" s="288">
        <f>ROUND(IF($A1586="E",K1586*(1+Assumptions!I$15),K1586*(1+Assumptions!I$14)),-2)</f>
        <v>34700</v>
      </c>
      <c r="M1586" s="288">
        <f>ROUND(IF($A1586="E",L1586*(1+Assumptions!J$15),L1586*(1+Assumptions!J$14)),-2)</f>
        <v>35600</v>
      </c>
      <c r="N1586" s="288">
        <f>ROUND(IF($A1586="E",M1586*(1+Assumptions!K$15),M1586*(1+Assumptions!K$14)),-2)</f>
        <v>36500</v>
      </c>
    </row>
    <row r="1587" spans="1:14" x14ac:dyDescent="0.25">
      <c r="B1587" s="16" t="s">
        <v>43</v>
      </c>
      <c r="C1587" s="16" t="s">
        <v>2535</v>
      </c>
      <c r="D1587" s="16" t="s">
        <v>2536</v>
      </c>
      <c r="E1587" s="288">
        <v>3600</v>
      </c>
      <c r="F1587" s="288">
        <f>ROUND(IF($A1587="E",E1587*(1+Assumptions!C$15),E1587*(1+Assumptions!C$14)),-2)</f>
        <v>3700</v>
      </c>
      <c r="G1587" s="288">
        <f>ROUND(IF($A1587="E",F1587*(1+Assumptions!D$15),F1587*(1+Assumptions!D$14)),-2)</f>
        <v>3800</v>
      </c>
      <c r="H1587" s="288">
        <f>ROUND(IF($A1587="E",G1587*(1+Assumptions!E$15),G1587*(1+Assumptions!E$14)),-2)</f>
        <v>3900</v>
      </c>
      <c r="I1587" s="288">
        <f>ROUND(IF($A1587="E",H1587*(1+Assumptions!F$15),H1587*(1+Assumptions!F$14)),-2)</f>
        <v>4000</v>
      </c>
      <c r="J1587" s="288">
        <f>ROUND(IF($A1587="E",I1587*(1+Assumptions!G$15),I1587*(1+Assumptions!G$14)),-2)</f>
        <v>4100</v>
      </c>
      <c r="K1587" s="288">
        <f>ROUND(IF($A1587="E",J1587*(1+Assumptions!H$15),J1587*(1+Assumptions!H$14)),-2)</f>
        <v>4200</v>
      </c>
      <c r="L1587" s="288">
        <f>ROUND(IF($A1587="E",K1587*(1+Assumptions!I$15),K1587*(1+Assumptions!I$14)),-2)</f>
        <v>4300</v>
      </c>
      <c r="M1587" s="288">
        <f>ROUND(IF($A1587="E",L1587*(1+Assumptions!J$15),L1587*(1+Assumptions!J$14)),-2)</f>
        <v>4400</v>
      </c>
      <c r="N1587" s="288">
        <f>ROUND(IF($A1587="E",M1587*(1+Assumptions!K$15),M1587*(1+Assumptions!K$14)),-2)</f>
        <v>4500</v>
      </c>
    </row>
    <row r="1588" spans="1:14" x14ac:dyDescent="0.25">
      <c r="B1588" s="16" t="s">
        <v>43</v>
      </c>
      <c r="C1588" s="16" t="s">
        <v>2537</v>
      </c>
      <c r="D1588" s="16" t="s">
        <v>844</v>
      </c>
      <c r="E1588" s="288">
        <v>33300</v>
      </c>
      <c r="F1588" s="288">
        <f>ROUND(IF($A1588="E",E1588*(1+Assumptions!C$15),E1588*(1+Assumptions!C$14)),-2)</f>
        <v>33800</v>
      </c>
      <c r="G1588" s="288">
        <f>ROUND(IF($A1588="E",F1588*(1+Assumptions!D$15),F1588*(1+Assumptions!D$14)),-2)</f>
        <v>34500</v>
      </c>
      <c r="H1588" s="288">
        <f>ROUND(IF($A1588="E",G1588*(1+Assumptions!E$15),G1588*(1+Assumptions!E$14)),-2)</f>
        <v>35200</v>
      </c>
      <c r="I1588" s="288">
        <f>ROUND(IF($A1588="E",H1588*(1+Assumptions!F$15),H1588*(1+Assumptions!F$14)),-2)</f>
        <v>35900</v>
      </c>
      <c r="J1588" s="288">
        <f>ROUND(IF($A1588="E",I1588*(1+Assumptions!G$15),I1588*(1+Assumptions!G$14)),-2)</f>
        <v>36600</v>
      </c>
      <c r="K1588" s="288">
        <f>ROUND(IF($A1588="E",J1588*(1+Assumptions!H$15),J1588*(1+Assumptions!H$14)),-2)</f>
        <v>37300</v>
      </c>
      <c r="L1588" s="288">
        <f>ROUND(IF($A1588="E",K1588*(1+Assumptions!I$15),K1588*(1+Assumptions!I$14)),-2)</f>
        <v>38200</v>
      </c>
      <c r="M1588" s="288">
        <f>ROUND(IF($A1588="E",L1588*(1+Assumptions!J$15),L1588*(1+Assumptions!J$14)),-2)</f>
        <v>39200</v>
      </c>
      <c r="N1588" s="288">
        <f>ROUND(IF($A1588="E",M1588*(1+Assumptions!K$15),M1588*(1+Assumptions!K$14)),-2)</f>
        <v>40200</v>
      </c>
    </row>
    <row r="1589" spans="1:14" x14ac:dyDescent="0.25">
      <c r="B1589" s="16" t="s">
        <v>43</v>
      </c>
      <c r="C1589" s="16" t="s">
        <v>2538</v>
      </c>
      <c r="D1589" s="16" t="s">
        <v>2539</v>
      </c>
      <c r="E1589" s="288">
        <v>33300</v>
      </c>
      <c r="F1589" s="288">
        <f>ROUND(IF($A1589="E",E1589*(1+Assumptions!C$15),E1589*(1+Assumptions!C$14)),-2)</f>
        <v>33800</v>
      </c>
      <c r="G1589" s="288">
        <f>ROUND(IF($A1589="E",F1589*(1+Assumptions!D$15),F1589*(1+Assumptions!D$14)),-2)</f>
        <v>34500</v>
      </c>
      <c r="H1589" s="288">
        <f>ROUND(IF($A1589="E",G1589*(1+Assumptions!E$15),G1589*(1+Assumptions!E$14)),-2)</f>
        <v>35200</v>
      </c>
      <c r="I1589" s="288">
        <f>ROUND(IF($A1589="E",H1589*(1+Assumptions!F$15),H1589*(1+Assumptions!F$14)),-2)</f>
        <v>35900</v>
      </c>
      <c r="J1589" s="288">
        <f>ROUND(IF($A1589="E",I1589*(1+Assumptions!G$15),I1589*(1+Assumptions!G$14)),-2)</f>
        <v>36600</v>
      </c>
      <c r="K1589" s="288">
        <f>ROUND(IF($A1589="E",J1589*(1+Assumptions!H$15),J1589*(1+Assumptions!H$14)),-2)</f>
        <v>37300</v>
      </c>
      <c r="L1589" s="288">
        <f>ROUND(IF($A1589="E",K1589*(1+Assumptions!I$15),K1589*(1+Assumptions!I$14)),-2)</f>
        <v>38200</v>
      </c>
      <c r="M1589" s="288">
        <f>ROUND(IF($A1589="E",L1589*(1+Assumptions!J$15),L1589*(1+Assumptions!J$14)),-2)</f>
        <v>39200</v>
      </c>
      <c r="N1589" s="288">
        <f>ROUND(IF($A1589="E",M1589*(1+Assumptions!K$15),M1589*(1+Assumptions!K$14)),-2)</f>
        <v>40200</v>
      </c>
    </row>
    <row r="1590" spans="1:14" x14ac:dyDescent="0.25">
      <c r="B1590" s="16" t="s">
        <v>43</v>
      </c>
      <c r="C1590" s="16" t="s">
        <v>2540</v>
      </c>
      <c r="D1590" s="16" t="s">
        <v>187</v>
      </c>
      <c r="E1590" s="289"/>
      <c r="F1590" s="289"/>
      <c r="G1590" s="289"/>
      <c r="H1590" s="289"/>
      <c r="I1590" s="289"/>
      <c r="J1590" s="289"/>
      <c r="K1590" s="289"/>
      <c r="L1590" s="289"/>
      <c r="M1590" s="289"/>
      <c r="N1590" s="289"/>
    </row>
    <row r="1591" spans="1:14" x14ac:dyDescent="0.25">
      <c r="B1591" s="16" t="s">
        <v>43</v>
      </c>
      <c r="C1591" s="16" t="s">
        <v>2541</v>
      </c>
      <c r="D1591" s="16" t="s">
        <v>367</v>
      </c>
      <c r="E1591" s="288">
        <v>43700</v>
      </c>
      <c r="F1591" s="288">
        <f>ROUND(IF($A1591="E",E1591*(1+Assumptions!C$15),E1591*(1+Assumptions!C$14)),-2)</f>
        <v>44400</v>
      </c>
      <c r="G1591" s="288">
        <f>ROUND(IF($A1591="E",F1591*(1+Assumptions!D$15),F1591*(1+Assumptions!D$14)),-2)</f>
        <v>45300</v>
      </c>
      <c r="H1591" s="288">
        <f>ROUND(IF($A1591="E",G1591*(1+Assumptions!E$15),G1591*(1+Assumptions!E$14)),-2)</f>
        <v>46200</v>
      </c>
      <c r="I1591" s="288">
        <f>ROUND(IF($A1591="E",H1591*(1+Assumptions!F$15),H1591*(1+Assumptions!F$14)),-2)</f>
        <v>47100</v>
      </c>
      <c r="J1591" s="288">
        <f>ROUND(IF($A1591="E",I1591*(1+Assumptions!G$15),I1591*(1+Assumptions!G$14)),-2)</f>
        <v>48000</v>
      </c>
      <c r="K1591" s="288">
        <f>ROUND(IF($A1591="E",J1591*(1+Assumptions!H$15),J1591*(1+Assumptions!H$14)),-2)</f>
        <v>49000</v>
      </c>
      <c r="L1591" s="288">
        <f>ROUND(IF($A1591="E",K1591*(1+Assumptions!I$15),K1591*(1+Assumptions!I$14)),-2)</f>
        <v>50200</v>
      </c>
      <c r="M1591" s="288">
        <f>ROUND(IF($A1591="E",L1591*(1+Assumptions!J$15),L1591*(1+Assumptions!J$14)),-2)</f>
        <v>51500</v>
      </c>
      <c r="N1591" s="288">
        <f>ROUND(IF($A1591="E",M1591*(1+Assumptions!K$15),M1591*(1+Assumptions!K$14)),-2)</f>
        <v>52800</v>
      </c>
    </row>
    <row r="1592" spans="1:14" x14ac:dyDescent="0.25">
      <c r="B1592" s="16" t="s">
        <v>43</v>
      </c>
      <c r="C1592" s="16" t="s">
        <v>2542</v>
      </c>
      <c r="D1592" s="16" t="s">
        <v>193</v>
      </c>
      <c r="E1592" s="288">
        <v>80200</v>
      </c>
      <c r="F1592" s="288">
        <f>ROUND(IF($A1592="E",E1592*(1+Assumptions!C$15),E1592*(1+Assumptions!C$14)),-2)</f>
        <v>81400</v>
      </c>
      <c r="G1592" s="288">
        <f>ROUND(IF($A1592="E",F1592*(1+Assumptions!D$15),F1592*(1+Assumptions!D$14)),-2)</f>
        <v>83000</v>
      </c>
      <c r="H1592" s="288">
        <f>ROUND(IF($A1592="E",G1592*(1+Assumptions!E$15),G1592*(1+Assumptions!E$14)),-2)</f>
        <v>84700</v>
      </c>
      <c r="I1592" s="288">
        <f>ROUND(IF($A1592="E",H1592*(1+Assumptions!F$15),H1592*(1+Assumptions!F$14)),-2)</f>
        <v>86400</v>
      </c>
      <c r="J1592" s="288">
        <f>ROUND(IF($A1592="E",I1592*(1+Assumptions!G$15),I1592*(1+Assumptions!G$14)),-2)</f>
        <v>88100</v>
      </c>
      <c r="K1592" s="288">
        <f>ROUND(IF($A1592="E",J1592*(1+Assumptions!H$15),J1592*(1+Assumptions!H$14)),-2)</f>
        <v>89900</v>
      </c>
      <c r="L1592" s="288">
        <f>ROUND(IF($A1592="E",K1592*(1+Assumptions!I$15),K1592*(1+Assumptions!I$14)),-2)</f>
        <v>92100</v>
      </c>
      <c r="M1592" s="288">
        <f>ROUND(IF($A1592="E",L1592*(1+Assumptions!J$15),L1592*(1+Assumptions!J$14)),-2)</f>
        <v>94400</v>
      </c>
      <c r="N1592" s="288">
        <f>ROUND(IF($A1592="E",M1592*(1+Assumptions!K$15),M1592*(1+Assumptions!K$14)),-2)</f>
        <v>96800</v>
      </c>
    </row>
    <row r="1593" spans="1:14" ht="12.75" customHeight="1" x14ac:dyDescent="0.25">
      <c r="A1593" s="16" t="s">
        <v>4591</v>
      </c>
      <c r="B1593" s="397" t="s">
        <v>3231</v>
      </c>
      <c r="C1593" s="43" t="s">
        <v>3277</v>
      </c>
      <c r="D1593" s="16" t="s">
        <v>3276</v>
      </c>
      <c r="E1593" s="288">
        <v>32300</v>
      </c>
      <c r="F1593" s="288">
        <f>ROUND(IF($A1593="E",E1593*(1+Assumptions!C$15),E1593*(1+Assumptions!C$17)),-2)</f>
        <v>32600</v>
      </c>
      <c r="G1593" s="288">
        <f>ROUND(IF($A1593="E",F1593*(1+Assumptions!D$15),F1593*(1+Assumptions!D$17)),-2)</f>
        <v>32900</v>
      </c>
      <c r="H1593" s="288">
        <f>ROUND(IF($A1593="E",G1593*(1+Assumptions!E$15),G1593*(1+Assumptions!E$17)),-2)</f>
        <v>33200</v>
      </c>
      <c r="I1593" s="288">
        <f>ROUND(IF($A1593="E",H1593*(1+Assumptions!F$15),H1593*(1+Assumptions!F$17)),-2)</f>
        <v>33500</v>
      </c>
      <c r="J1593" s="288">
        <f>ROUND(IF($A1593="E",I1593*(1+Assumptions!G$15),I1593*(1+Assumptions!G$17)),-2)</f>
        <v>33800</v>
      </c>
      <c r="K1593" s="288">
        <f>ROUND(IF($A1593="E",J1593*(1+Assumptions!H$15),J1593*(1+Assumptions!H$17)),-2)</f>
        <v>34100</v>
      </c>
      <c r="L1593" s="288">
        <f>ROUND(IF($A1593="E",K1593*(1+Assumptions!I$15),K1593*(1+Assumptions!I$17)),-2)</f>
        <v>34400</v>
      </c>
      <c r="M1593" s="288">
        <f>ROUND(IF($A1593="E",L1593*(1+Assumptions!J$15),L1593*(1+Assumptions!J$17)),-2)</f>
        <v>34700</v>
      </c>
      <c r="N1593" s="288">
        <f>ROUND(IF($A1593="E",M1593*(1+Assumptions!K$15),M1593*(1+Assumptions!K$17)),-2)</f>
        <v>35000</v>
      </c>
    </row>
    <row r="1594" spans="1:14" ht="12.75" customHeight="1" x14ac:dyDescent="0.25">
      <c r="E1594" s="288"/>
      <c r="F1594" s="288"/>
      <c r="G1594" s="288"/>
      <c r="H1594" s="288"/>
      <c r="I1594" s="288"/>
      <c r="J1594" s="288"/>
      <c r="K1594" s="288"/>
      <c r="L1594" s="288"/>
      <c r="M1594" s="288"/>
      <c r="N1594" s="288"/>
    </row>
    <row r="1595" spans="1:14" ht="12.75" customHeight="1" x14ac:dyDescent="0.25">
      <c r="D1595" s="19" t="s">
        <v>3234</v>
      </c>
      <c r="E1595" s="291">
        <f>SUM(E1568:E1594)</f>
        <v>947300</v>
      </c>
      <c r="F1595" s="291">
        <f t="shared" ref="F1595:N1595" si="47">SUM(F1568:F1594)</f>
        <v>961600</v>
      </c>
      <c r="G1595" s="291">
        <f t="shared" si="47"/>
        <v>980700</v>
      </c>
      <c r="H1595" s="291">
        <f t="shared" si="47"/>
        <v>1000000</v>
      </c>
      <c r="I1595" s="291">
        <f t="shared" si="47"/>
        <v>1019500</v>
      </c>
      <c r="J1595" s="291">
        <f t="shared" si="47"/>
        <v>1039400</v>
      </c>
      <c r="K1595" s="291">
        <f t="shared" si="47"/>
        <v>1060000</v>
      </c>
      <c r="L1595" s="291">
        <f t="shared" si="47"/>
        <v>1085700</v>
      </c>
      <c r="M1595" s="291">
        <f t="shared" si="47"/>
        <v>1112300</v>
      </c>
      <c r="N1595" s="291">
        <f t="shared" si="47"/>
        <v>1139400</v>
      </c>
    </row>
    <row r="1596" spans="1:14" ht="12.75" customHeight="1" x14ac:dyDescent="0.25">
      <c r="D1596" s="19"/>
      <c r="E1596" s="288"/>
      <c r="F1596" s="288"/>
      <c r="G1596" s="288"/>
      <c r="H1596" s="288"/>
      <c r="I1596" s="288"/>
      <c r="J1596" s="288"/>
      <c r="K1596" s="288"/>
      <c r="L1596" s="288"/>
      <c r="M1596" s="288"/>
      <c r="N1596" s="288"/>
    </row>
    <row r="1597" spans="1:14" x14ac:dyDescent="0.25">
      <c r="C1597" s="16" t="s">
        <v>315</v>
      </c>
      <c r="E1597" s="288"/>
      <c r="F1597" s="288"/>
      <c r="G1597" s="288"/>
      <c r="H1597" s="288"/>
      <c r="I1597" s="288"/>
      <c r="J1597" s="288"/>
      <c r="K1597" s="288"/>
      <c r="L1597" s="288"/>
      <c r="M1597" s="288"/>
      <c r="N1597" s="288"/>
    </row>
    <row r="1598" spans="1:14" x14ac:dyDescent="0.25">
      <c r="B1598" s="16" t="s">
        <v>3228</v>
      </c>
      <c r="C1598" s="16" t="s">
        <v>2543</v>
      </c>
      <c r="D1598" s="16" t="s">
        <v>2544</v>
      </c>
      <c r="E1598" s="289"/>
      <c r="F1598" s="289"/>
      <c r="G1598" s="289"/>
      <c r="H1598" s="289"/>
      <c r="I1598" s="289"/>
      <c r="J1598" s="289"/>
      <c r="K1598" s="289"/>
      <c r="L1598" s="289"/>
      <c r="M1598" s="289"/>
      <c r="N1598" s="289"/>
    </row>
    <row r="1599" spans="1:14" x14ac:dyDescent="0.25">
      <c r="B1599" s="16" t="s">
        <v>3228</v>
      </c>
      <c r="C1599" s="16" t="s">
        <v>2545</v>
      </c>
      <c r="D1599" s="16" t="s">
        <v>2495</v>
      </c>
      <c r="E1599" s="288">
        <v>-171400</v>
      </c>
      <c r="F1599" s="288">
        <f>ROUND(E1599+(E1599*Assumptions!C$13),-2)</f>
        <v>-174800</v>
      </c>
      <c r="G1599" s="288">
        <f>ROUND(F1599+(F1599*Assumptions!D$13),-2)</f>
        <v>-179200</v>
      </c>
      <c r="H1599" s="288">
        <f>ROUND(G1599+(G1599*Assumptions!E$13),-2)</f>
        <v>-183700</v>
      </c>
      <c r="I1599" s="288">
        <f>ROUND(H1599+(H1599*Assumptions!F$13),-2)</f>
        <v>-188300</v>
      </c>
      <c r="J1599" s="288">
        <f>ROUND(I1599+(I1599*Assumptions!G$13),-2)</f>
        <v>-193000</v>
      </c>
      <c r="K1599" s="288">
        <f>ROUND(J1599+(J1599*Assumptions!H$13),-2)</f>
        <v>-197800</v>
      </c>
      <c r="L1599" s="288">
        <f>ROUND(K1599+(K1599*Assumptions!I$13),-2)</f>
        <v>-202700</v>
      </c>
      <c r="M1599" s="288">
        <f>ROUND(L1599+(L1599*Assumptions!J$13),-2)</f>
        <v>-207800</v>
      </c>
      <c r="N1599" s="288">
        <f>ROUND(M1599+(M1599*Assumptions!K$13),-2)</f>
        <v>-213000</v>
      </c>
    </row>
    <row r="1600" spans="1:14" x14ac:dyDescent="0.25">
      <c r="B1600" s="16" t="s">
        <v>3228</v>
      </c>
      <c r="C1600" s="16" t="s">
        <v>2546</v>
      </c>
      <c r="D1600" s="16" t="s">
        <v>2547</v>
      </c>
      <c r="E1600" s="288">
        <v>-100800</v>
      </c>
      <c r="F1600" s="288">
        <f>ROUND(E1600+(E1600*Assumptions!C$13),-2)</f>
        <v>-102800</v>
      </c>
      <c r="G1600" s="288">
        <f>ROUND(F1600+(F1600*Assumptions!D$13),-2)</f>
        <v>-105400</v>
      </c>
      <c r="H1600" s="288">
        <f>ROUND(G1600+(G1600*Assumptions!E$13),-2)</f>
        <v>-108000</v>
      </c>
      <c r="I1600" s="288">
        <f>ROUND(H1600+(H1600*Assumptions!F$13),-2)</f>
        <v>-110700</v>
      </c>
      <c r="J1600" s="288">
        <f>ROUND(I1600+(I1600*Assumptions!G$13),-2)</f>
        <v>-113500</v>
      </c>
      <c r="K1600" s="288">
        <f>ROUND(J1600+(J1600*Assumptions!H$13),-2)</f>
        <v>-116300</v>
      </c>
      <c r="L1600" s="288">
        <f>ROUND(K1600+(K1600*Assumptions!I$13),-2)</f>
        <v>-119200</v>
      </c>
      <c r="M1600" s="288">
        <f>ROUND(L1600+(L1600*Assumptions!J$13),-2)</f>
        <v>-122200</v>
      </c>
      <c r="N1600" s="288">
        <f>ROUND(M1600+(M1600*Assumptions!K$13),-2)</f>
        <v>-125300</v>
      </c>
    </row>
    <row r="1601" spans="2:14" x14ac:dyDescent="0.25">
      <c r="B1601" s="16" t="s">
        <v>3228</v>
      </c>
      <c r="C1601" s="16" t="s">
        <v>2548</v>
      </c>
      <c r="D1601" s="16" t="s">
        <v>2497</v>
      </c>
      <c r="E1601" s="288">
        <v>-438500</v>
      </c>
      <c r="F1601" s="288">
        <f>ROUND(E1601+(E1601*Assumptions!C$13),-2)</f>
        <v>-447300</v>
      </c>
      <c r="G1601" s="288">
        <f>ROUND(F1601+(F1601*Assumptions!D$13),-2)</f>
        <v>-458500</v>
      </c>
      <c r="H1601" s="288">
        <f>ROUND(G1601+(G1601*Assumptions!E$13),-2)</f>
        <v>-470000</v>
      </c>
      <c r="I1601" s="288">
        <f>ROUND(H1601+(H1601*Assumptions!F$13),-2)</f>
        <v>-481800</v>
      </c>
      <c r="J1601" s="288">
        <f>ROUND(I1601+(I1601*Assumptions!G$13),-2)</f>
        <v>-493800</v>
      </c>
      <c r="K1601" s="288">
        <f>ROUND(J1601+(J1601*Assumptions!H$13),-2)</f>
        <v>-506100</v>
      </c>
      <c r="L1601" s="288">
        <f>ROUND(K1601+(K1601*Assumptions!I$13),-2)</f>
        <v>-518800</v>
      </c>
      <c r="M1601" s="288">
        <f>ROUND(L1601+(L1601*Assumptions!J$13),-2)</f>
        <v>-531800</v>
      </c>
      <c r="N1601" s="288">
        <f>ROUND(M1601+(M1601*Assumptions!K$13),-2)</f>
        <v>-545100</v>
      </c>
    </row>
    <row r="1602" spans="2:14" x14ac:dyDescent="0.25">
      <c r="B1602" s="16" t="s">
        <v>3228</v>
      </c>
      <c r="C1602" s="16" t="s">
        <v>2549</v>
      </c>
      <c r="D1602" s="16" t="s">
        <v>2550</v>
      </c>
      <c r="E1602" s="288">
        <v>-25200</v>
      </c>
      <c r="F1602" s="288">
        <f>ROUND(E1602+(E1602*Assumptions!C$13),-2)</f>
        <v>-25700</v>
      </c>
      <c r="G1602" s="288">
        <f>ROUND(F1602+(F1602*Assumptions!D$13),-2)</f>
        <v>-26300</v>
      </c>
      <c r="H1602" s="288">
        <f>ROUND(G1602+(G1602*Assumptions!E$13),-2)</f>
        <v>-27000</v>
      </c>
      <c r="I1602" s="288">
        <f>ROUND(H1602+(H1602*Assumptions!F$13),-2)</f>
        <v>-27700</v>
      </c>
      <c r="J1602" s="288">
        <f>ROUND(I1602+(I1602*Assumptions!G$13),-2)</f>
        <v>-28400</v>
      </c>
      <c r="K1602" s="288">
        <f>ROUND(J1602+(J1602*Assumptions!H$13),-2)</f>
        <v>-29100</v>
      </c>
      <c r="L1602" s="288">
        <f>ROUND(K1602+(K1602*Assumptions!I$13),-2)</f>
        <v>-29800</v>
      </c>
      <c r="M1602" s="288">
        <f>ROUND(L1602+(L1602*Assumptions!J$13),-2)</f>
        <v>-30500</v>
      </c>
      <c r="N1602" s="288">
        <f>ROUND(M1602+(M1602*Assumptions!K$13),-2)</f>
        <v>-31300</v>
      </c>
    </row>
    <row r="1603" spans="2:14" x14ac:dyDescent="0.25">
      <c r="B1603" s="16" t="s">
        <v>3228</v>
      </c>
      <c r="C1603" s="16" t="s">
        <v>2551</v>
      </c>
      <c r="D1603" s="16" t="s">
        <v>2552</v>
      </c>
      <c r="E1603" s="288">
        <v>-161300</v>
      </c>
      <c r="F1603" s="288">
        <f>ROUND(E1603+(E1603*Assumptions!C$13),-2)</f>
        <v>-164500</v>
      </c>
      <c r="G1603" s="288">
        <f>ROUND(F1603+(F1603*Assumptions!D$13),-2)</f>
        <v>-168600</v>
      </c>
      <c r="H1603" s="288">
        <f>ROUND(G1603+(G1603*Assumptions!E$13),-2)</f>
        <v>-172800</v>
      </c>
      <c r="I1603" s="288">
        <f>ROUND(H1603+(H1603*Assumptions!F$13),-2)</f>
        <v>-177100</v>
      </c>
      <c r="J1603" s="288">
        <f>ROUND(I1603+(I1603*Assumptions!G$13),-2)</f>
        <v>-181500</v>
      </c>
      <c r="K1603" s="288">
        <f>ROUND(J1603+(J1603*Assumptions!H$13),-2)</f>
        <v>-186000</v>
      </c>
      <c r="L1603" s="288">
        <f>ROUND(K1603+(K1603*Assumptions!I$13),-2)</f>
        <v>-190700</v>
      </c>
      <c r="M1603" s="288">
        <f>ROUND(L1603+(L1603*Assumptions!J$13),-2)</f>
        <v>-195500</v>
      </c>
      <c r="N1603" s="288">
        <f>ROUND(M1603+(M1603*Assumptions!K$13),-2)</f>
        <v>-200400</v>
      </c>
    </row>
    <row r="1604" spans="2:14" x14ac:dyDescent="0.25">
      <c r="B1604" s="16" t="s">
        <v>3228</v>
      </c>
      <c r="C1604" s="16" t="s">
        <v>2553</v>
      </c>
      <c r="D1604" s="16" t="s">
        <v>2554</v>
      </c>
      <c r="E1604" s="289"/>
      <c r="F1604" s="289"/>
      <c r="G1604" s="289"/>
      <c r="H1604" s="289"/>
      <c r="I1604" s="289"/>
      <c r="J1604" s="289"/>
      <c r="K1604" s="289"/>
      <c r="L1604" s="289"/>
      <c r="M1604" s="289"/>
      <c r="N1604" s="289"/>
    </row>
    <row r="1605" spans="2:14" x14ac:dyDescent="0.25">
      <c r="B1605" s="16" t="s">
        <v>3228</v>
      </c>
      <c r="C1605" s="16" t="s">
        <v>2555</v>
      </c>
      <c r="D1605" s="16" t="s">
        <v>2505</v>
      </c>
      <c r="E1605" s="288">
        <v>-11300</v>
      </c>
      <c r="F1605" s="288">
        <f>ROUND(E1605+(E1605*Assumptions!C$13),-2)</f>
        <v>-11500</v>
      </c>
      <c r="G1605" s="288">
        <f>ROUND(F1605+(F1605*Assumptions!D$13),-2)</f>
        <v>-11800</v>
      </c>
      <c r="H1605" s="288">
        <f>ROUND(G1605+(G1605*Assumptions!E$13),-2)</f>
        <v>-12100</v>
      </c>
      <c r="I1605" s="288">
        <f>ROUND(H1605+(H1605*Assumptions!F$13),-2)</f>
        <v>-12400</v>
      </c>
      <c r="J1605" s="288">
        <f>ROUND(I1605+(I1605*Assumptions!G$13),-2)</f>
        <v>-12700</v>
      </c>
      <c r="K1605" s="288">
        <f>ROUND(J1605+(J1605*Assumptions!H$13),-2)</f>
        <v>-13000</v>
      </c>
      <c r="L1605" s="288">
        <f>ROUND(K1605+(K1605*Assumptions!I$13),-2)</f>
        <v>-13300</v>
      </c>
      <c r="M1605" s="288">
        <f>ROUND(L1605+(L1605*Assumptions!J$13),-2)</f>
        <v>-13600</v>
      </c>
      <c r="N1605" s="288">
        <f>ROUND(M1605+(M1605*Assumptions!K$13),-2)</f>
        <v>-13900</v>
      </c>
    </row>
    <row r="1606" spans="2:14" x14ac:dyDescent="0.25">
      <c r="B1606" s="16" t="s">
        <v>3228</v>
      </c>
      <c r="C1606" s="16" t="s">
        <v>2556</v>
      </c>
      <c r="D1606" s="16" t="s">
        <v>2507</v>
      </c>
      <c r="E1606" s="288">
        <v>-6000</v>
      </c>
      <c r="F1606" s="288">
        <f>ROUND(E1606+(E1606*Assumptions!C$13),-2)</f>
        <v>-6100</v>
      </c>
      <c r="G1606" s="288">
        <f>ROUND(F1606+(F1606*Assumptions!D$13),-2)</f>
        <v>-6300</v>
      </c>
      <c r="H1606" s="288">
        <f>ROUND(G1606+(G1606*Assumptions!E$13),-2)</f>
        <v>-6500</v>
      </c>
      <c r="I1606" s="288">
        <f>ROUND(H1606+(H1606*Assumptions!F$13),-2)</f>
        <v>-6700</v>
      </c>
      <c r="J1606" s="288">
        <f>ROUND(I1606+(I1606*Assumptions!G$13),-2)</f>
        <v>-6900</v>
      </c>
      <c r="K1606" s="288">
        <f>ROUND(J1606+(J1606*Assumptions!H$13),-2)</f>
        <v>-7100</v>
      </c>
      <c r="L1606" s="288">
        <f>ROUND(K1606+(K1606*Assumptions!I$13),-2)</f>
        <v>-7300</v>
      </c>
      <c r="M1606" s="288">
        <f>ROUND(L1606+(L1606*Assumptions!J$13),-2)</f>
        <v>-7500</v>
      </c>
      <c r="N1606" s="288">
        <f>ROUND(M1606+(M1606*Assumptions!K$13),-2)</f>
        <v>-7700</v>
      </c>
    </row>
    <row r="1607" spans="2:14" x14ac:dyDescent="0.25">
      <c r="B1607" s="16" t="s">
        <v>3228</v>
      </c>
      <c r="C1607" s="16" t="s">
        <v>2557</v>
      </c>
      <c r="D1607" s="16" t="s">
        <v>815</v>
      </c>
      <c r="E1607" s="288">
        <v>-11400</v>
      </c>
      <c r="F1607" s="288">
        <f>ROUND(E1607+(E1607*Assumptions!C$13),-2)</f>
        <v>-11600</v>
      </c>
      <c r="G1607" s="288">
        <f>ROUND(F1607+(F1607*Assumptions!D$13),-2)</f>
        <v>-11900</v>
      </c>
      <c r="H1607" s="288">
        <f>ROUND(G1607+(G1607*Assumptions!E$13),-2)</f>
        <v>-12200</v>
      </c>
      <c r="I1607" s="288">
        <f>ROUND(H1607+(H1607*Assumptions!F$13),-2)</f>
        <v>-12500</v>
      </c>
      <c r="J1607" s="288">
        <f>ROUND(I1607+(I1607*Assumptions!G$13),-2)</f>
        <v>-12800</v>
      </c>
      <c r="K1607" s="288">
        <f>ROUND(J1607+(J1607*Assumptions!H$13),-2)</f>
        <v>-13100</v>
      </c>
      <c r="L1607" s="288">
        <f>ROUND(K1607+(K1607*Assumptions!I$13),-2)</f>
        <v>-13400</v>
      </c>
      <c r="M1607" s="288">
        <f>ROUND(L1607+(L1607*Assumptions!J$13),-2)</f>
        <v>-13700</v>
      </c>
      <c r="N1607" s="288">
        <f>ROUND(M1607+(M1607*Assumptions!K$13),-2)</f>
        <v>-14000</v>
      </c>
    </row>
    <row r="1608" spans="2:14" x14ac:dyDescent="0.25">
      <c r="B1608" s="16" t="s">
        <v>3228</v>
      </c>
      <c r="C1608" s="16" t="s">
        <v>2558</v>
      </c>
      <c r="D1608" s="16" t="s">
        <v>2559</v>
      </c>
      <c r="E1608" s="288">
        <v>0</v>
      </c>
      <c r="F1608" s="288">
        <f>ROUND(E1608+(E1608*Assumptions!C$13),-2)</f>
        <v>0</v>
      </c>
      <c r="G1608" s="288">
        <f>ROUND(F1608+(F1608*Assumptions!D$13),-2)</f>
        <v>0</v>
      </c>
      <c r="H1608" s="288">
        <f>ROUND(G1608+(G1608*Assumptions!E$13),-2)</f>
        <v>0</v>
      </c>
      <c r="I1608" s="288">
        <f>ROUND(H1608+(H1608*Assumptions!F$13),-2)</f>
        <v>0</v>
      </c>
      <c r="J1608" s="288">
        <f>ROUND(I1608+(I1608*Assumptions!G$13),-2)</f>
        <v>0</v>
      </c>
      <c r="K1608" s="288">
        <f>ROUND(J1608+(J1608*Assumptions!H$13),-2)</f>
        <v>0</v>
      </c>
      <c r="L1608" s="288">
        <f>ROUND(K1608+(K1608*Assumptions!I$13),-2)</f>
        <v>0</v>
      </c>
      <c r="M1608" s="288">
        <f>ROUND(L1608+(L1608*Assumptions!J$13),-2)</f>
        <v>0</v>
      </c>
      <c r="N1608" s="288">
        <f>ROUND(M1608+(M1608*Assumptions!K$13),-2)</f>
        <v>0</v>
      </c>
    </row>
    <row r="1609" spans="2:14" x14ac:dyDescent="0.25">
      <c r="B1609" s="16" t="s">
        <v>3228</v>
      </c>
      <c r="C1609" s="16" t="s">
        <v>2560</v>
      </c>
      <c r="D1609" s="16" t="s">
        <v>2509</v>
      </c>
      <c r="E1609" s="288">
        <v>0</v>
      </c>
      <c r="F1609" s="288">
        <f>ROUND(E1609+(E1609*Assumptions!C$13),-2)</f>
        <v>0</v>
      </c>
      <c r="G1609" s="288">
        <f>ROUND(F1609+(F1609*Assumptions!D$13),-2)</f>
        <v>0</v>
      </c>
      <c r="H1609" s="288">
        <f>ROUND(G1609+(G1609*Assumptions!E$13),-2)</f>
        <v>0</v>
      </c>
      <c r="I1609" s="288">
        <f>ROUND(H1609+(H1609*Assumptions!F$13),-2)</f>
        <v>0</v>
      </c>
      <c r="J1609" s="288">
        <f>ROUND(I1609+(I1609*Assumptions!G$13),-2)</f>
        <v>0</v>
      </c>
      <c r="K1609" s="288">
        <f>ROUND(J1609+(J1609*Assumptions!H$13),-2)</f>
        <v>0</v>
      </c>
      <c r="L1609" s="288">
        <f>ROUND(K1609+(K1609*Assumptions!I$13),-2)</f>
        <v>0</v>
      </c>
      <c r="M1609" s="288">
        <f>ROUND(L1609+(L1609*Assumptions!J$13),-2)</f>
        <v>0</v>
      </c>
      <c r="N1609" s="288">
        <f>ROUND(M1609+(M1609*Assumptions!K$13),-2)</f>
        <v>0</v>
      </c>
    </row>
    <row r="1610" spans="2:14" x14ac:dyDescent="0.25">
      <c r="B1610" s="16" t="s">
        <v>3228</v>
      </c>
      <c r="C1610" s="16" t="s">
        <v>2561</v>
      </c>
      <c r="D1610" s="16" t="s">
        <v>2562</v>
      </c>
      <c r="E1610" s="288">
        <v>0</v>
      </c>
      <c r="F1610" s="288">
        <f>ROUND(E1610+(E1610*Assumptions!C$13),-2)</f>
        <v>0</v>
      </c>
      <c r="G1610" s="288">
        <f>ROUND(F1610+(F1610*Assumptions!D$13),-2)</f>
        <v>0</v>
      </c>
      <c r="H1610" s="288">
        <f>ROUND(G1610+(G1610*Assumptions!E$13),-2)</f>
        <v>0</v>
      </c>
      <c r="I1610" s="288">
        <f>ROUND(H1610+(H1610*Assumptions!F$13),-2)</f>
        <v>0</v>
      </c>
      <c r="J1610" s="288">
        <f>ROUND(I1610+(I1610*Assumptions!G$13),-2)</f>
        <v>0</v>
      </c>
      <c r="K1610" s="288">
        <f>ROUND(J1610+(J1610*Assumptions!H$13),-2)</f>
        <v>0</v>
      </c>
      <c r="L1610" s="288">
        <f>ROUND(K1610+(K1610*Assumptions!I$13),-2)</f>
        <v>0</v>
      </c>
      <c r="M1610" s="288">
        <f>ROUND(L1610+(L1610*Assumptions!J$13),-2)</f>
        <v>0</v>
      </c>
      <c r="N1610" s="288">
        <f>ROUND(M1610+(M1610*Assumptions!K$13),-2)</f>
        <v>0</v>
      </c>
    </row>
    <row r="1611" spans="2:14" x14ac:dyDescent="0.25">
      <c r="B1611" s="16" t="s">
        <v>3228</v>
      </c>
      <c r="C1611" s="16" t="s">
        <v>2563</v>
      </c>
      <c r="D1611" s="16" t="s">
        <v>2564</v>
      </c>
      <c r="E1611" s="288">
        <v>0</v>
      </c>
      <c r="F1611" s="288">
        <f>ROUND(E1611+(E1611*Assumptions!C$13),-2)</f>
        <v>0</v>
      </c>
      <c r="G1611" s="288">
        <f>ROUND(F1611+(F1611*Assumptions!D$13),-2)</f>
        <v>0</v>
      </c>
      <c r="H1611" s="288">
        <f>ROUND(G1611+(G1611*Assumptions!E$13),-2)</f>
        <v>0</v>
      </c>
      <c r="I1611" s="288">
        <f>ROUND(H1611+(H1611*Assumptions!F$13),-2)</f>
        <v>0</v>
      </c>
      <c r="J1611" s="288">
        <f>ROUND(I1611+(I1611*Assumptions!G$13),-2)</f>
        <v>0</v>
      </c>
      <c r="K1611" s="288">
        <f>ROUND(J1611+(J1611*Assumptions!H$13),-2)</f>
        <v>0</v>
      </c>
      <c r="L1611" s="288">
        <f>ROUND(K1611+(K1611*Assumptions!I$13),-2)</f>
        <v>0</v>
      </c>
      <c r="M1611" s="288">
        <f>ROUND(L1611+(L1611*Assumptions!J$13),-2)</f>
        <v>0</v>
      </c>
      <c r="N1611" s="288">
        <f>ROUND(M1611+(M1611*Assumptions!K$13),-2)</f>
        <v>0</v>
      </c>
    </row>
    <row r="1612" spans="2:14" ht="12.75" customHeight="1" x14ac:dyDescent="0.25">
      <c r="E1612" s="288"/>
      <c r="F1612" s="288"/>
      <c r="G1612" s="288"/>
      <c r="H1612" s="288"/>
      <c r="I1612" s="288"/>
      <c r="J1612" s="288"/>
      <c r="K1612" s="288"/>
      <c r="L1612" s="288"/>
      <c r="M1612" s="288"/>
      <c r="N1612" s="288"/>
    </row>
    <row r="1613" spans="2:14" ht="12.75" customHeight="1" x14ac:dyDescent="0.25">
      <c r="D1613" s="19" t="s">
        <v>3234</v>
      </c>
      <c r="E1613" s="291">
        <f>SUM(E1598:E1612)</f>
        <v>-925900</v>
      </c>
      <c r="F1613" s="291">
        <f t="shared" ref="F1613:N1613" si="48">SUM(F1598:F1612)</f>
        <v>-944300</v>
      </c>
      <c r="G1613" s="291">
        <f t="shared" si="48"/>
        <v>-968000</v>
      </c>
      <c r="H1613" s="291">
        <f t="shared" si="48"/>
        <v>-992300</v>
      </c>
      <c r="I1613" s="291">
        <f t="shared" si="48"/>
        <v>-1017200</v>
      </c>
      <c r="J1613" s="291">
        <f t="shared" si="48"/>
        <v>-1042600</v>
      </c>
      <c r="K1613" s="291">
        <f t="shared" si="48"/>
        <v>-1068500</v>
      </c>
      <c r="L1613" s="291">
        <f t="shared" si="48"/>
        <v>-1095200</v>
      </c>
      <c r="M1613" s="291">
        <f t="shared" si="48"/>
        <v>-1122600</v>
      </c>
      <c r="N1613" s="291">
        <f t="shared" si="48"/>
        <v>-1150700</v>
      </c>
    </row>
    <row r="1614" spans="2:14" ht="12.75" customHeight="1" x14ac:dyDescent="0.25">
      <c r="E1614" s="288"/>
      <c r="F1614" s="288"/>
      <c r="G1614" s="288"/>
      <c r="H1614" s="288"/>
      <c r="I1614" s="288"/>
      <c r="J1614" s="288"/>
      <c r="K1614" s="288"/>
      <c r="L1614" s="288"/>
      <c r="M1614" s="288"/>
      <c r="N1614" s="288"/>
    </row>
    <row r="1615" spans="2:14" x14ac:dyDescent="0.25">
      <c r="C1615" s="19" t="s">
        <v>2565</v>
      </c>
      <c r="E1615" s="288"/>
      <c r="F1615" s="288"/>
      <c r="G1615" s="288"/>
      <c r="H1615" s="288"/>
      <c r="I1615" s="288"/>
      <c r="J1615" s="288"/>
      <c r="K1615" s="288"/>
      <c r="L1615" s="288"/>
      <c r="M1615" s="288"/>
      <c r="N1615" s="288"/>
    </row>
    <row r="1616" spans="2:14" ht="12.75" customHeight="1" x14ac:dyDescent="0.25">
      <c r="E1616" s="288"/>
      <c r="F1616" s="288"/>
      <c r="G1616" s="288"/>
      <c r="H1616" s="288"/>
      <c r="I1616" s="288"/>
      <c r="J1616" s="288"/>
      <c r="K1616" s="288"/>
      <c r="L1616" s="288"/>
      <c r="M1616" s="288"/>
      <c r="N1616" s="288"/>
    </row>
    <row r="1617" spans="2:14" x14ac:dyDescent="0.25">
      <c r="C1617" s="16" t="s">
        <v>87</v>
      </c>
      <c r="E1617" s="288"/>
      <c r="F1617" s="288"/>
      <c r="G1617" s="288"/>
      <c r="H1617" s="288"/>
      <c r="I1617" s="288"/>
      <c r="J1617" s="288"/>
      <c r="K1617" s="288"/>
      <c r="L1617" s="288"/>
      <c r="M1617" s="288"/>
      <c r="N1617" s="288"/>
    </row>
    <row r="1618" spans="2:14" x14ac:dyDescent="0.25">
      <c r="C1618" s="16" t="s">
        <v>2566</v>
      </c>
      <c r="D1618" s="16" t="s">
        <v>1641</v>
      </c>
      <c r="E1618" s="289"/>
      <c r="F1618" s="289"/>
      <c r="G1618" s="289"/>
      <c r="H1618" s="289"/>
      <c r="I1618" s="289"/>
      <c r="J1618" s="289"/>
      <c r="K1618" s="289"/>
      <c r="L1618" s="289"/>
      <c r="M1618" s="289"/>
      <c r="N1618" s="289"/>
    </row>
    <row r="1619" spans="2:14" x14ac:dyDescent="0.25">
      <c r="B1619" s="16" t="s">
        <v>45</v>
      </c>
      <c r="C1619" s="16" t="s">
        <v>2567</v>
      </c>
      <c r="D1619" s="16" t="s">
        <v>230</v>
      </c>
      <c r="E1619" s="288">
        <v>0</v>
      </c>
      <c r="F1619" s="288">
        <f>ROUND(IF($A1619="E",E1619*(1+Assumptions!C$15),E1619*(1+Assumptions!C$14)),-2)</f>
        <v>0</v>
      </c>
      <c r="G1619" s="288">
        <f>ROUND(IF($A1619="E",F1619*(1+Assumptions!D$15),F1619*(1+Assumptions!D$14)),-2)</f>
        <v>0</v>
      </c>
      <c r="H1619" s="288">
        <f>ROUND(IF($A1619="E",G1619*(1+Assumptions!E$15),G1619*(1+Assumptions!E$14)),-2)</f>
        <v>0</v>
      </c>
      <c r="I1619" s="288">
        <f>ROUND(IF($A1619="E",H1619*(1+Assumptions!F$15),H1619*(1+Assumptions!F$14)),-2)</f>
        <v>0</v>
      </c>
      <c r="J1619" s="288">
        <f>ROUND(IF($A1619="E",I1619*(1+Assumptions!G$15),I1619*(1+Assumptions!G$14)),-2)</f>
        <v>0</v>
      </c>
      <c r="K1619" s="288">
        <f>ROUND(IF($A1619="E",J1619*(1+Assumptions!H$15),J1619*(1+Assumptions!H$14)),-2)</f>
        <v>0</v>
      </c>
      <c r="L1619" s="288">
        <f>ROUND(IF($A1619="E",K1619*(1+Assumptions!I$15),K1619*(1+Assumptions!I$14)),-2)</f>
        <v>0</v>
      </c>
      <c r="M1619" s="288">
        <f>ROUND(IF($A1619="E",L1619*(1+Assumptions!J$15),L1619*(1+Assumptions!J$14)),-2)</f>
        <v>0</v>
      </c>
      <c r="N1619" s="288">
        <f>ROUND(IF($A1619="E",M1619*(1+Assumptions!K$15),M1619*(1+Assumptions!K$14)),-2)</f>
        <v>0</v>
      </c>
    </row>
    <row r="1620" spans="2:14" x14ac:dyDescent="0.25">
      <c r="B1620" s="16" t="s">
        <v>43</v>
      </c>
      <c r="C1620" s="16" t="s">
        <v>2568</v>
      </c>
      <c r="D1620" s="16" t="s">
        <v>2569</v>
      </c>
      <c r="E1620" s="288">
        <v>0</v>
      </c>
      <c r="F1620" s="288">
        <f>ROUND(IF($A1620="E",E1620*(1+Assumptions!C$15),E1620*(1+Assumptions!C$14)),-2)</f>
        <v>0</v>
      </c>
      <c r="G1620" s="288">
        <f>ROUND(IF($A1620="E",F1620*(1+Assumptions!D$15),F1620*(1+Assumptions!D$14)),-2)</f>
        <v>0</v>
      </c>
      <c r="H1620" s="288">
        <f>ROUND(IF($A1620="E",G1620*(1+Assumptions!E$15),G1620*(1+Assumptions!E$14)),-2)</f>
        <v>0</v>
      </c>
      <c r="I1620" s="288">
        <f>ROUND(IF($A1620="E",H1620*(1+Assumptions!F$15),H1620*(1+Assumptions!F$14)),-2)</f>
        <v>0</v>
      </c>
      <c r="J1620" s="288">
        <f>ROUND(IF($A1620="E",I1620*(1+Assumptions!G$15),I1620*(1+Assumptions!G$14)),-2)</f>
        <v>0</v>
      </c>
      <c r="K1620" s="288">
        <f>ROUND(IF($A1620="E",J1620*(1+Assumptions!H$15),J1620*(1+Assumptions!H$14)),-2)</f>
        <v>0</v>
      </c>
      <c r="L1620" s="288">
        <f>ROUND(IF($A1620="E",K1620*(1+Assumptions!I$15),K1620*(1+Assumptions!I$14)),-2)</f>
        <v>0</v>
      </c>
      <c r="M1620" s="288">
        <f>ROUND(IF($A1620="E",L1620*(1+Assumptions!J$15),L1620*(1+Assumptions!J$14)),-2)</f>
        <v>0</v>
      </c>
      <c r="N1620" s="288">
        <f>ROUND(IF($A1620="E",M1620*(1+Assumptions!K$15),M1620*(1+Assumptions!K$14)),-2)</f>
        <v>0</v>
      </c>
    </row>
    <row r="1621" spans="2:14" x14ac:dyDescent="0.25">
      <c r="B1621" s="16" t="s">
        <v>45</v>
      </c>
      <c r="C1621" s="16" t="s">
        <v>2570</v>
      </c>
      <c r="D1621" s="16" t="s">
        <v>2571</v>
      </c>
      <c r="E1621" s="289"/>
      <c r="F1621" s="289"/>
      <c r="G1621" s="289"/>
      <c r="H1621" s="289"/>
      <c r="I1621" s="289"/>
      <c r="J1621" s="289"/>
      <c r="K1621" s="289"/>
      <c r="L1621" s="289"/>
      <c r="M1621" s="289"/>
      <c r="N1621" s="289"/>
    </row>
    <row r="1622" spans="2:14" x14ac:dyDescent="0.25">
      <c r="B1622" s="16" t="s">
        <v>41</v>
      </c>
      <c r="C1622" s="16" t="s">
        <v>2572</v>
      </c>
      <c r="D1622" s="16" t="s">
        <v>201</v>
      </c>
      <c r="E1622" s="288">
        <v>629400</v>
      </c>
      <c r="F1622" s="288">
        <f>ROUND(IF($A1622="E",E1622*(1+Assumptions!C$15),E1622*(1+Assumptions!C$14)),-2)</f>
        <v>638800</v>
      </c>
      <c r="G1622" s="288">
        <f>ROUND(IF($A1622="E",F1622*(1+Assumptions!D$15),F1622*(1+Assumptions!D$14)),-2)</f>
        <v>651600</v>
      </c>
      <c r="H1622" s="288">
        <f>ROUND(IF($A1622="E",G1622*(1+Assumptions!E$15),G1622*(1+Assumptions!E$14)),-2)</f>
        <v>664600</v>
      </c>
      <c r="I1622" s="288">
        <f>ROUND(IF($A1622="E",H1622*(1+Assumptions!F$15),H1622*(1+Assumptions!F$14)),-2)</f>
        <v>677900</v>
      </c>
      <c r="J1622" s="288">
        <f>ROUND(IF($A1622="E",I1622*(1+Assumptions!G$15),I1622*(1+Assumptions!G$14)),-2)</f>
        <v>691500</v>
      </c>
      <c r="K1622" s="288">
        <f>ROUND(IF($A1622="E",J1622*(1+Assumptions!H$15),J1622*(1+Assumptions!H$14)),-2)</f>
        <v>705300</v>
      </c>
      <c r="L1622" s="288">
        <f>ROUND(IF($A1622="E",K1622*(1+Assumptions!I$15),K1622*(1+Assumptions!I$14)),-2)</f>
        <v>722900</v>
      </c>
      <c r="M1622" s="288">
        <f>ROUND(IF($A1622="E",L1622*(1+Assumptions!J$15),L1622*(1+Assumptions!J$14)),-2)</f>
        <v>741000</v>
      </c>
      <c r="N1622" s="288">
        <f>ROUND(IF($A1622="E",M1622*(1+Assumptions!K$15),M1622*(1+Assumptions!K$14)),-2)</f>
        <v>759500</v>
      </c>
    </row>
    <row r="1623" spans="2:14" x14ac:dyDescent="0.25">
      <c r="B1623" s="16" t="s">
        <v>45</v>
      </c>
      <c r="C1623" s="16" t="s">
        <v>2573</v>
      </c>
      <c r="D1623" s="16" t="s">
        <v>208</v>
      </c>
      <c r="E1623" s="288">
        <v>5400</v>
      </c>
      <c r="F1623" s="288">
        <f>ROUND(IF($A1623="E",E1623*(1+Assumptions!C$15),E1623*(1+Assumptions!C$14)),-2)</f>
        <v>5500</v>
      </c>
      <c r="G1623" s="288">
        <f>ROUND(IF($A1623="E",F1623*(1+Assumptions!D$15),F1623*(1+Assumptions!D$14)),-2)</f>
        <v>5600</v>
      </c>
      <c r="H1623" s="288">
        <f>ROUND(IF($A1623="E",G1623*(1+Assumptions!E$15),G1623*(1+Assumptions!E$14)),-2)</f>
        <v>5700</v>
      </c>
      <c r="I1623" s="288">
        <f>ROUND(IF($A1623="E",H1623*(1+Assumptions!F$15),H1623*(1+Assumptions!F$14)),-2)</f>
        <v>5800</v>
      </c>
      <c r="J1623" s="288">
        <f>ROUND(IF($A1623="E",I1623*(1+Assumptions!G$15),I1623*(1+Assumptions!G$14)),-2)</f>
        <v>5900</v>
      </c>
      <c r="K1623" s="288">
        <f>ROUND(IF($A1623="E",J1623*(1+Assumptions!H$15),J1623*(1+Assumptions!H$14)),-2)</f>
        <v>6000</v>
      </c>
      <c r="L1623" s="288">
        <f>ROUND(IF($A1623="E",K1623*(1+Assumptions!I$15),K1623*(1+Assumptions!I$14)),-2)</f>
        <v>6200</v>
      </c>
      <c r="M1623" s="288">
        <f>ROUND(IF($A1623="E",L1623*(1+Assumptions!J$15),L1623*(1+Assumptions!J$14)),-2)</f>
        <v>6400</v>
      </c>
      <c r="N1623" s="288">
        <f>ROUND(IF($A1623="E",M1623*(1+Assumptions!K$15),M1623*(1+Assumptions!K$14)),-2)</f>
        <v>6600</v>
      </c>
    </row>
    <row r="1624" spans="2:14" x14ac:dyDescent="0.25">
      <c r="B1624" s="16" t="s">
        <v>43</v>
      </c>
      <c r="C1624" s="16" t="s">
        <v>2574</v>
      </c>
      <c r="D1624" s="16" t="s">
        <v>97</v>
      </c>
      <c r="E1624" s="288">
        <v>30000</v>
      </c>
      <c r="F1624" s="288">
        <f>ROUND(IF($A1624="E",E1624*(1+Assumptions!C$15),E1624*(1+Assumptions!C$14)),-2)</f>
        <v>30500</v>
      </c>
      <c r="G1624" s="288">
        <f>ROUND(IF($A1624="E",F1624*(1+Assumptions!D$15),F1624*(1+Assumptions!D$14)),-2)</f>
        <v>31100</v>
      </c>
      <c r="H1624" s="288">
        <f>ROUND(IF($A1624="E",G1624*(1+Assumptions!E$15),G1624*(1+Assumptions!E$14)),-2)</f>
        <v>31700</v>
      </c>
      <c r="I1624" s="288">
        <f>ROUND(IF($A1624="E",H1624*(1+Assumptions!F$15),H1624*(1+Assumptions!F$14)),-2)</f>
        <v>32300</v>
      </c>
      <c r="J1624" s="288">
        <f>ROUND(IF($A1624="E",I1624*(1+Assumptions!G$15),I1624*(1+Assumptions!G$14)),-2)</f>
        <v>32900</v>
      </c>
      <c r="K1624" s="288">
        <f>ROUND(IF($A1624="E",J1624*(1+Assumptions!H$15),J1624*(1+Assumptions!H$14)),-2)</f>
        <v>33600</v>
      </c>
      <c r="L1624" s="288">
        <f>ROUND(IF($A1624="E",K1624*(1+Assumptions!I$15),K1624*(1+Assumptions!I$14)),-2)</f>
        <v>34400</v>
      </c>
      <c r="M1624" s="288">
        <f>ROUND(IF($A1624="E",L1624*(1+Assumptions!J$15),L1624*(1+Assumptions!J$14)),-2)</f>
        <v>35300</v>
      </c>
      <c r="N1624" s="288">
        <f>ROUND(IF($A1624="E",M1624*(1+Assumptions!K$15),M1624*(1+Assumptions!K$14)),-2)</f>
        <v>36200</v>
      </c>
    </row>
    <row r="1625" spans="2:14" x14ac:dyDescent="0.25">
      <c r="B1625" s="16" t="s">
        <v>41</v>
      </c>
      <c r="C1625" s="16" t="s">
        <v>2575</v>
      </c>
      <c r="D1625" s="16" t="s">
        <v>2576</v>
      </c>
      <c r="E1625" s="289"/>
      <c r="F1625" s="289"/>
      <c r="G1625" s="289"/>
      <c r="H1625" s="289"/>
      <c r="I1625" s="289"/>
      <c r="J1625" s="289"/>
      <c r="K1625" s="289"/>
      <c r="L1625" s="289"/>
      <c r="M1625" s="289"/>
      <c r="N1625" s="289"/>
    </row>
    <row r="1626" spans="2:14" x14ac:dyDescent="0.25">
      <c r="B1626" s="16" t="s">
        <v>41</v>
      </c>
      <c r="C1626" s="16" t="s">
        <v>2577</v>
      </c>
      <c r="D1626" s="16" t="s">
        <v>201</v>
      </c>
      <c r="E1626" s="288">
        <v>732200</v>
      </c>
      <c r="F1626" s="288">
        <f>ROUND(IF($A1626="E",E1626*(1+Assumptions!C$15),E1626*(1+Assumptions!C$14)),-2)</f>
        <v>743200</v>
      </c>
      <c r="G1626" s="288">
        <f>ROUND(IF($A1626="E",F1626*(1+Assumptions!D$15),F1626*(1+Assumptions!D$14)),-2)</f>
        <v>758100</v>
      </c>
      <c r="H1626" s="288">
        <f>ROUND(IF($A1626="E",G1626*(1+Assumptions!E$15),G1626*(1+Assumptions!E$14)),-2)</f>
        <v>773300</v>
      </c>
      <c r="I1626" s="288">
        <f>ROUND(IF($A1626="E",H1626*(1+Assumptions!F$15),H1626*(1+Assumptions!F$14)),-2)</f>
        <v>788800</v>
      </c>
      <c r="J1626" s="288">
        <f>ROUND(IF($A1626="E",I1626*(1+Assumptions!G$15),I1626*(1+Assumptions!G$14)),-2)</f>
        <v>804600</v>
      </c>
      <c r="K1626" s="288">
        <f>ROUND(IF($A1626="E",J1626*(1+Assumptions!H$15),J1626*(1+Assumptions!H$14)),-2)</f>
        <v>820700</v>
      </c>
      <c r="L1626" s="288">
        <f>ROUND(IF($A1626="E",K1626*(1+Assumptions!I$15),K1626*(1+Assumptions!I$14)),-2)</f>
        <v>841200</v>
      </c>
      <c r="M1626" s="288">
        <f>ROUND(IF($A1626="E",L1626*(1+Assumptions!J$15),L1626*(1+Assumptions!J$14)),-2)</f>
        <v>862200</v>
      </c>
      <c r="N1626" s="288">
        <f>ROUND(IF($A1626="E",M1626*(1+Assumptions!K$15),M1626*(1+Assumptions!K$14)),-2)</f>
        <v>883800</v>
      </c>
    </row>
    <row r="1627" spans="2:14" x14ac:dyDescent="0.25">
      <c r="B1627" s="16" t="s">
        <v>43</v>
      </c>
      <c r="C1627" s="16" t="s">
        <v>2578</v>
      </c>
      <c r="D1627" s="16" t="s">
        <v>97</v>
      </c>
      <c r="E1627" s="288">
        <v>24000</v>
      </c>
      <c r="F1627" s="288">
        <f>ROUND(IF($A1627="E",E1627*(1+Assumptions!C$15),E1627*(1+Assumptions!C$14)),-2)</f>
        <v>24400</v>
      </c>
      <c r="G1627" s="288">
        <f>ROUND(IF($A1627="E",F1627*(1+Assumptions!D$15),F1627*(1+Assumptions!D$14)),-2)</f>
        <v>24900</v>
      </c>
      <c r="H1627" s="288">
        <f>ROUND(IF($A1627="E",G1627*(1+Assumptions!E$15),G1627*(1+Assumptions!E$14)),-2)</f>
        <v>25400</v>
      </c>
      <c r="I1627" s="288">
        <f>ROUND(IF($A1627="E",H1627*(1+Assumptions!F$15),H1627*(1+Assumptions!F$14)),-2)</f>
        <v>25900</v>
      </c>
      <c r="J1627" s="288">
        <f>ROUND(IF($A1627="E",I1627*(1+Assumptions!G$15),I1627*(1+Assumptions!G$14)),-2)</f>
        <v>26400</v>
      </c>
      <c r="K1627" s="288">
        <f>ROUND(IF($A1627="E",J1627*(1+Assumptions!H$15),J1627*(1+Assumptions!H$14)),-2)</f>
        <v>26900</v>
      </c>
      <c r="L1627" s="288">
        <f>ROUND(IF($A1627="E",K1627*(1+Assumptions!I$15),K1627*(1+Assumptions!I$14)),-2)</f>
        <v>27600</v>
      </c>
      <c r="M1627" s="288">
        <f>ROUND(IF($A1627="E",L1627*(1+Assumptions!J$15),L1627*(1+Assumptions!J$14)),-2)</f>
        <v>28300</v>
      </c>
      <c r="N1627" s="288">
        <f>ROUND(IF($A1627="E",M1627*(1+Assumptions!K$15),M1627*(1+Assumptions!K$14)),-2)</f>
        <v>29000</v>
      </c>
    </row>
    <row r="1628" spans="2:14" x14ac:dyDescent="0.25">
      <c r="B1628" s="16" t="s">
        <v>41</v>
      </c>
      <c r="C1628" s="16" t="s">
        <v>2579</v>
      </c>
      <c r="D1628" s="16" t="s">
        <v>2580</v>
      </c>
      <c r="E1628" s="289"/>
      <c r="F1628" s="289"/>
      <c r="G1628" s="289"/>
      <c r="H1628" s="289"/>
      <c r="I1628" s="289"/>
      <c r="J1628" s="289"/>
      <c r="K1628" s="289"/>
      <c r="L1628" s="289"/>
      <c r="M1628" s="289"/>
      <c r="N1628" s="289"/>
    </row>
    <row r="1629" spans="2:14" x14ac:dyDescent="0.25">
      <c r="B1629" s="16" t="s">
        <v>41</v>
      </c>
      <c r="C1629" s="16" t="s">
        <v>2581</v>
      </c>
      <c r="D1629" s="16" t="s">
        <v>201</v>
      </c>
      <c r="E1629" s="288">
        <v>0</v>
      </c>
      <c r="F1629" s="288">
        <f>ROUND(IF($A1629="E",E1629*(1+Assumptions!C$15),E1629*(1+Assumptions!C$14)),-2)</f>
        <v>0</v>
      </c>
      <c r="G1629" s="288">
        <f>ROUND(IF($A1629="E",F1629*(1+Assumptions!D$15),F1629*(1+Assumptions!D$14)),-2)</f>
        <v>0</v>
      </c>
      <c r="H1629" s="288">
        <f>ROUND(IF($A1629="E",G1629*(1+Assumptions!E$15),G1629*(1+Assumptions!E$14)),-2)</f>
        <v>0</v>
      </c>
      <c r="I1629" s="288">
        <f>ROUND(IF($A1629="E",H1629*(1+Assumptions!F$15),H1629*(1+Assumptions!F$14)),-2)</f>
        <v>0</v>
      </c>
      <c r="J1629" s="288">
        <f>ROUND(IF($A1629="E",I1629*(1+Assumptions!G$15),I1629*(1+Assumptions!G$14)),-2)</f>
        <v>0</v>
      </c>
      <c r="K1629" s="288">
        <f>ROUND(IF($A1629="E",J1629*(1+Assumptions!H$15),J1629*(1+Assumptions!H$14)),-2)</f>
        <v>0</v>
      </c>
      <c r="L1629" s="288">
        <f>ROUND(IF($A1629="E",K1629*(1+Assumptions!I$15),K1629*(1+Assumptions!I$14)),-2)</f>
        <v>0</v>
      </c>
      <c r="M1629" s="288">
        <f>ROUND(IF($A1629="E",L1629*(1+Assumptions!J$15),L1629*(1+Assumptions!J$14)),-2)</f>
        <v>0</v>
      </c>
      <c r="N1629" s="288">
        <f>ROUND(IF($A1629="E",M1629*(1+Assumptions!K$15),M1629*(1+Assumptions!K$14)),-2)</f>
        <v>0</v>
      </c>
    </row>
    <row r="1630" spans="2:14" x14ac:dyDescent="0.25">
      <c r="B1630" s="16" t="s">
        <v>41</v>
      </c>
      <c r="C1630" s="16" t="s">
        <v>2582</v>
      </c>
      <c r="D1630" s="16" t="s">
        <v>2583</v>
      </c>
      <c r="E1630" s="288">
        <v>81600</v>
      </c>
      <c r="F1630" s="288">
        <f>ROUND(IF($A1630="E",E1630*(1+Assumptions!C$15),E1630*(1+Assumptions!C$14)),-2)</f>
        <v>82800</v>
      </c>
      <c r="G1630" s="288">
        <f>ROUND(IF($A1630="E",F1630*(1+Assumptions!D$15),F1630*(1+Assumptions!D$14)),-2)</f>
        <v>84500</v>
      </c>
      <c r="H1630" s="288">
        <f>ROUND(IF($A1630="E",G1630*(1+Assumptions!E$15),G1630*(1+Assumptions!E$14)),-2)</f>
        <v>86200</v>
      </c>
      <c r="I1630" s="288">
        <f>ROUND(IF($A1630="E",H1630*(1+Assumptions!F$15),H1630*(1+Assumptions!F$14)),-2)</f>
        <v>87900</v>
      </c>
      <c r="J1630" s="288">
        <f>ROUND(IF($A1630="E",I1630*(1+Assumptions!G$15),I1630*(1+Assumptions!G$14)),-2)</f>
        <v>89700</v>
      </c>
      <c r="K1630" s="288">
        <f>ROUND(IF($A1630="E",J1630*(1+Assumptions!H$15),J1630*(1+Assumptions!H$14)),-2)</f>
        <v>91500</v>
      </c>
      <c r="L1630" s="288">
        <f>ROUND(IF($A1630="E",K1630*(1+Assumptions!I$15),K1630*(1+Assumptions!I$14)),-2)</f>
        <v>93800</v>
      </c>
      <c r="M1630" s="288">
        <f>ROUND(IF($A1630="E",L1630*(1+Assumptions!J$15),L1630*(1+Assumptions!J$14)),-2)</f>
        <v>96100</v>
      </c>
      <c r="N1630" s="288">
        <f>ROUND(IF($A1630="E",M1630*(1+Assumptions!K$15),M1630*(1+Assumptions!K$14)),-2)</f>
        <v>98500</v>
      </c>
    </row>
    <row r="1631" spans="2:14" x14ac:dyDescent="0.25">
      <c r="B1631" s="16" t="s">
        <v>45</v>
      </c>
      <c r="C1631" s="16" t="s">
        <v>2584</v>
      </c>
      <c r="D1631" s="16" t="s">
        <v>2585</v>
      </c>
      <c r="E1631" s="289"/>
      <c r="F1631" s="289"/>
      <c r="G1631" s="289"/>
      <c r="H1631" s="289"/>
      <c r="I1631" s="289"/>
      <c r="J1631" s="289"/>
      <c r="K1631" s="289"/>
      <c r="L1631" s="289"/>
      <c r="M1631" s="289"/>
      <c r="N1631" s="289"/>
    </row>
    <row r="1632" spans="2:14" x14ac:dyDescent="0.25">
      <c r="B1632" s="16" t="s">
        <v>45</v>
      </c>
      <c r="C1632" s="16" t="s">
        <v>2586</v>
      </c>
      <c r="D1632" s="16" t="s">
        <v>230</v>
      </c>
      <c r="E1632" s="288">
        <v>24900</v>
      </c>
      <c r="F1632" s="288">
        <f>ROUND(IF($A1632="E",E1632*(1+Assumptions!C$15),E1632*(1+Assumptions!C$14)),-2)</f>
        <v>25300</v>
      </c>
      <c r="G1632" s="288">
        <f>ROUND(IF($A1632="E",F1632*(1+Assumptions!D$15),F1632*(1+Assumptions!D$14)),-2)</f>
        <v>25800</v>
      </c>
      <c r="H1632" s="288">
        <f>ROUND(IF($A1632="E",G1632*(1+Assumptions!E$15),G1632*(1+Assumptions!E$14)),-2)</f>
        <v>26300</v>
      </c>
      <c r="I1632" s="288">
        <f>ROUND(IF($A1632="E",H1632*(1+Assumptions!F$15),H1632*(1+Assumptions!F$14)),-2)</f>
        <v>26800</v>
      </c>
      <c r="J1632" s="288">
        <f>ROUND(IF($A1632="E",I1632*(1+Assumptions!G$15),I1632*(1+Assumptions!G$14)),-2)</f>
        <v>27300</v>
      </c>
      <c r="K1632" s="288">
        <f>ROUND(IF($A1632="E",J1632*(1+Assumptions!H$15),J1632*(1+Assumptions!H$14)),-2)</f>
        <v>27800</v>
      </c>
      <c r="L1632" s="288">
        <f>ROUND(IF($A1632="E",K1632*(1+Assumptions!I$15),K1632*(1+Assumptions!I$14)),-2)</f>
        <v>28500</v>
      </c>
      <c r="M1632" s="288">
        <f>ROUND(IF($A1632="E",L1632*(1+Assumptions!J$15),L1632*(1+Assumptions!J$14)),-2)</f>
        <v>29200</v>
      </c>
      <c r="N1632" s="288">
        <f>ROUND(IF($A1632="E",M1632*(1+Assumptions!K$15),M1632*(1+Assumptions!K$14)),-2)</f>
        <v>29900</v>
      </c>
    </row>
    <row r="1633" spans="2:14" x14ac:dyDescent="0.25">
      <c r="B1633" s="16" t="s">
        <v>45</v>
      </c>
      <c r="C1633" s="16" t="s">
        <v>2587</v>
      </c>
      <c r="D1633" s="16" t="s">
        <v>502</v>
      </c>
      <c r="E1633" s="288">
        <v>13300</v>
      </c>
      <c r="F1633" s="288">
        <f>ROUND(IF($A1633="E",E1633*(1+Assumptions!C$15),E1633*(1+Assumptions!C$14)),-2)</f>
        <v>13500</v>
      </c>
      <c r="G1633" s="288">
        <f>ROUND(IF($A1633="E",F1633*(1+Assumptions!D$15),F1633*(1+Assumptions!D$14)),-2)</f>
        <v>13800</v>
      </c>
      <c r="H1633" s="288">
        <f>ROUND(IF($A1633="E",G1633*(1+Assumptions!E$15),G1633*(1+Assumptions!E$14)),-2)</f>
        <v>14100</v>
      </c>
      <c r="I1633" s="288">
        <f>ROUND(IF($A1633="E",H1633*(1+Assumptions!F$15),H1633*(1+Assumptions!F$14)),-2)</f>
        <v>14400</v>
      </c>
      <c r="J1633" s="288">
        <f>ROUND(IF($A1633="E",I1633*(1+Assumptions!G$15),I1633*(1+Assumptions!G$14)),-2)</f>
        <v>14700</v>
      </c>
      <c r="K1633" s="288">
        <f>ROUND(IF($A1633="E",J1633*(1+Assumptions!H$15),J1633*(1+Assumptions!H$14)),-2)</f>
        <v>15000</v>
      </c>
      <c r="L1633" s="288">
        <f>ROUND(IF($A1633="E",K1633*(1+Assumptions!I$15),K1633*(1+Assumptions!I$14)),-2)</f>
        <v>15400</v>
      </c>
      <c r="M1633" s="288">
        <f>ROUND(IF($A1633="E",L1633*(1+Assumptions!J$15),L1633*(1+Assumptions!J$14)),-2)</f>
        <v>15800</v>
      </c>
      <c r="N1633" s="288">
        <f>ROUND(IF($A1633="E",M1633*(1+Assumptions!K$15),M1633*(1+Assumptions!K$14)),-2)</f>
        <v>16200</v>
      </c>
    </row>
    <row r="1634" spans="2:14" x14ac:dyDescent="0.25">
      <c r="B1634" s="16" t="s">
        <v>45</v>
      </c>
      <c r="C1634" s="16" t="s">
        <v>2588</v>
      </c>
      <c r="D1634" s="16" t="s">
        <v>208</v>
      </c>
      <c r="E1634" s="288">
        <v>20400</v>
      </c>
      <c r="F1634" s="288">
        <f>ROUND(IF($A1634="E",E1634*(1+Assumptions!C$15),E1634*(1+Assumptions!C$14)),-2)</f>
        <v>20700</v>
      </c>
      <c r="G1634" s="288">
        <f>ROUND(IF($A1634="E",F1634*(1+Assumptions!D$15),F1634*(1+Assumptions!D$14)),-2)</f>
        <v>21100</v>
      </c>
      <c r="H1634" s="288">
        <f>ROUND(IF($A1634="E",G1634*(1+Assumptions!E$15),G1634*(1+Assumptions!E$14)),-2)</f>
        <v>21500</v>
      </c>
      <c r="I1634" s="288">
        <f>ROUND(IF($A1634="E",H1634*(1+Assumptions!F$15),H1634*(1+Assumptions!F$14)),-2)</f>
        <v>21900</v>
      </c>
      <c r="J1634" s="288">
        <f>ROUND(IF($A1634="E",I1634*(1+Assumptions!G$15),I1634*(1+Assumptions!G$14)),-2)</f>
        <v>22300</v>
      </c>
      <c r="K1634" s="288">
        <f>ROUND(IF($A1634="E",J1634*(1+Assumptions!H$15),J1634*(1+Assumptions!H$14)),-2)</f>
        <v>22700</v>
      </c>
      <c r="L1634" s="288">
        <f>ROUND(IF($A1634="E",K1634*(1+Assumptions!I$15),K1634*(1+Assumptions!I$14)),-2)</f>
        <v>23300</v>
      </c>
      <c r="M1634" s="288">
        <f>ROUND(IF($A1634="E",L1634*(1+Assumptions!J$15),L1634*(1+Assumptions!J$14)),-2)</f>
        <v>23900</v>
      </c>
      <c r="N1634" s="288">
        <f>ROUND(IF($A1634="E",M1634*(1+Assumptions!K$15),M1634*(1+Assumptions!K$14)),-2)</f>
        <v>24500</v>
      </c>
    </row>
    <row r="1635" spans="2:14" x14ac:dyDescent="0.25">
      <c r="B1635" s="16" t="s">
        <v>43</v>
      </c>
      <c r="C1635" s="16" t="s">
        <v>2589</v>
      </c>
      <c r="D1635" s="16" t="s">
        <v>2590</v>
      </c>
      <c r="E1635" s="288">
        <v>45000</v>
      </c>
      <c r="F1635" s="288">
        <f>ROUND(IF($A1635="E",E1635*(1+Assumptions!C$15),E1635*(1+Assumptions!C$14)),-2)</f>
        <v>45700</v>
      </c>
      <c r="G1635" s="288">
        <f>ROUND(IF($A1635="E",F1635*(1+Assumptions!D$15),F1635*(1+Assumptions!D$14)),-2)</f>
        <v>46600</v>
      </c>
      <c r="H1635" s="288">
        <f>ROUND(IF($A1635="E",G1635*(1+Assumptions!E$15),G1635*(1+Assumptions!E$14)),-2)</f>
        <v>47500</v>
      </c>
      <c r="I1635" s="288">
        <f>ROUND(IF($A1635="E",H1635*(1+Assumptions!F$15),H1635*(1+Assumptions!F$14)),-2)</f>
        <v>48500</v>
      </c>
      <c r="J1635" s="288">
        <f>ROUND(IF($A1635="E",I1635*(1+Assumptions!G$15),I1635*(1+Assumptions!G$14)),-2)</f>
        <v>49500</v>
      </c>
      <c r="K1635" s="288">
        <f>ROUND(IF($A1635="E",J1635*(1+Assumptions!H$15),J1635*(1+Assumptions!H$14)),-2)</f>
        <v>50500</v>
      </c>
      <c r="L1635" s="288">
        <f>ROUND(IF($A1635="E",K1635*(1+Assumptions!I$15),K1635*(1+Assumptions!I$14)),-2)</f>
        <v>51800</v>
      </c>
      <c r="M1635" s="288">
        <f>ROUND(IF($A1635="E",L1635*(1+Assumptions!J$15),L1635*(1+Assumptions!J$14)),-2)</f>
        <v>53100</v>
      </c>
      <c r="N1635" s="288">
        <f>ROUND(IF($A1635="E",M1635*(1+Assumptions!K$15),M1635*(1+Assumptions!K$14)),-2)</f>
        <v>54400</v>
      </c>
    </row>
    <row r="1636" spans="2:14" x14ac:dyDescent="0.25">
      <c r="B1636" s="16" t="s">
        <v>43</v>
      </c>
      <c r="C1636" s="16" t="s">
        <v>2591</v>
      </c>
      <c r="D1636" s="16" t="s">
        <v>187</v>
      </c>
      <c r="E1636" s="289"/>
      <c r="F1636" s="289"/>
      <c r="G1636" s="289"/>
      <c r="H1636" s="289"/>
      <c r="I1636" s="289"/>
      <c r="J1636" s="289"/>
      <c r="K1636" s="289"/>
      <c r="L1636" s="289"/>
      <c r="M1636" s="289"/>
      <c r="N1636" s="289"/>
    </row>
    <row r="1637" spans="2:14" x14ac:dyDescent="0.25">
      <c r="B1637" s="16" t="s">
        <v>43</v>
      </c>
      <c r="C1637" s="16" t="s">
        <v>2592</v>
      </c>
      <c r="D1637" s="16" t="s">
        <v>193</v>
      </c>
      <c r="E1637" s="288">
        <v>1359500</v>
      </c>
      <c r="F1637" s="288">
        <f>ROUND(IF($A1637="E",E1637*(1+Assumptions!C$15),E1637*(1+Assumptions!C$14)),-2)</f>
        <v>1379900</v>
      </c>
      <c r="G1637" s="288">
        <f>ROUND(IF($A1637="E",F1637*(1+Assumptions!D$15),F1637*(1+Assumptions!D$14)),-2)</f>
        <v>1407500</v>
      </c>
      <c r="H1637" s="288">
        <f>ROUND(IF($A1637="E",G1637*(1+Assumptions!E$15),G1637*(1+Assumptions!E$14)),-2)</f>
        <v>1435700</v>
      </c>
      <c r="I1637" s="288">
        <f>ROUND(IF($A1637="E",H1637*(1+Assumptions!F$15),H1637*(1+Assumptions!F$14)),-2)</f>
        <v>1464400</v>
      </c>
      <c r="J1637" s="288">
        <f>ROUND(IF($A1637="E",I1637*(1+Assumptions!G$15),I1637*(1+Assumptions!G$14)),-2)</f>
        <v>1493700</v>
      </c>
      <c r="K1637" s="288">
        <f>ROUND(IF($A1637="E",J1637*(1+Assumptions!H$15),J1637*(1+Assumptions!H$14)),-2)</f>
        <v>1523600</v>
      </c>
      <c r="L1637" s="288">
        <f>ROUND(IF($A1637="E",K1637*(1+Assumptions!I$15),K1637*(1+Assumptions!I$14)),-2)</f>
        <v>1561700</v>
      </c>
      <c r="M1637" s="288">
        <f>ROUND(IF($A1637="E",L1637*(1+Assumptions!J$15),L1637*(1+Assumptions!J$14)),-2)</f>
        <v>1600700</v>
      </c>
      <c r="N1637" s="288">
        <f>ROUND(IF($A1637="E",M1637*(1+Assumptions!K$15),M1637*(1+Assumptions!K$14)),-2)</f>
        <v>1640700</v>
      </c>
    </row>
    <row r="1638" spans="2:14" x14ac:dyDescent="0.25">
      <c r="C1638" s="16" t="s">
        <v>2593</v>
      </c>
      <c r="D1638" s="16" t="s">
        <v>2594</v>
      </c>
      <c r="E1638" s="289"/>
      <c r="F1638" s="289"/>
      <c r="G1638" s="289"/>
      <c r="H1638" s="289"/>
      <c r="I1638" s="289"/>
      <c r="J1638" s="289"/>
      <c r="K1638" s="289"/>
      <c r="L1638" s="289"/>
      <c r="M1638" s="289"/>
      <c r="N1638" s="289"/>
    </row>
    <row r="1639" spans="2:14" x14ac:dyDescent="0.25">
      <c r="B1639" s="16" t="s">
        <v>41</v>
      </c>
      <c r="C1639" s="16" t="s">
        <v>2595</v>
      </c>
      <c r="D1639" s="16" t="s">
        <v>201</v>
      </c>
      <c r="E1639" s="288">
        <v>833300</v>
      </c>
      <c r="F1639" s="288">
        <f>ROUND(IF($A1639="E",E1639*(1+Assumptions!C$15),E1639*(1+Assumptions!C$14)),-2)</f>
        <v>845800</v>
      </c>
      <c r="G1639" s="288">
        <f>ROUND(IF($A1639="E",F1639*(1+Assumptions!D$15),F1639*(1+Assumptions!D$14)),-2)</f>
        <v>862700</v>
      </c>
      <c r="H1639" s="288">
        <f>ROUND(IF($A1639="E",G1639*(1+Assumptions!E$15),G1639*(1+Assumptions!E$14)),-2)</f>
        <v>880000</v>
      </c>
      <c r="I1639" s="288">
        <f>ROUND(IF($A1639="E",H1639*(1+Assumptions!F$15),H1639*(1+Assumptions!F$14)),-2)</f>
        <v>897600</v>
      </c>
      <c r="J1639" s="288">
        <f>ROUND(IF($A1639="E",I1639*(1+Assumptions!G$15),I1639*(1+Assumptions!G$14)),-2)</f>
        <v>915600</v>
      </c>
      <c r="K1639" s="288">
        <f>ROUND(IF($A1639="E",J1639*(1+Assumptions!H$15),J1639*(1+Assumptions!H$14)),-2)</f>
        <v>933900</v>
      </c>
      <c r="L1639" s="288">
        <f>ROUND(IF($A1639="E",K1639*(1+Assumptions!I$15),K1639*(1+Assumptions!I$14)),-2)</f>
        <v>957200</v>
      </c>
      <c r="M1639" s="288">
        <f>ROUND(IF($A1639="E",L1639*(1+Assumptions!J$15),L1639*(1+Assumptions!J$14)),-2)</f>
        <v>981100</v>
      </c>
      <c r="N1639" s="288">
        <f>ROUND(IF($A1639="E",M1639*(1+Assumptions!K$15),M1639*(1+Assumptions!K$14)),-2)</f>
        <v>1005600</v>
      </c>
    </row>
    <row r="1640" spans="2:14" x14ac:dyDescent="0.25">
      <c r="B1640" s="16" t="s">
        <v>41</v>
      </c>
      <c r="C1640" s="16" t="s">
        <v>2596</v>
      </c>
      <c r="D1640" s="16" t="s">
        <v>2597</v>
      </c>
      <c r="E1640" s="288">
        <v>30200</v>
      </c>
      <c r="F1640" s="288">
        <f>ROUND(IF($A1640="E",E1640*(1+Assumptions!C$15),E1640*(1+Assumptions!C$14)),-2)</f>
        <v>30700</v>
      </c>
      <c r="G1640" s="288">
        <f>ROUND(IF($A1640="E",F1640*(1+Assumptions!D$15),F1640*(1+Assumptions!D$14)),-2)</f>
        <v>31300</v>
      </c>
      <c r="H1640" s="288">
        <f>ROUND(IF($A1640="E",G1640*(1+Assumptions!E$15),G1640*(1+Assumptions!E$14)),-2)</f>
        <v>31900</v>
      </c>
      <c r="I1640" s="288">
        <f>ROUND(IF($A1640="E",H1640*(1+Assumptions!F$15),H1640*(1+Assumptions!F$14)),-2)</f>
        <v>32500</v>
      </c>
      <c r="J1640" s="288">
        <f>ROUND(IF($A1640="E",I1640*(1+Assumptions!G$15),I1640*(1+Assumptions!G$14)),-2)</f>
        <v>33200</v>
      </c>
      <c r="K1640" s="288">
        <f>ROUND(IF($A1640="E",J1640*(1+Assumptions!H$15),J1640*(1+Assumptions!H$14)),-2)</f>
        <v>33900</v>
      </c>
      <c r="L1640" s="288">
        <f>ROUND(IF($A1640="E",K1640*(1+Assumptions!I$15),K1640*(1+Assumptions!I$14)),-2)</f>
        <v>34700</v>
      </c>
      <c r="M1640" s="288">
        <f>ROUND(IF($A1640="E",L1640*(1+Assumptions!J$15),L1640*(1+Assumptions!J$14)),-2)</f>
        <v>35600</v>
      </c>
      <c r="N1640" s="288">
        <f>ROUND(IF($A1640="E",M1640*(1+Assumptions!K$15),M1640*(1+Assumptions!K$14)),-2)</f>
        <v>36500</v>
      </c>
    </row>
    <row r="1641" spans="2:14" x14ac:dyDescent="0.25">
      <c r="B1641" s="16" t="s">
        <v>41</v>
      </c>
      <c r="C1641" s="16" t="s">
        <v>2598</v>
      </c>
      <c r="D1641" s="16" t="s">
        <v>2599</v>
      </c>
      <c r="E1641" s="288">
        <v>34000</v>
      </c>
      <c r="F1641" s="288">
        <f>ROUND(IF($A1641="E",E1641*(1+Assumptions!C$15),E1641*(1+Assumptions!C$14)),-2)</f>
        <v>34500</v>
      </c>
      <c r="G1641" s="288">
        <f>ROUND(IF($A1641="E",F1641*(1+Assumptions!D$15),F1641*(1+Assumptions!D$14)),-2)</f>
        <v>35200</v>
      </c>
      <c r="H1641" s="288">
        <f>ROUND(IF($A1641="E",G1641*(1+Assumptions!E$15),G1641*(1+Assumptions!E$14)),-2)</f>
        <v>35900</v>
      </c>
      <c r="I1641" s="288">
        <f>ROUND(IF($A1641="E",H1641*(1+Assumptions!F$15),H1641*(1+Assumptions!F$14)),-2)</f>
        <v>36600</v>
      </c>
      <c r="J1641" s="288">
        <f>ROUND(IF($A1641="E",I1641*(1+Assumptions!G$15),I1641*(1+Assumptions!G$14)),-2)</f>
        <v>37300</v>
      </c>
      <c r="K1641" s="288">
        <f>ROUND(IF($A1641="E",J1641*(1+Assumptions!H$15),J1641*(1+Assumptions!H$14)),-2)</f>
        <v>38000</v>
      </c>
      <c r="L1641" s="288">
        <f>ROUND(IF($A1641="E",K1641*(1+Assumptions!I$15),K1641*(1+Assumptions!I$14)),-2)</f>
        <v>39000</v>
      </c>
      <c r="M1641" s="288">
        <f>ROUND(IF($A1641="E",L1641*(1+Assumptions!J$15),L1641*(1+Assumptions!J$14)),-2)</f>
        <v>40000</v>
      </c>
      <c r="N1641" s="288">
        <f>ROUND(IF($A1641="E",M1641*(1+Assumptions!K$15),M1641*(1+Assumptions!K$14)),-2)</f>
        <v>41000</v>
      </c>
    </row>
    <row r="1642" spans="2:14" x14ac:dyDescent="0.25">
      <c r="B1642" s="16" t="s">
        <v>43</v>
      </c>
      <c r="C1642" s="16" t="s">
        <v>2600</v>
      </c>
      <c r="D1642" s="16" t="s">
        <v>97</v>
      </c>
      <c r="E1642" s="288">
        <v>66800</v>
      </c>
      <c r="F1642" s="288">
        <f>ROUND(IF($A1642="E",E1642*(1+Assumptions!C$15),E1642*(1+Assumptions!C$14)),-2)</f>
        <v>67800</v>
      </c>
      <c r="G1642" s="288">
        <f>ROUND(IF($A1642="E",F1642*(1+Assumptions!D$15),F1642*(1+Assumptions!D$14)),-2)</f>
        <v>69200</v>
      </c>
      <c r="H1642" s="288">
        <f>ROUND(IF($A1642="E",G1642*(1+Assumptions!E$15),G1642*(1+Assumptions!E$14)),-2)</f>
        <v>70600</v>
      </c>
      <c r="I1642" s="288">
        <f>ROUND(IF($A1642="E",H1642*(1+Assumptions!F$15),H1642*(1+Assumptions!F$14)),-2)</f>
        <v>72000</v>
      </c>
      <c r="J1642" s="288">
        <f>ROUND(IF($A1642="E",I1642*(1+Assumptions!G$15),I1642*(1+Assumptions!G$14)),-2)</f>
        <v>73400</v>
      </c>
      <c r="K1642" s="288">
        <f>ROUND(IF($A1642="E",J1642*(1+Assumptions!H$15),J1642*(1+Assumptions!H$14)),-2)</f>
        <v>74900</v>
      </c>
      <c r="L1642" s="288">
        <f>ROUND(IF($A1642="E",K1642*(1+Assumptions!I$15),K1642*(1+Assumptions!I$14)),-2)</f>
        <v>76800</v>
      </c>
      <c r="M1642" s="288">
        <f>ROUND(IF($A1642="E",L1642*(1+Assumptions!J$15),L1642*(1+Assumptions!J$14)),-2)</f>
        <v>78700</v>
      </c>
      <c r="N1642" s="288">
        <f>ROUND(IF($A1642="E",M1642*(1+Assumptions!K$15),M1642*(1+Assumptions!K$14)),-2)</f>
        <v>80700</v>
      </c>
    </row>
    <row r="1643" spans="2:14" x14ac:dyDescent="0.25">
      <c r="B1643" s="16" t="s">
        <v>41</v>
      </c>
      <c r="C1643" s="16" t="s">
        <v>2601</v>
      </c>
      <c r="D1643" s="16" t="s">
        <v>2602</v>
      </c>
      <c r="E1643" s="289"/>
      <c r="F1643" s="289"/>
      <c r="G1643" s="289"/>
      <c r="H1643" s="289"/>
      <c r="I1643" s="289"/>
      <c r="J1643" s="289"/>
      <c r="K1643" s="289"/>
      <c r="L1643" s="289"/>
      <c r="M1643" s="289"/>
      <c r="N1643" s="289"/>
    </row>
    <row r="1644" spans="2:14" x14ac:dyDescent="0.25">
      <c r="B1644" s="16" t="s">
        <v>41</v>
      </c>
      <c r="C1644" s="16" t="s">
        <v>2603</v>
      </c>
      <c r="D1644" s="16" t="s">
        <v>2602</v>
      </c>
      <c r="E1644" s="288">
        <v>16100</v>
      </c>
      <c r="F1644" s="288">
        <f>ROUND(IF($A1644="E",E1644*(1+Assumptions!C$15),E1644*(1+Assumptions!C$14)),-2)</f>
        <v>16300</v>
      </c>
      <c r="G1644" s="288">
        <f>ROUND(IF($A1644="E",F1644*(1+Assumptions!D$15),F1644*(1+Assumptions!D$14)),-2)</f>
        <v>16600</v>
      </c>
      <c r="H1644" s="288">
        <f>ROUND(IF($A1644="E",G1644*(1+Assumptions!E$15),G1644*(1+Assumptions!E$14)),-2)</f>
        <v>16900</v>
      </c>
      <c r="I1644" s="288">
        <f>ROUND(IF($A1644="E",H1644*(1+Assumptions!F$15),H1644*(1+Assumptions!F$14)),-2)</f>
        <v>17200</v>
      </c>
      <c r="J1644" s="288">
        <f>ROUND(IF($A1644="E",I1644*(1+Assumptions!G$15),I1644*(1+Assumptions!G$14)),-2)</f>
        <v>17500</v>
      </c>
      <c r="K1644" s="288">
        <f>ROUND(IF($A1644="E",J1644*(1+Assumptions!H$15),J1644*(1+Assumptions!H$14)),-2)</f>
        <v>17900</v>
      </c>
      <c r="L1644" s="288">
        <f>ROUND(IF($A1644="E",K1644*(1+Assumptions!I$15),K1644*(1+Assumptions!I$14)),-2)</f>
        <v>18300</v>
      </c>
      <c r="M1644" s="288">
        <f>ROUND(IF($A1644="E",L1644*(1+Assumptions!J$15),L1644*(1+Assumptions!J$14)),-2)</f>
        <v>18800</v>
      </c>
      <c r="N1644" s="288">
        <f>ROUND(IF($A1644="E",M1644*(1+Assumptions!K$15),M1644*(1+Assumptions!K$14)),-2)</f>
        <v>19300</v>
      </c>
    </row>
    <row r="1645" spans="2:14" x14ac:dyDescent="0.25">
      <c r="B1645" s="16" t="s">
        <v>41</v>
      </c>
      <c r="C1645" s="16" t="s">
        <v>2604</v>
      </c>
      <c r="D1645" s="16" t="s">
        <v>2605</v>
      </c>
      <c r="E1645" s="289"/>
      <c r="F1645" s="289"/>
      <c r="G1645" s="289"/>
      <c r="H1645" s="289"/>
      <c r="I1645" s="289"/>
      <c r="J1645" s="289"/>
      <c r="K1645" s="289"/>
      <c r="L1645" s="289"/>
      <c r="M1645" s="289"/>
      <c r="N1645" s="289"/>
    </row>
    <row r="1646" spans="2:14" x14ac:dyDescent="0.25">
      <c r="B1646" s="16" t="s">
        <v>41</v>
      </c>
      <c r="C1646" s="16" t="s">
        <v>2606</v>
      </c>
      <c r="D1646" s="16" t="s">
        <v>201</v>
      </c>
      <c r="E1646" s="288">
        <v>635400</v>
      </c>
      <c r="F1646" s="288">
        <f>ROUND(IF($A1646="E",E1646*(1+Assumptions!C$15),E1646*(1+Assumptions!C$14)),-2)</f>
        <v>644900</v>
      </c>
      <c r="G1646" s="288">
        <f>ROUND(IF($A1646="E",F1646*(1+Assumptions!D$15),F1646*(1+Assumptions!D$14)),-2)</f>
        <v>657800</v>
      </c>
      <c r="H1646" s="288">
        <f>ROUND(IF($A1646="E",G1646*(1+Assumptions!E$15),G1646*(1+Assumptions!E$14)),-2)</f>
        <v>671000</v>
      </c>
      <c r="I1646" s="288">
        <f>ROUND(IF($A1646="E",H1646*(1+Assumptions!F$15),H1646*(1+Assumptions!F$14)),-2)</f>
        <v>684400</v>
      </c>
      <c r="J1646" s="288">
        <f>ROUND(IF($A1646="E",I1646*(1+Assumptions!G$15),I1646*(1+Assumptions!G$14)),-2)</f>
        <v>698100</v>
      </c>
      <c r="K1646" s="288">
        <f>ROUND(IF($A1646="E",J1646*(1+Assumptions!H$15),J1646*(1+Assumptions!H$14)),-2)</f>
        <v>712100</v>
      </c>
      <c r="L1646" s="288">
        <f>ROUND(IF($A1646="E",K1646*(1+Assumptions!I$15),K1646*(1+Assumptions!I$14)),-2)</f>
        <v>729900</v>
      </c>
      <c r="M1646" s="288">
        <f>ROUND(IF($A1646="E",L1646*(1+Assumptions!J$15),L1646*(1+Assumptions!J$14)),-2)</f>
        <v>748100</v>
      </c>
      <c r="N1646" s="288">
        <f>ROUND(IF($A1646="E",M1646*(1+Assumptions!K$15),M1646*(1+Assumptions!K$14)),-2)</f>
        <v>766800</v>
      </c>
    </row>
    <row r="1647" spans="2:14" x14ac:dyDescent="0.25">
      <c r="B1647" s="16" t="s">
        <v>45</v>
      </c>
      <c r="C1647" s="16" t="s">
        <v>2607</v>
      </c>
      <c r="D1647" s="16" t="s">
        <v>1198</v>
      </c>
      <c r="E1647" s="289"/>
      <c r="F1647" s="289"/>
      <c r="G1647" s="289"/>
      <c r="H1647" s="289"/>
      <c r="I1647" s="289"/>
      <c r="J1647" s="289"/>
      <c r="K1647" s="289"/>
      <c r="L1647" s="289"/>
      <c r="M1647" s="289"/>
      <c r="N1647" s="289"/>
    </row>
    <row r="1648" spans="2:14" x14ac:dyDescent="0.25">
      <c r="B1648" s="16" t="s">
        <v>45</v>
      </c>
      <c r="C1648" s="16" t="s">
        <v>2608</v>
      </c>
      <c r="D1648" s="16" t="s">
        <v>230</v>
      </c>
      <c r="E1648" s="288">
        <v>0</v>
      </c>
      <c r="F1648" s="288">
        <f>ROUND(IF($A1648="E",E1648*(1+Assumptions!C$15),E1648*(1+Assumptions!C$14)),-2)</f>
        <v>0</v>
      </c>
      <c r="G1648" s="288">
        <f>ROUND(IF($A1648="E",F1648*(1+Assumptions!D$15),F1648*(1+Assumptions!D$14)),-2)</f>
        <v>0</v>
      </c>
      <c r="H1648" s="288">
        <f>ROUND(IF($A1648="E",G1648*(1+Assumptions!E$15),G1648*(1+Assumptions!E$14)),-2)</f>
        <v>0</v>
      </c>
      <c r="I1648" s="288">
        <f>ROUND(IF($A1648="E",H1648*(1+Assumptions!F$15),H1648*(1+Assumptions!F$14)),-2)</f>
        <v>0</v>
      </c>
      <c r="J1648" s="288">
        <f>ROUND(IF($A1648="E",I1648*(1+Assumptions!G$15),I1648*(1+Assumptions!G$14)),-2)</f>
        <v>0</v>
      </c>
      <c r="K1648" s="288">
        <f>ROUND(IF($A1648="E",J1648*(1+Assumptions!H$15),J1648*(1+Assumptions!H$14)),-2)</f>
        <v>0</v>
      </c>
      <c r="L1648" s="288">
        <f>ROUND(IF($A1648="E",K1648*(1+Assumptions!I$15),K1648*(1+Assumptions!I$14)),-2)</f>
        <v>0</v>
      </c>
      <c r="M1648" s="288">
        <f>ROUND(IF($A1648="E",L1648*(1+Assumptions!J$15),L1648*(1+Assumptions!J$14)),-2)</f>
        <v>0</v>
      </c>
      <c r="N1648" s="288">
        <f>ROUND(IF($A1648="E",M1648*(1+Assumptions!K$15),M1648*(1+Assumptions!K$14)),-2)</f>
        <v>0</v>
      </c>
    </row>
    <row r="1649" spans="1:14" x14ac:dyDescent="0.25">
      <c r="B1649" s="16" t="s">
        <v>45</v>
      </c>
      <c r="C1649" s="16" t="s">
        <v>2609</v>
      </c>
      <c r="D1649" s="16" t="s">
        <v>2610</v>
      </c>
      <c r="E1649" s="288">
        <v>0</v>
      </c>
      <c r="F1649" s="288">
        <f>ROUND(IF($A1649="E",E1649*(1+Assumptions!C$15),E1649*(1+Assumptions!C$14)),-2)</f>
        <v>0</v>
      </c>
      <c r="G1649" s="288">
        <f>ROUND(IF($A1649="E",F1649*(1+Assumptions!D$15),F1649*(1+Assumptions!D$14)),-2)</f>
        <v>0</v>
      </c>
      <c r="H1649" s="288">
        <f>ROUND(IF($A1649="E",G1649*(1+Assumptions!E$15),G1649*(1+Assumptions!E$14)),-2)</f>
        <v>0</v>
      </c>
      <c r="I1649" s="288">
        <f>ROUND(IF($A1649="E",H1649*(1+Assumptions!F$15),H1649*(1+Assumptions!F$14)),-2)</f>
        <v>0</v>
      </c>
      <c r="J1649" s="288">
        <f>ROUND(IF($A1649="E",I1649*(1+Assumptions!G$15),I1649*(1+Assumptions!G$14)),-2)</f>
        <v>0</v>
      </c>
      <c r="K1649" s="288">
        <f>ROUND(IF($A1649="E",J1649*(1+Assumptions!H$15),J1649*(1+Assumptions!H$14)),-2)</f>
        <v>0</v>
      </c>
      <c r="L1649" s="288">
        <f>ROUND(IF($A1649="E",K1649*(1+Assumptions!I$15),K1649*(1+Assumptions!I$14)),-2)</f>
        <v>0</v>
      </c>
      <c r="M1649" s="288">
        <f>ROUND(IF($A1649="E",L1649*(1+Assumptions!J$15),L1649*(1+Assumptions!J$14)),-2)</f>
        <v>0</v>
      </c>
      <c r="N1649" s="288">
        <f>ROUND(IF($A1649="E",M1649*(1+Assumptions!K$15),M1649*(1+Assumptions!K$14)),-2)</f>
        <v>0</v>
      </c>
    </row>
    <row r="1650" spans="1:14" ht="12.75" customHeight="1" x14ac:dyDescent="0.25">
      <c r="A1650" s="16" t="s">
        <v>4591</v>
      </c>
      <c r="B1650" s="397" t="s">
        <v>3231</v>
      </c>
      <c r="C1650" s="43" t="s">
        <v>3288</v>
      </c>
      <c r="D1650" s="16" t="s">
        <v>44</v>
      </c>
      <c r="E1650" s="288">
        <v>175300</v>
      </c>
      <c r="F1650" s="288">
        <f>ROUND(IF($A1650="E",E1650*(1+Assumptions!C$15),E1650*(1+Assumptions!C$17)),-2)</f>
        <v>177100</v>
      </c>
      <c r="G1650" s="288">
        <f>ROUND(IF($A1650="E",F1650*(1+Assumptions!D$15),F1650*(1+Assumptions!D$17)),-2)</f>
        <v>178900</v>
      </c>
      <c r="H1650" s="288">
        <f>ROUND(IF($A1650="E",G1650*(1+Assumptions!E$15),G1650*(1+Assumptions!E$17)),-2)</f>
        <v>180700</v>
      </c>
      <c r="I1650" s="288">
        <f>ROUND(IF($A1650="E",H1650*(1+Assumptions!F$15),H1650*(1+Assumptions!F$17)),-2)</f>
        <v>182500</v>
      </c>
      <c r="J1650" s="288">
        <f>ROUND(IF($A1650="E",I1650*(1+Assumptions!G$15),I1650*(1+Assumptions!G$17)),-2)</f>
        <v>184300</v>
      </c>
      <c r="K1650" s="288">
        <f>ROUND(IF($A1650="E",J1650*(1+Assumptions!H$15),J1650*(1+Assumptions!H$17)),-2)</f>
        <v>186100</v>
      </c>
      <c r="L1650" s="288">
        <f>ROUND(IF($A1650="E",K1650*(1+Assumptions!I$15),K1650*(1+Assumptions!I$17)),-2)</f>
        <v>188000</v>
      </c>
      <c r="M1650" s="288">
        <f>ROUND(IF($A1650="E",L1650*(1+Assumptions!J$15),L1650*(1+Assumptions!J$17)),-2)</f>
        <v>189900</v>
      </c>
      <c r="N1650" s="288">
        <f>ROUND(IF($A1650="E",M1650*(1+Assumptions!K$15),M1650*(1+Assumptions!K$17)),-2)</f>
        <v>191800</v>
      </c>
    </row>
    <row r="1651" spans="1:14" ht="12.75" customHeight="1" x14ac:dyDescent="0.25">
      <c r="E1651" s="288"/>
      <c r="F1651" s="288"/>
      <c r="G1651" s="288"/>
      <c r="H1651" s="288"/>
      <c r="I1651" s="288"/>
      <c r="J1651" s="288"/>
      <c r="K1651" s="288"/>
      <c r="L1651" s="288"/>
      <c r="M1651" s="288"/>
      <c r="N1651" s="288"/>
    </row>
    <row r="1652" spans="1:14" ht="12.75" customHeight="1" x14ac:dyDescent="0.25">
      <c r="D1652" s="19" t="s">
        <v>3234</v>
      </c>
      <c r="E1652" s="291">
        <f>SUM(E1618:E1651)</f>
        <v>4756800</v>
      </c>
      <c r="F1652" s="291">
        <f t="shared" ref="F1652:N1652" si="49">SUM(F1618:F1651)</f>
        <v>4827400</v>
      </c>
      <c r="G1652" s="291">
        <f t="shared" si="49"/>
        <v>4922300</v>
      </c>
      <c r="H1652" s="291">
        <f t="shared" si="49"/>
        <v>5019000</v>
      </c>
      <c r="I1652" s="291">
        <f t="shared" si="49"/>
        <v>5117400</v>
      </c>
      <c r="J1652" s="291">
        <f t="shared" si="49"/>
        <v>5217900</v>
      </c>
      <c r="K1652" s="291">
        <f t="shared" si="49"/>
        <v>5320400</v>
      </c>
      <c r="L1652" s="291">
        <f t="shared" si="49"/>
        <v>5450700</v>
      </c>
      <c r="M1652" s="291">
        <f t="shared" si="49"/>
        <v>5584200</v>
      </c>
      <c r="N1652" s="291">
        <f t="shared" si="49"/>
        <v>5721000</v>
      </c>
    </row>
    <row r="1653" spans="1:14" ht="12.75" customHeight="1" x14ac:dyDescent="0.25">
      <c r="E1653" s="288"/>
      <c r="F1653" s="288"/>
      <c r="G1653" s="288"/>
      <c r="H1653" s="288"/>
      <c r="I1653" s="288"/>
      <c r="J1653" s="288"/>
      <c r="K1653" s="288"/>
      <c r="L1653" s="288"/>
      <c r="M1653" s="288"/>
      <c r="N1653" s="288"/>
    </row>
    <row r="1654" spans="1:14" x14ac:dyDescent="0.25">
      <c r="C1654" s="16" t="s">
        <v>315</v>
      </c>
      <c r="E1654" s="288"/>
      <c r="F1654" s="288"/>
      <c r="G1654" s="288"/>
      <c r="H1654" s="288"/>
      <c r="I1654" s="288"/>
      <c r="J1654" s="288"/>
      <c r="K1654" s="288"/>
      <c r="L1654" s="288"/>
      <c r="M1654" s="288"/>
      <c r="N1654" s="288"/>
    </row>
    <row r="1655" spans="1:14" x14ac:dyDescent="0.25">
      <c r="B1655" s="16" t="s">
        <v>3228</v>
      </c>
      <c r="C1655" s="16" t="s">
        <v>2611</v>
      </c>
      <c r="D1655" s="16" t="s">
        <v>2612</v>
      </c>
      <c r="E1655" s="289"/>
      <c r="F1655" s="289"/>
      <c r="G1655" s="289"/>
      <c r="H1655" s="289"/>
      <c r="I1655" s="289"/>
      <c r="J1655" s="289"/>
      <c r="K1655" s="289"/>
      <c r="L1655" s="289"/>
      <c r="M1655" s="289"/>
      <c r="N1655" s="289"/>
    </row>
    <row r="1656" spans="1:14" x14ac:dyDescent="0.25">
      <c r="B1656" s="16" t="s">
        <v>3228</v>
      </c>
      <c r="C1656" s="16" t="s">
        <v>2613</v>
      </c>
      <c r="D1656" s="16" t="s">
        <v>2614</v>
      </c>
      <c r="E1656" s="288">
        <v>-121000</v>
      </c>
      <c r="F1656" s="288">
        <f>ROUND(E1656+(E1656*Assumptions!C$13),-2)</f>
        <v>-123400</v>
      </c>
      <c r="G1656" s="288">
        <f>ROUND(F1656+(F1656*Assumptions!D$13),-2)</f>
        <v>-126500</v>
      </c>
      <c r="H1656" s="288">
        <f>ROUND(G1656+(G1656*Assumptions!E$13),-2)</f>
        <v>-129700</v>
      </c>
      <c r="I1656" s="288">
        <f>ROUND(H1656+(H1656*Assumptions!F$13),-2)</f>
        <v>-132900</v>
      </c>
      <c r="J1656" s="288">
        <f>ROUND(I1656+(I1656*Assumptions!G$13),-2)</f>
        <v>-136200</v>
      </c>
      <c r="K1656" s="288">
        <f>ROUND(J1656+(J1656*Assumptions!H$13),-2)</f>
        <v>-139600</v>
      </c>
      <c r="L1656" s="288">
        <f>ROUND(K1656+(K1656*Assumptions!I$13),-2)</f>
        <v>-143100</v>
      </c>
      <c r="M1656" s="288">
        <f>ROUND(L1656+(L1656*Assumptions!J$13),-2)</f>
        <v>-146700</v>
      </c>
      <c r="N1656" s="288">
        <f>ROUND(M1656+(M1656*Assumptions!K$13),-2)</f>
        <v>-150400</v>
      </c>
    </row>
    <row r="1657" spans="1:14" x14ac:dyDescent="0.25">
      <c r="B1657" s="16" t="s">
        <v>3228</v>
      </c>
      <c r="C1657" s="16" t="s">
        <v>2615</v>
      </c>
      <c r="D1657" s="16" t="s">
        <v>2616</v>
      </c>
      <c r="E1657" s="288">
        <v>0</v>
      </c>
      <c r="F1657" s="288">
        <f>ROUND(E1657+(E1657*Assumptions!C$13),-2)</f>
        <v>0</v>
      </c>
      <c r="G1657" s="288">
        <f>ROUND(F1657+(F1657*Assumptions!D$13),-2)</f>
        <v>0</v>
      </c>
      <c r="H1657" s="288">
        <f>ROUND(G1657+(G1657*Assumptions!E$13),-2)</f>
        <v>0</v>
      </c>
      <c r="I1657" s="288">
        <f>ROUND(H1657+(H1657*Assumptions!F$13),-2)</f>
        <v>0</v>
      </c>
      <c r="J1657" s="288">
        <f>ROUND(I1657+(I1657*Assumptions!G$13),-2)</f>
        <v>0</v>
      </c>
      <c r="K1657" s="288">
        <f>ROUND(J1657+(J1657*Assumptions!H$13),-2)</f>
        <v>0</v>
      </c>
      <c r="L1657" s="288">
        <f>ROUND(K1657+(K1657*Assumptions!I$13),-2)</f>
        <v>0</v>
      </c>
      <c r="M1657" s="288">
        <f>ROUND(L1657+(L1657*Assumptions!J$13),-2)</f>
        <v>0</v>
      </c>
      <c r="N1657" s="288">
        <f>ROUND(M1657+(M1657*Assumptions!K$13),-2)</f>
        <v>0</v>
      </c>
    </row>
    <row r="1658" spans="1:14" x14ac:dyDescent="0.25">
      <c r="B1658" s="16" t="s">
        <v>3228</v>
      </c>
      <c r="C1658" s="16" t="s">
        <v>2617</v>
      </c>
      <c r="D1658" s="16" t="s">
        <v>2618</v>
      </c>
      <c r="E1658" s="288">
        <v>0</v>
      </c>
      <c r="F1658" s="288">
        <f>ROUND(E1658+(E1658*Assumptions!C$13),-2)</f>
        <v>0</v>
      </c>
      <c r="G1658" s="288">
        <f>ROUND(F1658+(F1658*Assumptions!D$13),-2)</f>
        <v>0</v>
      </c>
      <c r="H1658" s="288">
        <f>ROUND(G1658+(G1658*Assumptions!E$13),-2)</f>
        <v>0</v>
      </c>
      <c r="I1658" s="288">
        <f>ROUND(H1658+(H1658*Assumptions!F$13),-2)</f>
        <v>0</v>
      </c>
      <c r="J1658" s="288">
        <f>ROUND(I1658+(I1658*Assumptions!G$13),-2)</f>
        <v>0</v>
      </c>
      <c r="K1658" s="288">
        <f>ROUND(J1658+(J1658*Assumptions!H$13),-2)</f>
        <v>0</v>
      </c>
      <c r="L1658" s="288">
        <f>ROUND(K1658+(K1658*Assumptions!I$13),-2)</f>
        <v>0</v>
      </c>
      <c r="M1658" s="288">
        <f>ROUND(L1658+(L1658*Assumptions!J$13),-2)</f>
        <v>0</v>
      </c>
      <c r="N1658" s="288">
        <f>ROUND(M1658+(M1658*Assumptions!K$13),-2)</f>
        <v>0</v>
      </c>
    </row>
    <row r="1659" spans="1:14" x14ac:dyDescent="0.25">
      <c r="B1659" s="16" t="s">
        <v>3228</v>
      </c>
      <c r="C1659" s="16" t="s">
        <v>2619</v>
      </c>
      <c r="D1659" s="16" t="s">
        <v>2620</v>
      </c>
      <c r="E1659" s="288">
        <v>0</v>
      </c>
      <c r="F1659" s="288">
        <f>ROUND(E1659+(E1659*Assumptions!C$13),-2)</f>
        <v>0</v>
      </c>
      <c r="G1659" s="288">
        <f>ROUND(F1659+(F1659*Assumptions!D$13),-2)</f>
        <v>0</v>
      </c>
      <c r="H1659" s="288">
        <f>ROUND(G1659+(G1659*Assumptions!E$13),-2)</f>
        <v>0</v>
      </c>
      <c r="I1659" s="288">
        <f>ROUND(H1659+(H1659*Assumptions!F$13),-2)</f>
        <v>0</v>
      </c>
      <c r="J1659" s="288">
        <f>ROUND(I1659+(I1659*Assumptions!G$13),-2)</f>
        <v>0</v>
      </c>
      <c r="K1659" s="288">
        <f>ROUND(J1659+(J1659*Assumptions!H$13),-2)</f>
        <v>0</v>
      </c>
      <c r="L1659" s="288">
        <f>ROUND(K1659+(K1659*Assumptions!I$13),-2)</f>
        <v>0</v>
      </c>
      <c r="M1659" s="288">
        <f>ROUND(L1659+(L1659*Assumptions!J$13),-2)</f>
        <v>0</v>
      </c>
      <c r="N1659" s="288">
        <f>ROUND(M1659+(M1659*Assumptions!K$13),-2)</f>
        <v>0</v>
      </c>
    </row>
    <row r="1660" spans="1:14" x14ac:dyDescent="0.25">
      <c r="B1660" s="16" t="s">
        <v>3228</v>
      </c>
      <c r="C1660" s="16" t="s">
        <v>2621</v>
      </c>
      <c r="D1660" s="16" t="s">
        <v>2622</v>
      </c>
      <c r="E1660" s="288">
        <v>0</v>
      </c>
      <c r="F1660" s="288">
        <f>ROUND(E1660+(E1660*Assumptions!C$13),-2)</f>
        <v>0</v>
      </c>
      <c r="G1660" s="288">
        <f>ROUND(F1660+(F1660*Assumptions!D$13),-2)</f>
        <v>0</v>
      </c>
      <c r="H1660" s="288">
        <f>ROUND(G1660+(G1660*Assumptions!E$13),-2)</f>
        <v>0</v>
      </c>
      <c r="I1660" s="288">
        <f>ROUND(H1660+(H1660*Assumptions!F$13),-2)</f>
        <v>0</v>
      </c>
      <c r="J1660" s="288">
        <f>ROUND(I1660+(I1660*Assumptions!G$13),-2)</f>
        <v>0</v>
      </c>
      <c r="K1660" s="288">
        <f>ROUND(J1660+(J1660*Assumptions!H$13),-2)</f>
        <v>0</v>
      </c>
      <c r="L1660" s="288">
        <f>ROUND(K1660+(K1660*Assumptions!I$13),-2)</f>
        <v>0</v>
      </c>
      <c r="M1660" s="288">
        <f>ROUND(L1660+(L1660*Assumptions!J$13),-2)</f>
        <v>0</v>
      </c>
      <c r="N1660" s="288">
        <f>ROUND(M1660+(M1660*Assumptions!K$13),-2)</f>
        <v>0</v>
      </c>
    </row>
    <row r="1661" spans="1:14" x14ac:dyDescent="0.25">
      <c r="B1661" s="16" t="s">
        <v>3228</v>
      </c>
      <c r="C1661" s="16" t="s">
        <v>2623</v>
      </c>
      <c r="D1661" s="16" t="s">
        <v>2624</v>
      </c>
      <c r="E1661" s="289"/>
      <c r="F1661" s="289"/>
      <c r="G1661" s="289"/>
      <c r="H1661" s="289"/>
      <c r="I1661" s="289"/>
      <c r="J1661" s="289"/>
      <c r="K1661" s="289"/>
      <c r="L1661" s="289"/>
      <c r="M1661" s="289"/>
      <c r="N1661" s="289"/>
    </row>
    <row r="1662" spans="1:14" x14ac:dyDescent="0.25">
      <c r="B1662" s="16" t="s">
        <v>3228</v>
      </c>
      <c r="C1662" s="16" t="s">
        <v>2625</v>
      </c>
      <c r="D1662" s="27" t="s">
        <v>2626</v>
      </c>
      <c r="E1662" s="288">
        <v>-770000</v>
      </c>
      <c r="F1662" s="288">
        <f>E1662</f>
        <v>-770000</v>
      </c>
      <c r="G1662" s="288">
        <f t="shared" ref="G1662:N1662" si="50">F1662</f>
        <v>-770000</v>
      </c>
      <c r="H1662" s="288">
        <f t="shared" si="50"/>
        <v>-770000</v>
      </c>
      <c r="I1662" s="288">
        <f t="shared" si="50"/>
        <v>-770000</v>
      </c>
      <c r="J1662" s="288">
        <f t="shared" si="50"/>
        <v>-770000</v>
      </c>
      <c r="K1662" s="288">
        <f t="shared" si="50"/>
        <v>-770000</v>
      </c>
      <c r="L1662" s="288">
        <f t="shared" si="50"/>
        <v>-770000</v>
      </c>
      <c r="M1662" s="288">
        <f t="shared" si="50"/>
        <v>-770000</v>
      </c>
      <c r="N1662" s="288">
        <f t="shared" si="50"/>
        <v>-770000</v>
      </c>
    </row>
    <row r="1663" spans="1:14" x14ac:dyDescent="0.25">
      <c r="B1663" s="16" t="s">
        <v>3228</v>
      </c>
      <c r="C1663" s="16" t="s">
        <v>2627</v>
      </c>
      <c r="D1663" s="27" t="s">
        <v>2628</v>
      </c>
      <c r="E1663" s="289"/>
      <c r="F1663" s="289"/>
      <c r="G1663" s="289"/>
      <c r="H1663" s="289"/>
      <c r="I1663" s="289"/>
      <c r="J1663" s="289"/>
      <c r="K1663" s="289"/>
      <c r="L1663" s="289"/>
      <c r="M1663" s="289"/>
      <c r="N1663" s="289"/>
    </row>
    <row r="1664" spans="1:14" x14ac:dyDescent="0.25">
      <c r="B1664" s="16" t="s">
        <v>3228</v>
      </c>
      <c r="C1664" s="16" t="s">
        <v>2629</v>
      </c>
      <c r="D1664" s="27" t="s">
        <v>2630</v>
      </c>
      <c r="E1664" s="288">
        <v>-57000</v>
      </c>
      <c r="F1664" s="288">
        <f>ROUND(E1664+(E1664*Assumptions!C$13),-2)</f>
        <v>-58100</v>
      </c>
      <c r="G1664" s="288">
        <f>ROUND(F1664+(F1664*Assumptions!D$13),-2)</f>
        <v>-59600</v>
      </c>
      <c r="H1664" s="288">
        <f>ROUND(G1664+(G1664*Assumptions!E$13),-2)</f>
        <v>-61100</v>
      </c>
      <c r="I1664" s="288">
        <f>ROUND(H1664+(H1664*Assumptions!F$13),-2)</f>
        <v>-62600</v>
      </c>
      <c r="J1664" s="288">
        <f>ROUND(I1664+(I1664*Assumptions!G$13),-2)</f>
        <v>-64200</v>
      </c>
      <c r="K1664" s="288">
        <f>ROUND(J1664+(J1664*Assumptions!H$13),-2)</f>
        <v>-65800</v>
      </c>
      <c r="L1664" s="288">
        <f>ROUND(K1664+(K1664*Assumptions!I$13),-2)</f>
        <v>-67400</v>
      </c>
      <c r="M1664" s="288">
        <f>ROUND(L1664+(L1664*Assumptions!J$13),-2)</f>
        <v>-69100</v>
      </c>
      <c r="N1664" s="288">
        <f>ROUND(M1664+(M1664*Assumptions!K$13),-2)</f>
        <v>-70800</v>
      </c>
    </row>
    <row r="1665" spans="2:14" x14ac:dyDescent="0.25">
      <c r="B1665" s="16" t="s">
        <v>3228</v>
      </c>
      <c r="C1665" s="16" t="s">
        <v>2631</v>
      </c>
      <c r="D1665" s="27" t="s">
        <v>2632</v>
      </c>
      <c r="E1665" s="288">
        <v>-41000</v>
      </c>
      <c r="F1665" s="288">
        <f>ROUND(E1665+(E1665*Assumptions!C$13),-2)</f>
        <v>-41800</v>
      </c>
      <c r="G1665" s="288">
        <f>ROUND(F1665+(F1665*Assumptions!D$13),-2)</f>
        <v>-42800</v>
      </c>
      <c r="H1665" s="288">
        <f>ROUND(G1665+(G1665*Assumptions!E$13),-2)</f>
        <v>-43900</v>
      </c>
      <c r="I1665" s="288">
        <f>ROUND(H1665+(H1665*Assumptions!F$13),-2)</f>
        <v>-45000</v>
      </c>
      <c r="J1665" s="288">
        <f>ROUND(I1665+(I1665*Assumptions!G$13),-2)</f>
        <v>-46100</v>
      </c>
      <c r="K1665" s="288">
        <f>ROUND(J1665+(J1665*Assumptions!H$13),-2)</f>
        <v>-47300</v>
      </c>
      <c r="L1665" s="288">
        <f>ROUND(K1665+(K1665*Assumptions!I$13),-2)</f>
        <v>-48500</v>
      </c>
      <c r="M1665" s="288">
        <f>ROUND(L1665+(L1665*Assumptions!J$13),-2)</f>
        <v>-49700</v>
      </c>
      <c r="N1665" s="288">
        <f>ROUND(M1665+(M1665*Assumptions!K$13),-2)</f>
        <v>-50900</v>
      </c>
    </row>
    <row r="1666" spans="2:14" x14ac:dyDescent="0.25">
      <c r="B1666" s="16" t="s">
        <v>3228</v>
      </c>
      <c r="C1666" s="16" t="s">
        <v>2633</v>
      </c>
      <c r="D1666" s="27" t="s">
        <v>2634</v>
      </c>
      <c r="E1666" s="288">
        <v>-3000</v>
      </c>
      <c r="F1666" s="288">
        <f>ROUND(E1666+(E1666*Assumptions!C$13),-2)</f>
        <v>-3100</v>
      </c>
      <c r="G1666" s="288">
        <f>ROUND(F1666+(F1666*Assumptions!D$13),-2)</f>
        <v>-3200</v>
      </c>
      <c r="H1666" s="288">
        <f>ROUND(G1666+(G1666*Assumptions!E$13),-2)</f>
        <v>-3300</v>
      </c>
      <c r="I1666" s="288">
        <f>ROUND(H1666+(H1666*Assumptions!F$13),-2)</f>
        <v>-3400</v>
      </c>
      <c r="J1666" s="288">
        <f>ROUND(I1666+(I1666*Assumptions!G$13),-2)</f>
        <v>-3500</v>
      </c>
      <c r="K1666" s="288">
        <f>ROUND(J1666+(J1666*Assumptions!H$13),-2)</f>
        <v>-3600</v>
      </c>
      <c r="L1666" s="288">
        <f>ROUND(K1666+(K1666*Assumptions!I$13),-2)</f>
        <v>-3700</v>
      </c>
      <c r="M1666" s="288">
        <f>ROUND(L1666+(L1666*Assumptions!J$13),-2)</f>
        <v>-3800</v>
      </c>
      <c r="N1666" s="288">
        <f>ROUND(M1666+(M1666*Assumptions!K$13),-2)</f>
        <v>-3900</v>
      </c>
    </row>
    <row r="1667" spans="2:14" x14ac:dyDescent="0.25">
      <c r="B1667" s="16" t="s">
        <v>3228</v>
      </c>
      <c r="C1667" s="16" t="s">
        <v>2635</v>
      </c>
      <c r="D1667" s="27" t="s">
        <v>2628</v>
      </c>
      <c r="E1667" s="289"/>
      <c r="F1667" s="289"/>
      <c r="G1667" s="289"/>
      <c r="H1667" s="289"/>
      <c r="I1667" s="289"/>
      <c r="J1667" s="289"/>
      <c r="K1667" s="289"/>
      <c r="L1667" s="289"/>
      <c r="M1667" s="289"/>
      <c r="N1667" s="289"/>
    </row>
    <row r="1668" spans="2:14" x14ac:dyDescent="0.25">
      <c r="B1668" s="16" t="s">
        <v>3228</v>
      </c>
      <c r="C1668" s="16" t="s">
        <v>2636</v>
      </c>
      <c r="D1668" s="27" t="s">
        <v>2637</v>
      </c>
      <c r="E1668" s="288">
        <v>-37800</v>
      </c>
      <c r="F1668" s="288">
        <f>ROUND(E1668+(E1668*Assumptions!C$13),-2)</f>
        <v>-38600</v>
      </c>
      <c r="G1668" s="288">
        <f>ROUND(F1668+(F1668*Assumptions!D$13),-2)</f>
        <v>-39600</v>
      </c>
      <c r="H1668" s="288">
        <f>ROUND(G1668+(G1668*Assumptions!E$13),-2)</f>
        <v>-40600</v>
      </c>
      <c r="I1668" s="288">
        <f>ROUND(H1668+(H1668*Assumptions!F$13),-2)</f>
        <v>-41600</v>
      </c>
      <c r="J1668" s="288">
        <f>ROUND(I1668+(I1668*Assumptions!G$13),-2)</f>
        <v>-42600</v>
      </c>
      <c r="K1668" s="288">
        <f>ROUND(J1668+(J1668*Assumptions!H$13),-2)</f>
        <v>-43700</v>
      </c>
      <c r="L1668" s="288">
        <f>ROUND(K1668+(K1668*Assumptions!I$13),-2)</f>
        <v>-44800</v>
      </c>
      <c r="M1668" s="288">
        <f>ROUND(L1668+(L1668*Assumptions!J$13),-2)</f>
        <v>-45900</v>
      </c>
      <c r="N1668" s="288">
        <f>ROUND(M1668+(M1668*Assumptions!K$13),-2)</f>
        <v>-47000</v>
      </c>
    </row>
    <row r="1669" spans="2:14" x14ac:dyDescent="0.25">
      <c r="B1669" s="16" t="s">
        <v>3228</v>
      </c>
      <c r="C1669" s="16" t="s">
        <v>2638</v>
      </c>
      <c r="D1669" s="27" t="s">
        <v>2639</v>
      </c>
      <c r="E1669" s="288">
        <v>-272200</v>
      </c>
      <c r="F1669" s="288">
        <f>E1669</f>
        <v>-272200</v>
      </c>
      <c r="G1669" s="288">
        <f t="shared" ref="G1669:N1671" si="51">F1669</f>
        <v>-272200</v>
      </c>
      <c r="H1669" s="288">
        <f t="shared" si="51"/>
        <v>-272200</v>
      </c>
      <c r="I1669" s="288">
        <f t="shared" si="51"/>
        <v>-272200</v>
      </c>
      <c r="J1669" s="288">
        <f t="shared" si="51"/>
        <v>-272200</v>
      </c>
      <c r="K1669" s="288">
        <f t="shared" si="51"/>
        <v>-272200</v>
      </c>
      <c r="L1669" s="288">
        <f t="shared" si="51"/>
        <v>-272200</v>
      </c>
      <c r="M1669" s="288">
        <f t="shared" si="51"/>
        <v>-272200</v>
      </c>
      <c r="N1669" s="288">
        <f t="shared" si="51"/>
        <v>-272200</v>
      </c>
    </row>
    <row r="1670" spans="2:14" x14ac:dyDescent="0.25">
      <c r="B1670" s="16" t="s">
        <v>3228</v>
      </c>
      <c r="C1670" s="16" t="s">
        <v>2640</v>
      </c>
      <c r="D1670" s="27" t="s">
        <v>2641</v>
      </c>
      <c r="E1670" s="288">
        <v>-31300</v>
      </c>
      <c r="F1670" s="288">
        <f>E1670</f>
        <v>-31300</v>
      </c>
      <c r="G1670" s="288">
        <f t="shared" si="51"/>
        <v>-31300</v>
      </c>
      <c r="H1670" s="288">
        <f t="shared" si="51"/>
        <v>-31300</v>
      </c>
      <c r="I1670" s="288">
        <f t="shared" si="51"/>
        <v>-31300</v>
      </c>
      <c r="J1670" s="288">
        <f t="shared" si="51"/>
        <v>-31300</v>
      </c>
      <c r="K1670" s="288">
        <f t="shared" si="51"/>
        <v>-31300</v>
      </c>
      <c r="L1670" s="288">
        <f t="shared" si="51"/>
        <v>-31300</v>
      </c>
      <c r="M1670" s="288">
        <f t="shared" si="51"/>
        <v>-31300</v>
      </c>
      <c r="N1670" s="288">
        <f t="shared" si="51"/>
        <v>-31300</v>
      </c>
    </row>
    <row r="1671" spans="2:14" x14ac:dyDescent="0.25">
      <c r="B1671" s="16" t="s">
        <v>3228</v>
      </c>
      <c r="C1671" s="16" t="s">
        <v>2642</v>
      </c>
      <c r="D1671" s="27" t="s">
        <v>2643</v>
      </c>
      <c r="E1671" s="288">
        <v>-310300</v>
      </c>
      <c r="F1671" s="288">
        <f>E1671</f>
        <v>-310300</v>
      </c>
      <c r="G1671" s="288">
        <f t="shared" si="51"/>
        <v>-310300</v>
      </c>
      <c r="H1671" s="288">
        <f t="shared" si="51"/>
        <v>-310300</v>
      </c>
      <c r="I1671" s="288">
        <f t="shared" si="51"/>
        <v>-310300</v>
      </c>
      <c r="J1671" s="288">
        <f t="shared" si="51"/>
        <v>-310300</v>
      </c>
      <c r="K1671" s="288">
        <f t="shared" si="51"/>
        <v>-310300</v>
      </c>
      <c r="L1671" s="288">
        <f t="shared" si="51"/>
        <v>-310300</v>
      </c>
      <c r="M1671" s="288">
        <f t="shared" si="51"/>
        <v>-310300</v>
      </c>
      <c r="N1671" s="288">
        <f t="shared" si="51"/>
        <v>-310300</v>
      </c>
    </row>
    <row r="1672" spans="2:14" x14ac:dyDescent="0.25">
      <c r="B1672" s="16" t="s">
        <v>3228</v>
      </c>
      <c r="C1672" s="16" t="s">
        <v>2644</v>
      </c>
      <c r="D1672" s="27" t="s">
        <v>2645</v>
      </c>
      <c r="E1672" s="288">
        <v>-2300</v>
      </c>
      <c r="F1672" s="288">
        <f>ROUND(E1672+(E1672*Assumptions!C$13),-2)</f>
        <v>-2300</v>
      </c>
      <c r="G1672" s="288">
        <f>ROUND(F1672+(F1672*Assumptions!D$13),-2)</f>
        <v>-2400</v>
      </c>
      <c r="H1672" s="288">
        <f>ROUND(G1672+(G1672*Assumptions!E$13),-2)</f>
        <v>-2500</v>
      </c>
      <c r="I1672" s="288">
        <f>ROUND(H1672+(H1672*Assumptions!F$13),-2)</f>
        <v>-2600</v>
      </c>
      <c r="J1672" s="288">
        <f>ROUND(I1672+(I1672*Assumptions!G$13),-2)</f>
        <v>-2700</v>
      </c>
      <c r="K1672" s="288">
        <f>ROUND(J1672+(J1672*Assumptions!H$13),-2)</f>
        <v>-2800</v>
      </c>
      <c r="L1672" s="288">
        <f>ROUND(K1672+(K1672*Assumptions!I$13),-2)</f>
        <v>-2900</v>
      </c>
      <c r="M1672" s="288">
        <f>ROUND(L1672+(L1672*Assumptions!J$13),-2)</f>
        <v>-3000</v>
      </c>
      <c r="N1672" s="288">
        <f>ROUND(M1672+(M1672*Assumptions!K$13),-2)</f>
        <v>-3100</v>
      </c>
    </row>
    <row r="1673" spans="2:14" x14ac:dyDescent="0.25">
      <c r="B1673" s="16" t="s">
        <v>3228</v>
      </c>
      <c r="C1673" s="16" t="s">
        <v>2646</v>
      </c>
      <c r="D1673" s="27" t="s">
        <v>2647</v>
      </c>
      <c r="E1673" s="288">
        <v>-17300</v>
      </c>
      <c r="F1673" s="288">
        <f>E1673</f>
        <v>-17300</v>
      </c>
      <c r="G1673" s="288">
        <f t="shared" ref="G1673:N1676" si="52">F1673</f>
        <v>-17300</v>
      </c>
      <c r="H1673" s="288">
        <f t="shared" si="52"/>
        <v>-17300</v>
      </c>
      <c r="I1673" s="288">
        <f t="shared" si="52"/>
        <v>-17300</v>
      </c>
      <c r="J1673" s="288">
        <f t="shared" si="52"/>
        <v>-17300</v>
      </c>
      <c r="K1673" s="288">
        <f t="shared" si="52"/>
        <v>-17300</v>
      </c>
      <c r="L1673" s="288">
        <f t="shared" si="52"/>
        <v>-17300</v>
      </c>
      <c r="M1673" s="288">
        <f t="shared" si="52"/>
        <v>-17300</v>
      </c>
      <c r="N1673" s="288">
        <f t="shared" si="52"/>
        <v>-17300</v>
      </c>
    </row>
    <row r="1674" spans="2:14" x14ac:dyDescent="0.25">
      <c r="B1674" s="16" t="s">
        <v>3228</v>
      </c>
      <c r="C1674" s="16" t="s">
        <v>2648</v>
      </c>
      <c r="D1674" s="27" t="s">
        <v>2649</v>
      </c>
      <c r="E1674" s="288">
        <v>-383500</v>
      </c>
      <c r="F1674" s="288">
        <f>E1674</f>
        <v>-383500</v>
      </c>
      <c r="G1674" s="288">
        <f t="shared" si="52"/>
        <v>-383500</v>
      </c>
      <c r="H1674" s="288">
        <f t="shared" si="52"/>
        <v>-383500</v>
      </c>
      <c r="I1674" s="288">
        <f t="shared" si="52"/>
        <v>-383500</v>
      </c>
      <c r="J1674" s="288">
        <f t="shared" si="52"/>
        <v>-383500</v>
      </c>
      <c r="K1674" s="288">
        <f t="shared" si="52"/>
        <v>-383500</v>
      </c>
      <c r="L1674" s="288">
        <f t="shared" si="52"/>
        <v>-383500</v>
      </c>
      <c r="M1674" s="288">
        <f t="shared" si="52"/>
        <v>-383500</v>
      </c>
      <c r="N1674" s="288">
        <f t="shared" si="52"/>
        <v>-383500</v>
      </c>
    </row>
    <row r="1675" spans="2:14" x14ac:dyDescent="0.25">
      <c r="B1675" s="16" t="s">
        <v>3228</v>
      </c>
      <c r="C1675" s="16" t="s">
        <v>2650</v>
      </c>
      <c r="D1675" s="27" t="s">
        <v>2651</v>
      </c>
      <c r="E1675" s="288">
        <v>-90600</v>
      </c>
      <c r="F1675" s="288">
        <f>E1675</f>
        <v>-90600</v>
      </c>
      <c r="G1675" s="288">
        <f t="shared" si="52"/>
        <v>-90600</v>
      </c>
      <c r="H1675" s="288">
        <f t="shared" si="52"/>
        <v>-90600</v>
      </c>
      <c r="I1675" s="288">
        <f t="shared" si="52"/>
        <v>-90600</v>
      </c>
      <c r="J1675" s="288">
        <f t="shared" si="52"/>
        <v>-90600</v>
      </c>
      <c r="K1675" s="288">
        <f t="shared" si="52"/>
        <v>-90600</v>
      </c>
      <c r="L1675" s="288">
        <f t="shared" si="52"/>
        <v>-90600</v>
      </c>
      <c r="M1675" s="288">
        <f t="shared" si="52"/>
        <v>-90600</v>
      </c>
      <c r="N1675" s="288">
        <f t="shared" si="52"/>
        <v>-90600</v>
      </c>
    </row>
    <row r="1676" spans="2:14" x14ac:dyDescent="0.25">
      <c r="B1676" s="16" t="s">
        <v>3228</v>
      </c>
      <c r="C1676" s="16" t="s">
        <v>2652</v>
      </c>
      <c r="D1676" s="27" t="s">
        <v>2653</v>
      </c>
      <c r="E1676" s="288">
        <v>-33500</v>
      </c>
      <c r="F1676" s="288">
        <f>E1676</f>
        <v>-33500</v>
      </c>
      <c r="G1676" s="288">
        <f t="shared" si="52"/>
        <v>-33500</v>
      </c>
      <c r="H1676" s="288">
        <f t="shared" si="52"/>
        <v>-33500</v>
      </c>
      <c r="I1676" s="288">
        <f t="shared" si="52"/>
        <v>-33500</v>
      </c>
      <c r="J1676" s="288">
        <f t="shared" si="52"/>
        <v>-33500</v>
      </c>
      <c r="K1676" s="288">
        <f t="shared" si="52"/>
        <v>-33500</v>
      </c>
      <c r="L1676" s="288">
        <f t="shared" si="52"/>
        <v>-33500</v>
      </c>
      <c r="M1676" s="288">
        <f t="shared" si="52"/>
        <v>-33500</v>
      </c>
      <c r="N1676" s="288">
        <f t="shared" si="52"/>
        <v>-33500</v>
      </c>
    </row>
    <row r="1677" spans="2:14" x14ac:dyDescent="0.25">
      <c r="B1677" s="16" t="s">
        <v>3228</v>
      </c>
      <c r="C1677" s="16" t="s">
        <v>2654</v>
      </c>
      <c r="D1677" s="27" t="s">
        <v>2655</v>
      </c>
      <c r="E1677" s="288">
        <v>-4000</v>
      </c>
      <c r="F1677" s="288">
        <f>ROUND(E1677+(E1677*Assumptions!C$13),-2)</f>
        <v>-4100</v>
      </c>
      <c r="G1677" s="288">
        <f>ROUND(F1677+(F1677*Assumptions!D$13),-2)</f>
        <v>-4200</v>
      </c>
      <c r="H1677" s="288">
        <f>ROUND(G1677+(G1677*Assumptions!E$13),-2)</f>
        <v>-4300</v>
      </c>
      <c r="I1677" s="288">
        <f>ROUND(H1677+(H1677*Assumptions!F$13),-2)</f>
        <v>-4400</v>
      </c>
      <c r="J1677" s="288">
        <f>ROUND(I1677+(I1677*Assumptions!G$13),-2)</f>
        <v>-4500</v>
      </c>
      <c r="K1677" s="288">
        <f>ROUND(J1677+(J1677*Assumptions!H$13),-2)</f>
        <v>-4600</v>
      </c>
      <c r="L1677" s="288">
        <f>ROUND(K1677+(K1677*Assumptions!I$13),-2)</f>
        <v>-4700</v>
      </c>
      <c r="M1677" s="288">
        <f>ROUND(L1677+(L1677*Assumptions!J$13),-2)</f>
        <v>-4800</v>
      </c>
      <c r="N1677" s="288">
        <f>ROUND(M1677+(M1677*Assumptions!K$13),-2)</f>
        <v>-4900</v>
      </c>
    </row>
    <row r="1678" spans="2:14" x14ac:dyDescent="0.25">
      <c r="B1678" s="16" t="s">
        <v>3228</v>
      </c>
      <c r="C1678" s="16" t="s">
        <v>2656</v>
      </c>
      <c r="D1678" s="27" t="s">
        <v>227</v>
      </c>
      <c r="E1678" s="289"/>
      <c r="F1678" s="289"/>
      <c r="G1678" s="289"/>
      <c r="H1678" s="289"/>
      <c r="I1678" s="289"/>
      <c r="J1678" s="289"/>
      <c r="K1678" s="289"/>
      <c r="L1678" s="289"/>
      <c r="M1678" s="289"/>
      <c r="N1678" s="289"/>
    </row>
    <row r="1679" spans="2:14" x14ac:dyDescent="0.25">
      <c r="B1679" s="16" t="s">
        <v>3228</v>
      </c>
      <c r="C1679" s="16" t="s">
        <v>2657</v>
      </c>
      <c r="D1679" s="27" t="s">
        <v>208</v>
      </c>
      <c r="E1679" s="288">
        <v>-4000</v>
      </c>
      <c r="F1679" s="288">
        <v>0</v>
      </c>
      <c r="G1679" s="288">
        <v>0</v>
      </c>
      <c r="H1679" s="288">
        <v>0</v>
      </c>
      <c r="I1679" s="288">
        <v>0</v>
      </c>
      <c r="J1679" s="288">
        <v>0</v>
      </c>
      <c r="K1679" s="288">
        <v>0</v>
      </c>
      <c r="L1679" s="288">
        <v>0</v>
      </c>
      <c r="M1679" s="288">
        <v>0</v>
      </c>
      <c r="N1679" s="288">
        <v>0</v>
      </c>
    </row>
    <row r="1680" spans="2:14" x14ac:dyDescent="0.25">
      <c r="B1680" s="16" t="s">
        <v>3228</v>
      </c>
      <c r="C1680" s="16" t="s">
        <v>2658</v>
      </c>
      <c r="D1680" s="27" t="s">
        <v>2659</v>
      </c>
      <c r="E1680" s="288">
        <v>-4000</v>
      </c>
      <c r="F1680" s="288">
        <f>ROUND(E1680+(E1680*Assumptions!C$13),-2)</f>
        <v>-4100</v>
      </c>
      <c r="G1680" s="288">
        <f>ROUND(F1680+(F1680*Assumptions!D$13),-2)</f>
        <v>-4200</v>
      </c>
      <c r="H1680" s="288">
        <f>ROUND(G1680+(G1680*Assumptions!E$13),-2)</f>
        <v>-4300</v>
      </c>
      <c r="I1680" s="288">
        <f>ROUND(H1680+(H1680*Assumptions!F$13),-2)</f>
        <v>-4400</v>
      </c>
      <c r="J1680" s="288">
        <f>ROUND(I1680+(I1680*Assumptions!G$13),-2)</f>
        <v>-4500</v>
      </c>
      <c r="K1680" s="288">
        <f>ROUND(J1680+(J1680*Assumptions!H$13),-2)</f>
        <v>-4600</v>
      </c>
      <c r="L1680" s="288">
        <f>ROUND(K1680+(K1680*Assumptions!I$13),-2)</f>
        <v>-4700</v>
      </c>
      <c r="M1680" s="288">
        <f>ROUND(L1680+(L1680*Assumptions!J$13),-2)</f>
        <v>-4800</v>
      </c>
      <c r="N1680" s="288">
        <f>ROUND(M1680+(M1680*Assumptions!K$13),-2)</f>
        <v>-4900</v>
      </c>
    </row>
    <row r="1681" spans="2:14" ht="12.75" customHeight="1" x14ac:dyDescent="0.25">
      <c r="E1681" s="288"/>
      <c r="F1681" s="288"/>
      <c r="G1681" s="288"/>
      <c r="H1681" s="288"/>
      <c r="I1681" s="288"/>
      <c r="J1681" s="288"/>
      <c r="K1681" s="288"/>
      <c r="L1681" s="288"/>
      <c r="M1681" s="288"/>
      <c r="N1681" s="288"/>
    </row>
    <row r="1682" spans="2:14" ht="12.75" customHeight="1" x14ac:dyDescent="0.25">
      <c r="D1682" s="19" t="s">
        <v>3234</v>
      </c>
      <c r="E1682" s="291">
        <f>SUM(E1655:E1681)</f>
        <v>-2182800</v>
      </c>
      <c r="F1682" s="291">
        <f t="shared" ref="F1682:N1682" si="53">SUM(F1655:F1681)</f>
        <v>-2184200</v>
      </c>
      <c r="G1682" s="291">
        <f t="shared" si="53"/>
        <v>-2191200</v>
      </c>
      <c r="H1682" s="291">
        <f t="shared" si="53"/>
        <v>-2198400</v>
      </c>
      <c r="I1682" s="291">
        <f t="shared" si="53"/>
        <v>-2205600</v>
      </c>
      <c r="J1682" s="291">
        <f t="shared" si="53"/>
        <v>-2213000</v>
      </c>
      <c r="K1682" s="291">
        <f t="shared" si="53"/>
        <v>-2220700</v>
      </c>
      <c r="L1682" s="291">
        <f t="shared" si="53"/>
        <v>-2228500</v>
      </c>
      <c r="M1682" s="291">
        <f t="shared" si="53"/>
        <v>-2236500</v>
      </c>
      <c r="N1682" s="291">
        <f t="shared" si="53"/>
        <v>-2244600</v>
      </c>
    </row>
    <row r="1683" spans="2:14" ht="12.75" customHeight="1" x14ac:dyDescent="0.25">
      <c r="E1683" s="288"/>
      <c r="F1683" s="288"/>
      <c r="G1683" s="288"/>
      <c r="H1683" s="288"/>
      <c r="I1683" s="288"/>
      <c r="J1683" s="288"/>
      <c r="K1683" s="288"/>
      <c r="L1683" s="288"/>
      <c r="M1683" s="288"/>
      <c r="N1683" s="288"/>
    </row>
    <row r="1684" spans="2:14" x14ac:dyDescent="0.25">
      <c r="C1684" s="19" t="s">
        <v>2660</v>
      </c>
      <c r="E1684" s="288"/>
      <c r="F1684" s="288"/>
      <c r="G1684" s="288"/>
      <c r="H1684" s="288"/>
      <c r="I1684" s="288"/>
      <c r="J1684" s="288"/>
      <c r="K1684" s="288"/>
      <c r="L1684" s="288"/>
      <c r="M1684" s="288"/>
      <c r="N1684" s="288"/>
    </row>
    <row r="1685" spans="2:14" ht="12.75" customHeight="1" x14ac:dyDescent="0.25">
      <c r="E1685" s="288"/>
      <c r="F1685" s="288"/>
      <c r="G1685" s="288"/>
      <c r="H1685" s="288"/>
      <c r="I1685" s="288"/>
      <c r="J1685" s="288"/>
      <c r="K1685" s="288"/>
      <c r="L1685" s="288"/>
      <c r="M1685" s="288"/>
      <c r="N1685" s="288"/>
    </row>
    <row r="1686" spans="2:14" x14ac:dyDescent="0.25">
      <c r="C1686" s="16" t="s">
        <v>87</v>
      </c>
      <c r="E1686" s="288"/>
      <c r="F1686" s="288"/>
      <c r="G1686" s="288"/>
      <c r="H1686" s="288"/>
      <c r="I1686" s="288"/>
      <c r="J1686" s="288"/>
      <c r="K1686" s="288"/>
      <c r="L1686" s="288"/>
      <c r="M1686" s="288"/>
      <c r="N1686" s="288"/>
    </row>
    <row r="1687" spans="2:14" x14ac:dyDescent="0.25">
      <c r="C1687" s="16" t="s">
        <v>2661</v>
      </c>
      <c r="D1687" s="16" t="s">
        <v>2662</v>
      </c>
      <c r="E1687" s="289"/>
      <c r="F1687" s="289"/>
      <c r="G1687" s="289"/>
      <c r="H1687" s="289"/>
      <c r="I1687" s="289"/>
      <c r="J1687" s="289"/>
      <c r="K1687" s="289"/>
      <c r="L1687" s="289"/>
      <c r="M1687" s="289"/>
      <c r="N1687" s="289"/>
    </row>
    <row r="1688" spans="2:14" x14ac:dyDescent="0.25">
      <c r="B1688" s="16" t="s">
        <v>41</v>
      </c>
      <c r="C1688" s="16" t="s">
        <v>2663</v>
      </c>
      <c r="D1688" s="16" t="s">
        <v>2664</v>
      </c>
      <c r="E1688" s="288">
        <v>88700</v>
      </c>
      <c r="F1688" s="288">
        <f>ROUND(IF($A1688="E",E1688*(1+Assumptions!C$15),E1688*(1+Assumptions!C$14)),-2)</f>
        <v>90000</v>
      </c>
      <c r="G1688" s="288">
        <f>ROUND(IF($A1688="E",F1688*(1+Assumptions!D$15),F1688*(1+Assumptions!D$14)),-2)</f>
        <v>91800</v>
      </c>
      <c r="H1688" s="288">
        <f>ROUND(IF($A1688="E",G1688*(1+Assumptions!E$15),G1688*(1+Assumptions!E$14)),-2)</f>
        <v>93600</v>
      </c>
      <c r="I1688" s="288">
        <f>ROUND(IF($A1688="E",H1688*(1+Assumptions!F$15),H1688*(1+Assumptions!F$14)),-2)</f>
        <v>95500</v>
      </c>
      <c r="J1688" s="288">
        <f>ROUND(IF($A1688="E",I1688*(1+Assumptions!G$15),I1688*(1+Assumptions!G$14)),-2)</f>
        <v>97400</v>
      </c>
      <c r="K1688" s="288">
        <f>ROUND(IF($A1688="E",J1688*(1+Assumptions!H$15),J1688*(1+Assumptions!H$14)),-2)</f>
        <v>99300</v>
      </c>
      <c r="L1688" s="288">
        <f>ROUND(IF($A1688="E",K1688*(1+Assumptions!I$15),K1688*(1+Assumptions!I$14)),-2)</f>
        <v>101800</v>
      </c>
      <c r="M1688" s="288">
        <f>ROUND(IF($A1688="E",L1688*(1+Assumptions!J$15),L1688*(1+Assumptions!J$14)),-2)</f>
        <v>104300</v>
      </c>
      <c r="N1688" s="288">
        <f>ROUND(IF($A1688="E",M1688*(1+Assumptions!K$15),M1688*(1+Assumptions!K$14)),-2)</f>
        <v>106900</v>
      </c>
    </row>
    <row r="1689" spans="2:14" x14ac:dyDescent="0.25">
      <c r="B1689" s="16" t="s">
        <v>45</v>
      </c>
      <c r="C1689" s="16" t="s">
        <v>2665</v>
      </c>
      <c r="D1689" s="16" t="s">
        <v>2666</v>
      </c>
      <c r="E1689" s="288">
        <v>15200</v>
      </c>
      <c r="F1689" s="288">
        <f>ROUND(IF($A1689="E",E1689*(1+Assumptions!C$15),E1689*(1+Assumptions!C$14)),-2)</f>
        <v>15400</v>
      </c>
      <c r="G1689" s="288">
        <f>ROUND(IF($A1689="E",F1689*(1+Assumptions!D$15),F1689*(1+Assumptions!D$14)),-2)</f>
        <v>15700</v>
      </c>
      <c r="H1689" s="288">
        <f>ROUND(IF($A1689="E",G1689*(1+Assumptions!E$15),G1689*(1+Assumptions!E$14)),-2)</f>
        <v>16000</v>
      </c>
      <c r="I1689" s="288">
        <f>ROUND(IF($A1689="E",H1689*(1+Assumptions!F$15),H1689*(1+Assumptions!F$14)),-2)</f>
        <v>16300</v>
      </c>
      <c r="J1689" s="288">
        <f>ROUND(IF($A1689="E",I1689*(1+Assumptions!G$15),I1689*(1+Assumptions!G$14)),-2)</f>
        <v>16600</v>
      </c>
      <c r="K1689" s="288">
        <f>ROUND(IF($A1689="E",J1689*(1+Assumptions!H$15),J1689*(1+Assumptions!H$14)),-2)</f>
        <v>16900</v>
      </c>
      <c r="L1689" s="288">
        <f>ROUND(IF($A1689="E",K1689*(1+Assumptions!I$15),K1689*(1+Assumptions!I$14)),-2)</f>
        <v>17300</v>
      </c>
      <c r="M1689" s="288">
        <f>ROUND(IF($A1689="E",L1689*(1+Assumptions!J$15),L1689*(1+Assumptions!J$14)),-2)</f>
        <v>17700</v>
      </c>
      <c r="N1689" s="288">
        <f>ROUND(IF($A1689="E",M1689*(1+Assumptions!K$15),M1689*(1+Assumptions!K$14)),-2)</f>
        <v>18100</v>
      </c>
    </row>
    <row r="1690" spans="2:14" x14ac:dyDescent="0.25">
      <c r="C1690" s="16" t="s">
        <v>2667</v>
      </c>
      <c r="D1690" s="16" t="s">
        <v>223</v>
      </c>
      <c r="E1690" s="289"/>
      <c r="F1690" s="289"/>
      <c r="G1690" s="289"/>
      <c r="H1690" s="289"/>
      <c r="I1690" s="289"/>
      <c r="J1690" s="289"/>
      <c r="K1690" s="289"/>
      <c r="L1690" s="289"/>
      <c r="M1690" s="289"/>
      <c r="N1690" s="289"/>
    </row>
    <row r="1691" spans="2:14" x14ac:dyDescent="0.25">
      <c r="B1691" s="16" t="s">
        <v>43</v>
      </c>
      <c r="C1691" s="16" t="s">
        <v>2668</v>
      </c>
      <c r="D1691" s="16" t="s">
        <v>193</v>
      </c>
      <c r="E1691" s="288">
        <v>175100</v>
      </c>
      <c r="F1691" s="288">
        <f>ROUND(IF($A1691="E",E1691*(1+Assumptions!C$15),E1691*(1+Assumptions!C$14)),-2)</f>
        <v>177700</v>
      </c>
      <c r="G1691" s="288">
        <f>ROUND(IF($A1691="E",F1691*(1+Assumptions!D$15),F1691*(1+Assumptions!D$14)),-2)</f>
        <v>181300</v>
      </c>
      <c r="H1691" s="288">
        <f>ROUND(IF($A1691="E",G1691*(1+Assumptions!E$15),G1691*(1+Assumptions!E$14)),-2)</f>
        <v>184900</v>
      </c>
      <c r="I1691" s="288">
        <f>ROUND(IF($A1691="E",H1691*(1+Assumptions!F$15),H1691*(1+Assumptions!F$14)),-2)</f>
        <v>188600</v>
      </c>
      <c r="J1691" s="288">
        <f>ROUND(IF($A1691="E",I1691*(1+Assumptions!G$15),I1691*(1+Assumptions!G$14)),-2)</f>
        <v>192400</v>
      </c>
      <c r="K1691" s="288">
        <f>ROUND(IF($A1691="E",J1691*(1+Assumptions!H$15),J1691*(1+Assumptions!H$14)),-2)</f>
        <v>196200</v>
      </c>
      <c r="L1691" s="288">
        <f>ROUND(IF($A1691="E",K1691*(1+Assumptions!I$15),K1691*(1+Assumptions!I$14)),-2)</f>
        <v>201100</v>
      </c>
      <c r="M1691" s="288">
        <f>ROUND(IF($A1691="E",L1691*(1+Assumptions!J$15),L1691*(1+Assumptions!J$14)),-2)</f>
        <v>206100</v>
      </c>
      <c r="N1691" s="288">
        <f>ROUND(IF($A1691="E",M1691*(1+Assumptions!K$15),M1691*(1+Assumptions!K$14)),-2)</f>
        <v>211300</v>
      </c>
    </row>
    <row r="1692" spans="2:14" x14ac:dyDescent="0.25">
      <c r="C1692" s="16" t="s">
        <v>2669</v>
      </c>
      <c r="D1692" s="16" t="s">
        <v>2670</v>
      </c>
      <c r="E1692" s="289"/>
      <c r="F1692" s="289"/>
      <c r="G1692" s="289"/>
      <c r="H1692" s="289"/>
      <c r="I1692" s="289"/>
      <c r="J1692" s="289"/>
      <c r="K1692" s="289"/>
      <c r="L1692" s="289"/>
      <c r="M1692" s="289"/>
      <c r="N1692" s="289"/>
    </row>
    <row r="1693" spans="2:14" x14ac:dyDescent="0.25">
      <c r="B1693" s="16" t="s">
        <v>41</v>
      </c>
      <c r="C1693" s="16" t="s">
        <v>2671</v>
      </c>
      <c r="D1693" s="16" t="s">
        <v>2672</v>
      </c>
      <c r="E1693" s="288">
        <v>113800</v>
      </c>
      <c r="F1693" s="288">
        <f>ROUND(IF($A1693="E",E1693*(1+Assumptions!C$15),E1693*(1+Assumptions!C$14)),-2)</f>
        <v>115500</v>
      </c>
      <c r="G1693" s="288">
        <f>ROUND(IF($A1693="E",F1693*(1+Assumptions!D$15),F1693*(1+Assumptions!D$14)),-2)</f>
        <v>117800</v>
      </c>
      <c r="H1693" s="288">
        <f>ROUND(IF($A1693="E",G1693*(1+Assumptions!E$15),G1693*(1+Assumptions!E$14)),-2)</f>
        <v>120200</v>
      </c>
      <c r="I1693" s="288">
        <f>ROUND(IF($A1693="E",H1693*(1+Assumptions!F$15),H1693*(1+Assumptions!F$14)),-2)</f>
        <v>122600</v>
      </c>
      <c r="J1693" s="288">
        <f>ROUND(IF($A1693="E",I1693*(1+Assumptions!G$15),I1693*(1+Assumptions!G$14)),-2)</f>
        <v>125100</v>
      </c>
      <c r="K1693" s="288">
        <f>ROUND(IF($A1693="E",J1693*(1+Assumptions!H$15),J1693*(1+Assumptions!H$14)),-2)</f>
        <v>127600</v>
      </c>
      <c r="L1693" s="288">
        <f>ROUND(IF($A1693="E",K1693*(1+Assumptions!I$15),K1693*(1+Assumptions!I$14)),-2)</f>
        <v>130800</v>
      </c>
      <c r="M1693" s="288">
        <f>ROUND(IF($A1693="E",L1693*(1+Assumptions!J$15),L1693*(1+Assumptions!J$14)),-2)</f>
        <v>134100</v>
      </c>
      <c r="N1693" s="288">
        <f>ROUND(IF($A1693="E",M1693*(1+Assumptions!K$15),M1693*(1+Assumptions!K$14)),-2)</f>
        <v>137500</v>
      </c>
    </row>
    <row r="1694" spans="2:14" x14ac:dyDescent="0.25">
      <c r="B1694" s="16" t="s">
        <v>41</v>
      </c>
      <c r="C1694" s="16" t="s">
        <v>2673</v>
      </c>
      <c r="D1694" s="16" t="s">
        <v>2674</v>
      </c>
      <c r="E1694" s="288">
        <v>88800</v>
      </c>
      <c r="F1694" s="288">
        <f>ROUND(IF($A1694="E",E1694*(1+Assumptions!C$15),E1694*(1+Assumptions!C$14)),-2)</f>
        <v>90100</v>
      </c>
      <c r="G1694" s="288">
        <f>ROUND(IF($A1694="E",F1694*(1+Assumptions!D$15),F1694*(1+Assumptions!D$14)),-2)</f>
        <v>91900</v>
      </c>
      <c r="H1694" s="288">
        <f>ROUND(IF($A1694="E",G1694*(1+Assumptions!E$15),G1694*(1+Assumptions!E$14)),-2)</f>
        <v>93700</v>
      </c>
      <c r="I1694" s="288">
        <f>ROUND(IF($A1694="E",H1694*(1+Assumptions!F$15),H1694*(1+Assumptions!F$14)),-2)</f>
        <v>95600</v>
      </c>
      <c r="J1694" s="288">
        <f>ROUND(IF($A1694="E",I1694*(1+Assumptions!G$15),I1694*(1+Assumptions!G$14)),-2)</f>
        <v>97500</v>
      </c>
      <c r="K1694" s="288">
        <f>ROUND(IF($A1694="E",J1694*(1+Assumptions!H$15),J1694*(1+Assumptions!H$14)),-2)</f>
        <v>99500</v>
      </c>
      <c r="L1694" s="288">
        <f>ROUND(IF($A1694="E",K1694*(1+Assumptions!I$15),K1694*(1+Assumptions!I$14)),-2)</f>
        <v>102000</v>
      </c>
      <c r="M1694" s="288">
        <f>ROUND(IF($A1694="E",L1694*(1+Assumptions!J$15),L1694*(1+Assumptions!J$14)),-2)</f>
        <v>104600</v>
      </c>
      <c r="N1694" s="288">
        <f>ROUND(IF($A1694="E",M1694*(1+Assumptions!K$15),M1694*(1+Assumptions!K$14)),-2)</f>
        <v>107200</v>
      </c>
    </row>
    <row r="1695" spans="2:14" x14ac:dyDescent="0.25">
      <c r="B1695" s="16" t="s">
        <v>45</v>
      </c>
      <c r="C1695" s="16" t="s">
        <v>2675</v>
      </c>
      <c r="D1695" s="16" t="s">
        <v>2676</v>
      </c>
      <c r="E1695" s="288">
        <v>10100</v>
      </c>
      <c r="F1695" s="288">
        <f>ROUND(IF($A1695="E",E1695*(1+Assumptions!C$15),E1695*(1+Assumptions!C$14)),-2)</f>
        <v>10300</v>
      </c>
      <c r="G1695" s="288">
        <f>ROUND(IF($A1695="E",F1695*(1+Assumptions!D$15),F1695*(1+Assumptions!D$14)),-2)</f>
        <v>10500</v>
      </c>
      <c r="H1695" s="288">
        <f>ROUND(IF($A1695="E",G1695*(1+Assumptions!E$15),G1695*(1+Assumptions!E$14)),-2)</f>
        <v>10700</v>
      </c>
      <c r="I1695" s="288">
        <f>ROUND(IF($A1695="E",H1695*(1+Assumptions!F$15),H1695*(1+Assumptions!F$14)),-2)</f>
        <v>10900</v>
      </c>
      <c r="J1695" s="288">
        <f>ROUND(IF($A1695="E",I1695*(1+Assumptions!G$15),I1695*(1+Assumptions!G$14)),-2)</f>
        <v>11100</v>
      </c>
      <c r="K1695" s="288">
        <f>ROUND(IF($A1695="E",J1695*(1+Assumptions!H$15),J1695*(1+Assumptions!H$14)),-2)</f>
        <v>11300</v>
      </c>
      <c r="L1695" s="288">
        <f>ROUND(IF($A1695="E",K1695*(1+Assumptions!I$15),K1695*(1+Assumptions!I$14)),-2)</f>
        <v>11600</v>
      </c>
      <c r="M1695" s="288">
        <f>ROUND(IF($A1695="E",L1695*(1+Assumptions!J$15),L1695*(1+Assumptions!J$14)),-2)</f>
        <v>11900</v>
      </c>
      <c r="N1695" s="288">
        <f>ROUND(IF($A1695="E",M1695*(1+Assumptions!K$15),M1695*(1+Assumptions!K$14)),-2)</f>
        <v>12200</v>
      </c>
    </row>
    <row r="1696" spans="2:14" x14ac:dyDescent="0.25">
      <c r="B1696" s="16" t="s">
        <v>43</v>
      </c>
      <c r="C1696" s="16" t="s">
        <v>2677</v>
      </c>
      <c r="D1696" s="16" t="s">
        <v>97</v>
      </c>
      <c r="E1696" s="288">
        <v>8000</v>
      </c>
      <c r="F1696" s="288">
        <f>ROUND(IF($A1696="E",E1696*(1+Assumptions!C$15),E1696*(1+Assumptions!C$14)),-2)</f>
        <v>8100</v>
      </c>
      <c r="G1696" s="288">
        <f>ROUND(IF($A1696="E",F1696*(1+Assumptions!D$15),F1696*(1+Assumptions!D$14)),-2)</f>
        <v>8300</v>
      </c>
      <c r="H1696" s="288">
        <f>ROUND(IF($A1696="E",G1696*(1+Assumptions!E$15),G1696*(1+Assumptions!E$14)),-2)</f>
        <v>8500</v>
      </c>
      <c r="I1696" s="288">
        <f>ROUND(IF($A1696="E",H1696*(1+Assumptions!F$15),H1696*(1+Assumptions!F$14)),-2)</f>
        <v>8700</v>
      </c>
      <c r="J1696" s="288">
        <f>ROUND(IF($A1696="E",I1696*(1+Assumptions!G$15),I1696*(1+Assumptions!G$14)),-2)</f>
        <v>8900</v>
      </c>
      <c r="K1696" s="288">
        <f>ROUND(IF($A1696="E",J1696*(1+Assumptions!H$15),J1696*(1+Assumptions!H$14)),-2)</f>
        <v>9100</v>
      </c>
      <c r="L1696" s="288">
        <f>ROUND(IF($A1696="E",K1696*(1+Assumptions!I$15),K1696*(1+Assumptions!I$14)),-2)</f>
        <v>9300</v>
      </c>
      <c r="M1696" s="288">
        <f>ROUND(IF($A1696="E",L1696*(1+Assumptions!J$15),L1696*(1+Assumptions!J$14)),-2)</f>
        <v>9500</v>
      </c>
      <c r="N1696" s="288">
        <f>ROUND(IF($A1696="E",M1696*(1+Assumptions!K$15),M1696*(1+Assumptions!K$14)),-2)</f>
        <v>9700</v>
      </c>
    </row>
    <row r="1697" spans="2:14" x14ac:dyDescent="0.25">
      <c r="C1697" s="16" t="s">
        <v>2678</v>
      </c>
      <c r="D1697" s="16" t="s">
        <v>2679</v>
      </c>
      <c r="E1697" s="289"/>
      <c r="F1697" s="289"/>
      <c r="G1697" s="289"/>
      <c r="H1697" s="289"/>
      <c r="I1697" s="289"/>
      <c r="J1697" s="289"/>
      <c r="K1697" s="289"/>
      <c r="L1697" s="289"/>
      <c r="M1697" s="289"/>
      <c r="N1697" s="289"/>
    </row>
    <row r="1698" spans="2:14" x14ac:dyDescent="0.25">
      <c r="B1698" s="16" t="s">
        <v>45</v>
      </c>
      <c r="C1698" s="16" t="s">
        <v>2680</v>
      </c>
      <c r="D1698" s="16" t="s">
        <v>93</v>
      </c>
      <c r="E1698" s="288">
        <v>1000</v>
      </c>
      <c r="F1698" s="288">
        <f>ROUND(IF($A1698="E",E1698*(1+Assumptions!C$15),E1698*(1+Assumptions!C$14)),-2)</f>
        <v>1000</v>
      </c>
      <c r="G1698" s="288">
        <f>ROUND(IF($A1698="E",F1698*(1+Assumptions!D$15),F1698*(1+Assumptions!D$14)),-2)</f>
        <v>1000</v>
      </c>
      <c r="H1698" s="288">
        <f>ROUND(IF($A1698="E",G1698*(1+Assumptions!E$15),G1698*(1+Assumptions!E$14)),-2)</f>
        <v>1000</v>
      </c>
      <c r="I1698" s="288">
        <f>ROUND(IF($A1698="E",H1698*(1+Assumptions!F$15),H1698*(1+Assumptions!F$14)),-2)</f>
        <v>1000</v>
      </c>
      <c r="J1698" s="288">
        <f>ROUND(IF($A1698="E",I1698*(1+Assumptions!G$15),I1698*(1+Assumptions!G$14)),-2)</f>
        <v>1000</v>
      </c>
      <c r="K1698" s="288">
        <f>ROUND(IF($A1698="E",J1698*(1+Assumptions!H$15),J1698*(1+Assumptions!H$14)),-2)</f>
        <v>1000</v>
      </c>
      <c r="L1698" s="288">
        <f>ROUND(IF($A1698="E",K1698*(1+Assumptions!I$15),K1698*(1+Assumptions!I$14)),-2)</f>
        <v>1000</v>
      </c>
      <c r="M1698" s="288">
        <f>ROUND(IF($A1698="E",L1698*(1+Assumptions!J$15),L1698*(1+Assumptions!J$14)),-2)</f>
        <v>1000</v>
      </c>
      <c r="N1698" s="288">
        <f>ROUND(IF($A1698="E",M1698*(1+Assumptions!K$15),M1698*(1+Assumptions!K$14)),-2)</f>
        <v>1000</v>
      </c>
    </row>
    <row r="1699" spans="2:14" x14ac:dyDescent="0.25">
      <c r="B1699" s="16" t="s">
        <v>45</v>
      </c>
      <c r="C1699" s="16" t="s">
        <v>2681</v>
      </c>
      <c r="D1699" s="16" t="s">
        <v>2682</v>
      </c>
      <c r="E1699" s="288">
        <v>10100</v>
      </c>
      <c r="F1699" s="288">
        <f>ROUND(IF($A1699="E",E1699*(1+Assumptions!C$15),E1699*(1+Assumptions!C$14)),-2)</f>
        <v>10300</v>
      </c>
      <c r="G1699" s="288">
        <f>ROUND(IF($A1699="E",F1699*(1+Assumptions!D$15),F1699*(1+Assumptions!D$14)),-2)</f>
        <v>10500</v>
      </c>
      <c r="H1699" s="288">
        <f>ROUND(IF($A1699="E",G1699*(1+Assumptions!E$15),G1699*(1+Assumptions!E$14)),-2)</f>
        <v>10700</v>
      </c>
      <c r="I1699" s="288">
        <f>ROUND(IF($A1699="E",H1699*(1+Assumptions!F$15),H1699*(1+Assumptions!F$14)),-2)</f>
        <v>10900</v>
      </c>
      <c r="J1699" s="288">
        <f>ROUND(IF($A1699="E",I1699*(1+Assumptions!G$15),I1699*(1+Assumptions!G$14)),-2)</f>
        <v>11100</v>
      </c>
      <c r="K1699" s="288">
        <f>ROUND(IF($A1699="E",J1699*(1+Assumptions!H$15),J1699*(1+Assumptions!H$14)),-2)</f>
        <v>11300</v>
      </c>
      <c r="L1699" s="288">
        <f>ROUND(IF($A1699="E",K1699*(1+Assumptions!I$15),K1699*(1+Assumptions!I$14)),-2)</f>
        <v>11600</v>
      </c>
      <c r="M1699" s="288">
        <f>ROUND(IF($A1699="E",L1699*(1+Assumptions!J$15),L1699*(1+Assumptions!J$14)),-2)</f>
        <v>11900</v>
      </c>
      <c r="N1699" s="288">
        <f>ROUND(IF($A1699="E",M1699*(1+Assumptions!K$15),M1699*(1+Assumptions!K$14)),-2)</f>
        <v>12200</v>
      </c>
    </row>
    <row r="1700" spans="2:14" x14ac:dyDescent="0.25">
      <c r="B1700" s="16" t="s">
        <v>45</v>
      </c>
      <c r="C1700" s="16" t="s">
        <v>2683</v>
      </c>
      <c r="D1700" s="16" t="s">
        <v>2684</v>
      </c>
      <c r="E1700" s="288">
        <v>10100</v>
      </c>
      <c r="F1700" s="288">
        <f>ROUND(IF($A1700="E",E1700*(1+Assumptions!C$15),E1700*(1+Assumptions!C$14)),-2)</f>
        <v>10300</v>
      </c>
      <c r="G1700" s="288">
        <f>ROUND(IF($A1700="E",F1700*(1+Assumptions!D$15),F1700*(1+Assumptions!D$14)),-2)</f>
        <v>10500</v>
      </c>
      <c r="H1700" s="288">
        <f>ROUND(IF($A1700="E",G1700*(1+Assumptions!E$15),G1700*(1+Assumptions!E$14)),-2)</f>
        <v>10700</v>
      </c>
      <c r="I1700" s="288">
        <f>ROUND(IF($A1700="E",H1700*(1+Assumptions!F$15),H1700*(1+Assumptions!F$14)),-2)</f>
        <v>10900</v>
      </c>
      <c r="J1700" s="288">
        <f>ROUND(IF($A1700="E",I1700*(1+Assumptions!G$15),I1700*(1+Assumptions!G$14)),-2)</f>
        <v>11100</v>
      </c>
      <c r="K1700" s="288">
        <f>ROUND(IF($A1700="E",J1700*(1+Assumptions!H$15),J1700*(1+Assumptions!H$14)),-2)</f>
        <v>11300</v>
      </c>
      <c r="L1700" s="288">
        <f>ROUND(IF($A1700="E",K1700*(1+Assumptions!I$15),K1700*(1+Assumptions!I$14)),-2)</f>
        <v>11600</v>
      </c>
      <c r="M1700" s="288">
        <f>ROUND(IF($A1700="E",L1700*(1+Assumptions!J$15),L1700*(1+Assumptions!J$14)),-2)</f>
        <v>11900</v>
      </c>
      <c r="N1700" s="288">
        <f>ROUND(IF($A1700="E",M1700*(1+Assumptions!K$15),M1700*(1+Assumptions!K$14)),-2)</f>
        <v>12200</v>
      </c>
    </row>
    <row r="1701" spans="2:14" x14ac:dyDescent="0.25">
      <c r="B1701" s="16" t="s">
        <v>45</v>
      </c>
      <c r="C1701" s="16" t="s">
        <v>2685</v>
      </c>
      <c r="D1701" s="16" t="s">
        <v>2686</v>
      </c>
      <c r="E1701" s="289"/>
      <c r="F1701" s="289"/>
      <c r="G1701" s="289"/>
      <c r="H1701" s="289"/>
      <c r="I1701" s="289"/>
      <c r="J1701" s="289"/>
      <c r="K1701" s="289"/>
      <c r="L1701" s="289"/>
      <c r="M1701" s="289"/>
      <c r="N1701" s="289"/>
    </row>
    <row r="1702" spans="2:14" x14ac:dyDescent="0.25">
      <c r="B1702" s="16" t="s">
        <v>45</v>
      </c>
      <c r="C1702" s="16" t="s">
        <v>2687</v>
      </c>
      <c r="D1702" s="16" t="s">
        <v>2688</v>
      </c>
      <c r="E1702" s="288">
        <v>45200</v>
      </c>
      <c r="F1702" s="288">
        <f>ROUND(IF($A1702="E",E1702*(1+Assumptions!C$15),E1702*(1+Assumptions!C$14)),-2)</f>
        <v>45900</v>
      </c>
      <c r="G1702" s="288">
        <f>ROUND(IF($A1702="E",F1702*(1+Assumptions!D$15),F1702*(1+Assumptions!D$14)),-2)</f>
        <v>46800</v>
      </c>
      <c r="H1702" s="288">
        <f>ROUND(IF($A1702="E",G1702*(1+Assumptions!E$15),G1702*(1+Assumptions!E$14)),-2)</f>
        <v>47700</v>
      </c>
      <c r="I1702" s="288">
        <f>ROUND(IF($A1702="E",H1702*(1+Assumptions!F$15),H1702*(1+Assumptions!F$14)),-2)</f>
        <v>48700</v>
      </c>
      <c r="J1702" s="288">
        <f>ROUND(IF($A1702="E",I1702*(1+Assumptions!G$15),I1702*(1+Assumptions!G$14)),-2)</f>
        <v>49700</v>
      </c>
      <c r="K1702" s="288">
        <f>ROUND(IF($A1702="E",J1702*(1+Assumptions!H$15),J1702*(1+Assumptions!H$14)),-2)</f>
        <v>50700</v>
      </c>
      <c r="L1702" s="288">
        <f>ROUND(IF($A1702="E",K1702*(1+Assumptions!I$15),K1702*(1+Assumptions!I$14)),-2)</f>
        <v>52000</v>
      </c>
      <c r="M1702" s="288">
        <f>ROUND(IF($A1702="E",L1702*(1+Assumptions!J$15),L1702*(1+Assumptions!J$14)),-2)</f>
        <v>53300</v>
      </c>
      <c r="N1702" s="288">
        <f>ROUND(IF($A1702="E",M1702*(1+Assumptions!K$15),M1702*(1+Assumptions!K$14)),-2)</f>
        <v>54600</v>
      </c>
    </row>
    <row r="1703" spans="2:14" x14ac:dyDescent="0.25">
      <c r="B1703" s="16" t="s">
        <v>45</v>
      </c>
      <c r="C1703" s="16" t="s">
        <v>2689</v>
      </c>
      <c r="D1703" s="16" t="s">
        <v>2690</v>
      </c>
      <c r="E1703" s="288">
        <v>20000</v>
      </c>
      <c r="F1703" s="288">
        <f>ROUND(IF($A1703="E",E1703*(1+Assumptions!C$15),E1703*(1+Assumptions!C$14)),-2)</f>
        <v>20300</v>
      </c>
      <c r="G1703" s="288">
        <f>ROUND(IF($A1703="E",F1703*(1+Assumptions!D$15),F1703*(1+Assumptions!D$14)),-2)</f>
        <v>20700</v>
      </c>
      <c r="H1703" s="288">
        <f>ROUND(IF($A1703="E",G1703*(1+Assumptions!E$15),G1703*(1+Assumptions!E$14)),-2)</f>
        <v>21100</v>
      </c>
      <c r="I1703" s="288">
        <f>ROUND(IF($A1703="E",H1703*(1+Assumptions!F$15),H1703*(1+Assumptions!F$14)),-2)</f>
        <v>21500</v>
      </c>
      <c r="J1703" s="288">
        <f>ROUND(IF($A1703="E",I1703*(1+Assumptions!G$15),I1703*(1+Assumptions!G$14)),-2)</f>
        <v>21900</v>
      </c>
      <c r="K1703" s="288">
        <f>ROUND(IF($A1703="E",J1703*(1+Assumptions!H$15),J1703*(1+Assumptions!H$14)),-2)</f>
        <v>22300</v>
      </c>
      <c r="L1703" s="288">
        <f>ROUND(IF($A1703="E",K1703*(1+Assumptions!I$15),K1703*(1+Assumptions!I$14)),-2)</f>
        <v>22900</v>
      </c>
      <c r="M1703" s="288">
        <f>ROUND(IF($A1703="E",L1703*(1+Assumptions!J$15),L1703*(1+Assumptions!J$14)),-2)</f>
        <v>23500</v>
      </c>
      <c r="N1703" s="288">
        <f>ROUND(IF($A1703="E",M1703*(1+Assumptions!K$15),M1703*(1+Assumptions!K$14)),-2)</f>
        <v>24100</v>
      </c>
    </row>
    <row r="1704" spans="2:14" x14ac:dyDescent="0.25">
      <c r="B1704" s="16" t="s">
        <v>43</v>
      </c>
      <c r="C1704" s="16" t="s">
        <v>2691</v>
      </c>
      <c r="D1704" s="16" t="s">
        <v>2692</v>
      </c>
      <c r="E1704" s="288"/>
      <c r="F1704" s="288"/>
      <c r="G1704" s="288"/>
      <c r="H1704" s="288"/>
      <c r="I1704" s="288"/>
      <c r="J1704" s="288"/>
      <c r="K1704" s="288"/>
      <c r="L1704" s="288"/>
      <c r="M1704" s="288"/>
      <c r="N1704" s="288"/>
    </row>
    <row r="1705" spans="2:14" ht="12.75" customHeight="1" x14ac:dyDescent="0.25">
      <c r="E1705" s="288"/>
      <c r="F1705" s="288"/>
      <c r="G1705" s="288"/>
      <c r="H1705" s="288"/>
      <c r="I1705" s="288"/>
      <c r="J1705" s="288"/>
      <c r="K1705" s="288"/>
      <c r="L1705" s="288"/>
      <c r="M1705" s="288"/>
      <c r="N1705" s="288"/>
    </row>
    <row r="1706" spans="2:14" ht="12.75" customHeight="1" x14ac:dyDescent="0.25">
      <c r="D1706" s="19" t="s">
        <v>3234</v>
      </c>
      <c r="E1706" s="291">
        <f>SUM(E1687:E1705)</f>
        <v>586100</v>
      </c>
      <c r="F1706" s="291">
        <f t="shared" ref="F1706:N1706" si="54">SUM(F1687:F1705)</f>
        <v>594900</v>
      </c>
      <c r="G1706" s="291">
        <f t="shared" si="54"/>
        <v>606800</v>
      </c>
      <c r="H1706" s="291">
        <f t="shared" si="54"/>
        <v>618800</v>
      </c>
      <c r="I1706" s="291">
        <f t="shared" si="54"/>
        <v>631200</v>
      </c>
      <c r="J1706" s="291">
        <f t="shared" si="54"/>
        <v>643800</v>
      </c>
      <c r="K1706" s="291">
        <f t="shared" si="54"/>
        <v>656500</v>
      </c>
      <c r="L1706" s="291">
        <f t="shared" si="54"/>
        <v>673000</v>
      </c>
      <c r="M1706" s="291">
        <f t="shared" si="54"/>
        <v>689800</v>
      </c>
      <c r="N1706" s="291">
        <f t="shared" si="54"/>
        <v>707000</v>
      </c>
    </row>
    <row r="1707" spans="2:14" ht="12.75" customHeight="1" x14ac:dyDescent="0.25">
      <c r="E1707" s="288"/>
      <c r="F1707" s="288"/>
      <c r="G1707" s="288"/>
      <c r="H1707" s="288"/>
      <c r="I1707" s="288"/>
      <c r="J1707" s="288"/>
      <c r="K1707" s="288"/>
      <c r="L1707" s="288"/>
      <c r="M1707" s="288"/>
      <c r="N1707" s="288"/>
    </row>
    <row r="1708" spans="2:14" x14ac:dyDescent="0.25">
      <c r="C1708" s="16" t="s">
        <v>315</v>
      </c>
      <c r="E1708" s="288"/>
      <c r="F1708" s="288"/>
      <c r="G1708" s="288"/>
      <c r="H1708" s="288"/>
      <c r="I1708" s="288"/>
      <c r="J1708" s="288"/>
      <c r="K1708" s="288"/>
      <c r="L1708" s="288"/>
      <c r="M1708" s="288"/>
      <c r="N1708" s="288"/>
    </row>
    <row r="1709" spans="2:14" x14ac:dyDescent="0.25">
      <c r="B1709" s="16" t="s">
        <v>3229</v>
      </c>
      <c r="C1709" s="16" t="s">
        <v>2693</v>
      </c>
      <c r="D1709" s="16" t="s">
        <v>2694</v>
      </c>
      <c r="E1709" s="289"/>
      <c r="F1709" s="289"/>
      <c r="G1709" s="289"/>
      <c r="H1709" s="289"/>
      <c r="I1709" s="289"/>
      <c r="J1709" s="289"/>
      <c r="K1709" s="289"/>
      <c r="L1709" s="289"/>
      <c r="M1709" s="289"/>
      <c r="N1709" s="289"/>
    </row>
    <row r="1710" spans="2:14" x14ac:dyDescent="0.25">
      <c r="B1710" s="16" t="s">
        <v>3229</v>
      </c>
      <c r="C1710" s="16" t="s">
        <v>2695</v>
      </c>
      <c r="D1710" s="16" t="s">
        <v>2696</v>
      </c>
      <c r="E1710" s="288">
        <v>0</v>
      </c>
      <c r="F1710" s="288">
        <f>ROUND(E1710+(E1710*Assumptions!C$13),-2)</f>
        <v>0</v>
      </c>
      <c r="G1710" s="288">
        <f>ROUND(F1710+(F1710*Assumptions!D$13),-2)</f>
        <v>0</v>
      </c>
      <c r="H1710" s="288">
        <f>ROUND(G1710+(G1710*Assumptions!E$13),-2)</f>
        <v>0</v>
      </c>
      <c r="I1710" s="288">
        <f>ROUND(H1710+(H1710*Assumptions!F$13),-2)</f>
        <v>0</v>
      </c>
      <c r="J1710" s="288">
        <f>ROUND(I1710+(I1710*Assumptions!G$13),-2)</f>
        <v>0</v>
      </c>
      <c r="K1710" s="288">
        <f>ROUND(J1710+(J1710*Assumptions!H$13),-2)</f>
        <v>0</v>
      </c>
      <c r="L1710" s="288">
        <f>ROUND(K1710+(K1710*Assumptions!I$13),-2)</f>
        <v>0</v>
      </c>
      <c r="M1710" s="288">
        <f>ROUND(L1710+(L1710*Assumptions!J$13),-2)</f>
        <v>0</v>
      </c>
      <c r="N1710" s="288">
        <f>ROUND(M1710+(M1710*Assumptions!K$13),-2)</f>
        <v>0</v>
      </c>
    </row>
    <row r="1711" spans="2:14" ht="12.75" customHeight="1" x14ac:dyDescent="0.25">
      <c r="E1711" s="288"/>
      <c r="F1711" s="288"/>
      <c r="G1711" s="288"/>
      <c r="H1711" s="288"/>
      <c r="I1711" s="288"/>
      <c r="J1711" s="288"/>
      <c r="K1711" s="288"/>
      <c r="L1711" s="288"/>
      <c r="M1711" s="288"/>
      <c r="N1711" s="288"/>
    </row>
    <row r="1712" spans="2:14" ht="12.75" customHeight="1" x14ac:dyDescent="0.25">
      <c r="D1712" s="19" t="s">
        <v>3234</v>
      </c>
      <c r="E1712" s="291">
        <f>SUM(E1709:E1711)</f>
        <v>0</v>
      </c>
      <c r="F1712" s="291">
        <f t="shared" ref="F1712:N1712" si="55">SUM(F1709:F1711)</f>
        <v>0</v>
      </c>
      <c r="G1712" s="291">
        <f t="shared" si="55"/>
        <v>0</v>
      </c>
      <c r="H1712" s="291">
        <f t="shared" si="55"/>
        <v>0</v>
      </c>
      <c r="I1712" s="291">
        <f t="shared" si="55"/>
        <v>0</v>
      </c>
      <c r="J1712" s="291">
        <f t="shared" si="55"/>
        <v>0</v>
      </c>
      <c r="K1712" s="291">
        <f t="shared" si="55"/>
        <v>0</v>
      </c>
      <c r="L1712" s="291">
        <f t="shared" si="55"/>
        <v>0</v>
      </c>
      <c r="M1712" s="291">
        <f t="shared" si="55"/>
        <v>0</v>
      </c>
      <c r="N1712" s="291">
        <f t="shared" si="55"/>
        <v>0</v>
      </c>
    </row>
    <row r="1713" spans="2:14" ht="12.75" customHeight="1" x14ac:dyDescent="0.25">
      <c r="E1713" s="288"/>
      <c r="F1713" s="288"/>
      <c r="G1713" s="288"/>
      <c r="H1713" s="288"/>
      <c r="I1713" s="288"/>
      <c r="J1713" s="288"/>
      <c r="K1713" s="288"/>
      <c r="L1713" s="288"/>
      <c r="M1713" s="288"/>
      <c r="N1713" s="288"/>
    </row>
    <row r="1714" spans="2:14" x14ac:dyDescent="0.25">
      <c r="C1714" s="19" t="s">
        <v>2697</v>
      </c>
      <c r="E1714" s="288"/>
      <c r="F1714" s="288"/>
      <c r="G1714" s="288"/>
      <c r="H1714" s="288"/>
      <c r="I1714" s="288"/>
      <c r="J1714" s="288"/>
      <c r="K1714" s="288"/>
      <c r="L1714" s="288"/>
      <c r="M1714" s="288"/>
      <c r="N1714" s="288"/>
    </row>
    <row r="1715" spans="2:14" ht="12.75" customHeight="1" x14ac:dyDescent="0.25">
      <c r="E1715" s="288"/>
      <c r="F1715" s="288"/>
      <c r="G1715" s="288"/>
      <c r="H1715" s="288"/>
      <c r="I1715" s="288"/>
      <c r="J1715" s="288"/>
      <c r="K1715" s="288"/>
      <c r="L1715" s="288"/>
      <c r="M1715" s="288"/>
      <c r="N1715" s="288"/>
    </row>
    <row r="1716" spans="2:14" x14ac:dyDescent="0.25">
      <c r="C1716" s="16" t="s">
        <v>87</v>
      </c>
      <c r="E1716" s="288"/>
      <c r="F1716" s="288"/>
      <c r="G1716" s="288"/>
      <c r="H1716" s="288"/>
      <c r="I1716" s="288"/>
      <c r="J1716" s="288"/>
      <c r="K1716" s="288"/>
      <c r="L1716" s="288"/>
      <c r="M1716" s="288"/>
      <c r="N1716" s="288"/>
    </row>
    <row r="1717" spans="2:14" x14ac:dyDescent="0.25">
      <c r="C1717" s="16" t="s">
        <v>2698</v>
      </c>
      <c r="D1717" s="16" t="s">
        <v>2699</v>
      </c>
      <c r="E1717" s="289"/>
      <c r="F1717" s="289"/>
      <c r="G1717" s="289"/>
      <c r="H1717" s="289"/>
      <c r="I1717" s="289"/>
      <c r="J1717" s="289"/>
      <c r="K1717" s="289"/>
      <c r="L1717" s="289"/>
      <c r="M1717" s="289"/>
      <c r="N1717" s="289"/>
    </row>
    <row r="1718" spans="2:14" x14ac:dyDescent="0.25">
      <c r="B1718" s="16" t="s">
        <v>41</v>
      </c>
      <c r="C1718" s="16" t="s">
        <v>2700</v>
      </c>
      <c r="D1718" s="16" t="s">
        <v>201</v>
      </c>
      <c r="E1718" s="288">
        <v>980600</v>
      </c>
      <c r="F1718" s="288">
        <f>ROUND(IF($A1718="E",E1718*(1+Assumptions!C$15),E1718*(1+Assumptions!C$14)),-2)</f>
        <v>995300</v>
      </c>
      <c r="G1718" s="288">
        <f>ROUND(IF($A1718="E",F1718*(1+Assumptions!D$15),F1718*(1+Assumptions!D$14)),-2)</f>
        <v>1015200</v>
      </c>
      <c r="H1718" s="288">
        <f>ROUND(IF($A1718="E",G1718*(1+Assumptions!E$15),G1718*(1+Assumptions!E$14)),-2)</f>
        <v>1035500</v>
      </c>
      <c r="I1718" s="288">
        <f>ROUND(IF($A1718="E",H1718*(1+Assumptions!F$15),H1718*(1+Assumptions!F$14)),-2)</f>
        <v>1056200</v>
      </c>
      <c r="J1718" s="288">
        <f>ROUND(IF($A1718="E",I1718*(1+Assumptions!G$15),I1718*(1+Assumptions!G$14)),-2)</f>
        <v>1077300</v>
      </c>
      <c r="K1718" s="288">
        <f>ROUND(IF($A1718="E",J1718*(1+Assumptions!H$15),J1718*(1+Assumptions!H$14)),-2)</f>
        <v>1098800</v>
      </c>
      <c r="L1718" s="288">
        <f>ROUND(IF($A1718="E",K1718*(1+Assumptions!I$15),K1718*(1+Assumptions!I$14)),-2)</f>
        <v>1126300</v>
      </c>
      <c r="M1718" s="288">
        <f>ROUND(IF($A1718="E",L1718*(1+Assumptions!J$15),L1718*(1+Assumptions!J$14)),-2)</f>
        <v>1154500</v>
      </c>
      <c r="N1718" s="288">
        <f>ROUND(IF($A1718="E",M1718*(1+Assumptions!K$15),M1718*(1+Assumptions!K$14)),-2)</f>
        <v>1183400</v>
      </c>
    </row>
    <row r="1719" spans="2:14" x14ac:dyDescent="0.25">
      <c r="B1719" s="16" t="s">
        <v>45</v>
      </c>
      <c r="C1719" s="16" t="s">
        <v>2701</v>
      </c>
      <c r="D1719" s="16" t="s">
        <v>230</v>
      </c>
      <c r="E1719" s="288">
        <v>7000</v>
      </c>
      <c r="F1719" s="288">
        <f>ROUND(IF($A1719="E",E1719*(1+Assumptions!C$15),E1719*(1+Assumptions!C$14)),-2)</f>
        <v>7100</v>
      </c>
      <c r="G1719" s="288">
        <f>ROUND(IF($A1719="E",F1719*(1+Assumptions!D$15),F1719*(1+Assumptions!D$14)),-2)</f>
        <v>7200</v>
      </c>
      <c r="H1719" s="288">
        <f>ROUND(IF($A1719="E",G1719*(1+Assumptions!E$15),G1719*(1+Assumptions!E$14)),-2)</f>
        <v>7300</v>
      </c>
      <c r="I1719" s="288">
        <f>ROUND(IF($A1719="E",H1719*(1+Assumptions!F$15),H1719*(1+Assumptions!F$14)),-2)</f>
        <v>7400</v>
      </c>
      <c r="J1719" s="288">
        <f>ROUND(IF($A1719="E",I1719*(1+Assumptions!G$15),I1719*(1+Assumptions!G$14)),-2)</f>
        <v>7500</v>
      </c>
      <c r="K1719" s="288">
        <f>ROUND(IF($A1719="E",J1719*(1+Assumptions!H$15),J1719*(1+Assumptions!H$14)),-2)</f>
        <v>7700</v>
      </c>
      <c r="L1719" s="288">
        <f>ROUND(IF($A1719="E",K1719*(1+Assumptions!I$15),K1719*(1+Assumptions!I$14)),-2)</f>
        <v>7900</v>
      </c>
      <c r="M1719" s="288">
        <f>ROUND(IF($A1719="E",L1719*(1+Assumptions!J$15),L1719*(1+Assumptions!J$14)),-2)</f>
        <v>8100</v>
      </c>
      <c r="N1719" s="288">
        <f>ROUND(IF($A1719="E",M1719*(1+Assumptions!K$15),M1719*(1+Assumptions!K$14)),-2)</f>
        <v>8300</v>
      </c>
    </row>
    <row r="1720" spans="2:14" x14ac:dyDescent="0.25">
      <c r="B1720" s="16" t="s">
        <v>45</v>
      </c>
      <c r="C1720" s="16" t="s">
        <v>2702</v>
      </c>
      <c r="D1720" s="16" t="s">
        <v>817</v>
      </c>
      <c r="E1720" s="288">
        <v>3000</v>
      </c>
      <c r="F1720" s="288">
        <f>ROUND(IF($A1720="E",E1720*(1+Assumptions!C$15),E1720*(1+Assumptions!C$14)),-2)</f>
        <v>3000</v>
      </c>
      <c r="G1720" s="288">
        <f>ROUND(IF($A1720="E",F1720*(1+Assumptions!D$15),F1720*(1+Assumptions!D$14)),-2)</f>
        <v>3100</v>
      </c>
      <c r="H1720" s="288">
        <f>ROUND(IF($A1720="E",G1720*(1+Assumptions!E$15),G1720*(1+Assumptions!E$14)),-2)</f>
        <v>3200</v>
      </c>
      <c r="I1720" s="288">
        <f>ROUND(IF($A1720="E",H1720*(1+Assumptions!F$15),H1720*(1+Assumptions!F$14)),-2)</f>
        <v>3300</v>
      </c>
      <c r="J1720" s="288">
        <f>ROUND(IF($A1720="E",I1720*(1+Assumptions!G$15),I1720*(1+Assumptions!G$14)),-2)</f>
        <v>3400</v>
      </c>
      <c r="K1720" s="288">
        <f>ROUND(IF($A1720="E",J1720*(1+Assumptions!H$15),J1720*(1+Assumptions!H$14)),-2)</f>
        <v>3500</v>
      </c>
      <c r="L1720" s="288">
        <f>ROUND(IF($A1720="E",K1720*(1+Assumptions!I$15),K1720*(1+Assumptions!I$14)),-2)</f>
        <v>3600</v>
      </c>
      <c r="M1720" s="288">
        <f>ROUND(IF($A1720="E",L1720*(1+Assumptions!J$15),L1720*(1+Assumptions!J$14)),-2)</f>
        <v>3700</v>
      </c>
      <c r="N1720" s="288">
        <f>ROUND(IF($A1720="E",M1720*(1+Assumptions!K$15),M1720*(1+Assumptions!K$14)),-2)</f>
        <v>3800</v>
      </c>
    </row>
    <row r="1721" spans="2:14" x14ac:dyDescent="0.25">
      <c r="B1721" s="16" t="s">
        <v>45</v>
      </c>
      <c r="C1721" s="16" t="s">
        <v>2703</v>
      </c>
      <c r="D1721" s="16" t="s">
        <v>208</v>
      </c>
      <c r="E1721" s="288">
        <v>6300</v>
      </c>
      <c r="F1721" s="288">
        <f>ROUND(IF($A1721="E",E1721*(1+Assumptions!C$15),E1721*(1+Assumptions!C$14)),-2)</f>
        <v>6400</v>
      </c>
      <c r="G1721" s="288">
        <f>ROUND(IF($A1721="E",F1721*(1+Assumptions!D$15),F1721*(1+Assumptions!D$14)),-2)</f>
        <v>6500</v>
      </c>
      <c r="H1721" s="288">
        <f>ROUND(IF($A1721="E",G1721*(1+Assumptions!E$15),G1721*(1+Assumptions!E$14)),-2)</f>
        <v>6600</v>
      </c>
      <c r="I1721" s="288">
        <f>ROUND(IF($A1721="E",H1721*(1+Assumptions!F$15),H1721*(1+Assumptions!F$14)),-2)</f>
        <v>6700</v>
      </c>
      <c r="J1721" s="288">
        <f>ROUND(IF($A1721="E",I1721*(1+Assumptions!G$15),I1721*(1+Assumptions!G$14)),-2)</f>
        <v>6800</v>
      </c>
      <c r="K1721" s="288">
        <f>ROUND(IF($A1721="E",J1721*(1+Assumptions!H$15),J1721*(1+Assumptions!H$14)),-2)</f>
        <v>6900</v>
      </c>
      <c r="L1721" s="288">
        <f>ROUND(IF($A1721="E",K1721*(1+Assumptions!I$15),K1721*(1+Assumptions!I$14)),-2)</f>
        <v>7100</v>
      </c>
      <c r="M1721" s="288">
        <f>ROUND(IF($A1721="E",L1721*(1+Assumptions!J$15),L1721*(1+Assumptions!J$14)),-2)</f>
        <v>7300</v>
      </c>
      <c r="N1721" s="288">
        <f>ROUND(IF($A1721="E",M1721*(1+Assumptions!K$15),M1721*(1+Assumptions!K$14)),-2)</f>
        <v>7500</v>
      </c>
    </row>
    <row r="1722" spans="2:14" x14ac:dyDescent="0.25">
      <c r="B1722" s="16" t="s">
        <v>43</v>
      </c>
      <c r="C1722" s="16" t="s">
        <v>2704</v>
      </c>
      <c r="D1722" s="16" t="s">
        <v>97</v>
      </c>
      <c r="E1722" s="288">
        <v>40000</v>
      </c>
      <c r="F1722" s="288">
        <f>ROUND(IF($A1722="E",E1722*(1+Assumptions!C$15),E1722*(1+Assumptions!C$14)),-2)</f>
        <v>40600</v>
      </c>
      <c r="G1722" s="288">
        <f>ROUND(IF($A1722="E",F1722*(1+Assumptions!D$15),F1722*(1+Assumptions!D$14)),-2)</f>
        <v>41400</v>
      </c>
      <c r="H1722" s="288">
        <f>ROUND(IF($A1722="E",G1722*(1+Assumptions!E$15),G1722*(1+Assumptions!E$14)),-2)</f>
        <v>42200</v>
      </c>
      <c r="I1722" s="288">
        <f>ROUND(IF($A1722="E",H1722*(1+Assumptions!F$15),H1722*(1+Assumptions!F$14)),-2)</f>
        <v>43000</v>
      </c>
      <c r="J1722" s="288">
        <f>ROUND(IF($A1722="E",I1722*(1+Assumptions!G$15),I1722*(1+Assumptions!G$14)),-2)</f>
        <v>43900</v>
      </c>
      <c r="K1722" s="288">
        <f>ROUND(IF($A1722="E",J1722*(1+Assumptions!H$15),J1722*(1+Assumptions!H$14)),-2)</f>
        <v>44800</v>
      </c>
      <c r="L1722" s="288">
        <f>ROUND(IF($A1722="E",K1722*(1+Assumptions!I$15),K1722*(1+Assumptions!I$14)),-2)</f>
        <v>45900</v>
      </c>
      <c r="M1722" s="288">
        <f>ROUND(IF($A1722="E",L1722*(1+Assumptions!J$15),L1722*(1+Assumptions!J$14)),-2)</f>
        <v>47000</v>
      </c>
      <c r="N1722" s="288">
        <f>ROUND(IF($A1722="E",M1722*(1+Assumptions!K$15),M1722*(1+Assumptions!K$14)),-2)</f>
        <v>48200</v>
      </c>
    </row>
    <row r="1723" spans="2:14" x14ac:dyDescent="0.25">
      <c r="B1723" s="16" t="s">
        <v>43</v>
      </c>
      <c r="C1723" s="16" t="s">
        <v>2705</v>
      </c>
      <c r="D1723" s="16" t="s">
        <v>2706</v>
      </c>
      <c r="E1723" s="289"/>
      <c r="F1723" s="289"/>
      <c r="G1723" s="289"/>
      <c r="H1723" s="289"/>
      <c r="I1723" s="289"/>
      <c r="J1723" s="289"/>
      <c r="K1723" s="289"/>
      <c r="L1723" s="289"/>
      <c r="M1723" s="289"/>
      <c r="N1723" s="289"/>
    </row>
    <row r="1724" spans="2:14" x14ac:dyDescent="0.25">
      <c r="B1724" s="16" t="s">
        <v>43</v>
      </c>
      <c r="C1724" s="16" t="s">
        <v>2707</v>
      </c>
      <c r="D1724" s="27" t="s">
        <v>2708</v>
      </c>
      <c r="E1724" s="288">
        <v>20600</v>
      </c>
      <c r="F1724" s="288">
        <v>0</v>
      </c>
      <c r="G1724" s="288">
        <f>ROUND(IF($A1724="E",F1724*(1+Assumptions!D$15),F1724*(1+Assumptions!D$14)),-2)</f>
        <v>0</v>
      </c>
      <c r="H1724" s="288">
        <f>ROUND(IF($A1724="E",G1724*(1+Assumptions!E$15),G1724*(1+Assumptions!E$14)),-2)</f>
        <v>0</v>
      </c>
      <c r="I1724" s="288">
        <f>ROUND(IF($A1724="E",H1724*(1+Assumptions!F$15),H1724*(1+Assumptions!F$14)),-2)</f>
        <v>0</v>
      </c>
      <c r="J1724" s="288">
        <f>ROUND(IF($A1724="E",I1724*(1+Assumptions!G$15),I1724*(1+Assumptions!G$14)),-2)</f>
        <v>0</v>
      </c>
      <c r="K1724" s="288">
        <f>ROUND(IF($A1724="E",J1724*(1+Assumptions!H$15),J1724*(1+Assumptions!H$14)),-2)</f>
        <v>0</v>
      </c>
      <c r="L1724" s="288">
        <f>ROUND(IF($A1724="E",K1724*(1+Assumptions!I$15),K1724*(1+Assumptions!I$14)),-2)</f>
        <v>0</v>
      </c>
      <c r="M1724" s="288">
        <f>ROUND(IF($A1724="E",L1724*(1+Assumptions!J$15),L1724*(1+Assumptions!J$14)),-2)</f>
        <v>0</v>
      </c>
      <c r="N1724" s="288">
        <f>ROUND(IF($A1724="E",M1724*(1+Assumptions!K$15),M1724*(1+Assumptions!K$14)),-2)</f>
        <v>0</v>
      </c>
    </row>
    <row r="1725" spans="2:14" x14ac:dyDescent="0.25">
      <c r="B1725" s="16" t="s">
        <v>43</v>
      </c>
      <c r="C1725" s="16" t="s">
        <v>2709</v>
      </c>
      <c r="D1725" s="27" t="s">
        <v>2710</v>
      </c>
      <c r="E1725" s="288">
        <v>10100</v>
      </c>
      <c r="F1725" s="288">
        <v>0</v>
      </c>
      <c r="G1725" s="288">
        <f>ROUND(IF($A1725="E",F1725*(1+Assumptions!D$15),F1725*(1+Assumptions!D$14)),-2)</f>
        <v>0</v>
      </c>
      <c r="H1725" s="288">
        <f>ROUND(IF($A1725="E",G1725*(1+Assumptions!E$15),G1725*(1+Assumptions!E$14)),-2)</f>
        <v>0</v>
      </c>
      <c r="I1725" s="288">
        <f>ROUND(IF($A1725="E",H1725*(1+Assumptions!F$15),H1725*(1+Assumptions!F$14)),-2)</f>
        <v>0</v>
      </c>
      <c r="J1725" s="288">
        <f>ROUND(IF($A1725="E",I1725*(1+Assumptions!G$15),I1725*(1+Assumptions!G$14)),-2)</f>
        <v>0</v>
      </c>
      <c r="K1725" s="288">
        <f>ROUND(IF($A1725="E",J1725*(1+Assumptions!H$15),J1725*(1+Assumptions!H$14)),-2)</f>
        <v>0</v>
      </c>
      <c r="L1725" s="288">
        <f>ROUND(IF($A1725="E",K1725*(1+Assumptions!I$15),K1725*(1+Assumptions!I$14)),-2)</f>
        <v>0</v>
      </c>
      <c r="M1725" s="288">
        <f>ROUND(IF($A1725="E",L1725*(1+Assumptions!J$15),L1725*(1+Assumptions!J$14)),-2)</f>
        <v>0</v>
      </c>
      <c r="N1725" s="288">
        <f>ROUND(IF($A1725="E",M1725*(1+Assumptions!K$15),M1725*(1+Assumptions!K$14)),-2)</f>
        <v>0</v>
      </c>
    </row>
    <row r="1726" spans="2:14" x14ac:dyDescent="0.25">
      <c r="B1726" s="16" t="s">
        <v>43</v>
      </c>
      <c r="C1726" s="16" t="s">
        <v>2711</v>
      </c>
      <c r="D1726" s="27" t="s">
        <v>2712</v>
      </c>
      <c r="E1726" s="288">
        <v>9400</v>
      </c>
      <c r="F1726" s="288">
        <v>0</v>
      </c>
      <c r="G1726" s="288">
        <f>ROUND(IF($A1726="E",F1726*(1+Assumptions!D$15),F1726*(1+Assumptions!D$14)),-2)</f>
        <v>0</v>
      </c>
      <c r="H1726" s="288">
        <f>ROUND(IF($A1726="E",G1726*(1+Assumptions!E$15),G1726*(1+Assumptions!E$14)),-2)</f>
        <v>0</v>
      </c>
      <c r="I1726" s="288">
        <f>ROUND(IF($A1726="E",H1726*(1+Assumptions!F$15),H1726*(1+Assumptions!F$14)),-2)</f>
        <v>0</v>
      </c>
      <c r="J1726" s="288">
        <f>ROUND(IF($A1726="E",I1726*(1+Assumptions!G$15),I1726*(1+Assumptions!G$14)),-2)</f>
        <v>0</v>
      </c>
      <c r="K1726" s="288">
        <f>ROUND(IF($A1726="E",J1726*(1+Assumptions!H$15),J1726*(1+Assumptions!H$14)),-2)</f>
        <v>0</v>
      </c>
      <c r="L1726" s="288">
        <f>ROUND(IF($A1726="E",K1726*(1+Assumptions!I$15),K1726*(1+Assumptions!I$14)),-2)</f>
        <v>0</v>
      </c>
      <c r="M1726" s="288">
        <f>ROUND(IF($A1726="E",L1726*(1+Assumptions!J$15),L1726*(1+Assumptions!J$14)),-2)</f>
        <v>0</v>
      </c>
      <c r="N1726" s="288">
        <f>ROUND(IF($A1726="E",M1726*(1+Assumptions!K$15),M1726*(1+Assumptions!K$14)),-2)</f>
        <v>0</v>
      </c>
    </row>
    <row r="1727" spans="2:14" x14ac:dyDescent="0.25">
      <c r="B1727" s="16" t="s">
        <v>43</v>
      </c>
      <c r="C1727" s="16" t="s">
        <v>2713</v>
      </c>
      <c r="D1727" s="27" t="s">
        <v>2714</v>
      </c>
      <c r="E1727" s="288">
        <v>20200</v>
      </c>
      <c r="F1727" s="288">
        <v>0</v>
      </c>
      <c r="G1727" s="288">
        <f>ROUND(IF($A1727="E",F1727*(1+Assumptions!D$15),F1727*(1+Assumptions!D$14)),-2)</f>
        <v>0</v>
      </c>
      <c r="H1727" s="288">
        <f>ROUND(IF($A1727="E",G1727*(1+Assumptions!E$15),G1727*(1+Assumptions!E$14)),-2)</f>
        <v>0</v>
      </c>
      <c r="I1727" s="288">
        <f>ROUND(IF($A1727="E",H1727*(1+Assumptions!F$15),H1727*(1+Assumptions!F$14)),-2)</f>
        <v>0</v>
      </c>
      <c r="J1727" s="288">
        <f>ROUND(IF($A1727="E",I1727*(1+Assumptions!G$15),I1727*(1+Assumptions!G$14)),-2)</f>
        <v>0</v>
      </c>
      <c r="K1727" s="288">
        <f>ROUND(IF($A1727="E",J1727*(1+Assumptions!H$15),J1727*(1+Assumptions!H$14)),-2)</f>
        <v>0</v>
      </c>
      <c r="L1727" s="288">
        <f>ROUND(IF($A1727="E",K1727*(1+Assumptions!I$15),K1727*(1+Assumptions!I$14)),-2)</f>
        <v>0</v>
      </c>
      <c r="M1727" s="288">
        <f>ROUND(IF($A1727="E",L1727*(1+Assumptions!J$15),L1727*(1+Assumptions!J$14)),-2)</f>
        <v>0</v>
      </c>
      <c r="N1727" s="288">
        <f>ROUND(IF($A1727="E",M1727*(1+Assumptions!K$15),M1727*(1+Assumptions!K$14)),-2)</f>
        <v>0</v>
      </c>
    </row>
    <row r="1728" spans="2:14" x14ac:dyDescent="0.25">
      <c r="B1728" s="16" t="s">
        <v>43</v>
      </c>
      <c r="C1728" s="16" t="s">
        <v>2715</v>
      </c>
      <c r="D1728" s="27" t="s">
        <v>2716</v>
      </c>
      <c r="E1728" s="288">
        <v>19000</v>
      </c>
      <c r="F1728" s="288">
        <v>0</v>
      </c>
      <c r="G1728" s="288">
        <f>ROUND(IF($A1728="E",F1728*(1+Assumptions!D$15),F1728*(1+Assumptions!D$14)),-2)</f>
        <v>0</v>
      </c>
      <c r="H1728" s="288">
        <f>ROUND(IF($A1728="E",G1728*(1+Assumptions!E$15),G1728*(1+Assumptions!E$14)),-2)</f>
        <v>0</v>
      </c>
      <c r="I1728" s="288">
        <f>ROUND(IF($A1728="E",H1728*(1+Assumptions!F$15),H1728*(1+Assumptions!F$14)),-2)</f>
        <v>0</v>
      </c>
      <c r="J1728" s="288">
        <f>ROUND(IF($A1728="E",I1728*(1+Assumptions!G$15),I1728*(1+Assumptions!G$14)),-2)</f>
        <v>0</v>
      </c>
      <c r="K1728" s="288">
        <f>ROUND(IF($A1728="E",J1728*(1+Assumptions!H$15),J1728*(1+Assumptions!H$14)),-2)</f>
        <v>0</v>
      </c>
      <c r="L1728" s="288">
        <f>ROUND(IF($A1728="E",K1728*(1+Assumptions!I$15),K1728*(1+Assumptions!I$14)),-2)</f>
        <v>0</v>
      </c>
      <c r="M1728" s="288">
        <f>ROUND(IF($A1728="E",L1728*(1+Assumptions!J$15),L1728*(1+Assumptions!J$14)),-2)</f>
        <v>0</v>
      </c>
      <c r="N1728" s="288">
        <f>ROUND(IF($A1728="E",M1728*(1+Assumptions!K$15),M1728*(1+Assumptions!K$14)),-2)</f>
        <v>0</v>
      </c>
    </row>
    <row r="1729" spans="2:14" x14ac:dyDescent="0.25">
      <c r="B1729" s="16" t="s">
        <v>43</v>
      </c>
      <c r="C1729" s="16" t="s">
        <v>2717</v>
      </c>
      <c r="D1729" s="27" t="s">
        <v>2718</v>
      </c>
      <c r="E1729" s="288">
        <v>53000</v>
      </c>
      <c r="F1729" s="288">
        <v>0</v>
      </c>
      <c r="G1729" s="288">
        <f>ROUND(IF($A1729="E",F1729*(1+Assumptions!D$15),F1729*(1+Assumptions!D$14)),-2)</f>
        <v>0</v>
      </c>
      <c r="H1729" s="288">
        <f>ROUND(IF($A1729="E",G1729*(1+Assumptions!E$15),G1729*(1+Assumptions!E$14)),-2)</f>
        <v>0</v>
      </c>
      <c r="I1729" s="288">
        <f>ROUND(IF($A1729="E",H1729*(1+Assumptions!F$15),H1729*(1+Assumptions!F$14)),-2)</f>
        <v>0</v>
      </c>
      <c r="J1729" s="288">
        <f>ROUND(IF($A1729="E",I1729*(1+Assumptions!G$15),I1729*(1+Assumptions!G$14)),-2)</f>
        <v>0</v>
      </c>
      <c r="K1729" s="288">
        <f>ROUND(IF($A1729="E",J1729*(1+Assumptions!H$15),J1729*(1+Assumptions!H$14)),-2)</f>
        <v>0</v>
      </c>
      <c r="L1729" s="288">
        <f>ROUND(IF($A1729="E",K1729*(1+Assumptions!I$15),K1729*(1+Assumptions!I$14)),-2)</f>
        <v>0</v>
      </c>
      <c r="M1729" s="288">
        <f>ROUND(IF($A1729="E",L1729*(1+Assumptions!J$15),L1729*(1+Assumptions!J$14)),-2)</f>
        <v>0</v>
      </c>
      <c r="N1729" s="288">
        <f>ROUND(IF($A1729="E",M1729*(1+Assumptions!K$15),M1729*(1+Assumptions!K$14)),-2)</f>
        <v>0</v>
      </c>
    </row>
    <row r="1730" spans="2:14" x14ac:dyDescent="0.25">
      <c r="B1730" s="16" t="s">
        <v>43</v>
      </c>
      <c r="C1730" s="16" t="s">
        <v>2719</v>
      </c>
      <c r="D1730" s="27" t="s">
        <v>2720</v>
      </c>
      <c r="E1730" s="288">
        <v>14000</v>
      </c>
      <c r="F1730" s="288">
        <v>0</v>
      </c>
      <c r="G1730" s="288">
        <f>ROUND(IF($A1730="E",F1730*(1+Assumptions!D$15),F1730*(1+Assumptions!D$14)),-2)</f>
        <v>0</v>
      </c>
      <c r="H1730" s="288">
        <f>ROUND(IF($A1730="E",G1730*(1+Assumptions!E$15),G1730*(1+Assumptions!E$14)),-2)</f>
        <v>0</v>
      </c>
      <c r="I1730" s="288">
        <f>ROUND(IF($A1730="E",H1730*(1+Assumptions!F$15),H1730*(1+Assumptions!F$14)),-2)</f>
        <v>0</v>
      </c>
      <c r="J1730" s="288">
        <f>ROUND(IF($A1730="E",I1730*(1+Assumptions!G$15),I1730*(1+Assumptions!G$14)),-2)</f>
        <v>0</v>
      </c>
      <c r="K1730" s="288">
        <f>ROUND(IF($A1730="E",J1730*(1+Assumptions!H$15),J1730*(1+Assumptions!H$14)),-2)</f>
        <v>0</v>
      </c>
      <c r="L1730" s="288">
        <f>ROUND(IF($A1730="E",K1730*(1+Assumptions!I$15),K1730*(1+Assumptions!I$14)),-2)</f>
        <v>0</v>
      </c>
      <c r="M1730" s="288">
        <f>ROUND(IF($A1730="E",L1730*(1+Assumptions!J$15),L1730*(1+Assumptions!J$14)),-2)</f>
        <v>0</v>
      </c>
      <c r="N1730" s="288">
        <f>ROUND(IF($A1730="E",M1730*(1+Assumptions!K$15),M1730*(1+Assumptions!K$14)),-2)</f>
        <v>0</v>
      </c>
    </row>
    <row r="1731" spans="2:14" x14ac:dyDescent="0.25">
      <c r="B1731" s="16" t="s">
        <v>43</v>
      </c>
      <c r="C1731" s="16" t="s">
        <v>2721</v>
      </c>
      <c r="D1731" s="27" t="s">
        <v>2722</v>
      </c>
      <c r="E1731" s="288">
        <v>7800</v>
      </c>
      <c r="F1731" s="288">
        <v>0</v>
      </c>
      <c r="G1731" s="288">
        <f>ROUND(IF($A1731="E",F1731*(1+Assumptions!D$15),F1731*(1+Assumptions!D$14)),-2)</f>
        <v>0</v>
      </c>
      <c r="H1731" s="288">
        <f>ROUND(IF($A1731="E",G1731*(1+Assumptions!E$15),G1731*(1+Assumptions!E$14)),-2)</f>
        <v>0</v>
      </c>
      <c r="I1731" s="288">
        <f>ROUND(IF($A1731="E",H1731*(1+Assumptions!F$15),H1731*(1+Assumptions!F$14)),-2)</f>
        <v>0</v>
      </c>
      <c r="J1731" s="288">
        <f>ROUND(IF($A1731="E",I1731*(1+Assumptions!G$15),I1731*(1+Assumptions!G$14)),-2)</f>
        <v>0</v>
      </c>
      <c r="K1731" s="288">
        <f>ROUND(IF($A1731="E",J1731*(1+Assumptions!H$15),J1731*(1+Assumptions!H$14)),-2)</f>
        <v>0</v>
      </c>
      <c r="L1731" s="288">
        <f>ROUND(IF($A1731="E",K1731*(1+Assumptions!I$15),K1731*(1+Assumptions!I$14)),-2)</f>
        <v>0</v>
      </c>
      <c r="M1731" s="288">
        <f>ROUND(IF($A1731="E",L1731*(1+Assumptions!J$15),L1731*(1+Assumptions!J$14)),-2)</f>
        <v>0</v>
      </c>
      <c r="N1731" s="288">
        <f>ROUND(IF($A1731="E",M1731*(1+Assumptions!K$15),M1731*(1+Assumptions!K$14)),-2)</f>
        <v>0</v>
      </c>
    </row>
    <row r="1732" spans="2:14" x14ac:dyDescent="0.25">
      <c r="B1732" s="16" t="s">
        <v>43</v>
      </c>
      <c r="C1732" s="16" t="s">
        <v>2723</v>
      </c>
      <c r="D1732" s="27" t="s">
        <v>2724</v>
      </c>
      <c r="E1732" s="288">
        <v>13700</v>
      </c>
      <c r="F1732" s="288">
        <v>0</v>
      </c>
      <c r="G1732" s="288">
        <f>ROUND(IF($A1732="E",F1732*(1+Assumptions!D$15),F1732*(1+Assumptions!D$14)),-2)</f>
        <v>0</v>
      </c>
      <c r="H1732" s="288">
        <f>ROUND(IF($A1732="E",G1732*(1+Assumptions!E$15),G1732*(1+Assumptions!E$14)),-2)</f>
        <v>0</v>
      </c>
      <c r="I1732" s="288">
        <f>ROUND(IF($A1732="E",H1732*(1+Assumptions!F$15),H1732*(1+Assumptions!F$14)),-2)</f>
        <v>0</v>
      </c>
      <c r="J1732" s="288">
        <f>ROUND(IF($A1732="E",I1732*(1+Assumptions!G$15),I1732*(1+Assumptions!G$14)),-2)</f>
        <v>0</v>
      </c>
      <c r="K1732" s="288">
        <f>ROUND(IF($A1732="E",J1732*(1+Assumptions!H$15),J1732*(1+Assumptions!H$14)),-2)</f>
        <v>0</v>
      </c>
      <c r="L1732" s="288">
        <f>ROUND(IF($A1732="E",K1732*(1+Assumptions!I$15),K1732*(1+Assumptions!I$14)),-2)</f>
        <v>0</v>
      </c>
      <c r="M1732" s="288">
        <f>ROUND(IF($A1732="E",L1732*(1+Assumptions!J$15),L1732*(1+Assumptions!J$14)),-2)</f>
        <v>0</v>
      </c>
      <c r="N1732" s="288">
        <f>ROUND(IF($A1732="E",M1732*(1+Assumptions!K$15),M1732*(1+Assumptions!K$14)),-2)</f>
        <v>0</v>
      </c>
    </row>
    <row r="1733" spans="2:14" x14ac:dyDescent="0.25">
      <c r="B1733" s="16" t="s">
        <v>43</v>
      </c>
      <c r="C1733" s="16" t="s">
        <v>2725</v>
      </c>
      <c r="D1733" s="27" t="s">
        <v>2726</v>
      </c>
      <c r="E1733" s="288">
        <v>43000</v>
      </c>
      <c r="F1733" s="288">
        <v>0</v>
      </c>
      <c r="G1733" s="288">
        <f>ROUND(IF($A1733="E",F1733*(1+Assumptions!D$15),F1733*(1+Assumptions!D$14)),-2)</f>
        <v>0</v>
      </c>
      <c r="H1733" s="288">
        <f>ROUND(IF($A1733="E",G1733*(1+Assumptions!E$15),G1733*(1+Assumptions!E$14)),-2)</f>
        <v>0</v>
      </c>
      <c r="I1733" s="288">
        <f>ROUND(IF($A1733="E",H1733*(1+Assumptions!F$15),H1733*(1+Assumptions!F$14)),-2)</f>
        <v>0</v>
      </c>
      <c r="J1733" s="288">
        <f>ROUND(IF($A1733="E",I1733*(1+Assumptions!G$15),I1733*(1+Assumptions!G$14)),-2)</f>
        <v>0</v>
      </c>
      <c r="K1733" s="288">
        <f>ROUND(IF($A1733="E",J1733*(1+Assumptions!H$15),J1733*(1+Assumptions!H$14)),-2)</f>
        <v>0</v>
      </c>
      <c r="L1733" s="288">
        <f>ROUND(IF($A1733="E",K1733*(1+Assumptions!I$15),K1733*(1+Assumptions!I$14)),-2)</f>
        <v>0</v>
      </c>
      <c r="M1733" s="288">
        <f>ROUND(IF($A1733="E",L1733*(1+Assumptions!J$15),L1733*(1+Assumptions!J$14)),-2)</f>
        <v>0</v>
      </c>
      <c r="N1733" s="288">
        <f>ROUND(IF($A1733="E",M1733*(1+Assumptions!K$15),M1733*(1+Assumptions!K$14)),-2)</f>
        <v>0</v>
      </c>
    </row>
    <row r="1734" spans="2:14" x14ac:dyDescent="0.25">
      <c r="B1734" s="16" t="s">
        <v>43</v>
      </c>
      <c r="C1734" s="16" t="s">
        <v>2727</v>
      </c>
      <c r="D1734" s="27" t="s">
        <v>2728</v>
      </c>
      <c r="E1734" s="288">
        <v>10000</v>
      </c>
      <c r="F1734" s="288">
        <v>0</v>
      </c>
      <c r="G1734" s="288">
        <f>ROUND(IF($A1734="E",F1734*(1+Assumptions!D$15),F1734*(1+Assumptions!D$14)),-2)</f>
        <v>0</v>
      </c>
      <c r="H1734" s="288">
        <f>ROUND(IF($A1734="E",G1734*(1+Assumptions!E$15),G1734*(1+Assumptions!E$14)),-2)</f>
        <v>0</v>
      </c>
      <c r="I1734" s="288">
        <f>ROUND(IF($A1734="E",H1734*(1+Assumptions!F$15),H1734*(1+Assumptions!F$14)),-2)</f>
        <v>0</v>
      </c>
      <c r="J1734" s="288">
        <f>ROUND(IF($A1734="E",I1734*(1+Assumptions!G$15),I1734*(1+Assumptions!G$14)),-2)</f>
        <v>0</v>
      </c>
      <c r="K1734" s="288">
        <f>ROUND(IF($A1734="E",J1734*(1+Assumptions!H$15),J1734*(1+Assumptions!H$14)),-2)</f>
        <v>0</v>
      </c>
      <c r="L1734" s="288">
        <f>ROUND(IF($A1734="E",K1734*(1+Assumptions!I$15),K1734*(1+Assumptions!I$14)),-2)</f>
        <v>0</v>
      </c>
      <c r="M1734" s="288">
        <f>ROUND(IF($A1734="E",L1734*(1+Assumptions!J$15),L1734*(1+Assumptions!J$14)),-2)</f>
        <v>0</v>
      </c>
      <c r="N1734" s="288">
        <f>ROUND(IF($A1734="E",M1734*(1+Assumptions!K$15),M1734*(1+Assumptions!K$14)),-2)</f>
        <v>0</v>
      </c>
    </row>
    <row r="1735" spans="2:14" x14ac:dyDescent="0.25">
      <c r="B1735" s="16" t="s">
        <v>43</v>
      </c>
      <c r="C1735" s="16" t="s">
        <v>2729</v>
      </c>
      <c r="D1735" s="27" t="s">
        <v>2730</v>
      </c>
      <c r="E1735" s="288">
        <v>20000</v>
      </c>
      <c r="F1735" s="288">
        <v>0</v>
      </c>
      <c r="G1735" s="288">
        <f>ROUND(IF($A1735="E",F1735*(1+Assumptions!D$15),F1735*(1+Assumptions!D$14)),-2)</f>
        <v>0</v>
      </c>
      <c r="H1735" s="288">
        <f>ROUND(IF($A1735="E",G1735*(1+Assumptions!E$15),G1735*(1+Assumptions!E$14)),-2)</f>
        <v>0</v>
      </c>
      <c r="I1735" s="288">
        <f>ROUND(IF($A1735="E",H1735*(1+Assumptions!F$15),H1735*(1+Assumptions!F$14)),-2)</f>
        <v>0</v>
      </c>
      <c r="J1735" s="288">
        <f>ROUND(IF($A1735="E",I1735*(1+Assumptions!G$15),I1735*(1+Assumptions!G$14)),-2)</f>
        <v>0</v>
      </c>
      <c r="K1735" s="288">
        <f>ROUND(IF($A1735="E",J1735*(1+Assumptions!H$15),J1735*(1+Assumptions!H$14)),-2)</f>
        <v>0</v>
      </c>
      <c r="L1735" s="288">
        <f>ROUND(IF($A1735="E",K1735*(1+Assumptions!I$15),K1735*(1+Assumptions!I$14)),-2)</f>
        <v>0</v>
      </c>
      <c r="M1735" s="288">
        <f>ROUND(IF($A1735="E",L1735*(1+Assumptions!J$15),L1735*(1+Assumptions!J$14)),-2)</f>
        <v>0</v>
      </c>
      <c r="N1735" s="288">
        <f>ROUND(IF($A1735="E",M1735*(1+Assumptions!K$15),M1735*(1+Assumptions!K$14)),-2)</f>
        <v>0</v>
      </c>
    </row>
    <row r="1736" spans="2:14" x14ac:dyDescent="0.25">
      <c r="B1736" s="16" t="s">
        <v>43</v>
      </c>
      <c r="C1736" s="16" t="s">
        <v>2731</v>
      </c>
      <c r="D1736" s="27" t="s">
        <v>2732</v>
      </c>
      <c r="E1736" s="288">
        <v>0</v>
      </c>
      <c r="F1736" s="288">
        <v>0</v>
      </c>
      <c r="G1736" s="288">
        <f>ROUND(IF($A1736="E",F1736*(1+Assumptions!D$15),F1736*(1+Assumptions!D$14)),-2)</f>
        <v>0</v>
      </c>
      <c r="H1736" s="288">
        <f>ROUND(IF($A1736="E",G1736*(1+Assumptions!E$15),G1736*(1+Assumptions!E$14)),-2)</f>
        <v>0</v>
      </c>
      <c r="I1736" s="288">
        <f>ROUND(IF($A1736="E",H1736*(1+Assumptions!F$15),H1736*(1+Assumptions!F$14)),-2)</f>
        <v>0</v>
      </c>
      <c r="J1736" s="288">
        <f>ROUND(IF($A1736="E",I1736*(1+Assumptions!G$15),I1736*(1+Assumptions!G$14)),-2)</f>
        <v>0</v>
      </c>
      <c r="K1736" s="288">
        <f>ROUND(IF($A1736="E",J1736*(1+Assumptions!H$15),J1736*(1+Assumptions!H$14)),-2)</f>
        <v>0</v>
      </c>
      <c r="L1736" s="288">
        <f>ROUND(IF($A1736="E",K1736*(1+Assumptions!I$15),K1736*(1+Assumptions!I$14)),-2)</f>
        <v>0</v>
      </c>
      <c r="M1736" s="288">
        <f>ROUND(IF($A1736="E",L1736*(1+Assumptions!J$15),L1736*(1+Assumptions!J$14)),-2)</f>
        <v>0</v>
      </c>
      <c r="N1736" s="288">
        <f>ROUND(IF($A1736="E",M1736*(1+Assumptions!K$15),M1736*(1+Assumptions!K$14)),-2)</f>
        <v>0</v>
      </c>
    </row>
    <row r="1737" spans="2:14" x14ac:dyDescent="0.25">
      <c r="B1737" s="16" t="s">
        <v>43</v>
      </c>
      <c r="C1737" s="16" t="s">
        <v>2733</v>
      </c>
      <c r="D1737" s="27" t="s">
        <v>2734</v>
      </c>
      <c r="E1737" s="288">
        <v>10300</v>
      </c>
      <c r="F1737" s="288">
        <v>0</v>
      </c>
      <c r="G1737" s="288">
        <f>ROUND(IF($A1737="E",F1737*(1+Assumptions!D$15),F1737*(1+Assumptions!D$14)),-2)</f>
        <v>0</v>
      </c>
      <c r="H1737" s="288">
        <f>ROUND(IF($A1737="E",G1737*(1+Assumptions!E$15),G1737*(1+Assumptions!E$14)),-2)</f>
        <v>0</v>
      </c>
      <c r="I1737" s="288">
        <f>ROUND(IF($A1737="E",H1737*(1+Assumptions!F$15),H1737*(1+Assumptions!F$14)),-2)</f>
        <v>0</v>
      </c>
      <c r="J1737" s="288">
        <f>ROUND(IF($A1737="E",I1737*(1+Assumptions!G$15),I1737*(1+Assumptions!G$14)),-2)</f>
        <v>0</v>
      </c>
      <c r="K1737" s="288">
        <f>ROUND(IF($A1737="E",J1737*(1+Assumptions!H$15),J1737*(1+Assumptions!H$14)),-2)</f>
        <v>0</v>
      </c>
      <c r="L1737" s="288">
        <f>ROUND(IF($A1737="E",K1737*(1+Assumptions!I$15),K1737*(1+Assumptions!I$14)),-2)</f>
        <v>0</v>
      </c>
      <c r="M1737" s="288">
        <f>ROUND(IF($A1737="E",L1737*(1+Assumptions!J$15),L1737*(1+Assumptions!J$14)),-2)</f>
        <v>0</v>
      </c>
      <c r="N1737" s="288">
        <f>ROUND(IF($A1737="E",M1737*(1+Assumptions!K$15),M1737*(1+Assumptions!K$14)),-2)</f>
        <v>0</v>
      </c>
    </row>
    <row r="1738" spans="2:14" x14ac:dyDescent="0.25">
      <c r="B1738" s="16" t="s">
        <v>43</v>
      </c>
      <c r="C1738" s="16" t="s">
        <v>2735</v>
      </c>
      <c r="D1738" s="16" t="s">
        <v>2736</v>
      </c>
      <c r="E1738" s="289"/>
      <c r="F1738" s="289"/>
      <c r="G1738" s="289"/>
      <c r="H1738" s="289"/>
      <c r="I1738" s="289"/>
      <c r="J1738" s="289"/>
      <c r="K1738" s="289"/>
      <c r="L1738" s="289"/>
      <c r="M1738" s="289"/>
      <c r="N1738" s="289"/>
    </row>
    <row r="1739" spans="2:14" x14ac:dyDescent="0.25">
      <c r="B1739" s="16" t="s">
        <v>43</v>
      </c>
      <c r="C1739" s="16" t="s">
        <v>2737</v>
      </c>
      <c r="D1739" s="16" t="s">
        <v>309</v>
      </c>
      <c r="E1739" s="288">
        <v>200</v>
      </c>
      <c r="F1739" s="288">
        <f>ROUND(IF($A1739="E",E1739*(1+Assumptions!C$15),E1739*(1+Assumptions!C$14)),-2)</f>
        <v>200</v>
      </c>
      <c r="G1739" s="288">
        <f>ROUND(IF($A1739="E",F1739*(1+Assumptions!D$15),F1739*(1+Assumptions!D$14)),-2)</f>
        <v>200</v>
      </c>
      <c r="H1739" s="288">
        <f>ROUND(IF($A1739="E",G1739*(1+Assumptions!E$15),G1739*(1+Assumptions!E$14)),-2)</f>
        <v>200</v>
      </c>
      <c r="I1739" s="288">
        <f>ROUND(IF($A1739="E",H1739*(1+Assumptions!F$15),H1739*(1+Assumptions!F$14)),-2)</f>
        <v>200</v>
      </c>
      <c r="J1739" s="288">
        <f>ROUND(IF($A1739="E",I1739*(1+Assumptions!G$15),I1739*(1+Assumptions!G$14)),-2)</f>
        <v>200</v>
      </c>
      <c r="K1739" s="288">
        <f>ROUND(IF($A1739="E",J1739*(1+Assumptions!H$15),J1739*(1+Assumptions!H$14)),-2)</f>
        <v>200</v>
      </c>
      <c r="L1739" s="288">
        <f>ROUND(IF($A1739="E",K1739*(1+Assumptions!I$15),K1739*(1+Assumptions!I$14)),-2)</f>
        <v>200</v>
      </c>
      <c r="M1739" s="288">
        <f>ROUND(IF($A1739="E",L1739*(1+Assumptions!J$15),L1739*(1+Assumptions!J$14)),-2)</f>
        <v>200</v>
      </c>
      <c r="N1739" s="288">
        <f>ROUND(IF($A1739="E",M1739*(1+Assumptions!K$15),M1739*(1+Assumptions!K$14)),-2)</f>
        <v>200</v>
      </c>
    </row>
    <row r="1740" spans="2:14" x14ac:dyDescent="0.25">
      <c r="B1740" s="16" t="s">
        <v>43</v>
      </c>
      <c r="C1740" s="16" t="s">
        <v>2738</v>
      </c>
      <c r="D1740" s="16" t="s">
        <v>2739</v>
      </c>
      <c r="E1740" s="288">
        <v>4800</v>
      </c>
      <c r="F1740" s="288">
        <f>ROUND(IF($A1740="E",E1740*(1+Assumptions!C$15),E1740*(1+Assumptions!C$14)),-2)</f>
        <v>4900</v>
      </c>
      <c r="G1740" s="288">
        <f>ROUND(IF($A1740="E",F1740*(1+Assumptions!D$15),F1740*(1+Assumptions!D$14)),-2)</f>
        <v>5000</v>
      </c>
      <c r="H1740" s="288">
        <f>ROUND(IF($A1740="E",G1740*(1+Assumptions!E$15),G1740*(1+Assumptions!E$14)),-2)</f>
        <v>5100</v>
      </c>
      <c r="I1740" s="288">
        <f>ROUND(IF($A1740="E",H1740*(1+Assumptions!F$15),H1740*(1+Assumptions!F$14)),-2)</f>
        <v>5200</v>
      </c>
      <c r="J1740" s="288">
        <f>ROUND(IF($A1740="E",I1740*(1+Assumptions!G$15),I1740*(1+Assumptions!G$14)),-2)</f>
        <v>5300</v>
      </c>
      <c r="K1740" s="288">
        <f>ROUND(IF($A1740="E",J1740*(1+Assumptions!H$15),J1740*(1+Assumptions!H$14)),-2)</f>
        <v>5400</v>
      </c>
      <c r="L1740" s="288">
        <f>ROUND(IF($A1740="E",K1740*(1+Assumptions!I$15),K1740*(1+Assumptions!I$14)),-2)</f>
        <v>5500</v>
      </c>
      <c r="M1740" s="288">
        <f>ROUND(IF($A1740="E",L1740*(1+Assumptions!J$15),L1740*(1+Assumptions!J$14)),-2)</f>
        <v>5600</v>
      </c>
      <c r="N1740" s="288">
        <f>ROUND(IF($A1740="E",M1740*(1+Assumptions!K$15),M1740*(1+Assumptions!K$14)),-2)</f>
        <v>5700</v>
      </c>
    </row>
    <row r="1741" spans="2:14" x14ac:dyDescent="0.25">
      <c r="B1741" s="16" t="s">
        <v>43</v>
      </c>
      <c r="C1741" s="16" t="s">
        <v>2740</v>
      </c>
      <c r="D1741" s="16" t="s">
        <v>2722</v>
      </c>
      <c r="E1741" s="288">
        <v>8700</v>
      </c>
      <c r="F1741" s="288">
        <f>ROUND(IF($A1741="E",E1741*(1+Assumptions!C$15),E1741*(1+Assumptions!C$14)),-2)</f>
        <v>8800</v>
      </c>
      <c r="G1741" s="288">
        <f>ROUND(IF($A1741="E",F1741*(1+Assumptions!D$15),F1741*(1+Assumptions!D$14)),-2)</f>
        <v>9000</v>
      </c>
      <c r="H1741" s="288">
        <f>ROUND(IF($A1741="E",G1741*(1+Assumptions!E$15),G1741*(1+Assumptions!E$14)),-2)</f>
        <v>9200</v>
      </c>
      <c r="I1741" s="288">
        <f>ROUND(IF($A1741="E",H1741*(1+Assumptions!F$15),H1741*(1+Assumptions!F$14)),-2)</f>
        <v>9400</v>
      </c>
      <c r="J1741" s="288">
        <f>ROUND(IF($A1741="E",I1741*(1+Assumptions!G$15),I1741*(1+Assumptions!G$14)),-2)</f>
        <v>9600</v>
      </c>
      <c r="K1741" s="288">
        <f>ROUND(IF($A1741="E",J1741*(1+Assumptions!H$15),J1741*(1+Assumptions!H$14)),-2)</f>
        <v>9800</v>
      </c>
      <c r="L1741" s="288">
        <f>ROUND(IF($A1741="E",K1741*(1+Assumptions!I$15),K1741*(1+Assumptions!I$14)),-2)</f>
        <v>10000</v>
      </c>
      <c r="M1741" s="288">
        <f>ROUND(IF($A1741="E",L1741*(1+Assumptions!J$15),L1741*(1+Assumptions!J$14)),-2)</f>
        <v>10300</v>
      </c>
      <c r="N1741" s="288">
        <f>ROUND(IF($A1741="E",M1741*(1+Assumptions!K$15),M1741*(1+Assumptions!K$14)),-2)</f>
        <v>10600</v>
      </c>
    </row>
    <row r="1742" spans="2:14" x14ac:dyDescent="0.25">
      <c r="B1742" s="16" t="s">
        <v>43</v>
      </c>
      <c r="C1742" s="16" t="s">
        <v>2741</v>
      </c>
      <c r="D1742" s="16" t="s">
        <v>2742</v>
      </c>
      <c r="E1742" s="288">
        <v>12500</v>
      </c>
      <c r="F1742" s="288">
        <f>ROUND(IF($A1742="E",E1742*(1+Assumptions!C$15),E1742*(1+Assumptions!C$14)),-2)</f>
        <v>12700</v>
      </c>
      <c r="G1742" s="288">
        <f>ROUND(IF($A1742="E",F1742*(1+Assumptions!D$15),F1742*(1+Assumptions!D$14)),-2)</f>
        <v>13000</v>
      </c>
      <c r="H1742" s="288">
        <f>ROUND(IF($A1742="E",G1742*(1+Assumptions!E$15),G1742*(1+Assumptions!E$14)),-2)</f>
        <v>13300</v>
      </c>
      <c r="I1742" s="288">
        <f>ROUND(IF($A1742="E",H1742*(1+Assumptions!F$15),H1742*(1+Assumptions!F$14)),-2)</f>
        <v>13600</v>
      </c>
      <c r="J1742" s="288">
        <f>ROUND(IF($A1742="E",I1742*(1+Assumptions!G$15),I1742*(1+Assumptions!G$14)),-2)</f>
        <v>13900</v>
      </c>
      <c r="K1742" s="288">
        <f>ROUND(IF($A1742="E",J1742*(1+Assumptions!H$15),J1742*(1+Assumptions!H$14)),-2)</f>
        <v>14200</v>
      </c>
      <c r="L1742" s="288">
        <f>ROUND(IF($A1742="E",K1742*(1+Assumptions!I$15),K1742*(1+Assumptions!I$14)),-2)</f>
        <v>14600</v>
      </c>
      <c r="M1742" s="288">
        <f>ROUND(IF($A1742="E",L1742*(1+Assumptions!J$15),L1742*(1+Assumptions!J$14)),-2)</f>
        <v>15000</v>
      </c>
      <c r="N1742" s="288">
        <f>ROUND(IF($A1742="E",M1742*(1+Assumptions!K$15),M1742*(1+Assumptions!K$14)),-2)</f>
        <v>15400</v>
      </c>
    </row>
    <row r="1743" spans="2:14" x14ac:dyDescent="0.25">
      <c r="B1743" s="16" t="s">
        <v>43</v>
      </c>
      <c r="C1743" s="16" t="s">
        <v>2743</v>
      </c>
      <c r="D1743" s="16" t="s">
        <v>2744</v>
      </c>
      <c r="E1743" s="288">
        <v>20000</v>
      </c>
      <c r="F1743" s="288">
        <f>ROUND(IF($A1743="E",E1743*(1+Assumptions!C$15),E1743*(1+Assumptions!C$14)),-2)</f>
        <v>20300</v>
      </c>
      <c r="G1743" s="288">
        <f>ROUND(IF($A1743="E",F1743*(1+Assumptions!D$15),F1743*(1+Assumptions!D$14)),-2)</f>
        <v>20700</v>
      </c>
      <c r="H1743" s="288">
        <f>ROUND(IF($A1743="E",G1743*(1+Assumptions!E$15),G1743*(1+Assumptions!E$14)),-2)</f>
        <v>21100</v>
      </c>
      <c r="I1743" s="288">
        <f>ROUND(IF($A1743="E",H1743*(1+Assumptions!F$15),H1743*(1+Assumptions!F$14)),-2)</f>
        <v>21500</v>
      </c>
      <c r="J1743" s="288">
        <f>ROUND(IF($A1743="E",I1743*(1+Assumptions!G$15),I1743*(1+Assumptions!G$14)),-2)</f>
        <v>21900</v>
      </c>
      <c r="K1743" s="288">
        <f>ROUND(IF($A1743="E",J1743*(1+Assumptions!H$15),J1743*(1+Assumptions!H$14)),-2)</f>
        <v>22300</v>
      </c>
      <c r="L1743" s="288">
        <f>ROUND(IF($A1743="E",K1743*(1+Assumptions!I$15),K1743*(1+Assumptions!I$14)),-2)</f>
        <v>22900</v>
      </c>
      <c r="M1743" s="288">
        <f>ROUND(IF($A1743="E",L1743*(1+Assumptions!J$15),L1743*(1+Assumptions!J$14)),-2)</f>
        <v>23500</v>
      </c>
      <c r="N1743" s="288">
        <f>ROUND(IF($A1743="E",M1743*(1+Assumptions!K$15),M1743*(1+Assumptions!K$14)),-2)</f>
        <v>24100</v>
      </c>
    </row>
    <row r="1744" spans="2:14" x14ac:dyDescent="0.25">
      <c r="B1744" s="16" t="s">
        <v>43</v>
      </c>
      <c r="C1744" s="16" t="s">
        <v>2745</v>
      </c>
      <c r="D1744" s="16" t="s">
        <v>2746</v>
      </c>
      <c r="E1744" s="288">
        <v>0</v>
      </c>
      <c r="F1744" s="288">
        <f>ROUND(IF($A1744="E",E1744*(1+Assumptions!C$15),E1744*(1+Assumptions!C$14)),-2)</f>
        <v>0</v>
      </c>
      <c r="G1744" s="288">
        <f>ROUND(IF($A1744="E",F1744*(1+Assumptions!D$15),F1744*(1+Assumptions!D$14)),-2)</f>
        <v>0</v>
      </c>
      <c r="H1744" s="288">
        <f>ROUND(IF($A1744="E",G1744*(1+Assumptions!E$15),G1744*(1+Assumptions!E$14)),-2)</f>
        <v>0</v>
      </c>
      <c r="I1744" s="288">
        <f>ROUND(IF($A1744="E",H1744*(1+Assumptions!F$15),H1744*(1+Assumptions!F$14)),-2)</f>
        <v>0</v>
      </c>
      <c r="J1744" s="288">
        <f>ROUND(IF($A1744="E",I1744*(1+Assumptions!G$15),I1744*(1+Assumptions!G$14)),-2)</f>
        <v>0</v>
      </c>
      <c r="K1744" s="288">
        <f>ROUND(IF($A1744="E",J1744*(1+Assumptions!H$15),J1744*(1+Assumptions!H$14)),-2)</f>
        <v>0</v>
      </c>
      <c r="L1744" s="288">
        <f>ROUND(IF($A1744="E",K1744*(1+Assumptions!I$15),K1744*(1+Assumptions!I$14)),-2)</f>
        <v>0</v>
      </c>
      <c r="M1744" s="288">
        <f>ROUND(IF($A1744="E",L1744*(1+Assumptions!J$15),L1744*(1+Assumptions!J$14)),-2)</f>
        <v>0</v>
      </c>
      <c r="N1744" s="288">
        <f>ROUND(IF($A1744="E",M1744*(1+Assumptions!K$15),M1744*(1+Assumptions!K$14)),-2)</f>
        <v>0</v>
      </c>
    </row>
    <row r="1745" spans="2:14" x14ac:dyDescent="0.25">
      <c r="B1745" s="16" t="s">
        <v>43</v>
      </c>
      <c r="C1745" s="16" t="s">
        <v>2747</v>
      </c>
      <c r="D1745" s="16" t="s">
        <v>2726</v>
      </c>
      <c r="E1745" s="288">
        <v>22000</v>
      </c>
      <c r="F1745" s="288">
        <f>ROUND(IF($A1745="E",E1745*(1+Assumptions!C$15),E1745*(1+Assumptions!C$14)),-2)</f>
        <v>22300</v>
      </c>
      <c r="G1745" s="288">
        <f>ROUND(IF($A1745="E",F1745*(1+Assumptions!D$15),F1745*(1+Assumptions!D$14)),-2)</f>
        <v>22700</v>
      </c>
      <c r="H1745" s="288">
        <f>ROUND(IF($A1745="E",G1745*(1+Assumptions!E$15),G1745*(1+Assumptions!E$14)),-2)</f>
        <v>23200</v>
      </c>
      <c r="I1745" s="288">
        <f>ROUND(IF($A1745="E",H1745*(1+Assumptions!F$15),H1745*(1+Assumptions!F$14)),-2)</f>
        <v>23700</v>
      </c>
      <c r="J1745" s="288">
        <f>ROUND(IF($A1745="E",I1745*(1+Assumptions!G$15),I1745*(1+Assumptions!G$14)),-2)</f>
        <v>24200</v>
      </c>
      <c r="K1745" s="288">
        <f>ROUND(IF($A1745="E",J1745*(1+Assumptions!H$15),J1745*(1+Assumptions!H$14)),-2)</f>
        <v>24700</v>
      </c>
      <c r="L1745" s="288">
        <f>ROUND(IF($A1745="E",K1745*(1+Assumptions!I$15),K1745*(1+Assumptions!I$14)),-2)</f>
        <v>25300</v>
      </c>
      <c r="M1745" s="288">
        <f>ROUND(IF($A1745="E",L1745*(1+Assumptions!J$15),L1745*(1+Assumptions!J$14)),-2)</f>
        <v>25900</v>
      </c>
      <c r="N1745" s="288">
        <f>ROUND(IF($A1745="E",M1745*(1+Assumptions!K$15),M1745*(1+Assumptions!K$14)),-2)</f>
        <v>26500</v>
      </c>
    </row>
    <row r="1746" spans="2:14" x14ac:dyDescent="0.25">
      <c r="B1746" s="16" t="s">
        <v>43</v>
      </c>
      <c r="C1746" s="16" t="s">
        <v>2748</v>
      </c>
      <c r="D1746" s="16" t="s">
        <v>2749</v>
      </c>
      <c r="E1746" s="288">
        <v>13300</v>
      </c>
      <c r="F1746" s="288">
        <f>ROUND(IF($A1746="E",E1746*(1+Assumptions!C$15),E1746*(1+Assumptions!C$14)),-2)</f>
        <v>13500</v>
      </c>
      <c r="G1746" s="288">
        <f>ROUND(IF($A1746="E",F1746*(1+Assumptions!D$15),F1746*(1+Assumptions!D$14)),-2)</f>
        <v>13800</v>
      </c>
      <c r="H1746" s="288">
        <f>ROUND(IF($A1746="E",G1746*(1+Assumptions!E$15),G1746*(1+Assumptions!E$14)),-2)</f>
        <v>14100</v>
      </c>
      <c r="I1746" s="288">
        <f>ROUND(IF($A1746="E",H1746*(1+Assumptions!F$15),H1746*(1+Assumptions!F$14)),-2)</f>
        <v>14400</v>
      </c>
      <c r="J1746" s="288">
        <f>ROUND(IF($A1746="E",I1746*(1+Assumptions!G$15),I1746*(1+Assumptions!G$14)),-2)</f>
        <v>14700</v>
      </c>
      <c r="K1746" s="288">
        <f>ROUND(IF($A1746="E",J1746*(1+Assumptions!H$15),J1746*(1+Assumptions!H$14)),-2)</f>
        <v>15000</v>
      </c>
      <c r="L1746" s="288">
        <f>ROUND(IF($A1746="E",K1746*(1+Assumptions!I$15),K1746*(1+Assumptions!I$14)),-2)</f>
        <v>15400</v>
      </c>
      <c r="M1746" s="288">
        <f>ROUND(IF($A1746="E",L1746*(1+Assumptions!J$15),L1746*(1+Assumptions!J$14)),-2)</f>
        <v>15800</v>
      </c>
      <c r="N1746" s="288">
        <f>ROUND(IF($A1746="E",M1746*(1+Assumptions!K$15),M1746*(1+Assumptions!K$14)),-2)</f>
        <v>16200</v>
      </c>
    </row>
    <row r="1747" spans="2:14" x14ac:dyDescent="0.25">
      <c r="B1747" s="16" t="s">
        <v>43</v>
      </c>
      <c r="C1747" s="16" t="s">
        <v>2750</v>
      </c>
      <c r="D1747" s="16" t="s">
        <v>2751</v>
      </c>
      <c r="E1747" s="288">
        <v>0</v>
      </c>
      <c r="F1747" s="288">
        <f>ROUND(IF($A1747="E",E1747*(1+Assumptions!C$15),E1747*(1+Assumptions!C$14)),-2)</f>
        <v>0</v>
      </c>
      <c r="G1747" s="288">
        <f>ROUND(IF($A1747="E",F1747*(1+Assumptions!D$15),F1747*(1+Assumptions!D$14)),-2)</f>
        <v>0</v>
      </c>
      <c r="H1747" s="288">
        <f>ROUND(IF($A1747="E",G1747*(1+Assumptions!E$15),G1747*(1+Assumptions!E$14)),-2)</f>
        <v>0</v>
      </c>
      <c r="I1747" s="288">
        <f>ROUND(IF($A1747="E",H1747*(1+Assumptions!F$15),H1747*(1+Assumptions!F$14)),-2)</f>
        <v>0</v>
      </c>
      <c r="J1747" s="288">
        <f>ROUND(IF($A1747="E",I1747*(1+Assumptions!G$15),I1747*(1+Assumptions!G$14)),-2)</f>
        <v>0</v>
      </c>
      <c r="K1747" s="288">
        <f>ROUND(IF($A1747="E",J1747*(1+Assumptions!H$15),J1747*(1+Assumptions!H$14)),-2)</f>
        <v>0</v>
      </c>
      <c r="L1747" s="288">
        <f>ROUND(IF($A1747="E",K1747*(1+Assumptions!I$15),K1747*(1+Assumptions!I$14)),-2)</f>
        <v>0</v>
      </c>
      <c r="M1747" s="288">
        <f>ROUND(IF($A1747="E",L1747*(1+Assumptions!J$15),L1747*(1+Assumptions!J$14)),-2)</f>
        <v>0</v>
      </c>
      <c r="N1747" s="288">
        <f>ROUND(IF($A1747="E",M1747*(1+Assumptions!K$15),M1747*(1+Assumptions!K$14)),-2)</f>
        <v>0</v>
      </c>
    </row>
    <row r="1748" spans="2:14" x14ac:dyDescent="0.25">
      <c r="B1748" s="16" t="s">
        <v>43</v>
      </c>
      <c r="C1748" s="16" t="s">
        <v>2752</v>
      </c>
      <c r="D1748" s="16" t="s">
        <v>2753</v>
      </c>
      <c r="E1748" s="288">
        <v>40000</v>
      </c>
      <c r="F1748" s="288">
        <f>ROUND(IF($A1748="E",E1748*(1+Assumptions!C$15),E1748*(1+Assumptions!C$14)),-2)</f>
        <v>40600</v>
      </c>
      <c r="G1748" s="288">
        <f>ROUND(IF($A1748="E",F1748*(1+Assumptions!D$15),F1748*(1+Assumptions!D$14)),-2)</f>
        <v>41400</v>
      </c>
      <c r="H1748" s="288">
        <f>ROUND(IF($A1748="E",G1748*(1+Assumptions!E$15),G1748*(1+Assumptions!E$14)),-2)</f>
        <v>42200</v>
      </c>
      <c r="I1748" s="288">
        <f>ROUND(IF($A1748="E",H1748*(1+Assumptions!F$15),H1748*(1+Assumptions!F$14)),-2)</f>
        <v>43000</v>
      </c>
      <c r="J1748" s="288">
        <f>ROUND(IF($A1748="E",I1748*(1+Assumptions!G$15),I1748*(1+Assumptions!G$14)),-2)</f>
        <v>43900</v>
      </c>
      <c r="K1748" s="288">
        <f>ROUND(IF($A1748="E",J1748*(1+Assumptions!H$15),J1748*(1+Assumptions!H$14)),-2)</f>
        <v>44800</v>
      </c>
      <c r="L1748" s="288">
        <f>ROUND(IF($A1748="E",K1748*(1+Assumptions!I$15),K1748*(1+Assumptions!I$14)),-2)</f>
        <v>45900</v>
      </c>
      <c r="M1748" s="288">
        <f>ROUND(IF($A1748="E",L1748*(1+Assumptions!J$15),L1748*(1+Assumptions!J$14)),-2)</f>
        <v>47000</v>
      </c>
      <c r="N1748" s="288">
        <f>ROUND(IF($A1748="E",M1748*(1+Assumptions!K$15),M1748*(1+Assumptions!K$14)),-2)</f>
        <v>48200</v>
      </c>
    </row>
    <row r="1749" spans="2:14" x14ac:dyDescent="0.25">
      <c r="B1749" s="16" t="s">
        <v>43</v>
      </c>
      <c r="C1749" s="16" t="s">
        <v>2754</v>
      </c>
      <c r="D1749" s="16" t="s">
        <v>2755</v>
      </c>
      <c r="E1749" s="289"/>
      <c r="F1749" s="289"/>
      <c r="G1749" s="289"/>
      <c r="H1749" s="289"/>
      <c r="I1749" s="289"/>
      <c r="J1749" s="289"/>
      <c r="K1749" s="289"/>
      <c r="L1749" s="289"/>
      <c r="M1749" s="289"/>
      <c r="N1749" s="289"/>
    </row>
    <row r="1750" spans="2:14" x14ac:dyDescent="0.25">
      <c r="B1750" s="16" t="s">
        <v>43</v>
      </c>
      <c r="C1750" s="16" t="s">
        <v>2756</v>
      </c>
      <c r="D1750" s="16" t="s">
        <v>2757</v>
      </c>
      <c r="E1750" s="288">
        <v>0</v>
      </c>
      <c r="F1750" s="288">
        <f>ROUND(IF($A1750="E",E1750*(1+Assumptions!C$15),E1750*(1+Assumptions!C$14)),-2)</f>
        <v>0</v>
      </c>
      <c r="G1750" s="288">
        <f>ROUND(IF($A1750="E",F1750*(1+Assumptions!D$15),F1750*(1+Assumptions!D$14)),-2)</f>
        <v>0</v>
      </c>
      <c r="H1750" s="288">
        <f>ROUND(IF($A1750="E",G1750*(1+Assumptions!E$15),G1750*(1+Assumptions!E$14)),-2)</f>
        <v>0</v>
      </c>
      <c r="I1750" s="288">
        <f>ROUND(IF($A1750="E",H1750*(1+Assumptions!F$15),H1750*(1+Assumptions!F$14)),-2)</f>
        <v>0</v>
      </c>
      <c r="J1750" s="288">
        <f>ROUND(IF($A1750="E",I1750*(1+Assumptions!G$15),I1750*(1+Assumptions!G$14)),-2)</f>
        <v>0</v>
      </c>
      <c r="K1750" s="288">
        <f>ROUND(IF($A1750="E",J1750*(1+Assumptions!H$15),J1750*(1+Assumptions!H$14)),-2)</f>
        <v>0</v>
      </c>
      <c r="L1750" s="288">
        <f>ROUND(IF($A1750="E",K1750*(1+Assumptions!I$15),K1750*(1+Assumptions!I$14)),-2)</f>
        <v>0</v>
      </c>
      <c r="M1750" s="288">
        <f>ROUND(IF($A1750="E",L1750*(1+Assumptions!J$15),L1750*(1+Assumptions!J$14)),-2)</f>
        <v>0</v>
      </c>
      <c r="N1750" s="288">
        <f>ROUND(IF($A1750="E",M1750*(1+Assumptions!K$15),M1750*(1+Assumptions!K$14)),-2)</f>
        <v>0</v>
      </c>
    </row>
    <row r="1751" spans="2:14" x14ac:dyDescent="0.25">
      <c r="B1751" s="16" t="s">
        <v>43</v>
      </c>
      <c r="C1751" s="16" t="s">
        <v>2758</v>
      </c>
      <c r="D1751" s="16" t="s">
        <v>2759</v>
      </c>
      <c r="E1751" s="289"/>
      <c r="F1751" s="289"/>
      <c r="G1751" s="289"/>
      <c r="H1751" s="289"/>
      <c r="I1751" s="289"/>
      <c r="J1751" s="289"/>
      <c r="K1751" s="289"/>
      <c r="L1751" s="289"/>
      <c r="M1751" s="289"/>
      <c r="N1751" s="289"/>
    </row>
    <row r="1752" spans="2:14" x14ac:dyDescent="0.25">
      <c r="B1752" s="16" t="s">
        <v>43</v>
      </c>
      <c r="C1752" s="16" t="s">
        <v>2760</v>
      </c>
      <c r="D1752" s="16" t="s">
        <v>2761</v>
      </c>
      <c r="E1752" s="288">
        <v>0</v>
      </c>
      <c r="F1752" s="288">
        <f>ROUND(IF($A1752="E",E1752*(1+Assumptions!C$15),E1752*(1+Assumptions!C$14)),-2)</f>
        <v>0</v>
      </c>
      <c r="G1752" s="288">
        <f>ROUND(IF($A1752="E",F1752*(1+Assumptions!D$15),F1752*(1+Assumptions!D$14)),-2)</f>
        <v>0</v>
      </c>
      <c r="H1752" s="288">
        <f>ROUND(IF($A1752="E",G1752*(1+Assumptions!E$15),G1752*(1+Assumptions!E$14)),-2)</f>
        <v>0</v>
      </c>
      <c r="I1752" s="288">
        <f>ROUND(IF($A1752="E",H1752*(1+Assumptions!F$15),H1752*(1+Assumptions!F$14)),-2)</f>
        <v>0</v>
      </c>
      <c r="J1752" s="288">
        <f>ROUND(IF($A1752="E",I1752*(1+Assumptions!G$15),I1752*(1+Assumptions!G$14)),-2)</f>
        <v>0</v>
      </c>
      <c r="K1752" s="288">
        <f>ROUND(IF($A1752="E",J1752*(1+Assumptions!H$15),J1752*(1+Assumptions!H$14)),-2)</f>
        <v>0</v>
      </c>
      <c r="L1752" s="288">
        <f>ROUND(IF($A1752="E",K1752*(1+Assumptions!I$15),K1752*(1+Assumptions!I$14)),-2)</f>
        <v>0</v>
      </c>
      <c r="M1752" s="288">
        <f>ROUND(IF($A1752="E",L1752*(1+Assumptions!J$15),L1752*(1+Assumptions!J$14)),-2)</f>
        <v>0</v>
      </c>
      <c r="N1752" s="288">
        <f>ROUND(IF($A1752="E",M1752*(1+Assumptions!K$15),M1752*(1+Assumptions!K$14)),-2)</f>
        <v>0</v>
      </c>
    </row>
    <row r="1753" spans="2:14" x14ac:dyDescent="0.25">
      <c r="B1753" s="16" t="s">
        <v>43</v>
      </c>
      <c r="C1753" s="16" t="s">
        <v>2762</v>
      </c>
      <c r="D1753" s="16" t="s">
        <v>2763</v>
      </c>
      <c r="E1753" s="289"/>
      <c r="F1753" s="289"/>
      <c r="G1753" s="289"/>
      <c r="H1753" s="289"/>
      <c r="I1753" s="289"/>
      <c r="J1753" s="289"/>
      <c r="K1753" s="289"/>
      <c r="L1753" s="289"/>
      <c r="M1753" s="289"/>
      <c r="N1753" s="289"/>
    </row>
    <row r="1754" spans="2:14" x14ac:dyDescent="0.25">
      <c r="B1754" s="16" t="s">
        <v>43</v>
      </c>
      <c r="C1754" s="16" t="s">
        <v>2764</v>
      </c>
      <c r="D1754" s="16" t="s">
        <v>2765</v>
      </c>
      <c r="E1754" s="288">
        <v>0</v>
      </c>
      <c r="F1754" s="288">
        <f>ROUND(IF($A1754="E",E1754*(1+Assumptions!C$15),E1754*(1+Assumptions!C$14)),-2)</f>
        <v>0</v>
      </c>
      <c r="G1754" s="288">
        <f>ROUND(IF($A1754="E",F1754*(1+Assumptions!D$15),F1754*(1+Assumptions!D$14)),-2)</f>
        <v>0</v>
      </c>
      <c r="H1754" s="288">
        <f>ROUND(IF($A1754="E",G1754*(1+Assumptions!E$15),G1754*(1+Assumptions!E$14)),-2)</f>
        <v>0</v>
      </c>
      <c r="I1754" s="288">
        <f>ROUND(IF($A1754="E",H1754*(1+Assumptions!F$15),H1754*(1+Assumptions!F$14)),-2)</f>
        <v>0</v>
      </c>
      <c r="J1754" s="288">
        <f>ROUND(IF($A1754="E",I1754*(1+Assumptions!G$15),I1754*(1+Assumptions!G$14)),-2)</f>
        <v>0</v>
      </c>
      <c r="K1754" s="288">
        <f>ROUND(IF($A1754="E",J1754*(1+Assumptions!H$15),J1754*(1+Assumptions!H$14)),-2)</f>
        <v>0</v>
      </c>
      <c r="L1754" s="288">
        <f>ROUND(IF($A1754="E",K1754*(1+Assumptions!I$15),K1754*(1+Assumptions!I$14)),-2)</f>
        <v>0</v>
      </c>
      <c r="M1754" s="288">
        <f>ROUND(IF($A1754="E",L1754*(1+Assumptions!J$15),L1754*(1+Assumptions!J$14)),-2)</f>
        <v>0</v>
      </c>
      <c r="N1754" s="288">
        <f>ROUND(IF($A1754="E",M1754*(1+Assumptions!K$15),M1754*(1+Assumptions!K$14)),-2)</f>
        <v>0</v>
      </c>
    </row>
    <row r="1755" spans="2:14" x14ac:dyDescent="0.25">
      <c r="B1755" s="16" t="s">
        <v>43</v>
      </c>
      <c r="C1755" s="16" t="s">
        <v>2766</v>
      </c>
      <c r="D1755" s="16" t="s">
        <v>1641</v>
      </c>
      <c r="E1755" s="288">
        <v>0</v>
      </c>
      <c r="F1755" s="288">
        <f>ROUND(IF($A1755="E",E1755*(1+Assumptions!C$15),E1755*(1+Assumptions!C$14)),-2)</f>
        <v>0</v>
      </c>
      <c r="G1755" s="288">
        <f>ROUND(IF($A1755="E",F1755*(1+Assumptions!D$15),F1755*(1+Assumptions!D$14)),-2)</f>
        <v>0</v>
      </c>
      <c r="H1755" s="288">
        <f>ROUND(IF($A1755="E",G1755*(1+Assumptions!E$15),G1755*(1+Assumptions!E$14)),-2)</f>
        <v>0</v>
      </c>
      <c r="I1755" s="288">
        <f>ROUND(IF($A1755="E",H1755*(1+Assumptions!F$15),H1755*(1+Assumptions!F$14)),-2)</f>
        <v>0</v>
      </c>
      <c r="J1755" s="288">
        <f>ROUND(IF($A1755="E",I1755*(1+Assumptions!G$15),I1755*(1+Assumptions!G$14)),-2)</f>
        <v>0</v>
      </c>
      <c r="K1755" s="288">
        <f>ROUND(IF($A1755="E",J1755*(1+Assumptions!H$15),J1755*(1+Assumptions!H$14)),-2)</f>
        <v>0</v>
      </c>
      <c r="L1755" s="288">
        <f>ROUND(IF($A1755="E",K1755*(1+Assumptions!I$15),K1755*(1+Assumptions!I$14)),-2)</f>
        <v>0</v>
      </c>
      <c r="M1755" s="288">
        <f>ROUND(IF($A1755="E",L1755*(1+Assumptions!J$15),L1755*(1+Assumptions!J$14)),-2)</f>
        <v>0</v>
      </c>
      <c r="N1755" s="288">
        <f>ROUND(IF($A1755="E",M1755*(1+Assumptions!K$15),M1755*(1+Assumptions!K$14)),-2)</f>
        <v>0</v>
      </c>
    </row>
    <row r="1756" spans="2:14" x14ac:dyDescent="0.25">
      <c r="B1756" s="16" t="s">
        <v>43</v>
      </c>
      <c r="C1756" s="16" t="s">
        <v>2767</v>
      </c>
      <c r="D1756" s="16" t="s">
        <v>2768</v>
      </c>
      <c r="E1756" s="289"/>
      <c r="F1756" s="289"/>
      <c r="G1756" s="289"/>
      <c r="H1756" s="289"/>
      <c r="I1756" s="289"/>
      <c r="J1756" s="289"/>
      <c r="K1756" s="289"/>
      <c r="L1756" s="289"/>
      <c r="M1756" s="289"/>
      <c r="N1756" s="289"/>
    </row>
    <row r="1757" spans="2:14" x14ac:dyDescent="0.25">
      <c r="B1757" s="16" t="s">
        <v>43</v>
      </c>
      <c r="C1757" s="16" t="s">
        <v>2769</v>
      </c>
      <c r="D1757" s="16" t="s">
        <v>2770</v>
      </c>
      <c r="E1757" s="288">
        <v>0</v>
      </c>
      <c r="F1757" s="288">
        <f>ROUND(IF($A1757="E",E1757*(1+Assumptions!C$15),E1757*(1+Assumptions!C$14)),-2)</f>
        <v>0</v>
      </c>
      <c r="G1757" s="288">
        <f>ROUND(IF($A1757="E",F1757*(1+Assumptions!D$15),F1757*(1+Assumptions!D$14)),-2)</f>
        <v>0</v>
      </c>
      <c r="H1757" s="288">
        <f>ROUND(IF($A1757="E",G1757*(1+Assumptions!E$15),G1757*(1+Assumptions!E$14)),-2)</f>
        <v>0</v>
      </c>
      <c r="I1757" s="288">
        <f>ROUND(IF($A1757="E",H1757*(1+Assumptions!F$15),H1757*(1+Assumptions!F$14)),-2)</f>
        <v>0</v>
      </c>
      <c r="J1757" s="288">
        <f>ROUND(IF($A1757="E",I1757*(1+Assumptions!G$15),I1757*(1+Assumptions!G$14)),-2)</f>
        <v>0</v>
      </c>
      <c r="K1757" s="288">
        <f>ROUND(IF($A1757="E",J1757*(1+Assumptions!H$15),J1757*(1+Assumptions!H$14)),-2)</f>
        <v>0</v>
      </c>
      <c r="L1757" s="288">
        <f>ROUND(IF($A1757="E",K1757*(1+Assumptions!I$15),K1757*(1+Assumptions!I$14)),-2)</f>
        <v>0</v>
      </c>
      <c r="M1757" s="288">
        <f>ROUND(IF($A1757="E",L1757*(1+Assumptions!J$15),L1757*(1+Assumptions!J$14)),-2)</f>
        <v>0</v>
      </c>
      <c r="N1757" s="288">
        <f>ROUND(IF($A1757="E",M1757*(1+Assumptions!K$15),M1757*(1+Assumptions!K$14)),-2)</f>
        <v>0</v>
      </c>
    </row>
    <row r="1758" spans="2:14" x14ac:dyDescent="0.25">
      <c r="B1758" s="16" t="s">
        <v>43</v>
      </c>
      <c r="C1758" s="16" t="s">
        <v>2771</v>
      </c>
      <c r="D1758" s="16" t="s">
        <v>2772</v>
      </c>
      <c r="E1758" s="288">
        <v>0</v>
      </c>
      <c r="F1758" s="288">
        <f>ROUND(IF($A1758="E",E1758*(1+Assumptions!C$15),E1758*(1+Assumptions!C$14)),-2)</f>
        <v>0</v>
      </c>
      <c r="G1758" s="288">
        <f>ROUND(IF($A1758="E",F1758*(1+Assumptions!D$15),F1758*(1+Assumptions!D$14)),-2)</f>
        <v>0</v>
      </c>
      <c r="H1758" s="288">
        <f>ROUND(IF($A1758="E",G1758*(1+Assumptions!E$15),G1758*(1+Assumptions!E$14)),-2)</f>
        <v>0</v>
      </c>
      <c r="I1758" s="288">
        <f>ROUND(IF($A1758="E",H1758*(1+Assumptions!F$15),H1758*(1+Assumptions!F$14)),-2)</f>
        <v>0</v>
      </c>
      <c r="J1758" s="288">
        <f>ROUND(IF($A1758="E",I1758*(1+Assumptions!G$15),I1758*(1+Assumptions!G$14)),-2)</f>
        <v>0</v>
      </c>
      <c r="K1758" s="288">
        <f>ROUND(IF($A1758="E",J1758*(1+Assumptions!H$15),J1758*(1+Assumptions!H$14)),-2)</f>
        <v>0</v>
      </c>
      <c r="L1758" s="288">
        <f>ROUND(IF($A1758="E",K1758*(1+Assumptions!I$15),K1758*(1+Assumptions!I$14)),-2)</f>
        <v>0</v>
      </c>
      <c r="M1758" s="288">
        <f>ROUND(IF($A1758="E",L1758*(1+Assumptions!J$15),L1758*(1+Assumptions!J$14)),-2)</f>
        <v>0</v>
      </c>
      <c r="N1758" s="288">
        <f>ROUND(IF($A1758="E",M1758*(1+Assumptions!K$15),M1758*(1+Assumptions!K$14)),-2)</f>
        <v>0</v>
      </c>
    </row>
    <row r="1759" spans="2:14" x14ac:dyDescent="0.25">
      <c r="B1759" s="16" t="s">
        <v>43</v>
      </c>
      <c r="C1759" s="16" t="s">
        <v>2773</v>
      </c>
      <c r="D1759" s="16" t="s">
        <v>187</v>
      </c>
      <c r="E1759" s="289"/>
      <c r="F1759" s="289"/>
      <c r="G1759" s="289"/>
      <c r="H1759" s="289"/>
      <c r="I1759" s="289"/>
      <c r="J1759" s="289"/>
      <c r="K1759" s="289"/>
      <c r="L1759" s="289"/>
      <c r="M1759" s="289"/>
      <c r="N1759" s="289"/>
    </row>
    <row r="1760" spans="2:14" x14ac:dyDescent="0.25">
      <c r="B1760" s="16" t="s">
        <v>43</v>
      </c>
      <c r="C1760" s="16" t="s">
        <v>2774</v>
      </c>
      <c r="D1760" s="16" t="s">
        <v>193</v>
      </c>
      <c r="E1760" s="288">
        <v>494500</v>
      </c>
      <c r="F1760" s="288">
        <f>ROUND(IF($A1760="E",E1760*(1+Assumptions!C$15),E1760*(1+Assumptions!C$14)),-2)</f>
        <v>501900</v>
      </c>
      <c r="G1760" s="288">
        <f>ROUND(IF($A1760="E",F1760*(1+Assumptions!D$15),F1760*(1+Assumptions!D$14)),-2)</f>
        <v>511900</v>
      </c>
      <c r="H1760" s="288">
        <f>ROUND(IF($A1760="E",G1760*(1+Assumptions!E$15),G1760*(1+Assumptions!E$14)),-2)</f>
        <v>522100</v>
      </c>
      <c r="I1760" s="288">
        <f>ROUND(IF($A1760="E",H1760*(1+Assumptions!F$15),H1760*(1+Assumptions!F$14)),-2)</f>
        <v>532500</v>
      </c>
      <c r="J1760" s="288">
        <f>ROUND(IF($A1760="E",I1760*(1+Assumptions!G$15),I1760*(1+Assumptions!G$14)),-2)</f>
        <v>543200</v>
      </c>
      <c r="K1760" s="288">
        <f>ROUND(IF($A1760="E",J1760*(1+Assumptions!H$15),J1760*(1+Assumptions!H$14)),-2)</f>
        <v>554100</v>
      </c>
      <c r="L1760" s="288">
        <f>ROUND(IF($A1760="E",K1760*(1+Assumptions!I$15),K1760*(1+Assumptions!I$14)),-2)</f>
        <v>568000</v>
      </c>
      <c r="M1760" s="288">
        <f>ROUND(IF($A1760="E",L1760*(1+Assumptions!J$15),L1760*(1+Assumptions!J$14)),-2)</f>
        <v>582200</v>
      </c>
      <c r="N1760" s="288">
        <f>ROUND(IF($A1760="E",M1760*(1+Assumptions!K$15),M1760*(1+Assumptions!K$14)),-2)</f>
        <v>596800</v>
      </c>
    </row>
    <row r="1761" spans="2:14" x14ac:dyDescent="0.25">
      <c r="B1761" s="16" t="s">
        <v>43</v>
      </c>
      <c r="C1761" s="16" t="s">
        <v>2775</v>
      </c>
      <c r="D1761" s="16" t="s">
        <v>2776</v>
      </c>
      <c r="E1761" s="289"/>
      <c r="F1761" s="289"/>
      <c r="G1761" s="289"/>
      <c r="H1761" s="289"/>
      <c r="I1761" s="289"/>
      <c r="J1761" s="289"/>
      <c r="K1761" s="289"/>
      <c r="L1761" s="289"/>
      <c r="M1761" s="289"/>
      <c r="N1761" s="289"/>
    </row>
    <row r="1762" spans="2:14" x14ac:dyDescent="0.25">
      <c r="B1762" s="16" t="s">
        <v>43</v>
      </c>
      <c r="C1762" s="16" t="s">
        <v>2777</v>
      </c>
      <c r="D1762" s="16" t="s">
        <v>2776</v>
      </c>
      <c r="E1762" s="288">
        <v>0</v>
      </c>
      <c r="F1762" s="288">
        <f>ROUND(IF($A1762="E",E1762*(1+Assumptions!C$15),E1762*(1+Assumptions!C$14)),-2)</f>
        <v>0</v>
      </c>
      <c r="G1762" s="288">
        <f>ROUND(IF($A1762="E",F1762*(1+Assumptions!D$15),F1762*(1+Assumptions!D$14)),-2)</f>
        <v>0</v>
      </c>
      <c r="H1762" s="288">
        <f>ROUND(IF($A1762="E",G1762*(1+Assumptions!E$15),G1762*(1+Assumptions!E$14)),-2)</f>
        <v>0</v>
      </c>
      <c r="I1762" s="288">
        <f>ROUND(IF($A1762="E",H1762*(1+Assumptions!F$15),H1762*(1+Assumptions!F$14)),-2)</f>
        <v>0</v>
      </c>
      <c r="J1762" s="288">
        <f>ROUND(IF($A1762="E",I1762*(1+Assumptions!G$15),I1762*(1+Assumptions!G$14)),-2)</f>
        <v>0</v>
      </c>
      <c r="K1762" s="288">
        <f>ROUND(IF($A1762="E",J1762*(1+Assumptions!H$15),J1762*(1+Assumptions!H$14)),-2)</f>
        <v>0</v>
      </c>
      <c r="L1762" s="288">
        <f>ROUND(IF($A1762="E",K1762*(1+Assumptions!I$15),K1762*(1+Assumptions!I$14)),-2)</f>
        <v>0</v>
      </c>
      <c r="M1762" s="288">
        <f>ROUND(IF($A1762="E",L1762*(1+Assumptions!J$15),L1762*(1+Assumptions!J$14)),-2)</f>
        <v>0</v>
      </c>
      <c r="N1762" s="288">
        <f>ROUND(IF($A1762="E",M1762*(1+Assumptions!K$15),M1762*(1+Assumptions!K$14)),-2)</f>
        <v>0</v>
      </c>
    </row>
    <row r="1763" spans="2:14" x14ac:dyDescent="0.25">
      <c r="B1763" s="16" t="s">
        <v>43</v>
      </c>
      <c r="C1763" s="16" t="s">
        <v>2778</v>
      </c>
      <c r="D1763" s="16" t="s">
        <v>2779</v>
      </c>
      <c r="E1763" s="289"/>
      <c r="F1763" s="289"/>
      <c r="G1763" s="289"/>
      <c r="H1763" s="289"/>
      <c r="I1763" s="289"/>
      <c r="J1763" s="289"/>
      <c r="K1763" s="289"/>
      <c r="L1763" s="289"/>
      <c r="M1763" s="289"/>
      <c r="N1763" s="289"/>
    </row>
    <row r="1764" spans="2:14" x14ac:dyDescent="0.25">
      <c r="B1764" s="16" t="s">
        <v>43</v>
      </c>
      <c r="C1764" s="16" t="s">
        <v>2780</v>
      </c>
      <c r="D1764" s="16" t="s">
        <v>2779</v>
      </c>
      <c r="E1764" s="288">
        <v>0</v>
      </c>
      <c r="F1764" s="288">
        <f>ROUND(IF($A1764="E",E1764*(1+Assumptions!C$15),E1764*(1+Assumptions!C$14)),-2)</f>
        <v>0</v>
      </c>
      <c r="G1764" s="288">
        <f>ROUND(IF($A1764="E",F1764*(1+Assumptions!D$15),F1764*(1+Assumptions!D$14)),-2)</f>
        <v>0</v>
      </c>
      <c r="H1764" s="288">
        <f>ROUND(IF($A1764="E",G1764*(1+Assumptions!E$15),G1764*(1+Assumptions!E$14)),-2)</f>
        <v>0</v>
      </c>
      <c r="I1764" s="288">
        <f>ROUND(IF($A1764="E",H1764*(1+Assumptions!F$15),H1764*(1+Assumptions!F$14)),-2)</f>
        <v>0</v>
      </c>
      <c r="J1764" s="288">
        <f>ROUND(IF($A1764="E",I1764*(1+Assumptions!G$15),I1764*(1+Assumptions!G$14)),-2)</f>
        <v>0</v>
      </c>
      <c r="K1764" s="288">
        <f>ROUND(IF($A1764="E",J1764*(1+Assumptions!H$15),J1764*(1+Assumptions!H$14)),-2)</f>
        <v>0</v>
      </c>
      <c r="L1764" s="288">
        <f>ROUND(IF($A1764="E",K1764*(1+Assumptions!I$15),K1764*(1+Assumptions!I$14)),-2)</f>
        <v>0</v>
      </c>
      <c r="M1764" s="288">
        <f>ROUND(IF($A1764="E",L1764*(1+Assumptions!J$15),L1764*(1+Assumptions!J$14)),-2)</f>
        <v>0</v>
      </c>
      <c r="N1764" s="288">
        <f>ROUND(IF($A1764="E",M1764*(1+Assumptions!K$15),M1764*(1+Assumptions!K$14)),-2)</f>
        <v>0</v>
      </c>
    </row>
    <row r="1765" spans="2:14" ht="12.75" customHeight="1" x14ac:dyDescent="0.25">
      <c r="E1765" s="288"/>
      <c r="F1765" s="288"/>
      <c r="G1765" s="288"/>
      <c r="H1765" s="288"/>
      <c r="I1765" s="288"/>
      <c r="J1765" s="288"/>
      <c r="K1765" s="288"/>
      <c r="L1765" s="288"/>
      <c r="M1765" s="288"/>
      <c r="N1765" s="288"/>
    </row>
    <row r="1766" spans="2:14" ht="12.75" customHeight="1" x14ac:dyDescent="0.25">
      <c r="D1766" s="19" t="s">
        <v>3234</v>
      </c>
      <c r="E1766" s="291">
        <f>SUM(E1717:E1765)</f>
        <v>1904000</v>
      </c>
      <c r="F1766" s="291">
        <f t="shared" ref="F1766:N1766" si="56">SUM(F1717:F1765)</f>
        <v>1677600</v>
      </c>
      <c r="G1766" s="291">
        <f t="shared" si="56"/>
        <v>1711100</v>
      </c>
      <c r="H1766" s="291">
        <f t="shared" si="56"/>
        <v>1745300</v>
      </c>
      <c r="I1766" s="291">
        <f t="shared" si="56"/>
        <v>1780100</v>
      </c>
      <c r="J1766" s="291">
        <f t="shared" si="56"/>
        <v>1815800</v>
      </c>
      <c r="K1766" s="291">
        <f t="shared" si="56"/>
        <v>1852200</v>
      </c>
      <c r="L1766" s="291">
        <f t="shared" si="56"/>
        <v>1898600</v>
      </c>
      <c r="M1766" s="291">
        <f t="shared" si="56"/>
        <v>1946100</v>
      </c>
      <c r="N1766" s="291">
        <f t="shared" si="56"/>
        <v>1994900</v>
      </c>
    </row>
    <row r="1767" spans="2:14" ht="12.75" customHeight="1" x14ac:dyDescent="0.25">
      <c r="E1767" s="288"/>
      <c r="F1767" s="288"/>
      <c r="G1767" s="288"/>
      <c r="H1767" s="288"/>
      <c r="I1767" s="288"/>
      <c r="J1767" s="288"/>
      <c r="K1767" s="288"/>
      <c r="L1767" s="288"/>
      <c r="M1767" s="288"/>
      <c r="N1767" s="288"/>
    </row>
    <row r="1768" spans="2:14" x14ac:dyDescent="0.25">
      <c r="C1768" s="16" t="s">
        <v>315</v>
      </c>
      <c r="E1768" s="288"/>
      <c r="F1768" s="288"/>
      <c r="G1768" s="288"/>
      <c r="H1768" s="288"/>
      <c r="I1768" s="288"/>
      <c r="J1768" s="288"/>
      <c r="K1768" s="288"/>
      <c r="L1768" s="288"/>
      <c r="M1768" s="288"/>
      <c r="N1768" s="288"/>
    </row>
    <row r="1769" spans="2:14" x14ac:dyDescent="0.25">
      <c r="B1769" s="16" t="s">
        <v>3229</v>
      </c>
      <c r="C1769" s="16" t="s">
        <v>2781</v>
      </c>
      <c r="D1769" s="16" t="s">
        <v>2782</v>
      </c>
      <c r="E1769" s="289"/>
      <c r="F1769" s="289"/>
      <c r="G1769" s="289"/>
      <c r="H1769" s="289"/>
      <c r="I1769" s="289"/>
      <c r="J1769" s="289"/>
      <c r="K1769" s="289"/>
      <c r="L1769" s="289"/>
      <c r="M1769" s="289"/>
      <c r="N1769" s="289"/>
    </row>
    <row r="1770" spans="2:14" x14ac:dyDescent="0.25">
      <c r="B1770" s="16" t="s">
        <v>3229</v>
      </c>
      <c r="C1770" s="16" t="s">
        <v>2783</v>
      </c>
      <c r="D1770" s="16" t="s">
        <v>2784</v>
      </c>
      <c r="E1770" s="288">
        <v>0</v>
      </c>
      <c r="F1770" s="288">
        <f>ROUND(E1770+(E1770*Assumptions!C$13),-2)</f>
        <v>0</v>
      </c>
      <c r="G1770" s="288">
        <f>ROUND(F1770+(F1770*Assumptions!D$13),-2)</f>
        <v>0</v>
      </c>
      <c r="H1770" s="288">
        <f>ROUND(G1770+(G1770*Assumptions!E$13),-2)</f>
        <v>0</v>
      </c>
      <c r="I1770" s="288">
        <f>ROUND(H1770+(H1770*Assumptions!F$13),-2)</f>
        <v>0</v>
      </c>
      <c r="J1770" s="288">
        <f>ROUND(I1770+(I1770*Assumptions!G$13),-2)</f>
        <v>0</v>
      </c>
      <c r="K1770" s="288">
        <f>ROUND(J1770+(J1770*Assumptions!H$13),-2)</f>
        <v>0</v>
      </c>
      <c r="L1770" s="288">
        <f>ROUND(K1770+(K1770*Assumptions!I$13),-2)</f>
        <v>0</v>
      </c>
      <c r="M1770" s="288">
        <f>ROUND(L1770+(L1770*Assumptions!J$13),-2)</f>
        <v>0</v>
      </c>
      <c r="N1770" s="288">
        <f>ROUND(M1770+(M1770*Assumptions!K$13),-2)</f>
        <v>0</v>
      </c>
    </row>
    <row r="1771" spans="2:14" x14ac:dyDescent="0.25">
      <c r="B1771" s="16" t="s">
        <v>3229</v>
      </c>
      <c r="C1771" s="16" t="s">
        <v>2785</v>
      </c>
      <c r="D1771" s="16" t="s">
        <v>2786</v>
      </c>
      <c r="E1771" s="288">
        <v>-53000</v>
      </c>
      <c r="F1771" s="288">
        <v>0</v>
      </c>
      <c r="G1771" s="288">
        <f>ROUND(F1771+(F1771*Assumptions!D$13),-2)</f>
        <v>0</v>
      </c>
      <c r="H1771" s="288">
        <f>ROUND(G1771+(G1771*Assumptions!E$13),-2)</f>
        <v>0</v>
      </c>
      <c r="I1771" s="288">
        <f>ROUND(H1771+(H1771*Assumptions!F$13),-2)</f>
        <v>0</v>
      </c>
      <c r="J1771" s="288">
        <f>ROUND(I1771+(I1771*Assumptions!G$13),-2)</f>
        <v>0</v>
      </c>
      <c r="K1771" s="288">
        <f>ROUND(J1771+(J1771*Assumptions!H$13),-2)</f>
        <v>0</v>
      </c>
      <c r="L1771" s="288">
        <f>ROUND(K1771+(K1771*Assumptions!I$13),-2)</f>
        <v>0</v>
      </c>
      <c r="M1771" s="288">
        <f>ROUND(L1771+(L1771*Assumptions!J$13),-2)</f>
        <v>0</v>
      </c>
      <c r="N1771" s="288">
        <f>ROUND(M1771+(M1771*Assumptions!K$13),-2)</f>
        <v>0</v>
      </c>
    </row>
    <row r="1772" spans="2:14" x14ac:dyDescent="0.25">
      <c r="B1772" s="16" t="s">
        <v>3229</v>
      </c>
      <c r="C1772" s="16" t="s">
        <v>2787</v>
      </c>
      <c r="D1772" s="16" t="s">
        <v>2788</v>
      </c>
      <c r="E1772" s="289"/>
      <c r="F1772" s="289"/>
      <c r="G1772" s="289"/>
      <c r="H1772" s="289"/>
      <c r="I1772" s="289"/>
      <c r="J1772" s="289"/>
      <c r="K1772" s="289"/>
      <c r="L1772" s="289"/>
      <c r="M1772" s="289"/>
      <c r="N1772" s="289"/>
    </row>
    <row r="1773" spans="2:14" x14ac:dyDescent="0.25">
      <c r="B1773" s="16" t="s">
        <v>3229</v>
      </c>
      <c r="C1773" s="16" t="s">
        <v>2789</v>
      </c>
      <c r="D1773" s="16" t="s">
        <v>2790</v>
      </c>
      <c r="E1773" s="288">
        <v>0</v>
      </c>
      <c r="F1773" s="288">
        <f>ROUND(E1773+(E1773*Assumptions!C$13),-2)</f>
        <v>0</v>
      </c>
      <c r="G1773" s="288">
        <f>ROUND(F1773+(F1773*Assumptions!D$13),-2)</f>
        <v>0</v>
      </c>
      <c r="H1773" s="288">
        <f>ROUND(G1773+(G1773*Assumptions!E$13),-2)</f>
        <v>0</v>
      </c>
      <c r="I1773" s="288">
        <f>ROUND(H1773+(H1773*Assumptions!F$13),-2)</f>
        <v>0</v>
      </c>
      <c r="J1773" s="288">
        <f>ROUND(I1773+(I1773*Assumptions!G$13),-2)</f>
        <v>0</v>
      </c>
      <c r="K1773" s="288">
        <f>ROUND(J1773+(J1773*Assumptions!H$13),-2)</f>
        <v>0</v>
      </c>
      <c r="L1773" s="288">
        <f>ROUND(K1773+(K1773*Assumptions!I$13),-2)</f>
        <v>0</v>
      </c>
      <c r="M1773" s="288">
        <f>ROUND(L1773+(L1773*Assumptions!J$13),-2)</f>
        <v>0</v>
      </c>
      <c r="N1773" s="288">
        <f>ROUND(M1773+(M1773*Assumptions!K$13),-2)</f>
        <v>0</v>
      </c>
    </row>
    <row r="1774" spans="2:14" x14ac:dyDescent="0.25">
      <c r="B1774" s="16" t="s">
        <v>3228</v>
      </c>
      <c r="C1774" s="16" t="s">
        <v>2791</v>
      </c>
      <c r="D1774" s="16" t="s">
        <v>1533</v>
      </c>
      <c r="E1774" s="289"/>
      <c r="F1774" s="289"/>
      <c r="G1774" s="289"/>
      <c r="H1774" s="289"/>
      <c r="I1774" s="289"/>
      <c r="J1774" s="289"/>
      <c r="K1774" s="289"/>
      <c r="L1774" s="289"/>
      <c r="M1774" s="289"/>
      <c r="N1774" s="289"/>
    </row>
    <row r="1775" spans="2:14" x14ac:dyDescent="0.25">
      <c r="B1775" s="16" t="s">
        <v>3228</v>
      </c>
      <c r="C1775" s="16" t="s">
        <v>2792</v>
      </c>
      <c r="D1775" s="16" t="s">
        <v>2793</v>
      </c>
      <c r="E1775" s="288">
        <v>-109200</v>
      </c>
      <c r="F1775" s="288">
        <f>E1775</f>
        <v>-109200</v>
      </c>
      <c r="G1775" s="288">
        <f t="shared" ref="G1775:N1775" si="57">F1775</f>
        <v>-109200</v>
      </c>
      <c r="H1775" s="288">
        <f t="shared" si="57"/>
        <v>-109200</v>
      </c>
      <c r="I1775" s="288">
        <f t="shared" si="57"/>
        <v>-109200</v>
      </c>
      <c r="J1775" s="288">
        <f t="shared" si="57"/>
        <v>-109200</v>
      </c>
      <c r="K1775" s="288">
        <f t="shared" si="57"/>
        <v>-109200</v>
      </c>
      <c r="L1775" s="288">
        <f t="shared" si="57"/>
        <v>-109200</v>
      </c>
      <c r="M1775" s="288">
        <f t="shared" si="57"/>
        <v>-109200</v>
      </c>
      <c r="N1775" s="288">
        <f t="shared" si="57"/>
        <v>-109200</v>
      </c>
    </row>
    <row r="1776" spans="2:14" x14ac:dyDescent="0.25">
      <c r="B1776" s="16" t="s">
        <v>3228</v>
      </c>
      <c r="C1776" s="16" t="s">
        <v>2794</v>
      </c>
      <c r="D1776" s="16" t="s">
        <v>2795</v>
      </c>
      <c r="E1776" s="288">
        <v>-39900</v>
      </c>
      <c r="F1776" s="288">
        <f>E1776</f>
        <v>-39900</v>
      </c>
      <c r="G1776" s="288">
        <f t="shared" ref="G1776:N1776" si="58">F1776</f>
        <v>-39900</v>
      </c>
      <c r="H1776" s="288">
        <f t="shared" si="58"/>
        <v>-39900</v>
      </c>
      <c r="I1776" s="288">
        <f t="shared" si="58"/>
        <v>-39900</v>
      </c>
      <c r="J1776" s="288">
        <f t="shared" si="58"/>
        <v>-39900</v>
      </c>
      <c r="K1776" s="288">
        <f t="shared" si="58"/>
        <v>-39900</v>
      </c>
      <c r="L1776" s="288">
        <f t="shared" si="58"/>
        <v>-39900</v>
      </c>
      <c r="M1776" s="288">
        <f t="shared" si="58"/>
        <v>-39900</v>
      </c>
      <c r="N1776" s="288">
        <f t="shared" si="58"/>
        <v>-39900</v>
      </c>
    </row>
    <row r="1777" spans="2:14" x14ac:dyDescent="0.25">
      <c r="B1777" s="16" t="s">
        <v>3228</v>
      </c>
      <c r="C1777" s="16" t="s">
        <v>2796</v>
      </c>
      <c r="D1777" s="16" t="s">
        <v>2716</v>
      </c>
      <c r="E1777" s="288">
        <v>-19200</v>
      </c>
      <c r="F1777" s="288">
        <v>0</v>
      </c>
      <c r="G1777" s="288">
        <f>ROUND(F1777+(F1777*Assumptions!D$13),-2)</f>
        <v>0</v>
      </c>
      <c r="H1777" s="288">
        <f>ROUND(G1777+(G1777*Assumptions!E$13),-2)</f>
        <v>0</v>
      </c>
      <c r="I1777" s="288">
        <f>ROUND(H1777+(H1777*Assumptions!F$13),-2)</f>
        <v>0</v>
      </c>
      <c r="J1777" s="288">
        <f>ROUND(I1777+(I1777*Assumptions!G$13),-2)</f>
        <v>0</v>
      </c>
      <c r="K1777" s="288">
        <f>ROUND(J1777+(J1777*Assumptions!H$13),-2)</f>
        <v>0</v>
      </c>
      <c r="L1777" s="288">
        <f>ROUND(K1777+(K1777*Assumptions!I$13),-2)</f>
        <v>0</v>
      </c>
      <c r="M1777" s="288">
        <f>ROUND(L1777+(L1777*Assumptions!J$13),-2)</f>
        <v>0</v>
      </c>
      <c r="N1777" s="288">
        <f>ROUND(M1777+(M1777*Assumptions!K$13),-2)</f>
        <v>0</v>
      </c>
    </row>
    <row r="1778" spans="2:14" x14ac:dyDescent="0.25">
      <c r="B1778" s="16" t="s">
        <v>3228</v>
      </c>
      <c r="C1778" s="16" t="s">
        <v>2797</v>
      </c>
      <c r="D1778" s="16" t="s">
        <v>2798</v>
      </c>
      <c r="E1778" s="288">
        <v>0</v>
      </c>
      <c r="F1778" s="288">
        <f>ROUND(E1778+(E1778*Assumptions!C$13),-2)</f>
        <v>0</v>
      </c>
      <c r="G1778" s="288">
        <f>ROUND(F1778+(F1778*Assumptions!D$13),-2)</f>
        <v>0</v>
      </c>
      <c r="H1778" s="288">
        <f>ROUND(G1778+(G1778*Assumptions!E$13),-2)</f>
        <v>0</v>
      </c>
      <c r="I1778" s="288">
        <f>ROUND(H1778+(H1778*Assumptions!F$13),-2)</f>
        <v>0</v>
      </c>
      <c r="J1778" s="288">
        <f>ROUND(I1778+(I1778*Assumptions!G$13),-2)</f>
        <v>0</v>
      </c>
      <c r="K1778" s="288">
        <f>ROUND(J1778+(J1778*Assumptions!H$13),-2)</f>
        <v>0</v>
      </c>
      <c r="L1778" s="288">
        <f>ROUND(K1778+(K1778*Assumptions!I$13),-2)</f>
        <v>0</v>
      </c>
      <c r="M1778" s="288">
        <f>ROUND(L1778+(L1778*Assumptions!J$13),-2)</f>
        <v>0</v>
      </c>
      <c r="N1778" s="288">
        <f>ROUND(M1778+(M1778*Assumptions!K$13),-2)</f>
        <v>0</v>
      </c>
    </row>
    <row r="1779" spans="2:14" ht="12.75" customHeight="1" x14ac:dyDescent="0.25">
      <c r="E1779" s="288"/>
      <c r="F1779" s="288"/>
      <c r="G1779" s="288"/>
      <c r="H1779" s="288"/>
      <c r="I1779" s="288"/>
      <c r="J1779" s="288"/>
      <c r="K1779" s="288"/>
      <c r="L1779" s="288"/>
      <c r="M1779" s="288"/>
      <c r="N1779" s="288"/>
    </row>
    <row r="1780" spans="2:14" ht="12.75" customHeight="1" x14ac:dyDescent="0.25">
      <c r="D1780" s="19" t="s">
        <v>3234</v>
      </c>
      <c r="E1780" s="291">
        <f>SUM(E1769:E1779)</f>
        <v>-221300</v>
      </c>
      <c r="F1780" s="291">
        <f t="shared" ref="F1780:N1780" si="59">SUM(F1769:F1779)</f>
        <v>-149100</v>
      </c>
      <c r="G1780" s="291">
        <f t="shared" si="59"/>
        <v>-149100</v>
      </c>
      <c r="H1780" s="291">
        <f t="shared" si="59"/>
        <v>-149100</v>
      </c>
      <c r="I1780" s="291">
        <f t="shared" si="59"/>
        <v>-149100</v>
      </c>
      <c r="J1780" s="291">
        <f t="shared" si="59"/>
        <v>-149100</v>
      </c>
      <c r="K1780" s="291">
        <f t="shared" si="59"/>
        <v>-149100</v>
      </c>
      <c r="L1780" s="291">
        <f t="shared" si="59"/>
        <v>-149100</v>
      </c>
      <c r="M1780" s="291">
        <f t="shared" si="59"/>
        <v>-149100</v>
      </c>
      <c r="N1780" s="291">
        <f t="shared" si="59"/>
        <v>-149100</v>
      </c>
    </row>
    <row r="1781" spans="2:14" ht="12.75" customHeight="1" x14ac:dyDescent="0.25">
      <c r="E1781" s="288"/>
      <c r="F1781" s="288"/>
      <c r="G1781" s="288"/>
      <c r="H1781" s="288"/>
      <c r="I1781" s="288"/>
      <c r="J1781" s="288"/>
      <c r="K1781" s="288"/>
      <c r="L1781" s="288"/>
      <c r="M1781" s="288"/>
      <c r="N1781" s="288"/>
    </row>
    <row r="1782" spans="2:14" x14ac:dyDescent="0.25">
      <c r="C1782" s="19" t="s">
        <v>2799</v>
      </c>
      <c r="E1782" s="288"/>
      <c r="F1782" s="288"/>
      <c r="G1782" s="288"/>
      <c r="H1782" s="288"/>
      <c r="I1782" s="288"/>
      <c r="J1782" s="288"/>
      <c r="K1782" s="288"/>
      <c r="L1782" s="288"/>
      <c r="M1782" s="288"/>
      <c r="N1782" s="288"/>
    </row>
    <row r="1783" spans="2:14" ht="12.75" customHeight="1" x14ac:dyDescent="0.25">
      <c r="E1783" s="288"/>
      <c r="F1783" s="288"/>
      <c r="G1783" s="288"/>
      <c r="H1783" s="288"/>
      <c r="I1783" s="288"/>
      <c r="J1783" s="288"/>
      <c r="K1783" s="288"/>
      <c r="L1783" s="288"/>
      <c r="M1783" s="288"/>
      <c r="N1783" s="288"/>
    </row>
    <row r="1784" spans="2:14" x14ac:dyDescent="0.25">
      <c r="C1784" s="16" t="s">
        <v>87</v>
      </c>
      <c r="E1784" s="288"/>
      <c r="F1784" s="288"/>
      <c r="G1784" s="288"/>
      <c r="H1784" s="288"/>
      <c r="I1784" s="288"/>
      <c r="J1784" s="288"/>
      <c r="K1784" s="288"/>
      <c r="L1784" s="288"/>
      <c r="M1784" s="288"/>
      <c r="N1784" s="288"/>
    </row>
    <row r="1785" spans="2:14" x14ac:dyDescent="0.25">
      <c r="B1785" s="16" t="s">
        <v>41</v>
      </c>
      <c r="C1785" s="16" t="s">
        <v>2800</v>
      </c>
      <c r="D1785" s="16" t="s">
        <v>2801</v>
      </c>
      <c r="E1785" s="289"/>
      <c r="F1785" s="289"/>
      <c r="G1785" s="289"/>
      <c r="H1785" s="289"/>
      <c r="I1785" s="289"/>
      <c r="J1785" s="289"/>
      <c r="K1785" s="289"/>
      <c r="L1785" s="289"/>
      <c r="M1785" s="289"/>
      <c r="N1785" s="289"/>
    </row>
    <row r="1786" spans="2:14" x14ac:dyDescent="0.25">
      <c r="B1786" s="16" t="s">
        <v>41</v>
      </c>
      <c r="C1786" s="16" t="s">
        <v>2802</v>
      </c>
      <c r="D1786" s="16" t="s">
        <v>201</v>
      </c>
      <c r="E1786" s="288">
        <v>454500</v>
      </c>
      <c r="F1786" s="288">
        <f>ROUND(IF($A1786="E",E1786*(1+Assumptions!C$15),E1786*(1+Assumptions!C$14)),-2)</f>
        <v>461300</v>
      </c>
      <c r="G1786" s="288">
        <f>ROUND(IF($A1786="E",F1786*(1+Assumptions!D$15),F1786*(1+Assumptions!D$14)),-2)</f>
        <v>470500</v>
      </c>
      <c r="H1786" s="288">
        <f>ROUND(IF($A1786="E",G1786*(1+Assumptions!E$15),G1786*(1+Assumptions!E$14)),-2)</f>
        <v>479900</v>
      </c>
      <c r="I1786" s="288">
        <f>ROUND(IF($A1786="E",H1786*(1+Assumptions!F$15),H1786*(1+Assumptions!F$14)),-2)</f>
        <v>489500</v>
      </c>
      <c r="J1786" s="288">
        <f>ROUND(IF($A1786="E",I1786*(1+Assumptions!G$15),I1786*(1+Assumptions!G$14)),-2)</f>
        <v>499300</v>
      </c>
      <c r="K1786" s="288">
        <f>ROUND(IF($A1786="E",J1786*(1+Assumptions!H$15),J1786*(1+Assumptions!H$14)),-2)</f>
        <v>509300</v>
      </c>
      <c r="L1786" s="288">
        <f>ROUND(IF($A1786="E",K1786*(1+Assumptions!I$15),K1786*(1+Assumptions!I$14)),-2)</f>
        <v>522000</v>
      </c>
      <c r="M1786" s="288">
        <f>ROUND(IF($A1786="E",L1786*(1+Assumptions!J$15),L1786*(1+Assumptions!J$14)),-2)</f>
        <v>535100</v>
      </c>
      <c r="N1786" s="288">
        <f>ROUND(IF($A1786="E",M1786*(1+Assumptions!K$15),M1786*(1+Assumptions!K$14)),-2)</f>
        <v>548500</v>
      </c>
    </row>
    <row r="1787" spans="2:14" x14ac:dyDescent="0.25">
      <c r="B1787" s="16" t="s">
        <v>41</v>
      </c>
      <c r="C1787" s="16" t="s">
        <v>2803</v>
      </c>
      <c r="D1787" s="16" t="s">
        <v>2804</v>
      </c>
      <c r="E1787" s="288">
        <v>8800</v>
      </c>
      <c r="F1787" s="288">
        <f>ROUND(IF($A1787="E",E1787*(1+Assumptions!C$15),E1787*(1+Assumptions!C$14)),-2)</f>
        <v>8900</v>
      </c>
      <c r="G1787" s="288">
        <f>ROUND(IF($A1787="E",F1787*(1+Assumptions!D$15),F1787*(1+Assumptions!D$14)),-2)</f>
        <v>9100</v>
      </c>
      <c r="H1787" s="288">
        <f>ROUND(IF($A1787="E",G1787*(1+Assumptions!E$15),G1787*(1+Assumptions!E$14)),-2)</f>
        <v>9300</v>
      </c>
      <c r="I1787" s="288">
        <f>ROUND(IF($A1787="E",H1787*(1+Assumptions!F$15),H1787*(1+Assumptions!F$14)),-2)</f>
        <v>9500</v>
      </c>
      <c r="J1787" s="288">
        <f>ROUND(IF($A1787="E",I1787*(1+Assumptions!G$15),I1787*(1+Assumptions!G$14)),-2)</f>
        <v>9700</v>
      </c>
      <c r="K1787" s="288">
        <f>ROUND(IF($A1787="E",J1787*(1+Assumptions!H$15),J1787*(1+Assumptions!H$14)),-2)</f>
        <v>9900</v>
      </c>
      <c r="L1787" s="288">
        <f>ROUND(IF($A1787="E",K1787*(1+Assumptions!I$15),K1787*(1+Assumptions!I$14)),-2)</f>
        <v>10100</v>
      </c>
      <c r="M1787" s="288">
        <f>ROUND(IF($A1787="E",L1787*(1+Assumptions!J$15),L1787*(1+Assumptions!J$14)),-2)</f>
        <v>10400</v>
      </c>
      <c r="N1787" s="288">
        <f>ROUND(IF($A1787="E",M1787*(1+Assumptions!K$15),M1787*(1+Assumptions!K$14)),-2)</f>
        <v>10700</v>
      </c>
    </row>
    <row r="1788" spans="2:14" x14ac:dyDescent="0.25">
      <c r="B1788" s="16" t="s">
        <v>43</v>
      </c>
      <c r="C1788" s="16" t="s">
        <v>2805</v>
      </c>
      <c r="D1788" s="16" t="s">
        <v>97</v>
      </c>
      <c r="E1788" s="288">
        <v>32100</v>
      </c>
      <c r="F1788" s="288">
        <f>ROUND(IF($A1788="E",E1788*(1+Assumptions!C$15),E1788*(1+Assumptions!C$14)),-2)</f>
        <v>32600</v>
      </c>
      <c r="G1788" s="288">
        <f>ROUND(IF($A1788="E",F1788*(1+Assumptions!D$15),F1788*(1+Assumptions!D$14)),-2)</f>
        <v>33300</v>
      </c>
      <c r="H1788" s="288">
        <f>ROUND(IF($A1788="E",G1788*(1+Assumptions!E$15),G1788*(1+Assumptions!E$14)),-2)</f>
        <v>34000</v>
      </c>
      <c r="I1788" s="288">
        <f>ROUND(IF($A1788="E",H1788*(1+Assumptions!F$15),H1788*(1+Assumptions!F$14)),-2)</f>
        <v>34700</v>
      </c>
      <c r="J1788" s="288">
        <f>ROUND(IF($A1788="E",I1788*(1+Assumptions!G$15),I1788*(1+Assumptions!G$14)),-2)</f>
        <v>35400</v>
      </c>
      <c r="K1788" s="288">
        <f>ROUND(IF($A1788="E",J1788*(1+Assumptions!H$15),J1788*(1+Assumptions!H$14)),-2)</f>
        <v>36100</v>
      </c>
      <c r="L1788" s="288">
        <f>ROUND(IF($A1788="E",K1788*(1+Assumptions!I$15),K1788*(1+Assumptions!I$14)),-2)</f>
        <v>37000</v>
      </c>
      <c r="M1788" s="288">
        <f>ROUND(IF($A1788="E",L1788*(1+Assumptions!J$15),L1788*(1+Assumptions!J$14)),-2)</f>
        <v>37900</v>
      </c>
      <c r="N1788" s="288">
        <f>ROUND(IF($A1788="E",M1788*(1+Assumptions!K$15),M1788*(1+Assumptions!K$14)),-2)</f>
        <v>38800</v>
      </c>
    </row>
    <row r="1789" spans="2:14" x14ac:dyDescent="0.25">
      <c r="B1789" s="16" t="s">
        <v>41</v>
      </c>
      <c r="C1789" s="16" t="s">
        <v>2806</v>
      </c>
      <c r="D1789" s="16" t="s">
        <v>2807</v>
      </c>
      <c r="E1789" s="289"/>
      <c r="F1789" s="289"/>
      <c r="G1789" s="289"/>
      <c r="H1789" s="289"/>
      <c r="I1789" s="289"/>
      <c r="J1789" s="289"/>
      <c r="K1789" s="289"/>
      <c r="L1789" s="289"/>
      <c r="M1789" s="289"/>
      <c r="N1789" s="289"/>
    </row>
    <row r="1790" spans="2:14" x14ac:dyDescent="0.25">
      <c r="B1790" s="16" t="s">
        <v>41</v>
      </c>
      <c r="C1790" s="16" t="s">
        <v>2808</v>
      </c>
      <c r="D1790" s="16" t="s">
        <v>201</v>
      </c>
      <c r="E1790" s="288">
        <v>257100</v>
      </c>
      <c r="F1790" s="288">
        <f>ROUND(IF($A1790="E",E1790*(1+Assumptions!C$15),E1790*(1+Assumptions!C$14)),-2)</f>
        <v>261000</v>
      </c>
      <c r="G1790" s="288">
        <f>ROUND(IF($A1790="E",F1790*(1+Assumptions!D$15),F1790*(1+Assumptions!D$14)),-2)</f>
        <v>266200</v>
      </c>
      <c r="H1790" s="288">
        <f>ROUND(IF($A1790="E",G1790*(1+Assumptions!E$15),G1790*(1+Assumptions!E$14)),-2)</f>
        <v>271500</v>
      </c>
      <c r="I1790" s="288">
        <f>ROUND(IF($A1790="E",H1790*(1+Assumptions!F$15),H1790*(1+Assumptions!F$14)),-2)</f>
        <v>276900</v>
      </c>
      <c r="J1790" s="288">
        <f>ROUND(IF($A1790="E",I1790*(1+Assumptions!G$15),I1790*(1+Assumptions!G$14)),-2)</f>
        <v>282400</v>
      </c>
      <c r="K1790" s="288">
        <f>ROUND(IF($A1790="E",J1790*(1+Assumptions!H$15),J1790*(1+Assumptions!H$14)),-2)</f>
        <v>288000</v>
      </c>
      <c r="L1790" s="288">
        <f>ROUND(IF($A1790="E",K1790*(1+Assumptions!I$15),K1790*(1+Assumptions!I$14)),-2)</f>
        <v>295200</v>
      </c>
      <c r="M1790" s="288">
        <f>ROUND(IF($A1790="E",L1790*(1+Assumptions!J$15),L1790*(1+Assumptions!J$14)),-2)</f>
        <v>302600</v>
      </c>
      <c r="N1790" s="288">
        <f>ROUND(IF($A1790="E",M1790*(1+Assumptions!K$15),M1790*(1+Assumptions!K$14)),-2)</f>
        <v>310200</v>
      </c>
    </row>
    <row r="1791" spans="2:14" x14ac:dyDescent="0.25">
      <c r="B1791" s="16" t="s">
        <v>43</v>
      </c>
      <c r="C1791" s="16" t="s">
        <v>2809</v>
      </c>
      <c r="D1791" s="16" t="s">
        <v>97</v>
      </c>
      <c r="E1791" s="288">
        <v>26100</v>
      </c>
      <c r="F1791" s="288">
        <f>ROUND(IF($A1791="E",E1791*(1+Assumptions!C$15),E1791*(1+Assumptions!C$14)),-2)</f>
        <v>26500</v>
      </c>
      <c r="G1791" s="288">
        <f>ROUND(IF($A1791="E",F1791*(1+Assumptions!D$15),F1791*(1+Assumptions!D$14)),-2)</f>
        <v>27000</v>
      </c>
      <c r="H1791" s="288">
        <f>ROUND(IF($A1791="E",G1791*(1+Assumptions!E$15),G1791*(1+Assumptions!E$14)),-2)</f>
        <v>27500</v>
      </c>
      <c r="I1791" s="288">
        <f>ROUND(IF($A1791="E",H1791*(1+Assumptions!F$15),H1791*(1+Assumptions!F$14)),-2)</f>
        <v>28100</v>
      </c>
      <c r="J1791" s="288">
        <f>ROUND(IF($A1791="E",I1791*(1+Assumptions!G$15),I1791*(1+Assumptions!G$14)),-2)</f>
        <v>28700</v>
      </c>
      <c r="K1791" s="288">
        <f>ROUND(IF($A1791="E",J1791*(1+Assumptions!H$15),J1791*(1+Assumptions!H$14)),-2)</f>
        <v>29300</v>
      </c>
      <c r="L1791" s="288">
        <f>ROUND(IF($A1791="E",K1791*(1+Assumptions!I$15),K1791*(1+Assumptions!I$14)),-2)</f>
        <v>30000</v>
      </c>
      <c r="M1791" s="288">
        <f>ROUND(IF($A1791="E",L1791*(1+Assumptions!J$15),L1791*(1+Assumptions!J$14)),-2)</f>
        <v>30800</v>
      </c>
      <c r="N1791" s="288">
        <f>ROUND(IF($A1791="E",M1791*(1+Assumptions!K$15),M1791*(1+Assumptions!K$14)),-2)</f>
        <v>31600</v>
      </c>
    </row>
    <row r="1792" spans="2:14" x14ac:dyDescent="0.25">
      <c r="C1792" s="16" t="s">
        <v>2810</v>
      </c>
      <c r="D1792" s="16" t="s">
        <v>1186</v>
      </c>
      <c r="E1792" s="289"/>
      <c r="F1792" s="289"/>
      <c r="G1792" s="289"/>
      <c r="H1792" s="289"/>
      <c r="I1792" s="289"/>
      <c r="J1792" s="289"/>
      <c r="K1792" s="289"/>
      <c r="L1792" s="289"/>
      <c r="M1792" s="289"/>
      <c r="N1792" s="289"/>
    </row>
    <row r="1793" spans="2:14" x14ac:dyDescent="0.25">
      <c r="B1793" s="16" t="s">
        <v>43</v>
      </c>
      <c r="C1793" s="16" t="s">
        <v>2811</v>
      </c>
      <c r="D1793" s="16" t="s">
        <v>1948</v>
      </c>
      <c r="E1793" s="288">
        <v>29500</v>
      </c>
      <c r="F1793" s="288">
        <f>ROUND(IF($A1793="E",E1793*(1+Assumptions!C$15),E1793*(1+Assumptions!C$14)),-2)</f>
        <v>29900</v>
      </c>
      <c r="G1793" s="288">
        <f>ROUND(IF($A1793="E",F1793*(1+Assumptions!D$15),F1793*(1+Assumptions!D$14)),-2)</f>
        <v>30500</v>
      </c>
      <c r="H1793" s="288">
        <f>ROUND(IF($A1793="E",G1793*(1+Assumptions!E$15),G1793*(1+Assumptions!E$14)),-2)</f>
        <v>31100</v>
      </c>
      <c r="I1793" s="288">
        <f>ROUND(IF($A1793="E",H1793*(1+Assumptions!F$15),H1793*(1+Assumptions!F$14)),-2)</f>
        <v>31700</v>
      </c>
      <c r="J1793" s="288">
        <f>ROUND(IF($A1793="E",I1793*(1+Assumptions!G$15),I1793*(1+Assumptions!G$14)),-2)</f>
        <v>32300</v>
      </c>
      <c r="K1793" s="288">
        <f>ROUND(IF($A1793="E",J1793*(1+Assumptions!H$15),J1793*(1+Assumptions!H$14)),-2)</f>
        <v>32900</v>
      </c>
      <c r="L1793" s="288">
        <f>ROUND(IF($A1793="E",K1793*(1+Assumptions!I$15),K1793*(1+Assumptions!I$14)),-2)</f>
        <v>33700</v>
      </c>
      <c r="M1793" s="288">
        <f>ROUND(IF($A1793="E",L1793*(1+Assumptions!J$15),L1793*(1+Assumptions!J$14)),-2)</f>
        <v>34500</v>
      </c>
      <c r="N1793" s="288">
        <f>ROUND(IF($A1793="E",M1793*(1+Assumptions!K$15),M1793*(1+Assumptions!K$14)),-2)</f>
        <v>35400</v>
      </c>
    </row>
    <row r="1794" spans="2:14" x14ac:dyDescent="0.25">
      <c r="B1794" s="16" t="s">
        <v>45</v>
      </c>
      <c r="C1794" s="16" t="s">
        <v>2812</v>
      </c>
      <c r="D1794" s="16" t="s">
        <v>230</v>
      </c>
      <c r="E1794" s="288">
        <v>2500</v>
      </c>
      <c r="F1794" s="288">
        <f>ROUND(IF($A1794="E",E1794*(1+Assumptions!C$15),E1794*(1+Assumptions!C$14)),-2)</f>
        <v>2500</v>
      </c>
      <c r="G1794" s="288">
        <f>ROUND(IF($A1794="E",F1794*(1+Assumptions!D$15),F1794*(1+Assumptions!D$14)),-2)</f>
        <v>2600</v>
      </c>
      <c r="H1794" s="288">
        <f>ROUND(IF($A1794="E",G1794*(1+Assumptions!E$15),G1794*(1+Assumptions!E$14)),-2)</f>
        <v>2700</v>
      </c>
      <c r="I1794" s="288">
        <f>ROUND(IF($A1794="E",H1794*(1+Assumptions!F$15),H1794*(1+Assumptions!F$14)),-2)</f>
        <v>2800</v>
      </c>
      <c r="J1794" s="288">
        <f>ROUND(IF($A1794="E",I1794*(1+Assumptions!G$15),I1794*(1+Assumptions!G$14)),-2)</f>
        <v>2900</v>
      </c>
      <c r="K1794" s="288">
        <f>ROUND(IF($A1794="E",J1794*(1+Assumptions!H$15),J1794*(1+Assumptions!H$14)),-2)</f>
        <v>3000</v>
      </c>
      <c r="L1794" s="288">
        <f>ROUND(IF($A1794="E",K1794*(1+Assumptions!I$15),K1794*(1+Assumptions!I$14)),-2)</f>
        <v>3100</v>
      </c>
      <c r="M1794" s="288">
        <f>ROUND(IF($A1794="E",L1794*(1+Assumptions!J$15),L1794*(1+Assumptions!J$14)),-2)</f>
        <v>3200</v>
      </c>
      <c r="N1794" s="288">
        <f>ROUND(IF($A1794="E",M1794*(1+Assumptions!K$15),M1794*(1+Assumptions!K$14)),-2)</f>
        <v>3300</v>
      </c>
    </row>
    <row r="1795" spans="2:14" x14ac:dyDescent="0.25">
      <c r="B1795" s="16" t="s">
        <v>45</v>
      </c>
      <c r="C1795" s="16" t="s">
        <v>2813</v>
      </c>
      <c r="D1795" s="16" t="s">
        <v>502</v>
      </c>
      <c r="E1795" s="288">
        <v>6200</v>
      </c>
      <c r="F1795" s="288">
        <f>ROUND(IF($A1795="E",E1795*(1+Assumptions!C$15),E1795*(1+Assumptions!C$14)),-2)</f>
        <v>6300</v>
      </c>
      <c r="G1795" s="288">
        <f>ROUND(IF($A1795="E",F1795*(1+Assumptions!D$15),F1795*(1+Assumptions!D$14)),-2)</f>
        <v>6400</v>
      </c>
      <c r="H1795" s="288">
        <f>ROUND(IF($A1795="E",G1795*(1+Assumptions!E$15),G1795*(1+Assumptions!E$14)),-2)</f>
        <v>6500</v>
      </c>
      <c r="I1795" s="288">
        <f>ROUND(IF($A1795="E",H1795*(1+Assumptions!F$15),H1795*(1+Assumptions!F$14)),-2)</f>
        <v>6600</v>
      </c>
      <c r="J1795" s="288">
        <f>ROUND(IF($A1795="E",I1795*(1+Assumptions!G$15),I1795*(1+Assumptions!G$14)),-2)</f>
        <v>6700</v>
      </c>
      <c r="K1795" s="288">
        <f>ROUND(IF($A1795="E",J1795*(1+Assumptions!H$15),J1795*(1+Assumptions!H$14)),-2)</f>
        <v>6800</v>
      </c>
      <c r="L1795" s="288">
        <f>ROUND(IF($A1795="E",K1795*(1+Assumptions!I$15),K1795*(1+Assumptions!I$14)),-2)</f>
        <v>7000</v>
      </c>
      <c r="M1795" s="288">
        <f>ROUND(IF($A1795="E",L1795*(1+Assumptions!J$15),L1795*(1+Assumptions!J$14)),-2)</f>
        <v>7200</v>
      </c>
      <c r="N1795" s="288">
        <f>ROUND(IF($A1795="E",M1795*(1+Assumptions!K$15),M1795*(1+Assumptions!K$14)),-2)</f>
        <v>7400</v>
      </c>
    </row>
    <row r="1796" spans="2:14" x14ac:dyDescent="0.25">
      <c r="B1796" s="16" t="s">
        <v>43</v>
      </c>
      <c r="C1796" s="16" t="s">
        <v>2814</v>
      </c>
      <c r="D1796" s="16" t="s">
        <v>2815</v>
      </c>
      <c r="E1796" s="288">
        <v>1000</v>
      </c>
      <c r="F1796" s="288">
        <f>ROUND(IF($A1796="E",E1796*(1+Assumptions!C$15),E1796*(1+Assumptions!C$14)),-2)</f>
        <v>1000</v>
      </c>
      <c r="G1796" s="288">
        <f>ROUND(IF($A1796="E",F1796*(1+Assumptions!D$15),F1796*(1+Assumptions!D$14)),-2)</f>
        <v>1000</v>
      </c>
      <c r="H1796" s="288">
        <f>ROUND(IF($A1796="E",G1796*(1+Assumptions!E$15),G1796*(1+Assumptions!E$14)),-2)</f>
        <v>1000</v>
      </c>
      <c r="I1796" s="288">
        <f>ROUND(IF($A1796="E",H1796*(1+Assumptions!F$15),H1796*(1+Assumptions!F$14)),-2)</f>
        <v>1000</v>
      </c>
      <c r="J1796" s="288">
        <f>ROUND(IF($A1796="E",I1796*(1+Assumptions!G$15),I1796*(1+Assumptions!G$14)),-2)</f>
        <v>1000</v>
      </c>
      <c r="K1796" s="288">
        <f>ROUND(IF($A1796="E",J1796*(1+Assumptions!H$15),J1796*(1+Assumptions!H$14)),-2)</f>
        <v>1000</v>
      </c>
      <c r="L1796" s="288">
        <f>ROUND(IF($A1796="E",K1796*(1+Assumptions!I$15),K1796*(1+Assumptions!I$14)),-2)</f>
        <v>1000</v>
      </c>
      <c r="M1796" s="288">
        <f>ROUND(IF($A1796="E",L1796*(1+Assumptions!J$15),L1796*(1+Assumptions!J$14)),-2)</f>
        <v>1000</v>
      </c>
      <c r="N1796" s="288">
        <f>ROUND(IF($A1796="E",M1796*(1+Assumptions!K$15),M1796*(1+Assumptions!K$14)),-2)</f>
        <v>1000</v>
      </c>
    </row>
    <row r="1797" spans="2:14" x14ac:dyDescent="0.25">
      <c r="B1797" s="16" t="s">
        <v>43</v>
      </c>
      <c r="C1797" s="16" t="s">
        <v>2816</v>
      </c>
      <c r="D1797" s="16" t="s">
        <v>2817</v>
      </c>
      <c r="E1797" s="288">
        <v>3100</v>
      </c>
      <c r="F1797" s="288">
        <f>ROUND(IF($A1797="E",E1797*(1+Assumptions!C$15),E1797*(1+Assumptions!C$14)),-2)</f>
        <v>3100</v>
      </c>
      <c r="G1797" s="288">
        <f>ROUND(IF($A1797="E",F1797*(1+Assumptions!D$15),F1797*(1+Assumptions!D$14)),-2)</f>
        <v>3200</v>
      </c>
      <c r="H1797" s="288">
        <f>ROUND(IF($A1797="E",G1797*(1+Assumptions!E$15),G1797*(1+Assumptions!E$14)),-2)</f>
        <v>3300</v>
      </c>
      <c r="I1797" s="288">
        <f>ROUND(IF($A1797="E",H1797*(1+Assumptions!F$15),H1797*(1+Assumptions!F$14)),-2)</f>
        <v>3400</v>
      </c>
      <c r="J1797" s="288">
        <f>ROUND(IF($A1797="E",I1797*(1+Assumptions!G$15),I1797*(1+Assumptions!G$14)),-2)</f>
        <v>3500</v>
      </c>
      <c r="K1797" s="288">
        <f>ROUND(IF($A1797="E",J1797*(1+Assumptions!H$15),J1797*(1+Assumptions!H$14)),-2)</f>
        <v>3600</v>
      </c>
      <c r="L1797" s="288">
        <f>ROUND(IF($A1797="E",K1797*(1+Assumptions!I$15),K1797*(1+Assumptions!I$14)),-2)</f>
        <v>3700</v>
      </c>
      <c r="M1797" s="288">
        <f>ROUND(IF($A1797="E",L1797*(1+Assumptions!J$15),L1797*(1+Assumptions!J$14)),-2)</f>
        <v>3800</v>
      </c>
      <c r="N1797" s="288">
        <f>ROUND(IF($A1797="E",M1797*(1+Assumptions!K$15),M1797*(1+Assumptions!K$14)),-2)</f>
        <v>3900</v>
      </c>
    </row>
    <row r="1798" spans="2:14" x14ac:dyDescent="0.25">
      <c r="B1798" s="16" t="s">
        <v>45</v>
      </c>
      <c r="C1798" s="16" t="s">
        <v>2818</v>
      </c>
      <c r="D1798" s="16" t="s">
        <v>93</v>
      </c>
      <c r="E1798" s="288">
        <v>10500</v>
      </c>
      <c r="F1798" s="288">
        <f>ROUND(IF($A1798="E",E1798*(1+Assumptions!C$15),E1798*(1+Assumptions!C$14)),-2)</f>
        <v>10700</v>
      </c>
      <c r="G1798" s="288">
        <f>ROUND(IF($A1798="E",F1798*(1+Assumptions!D$15),F1798*(1+Assumptions!D$14)),-2)</f>
        <v>10900</v>
      </c>
      <c r="H1798" s="288">
        <f>ROUND(IF($A1798="E",G1798*(1+Assumptions!E$15),G1798*(1+Assumptions!E$14)),-2)</f>
        <v>11100</v>
      </c>
      <c r="I1798" s="288">
        <f>ROUND(IF($A1798="E",H1798*(1+Assumptions!F$15),H1798*(1+Assumptions!F$14)),-2)</f>
        <v>11300</v>
      </c>
      <c r="J1798" s="288">
        <f>ROUND(IF($A1798="E",I1798*(1+Assumptions!G$15),I1798*(1+Assumptions!G$14)),-2)</f>
        <v>11500</v>
      </c>
      <c r="K1798" s="288">
        <f>ROUND(IF($A1798="E",J1798*(1+Assumptions!H$15),J1798*(1+Assumptions!H$14)),-2)</f>
        <v>11700</v>
      </c>
      <c r="L1798" s="288">
        <f>ROUND(IF($A1798="E",K1798*(1+Assumptions!I$15),K1798*(1+Assumptions!I$14)),-2)</f>
        <v>12000</v>
      </c>
      <c r="M1798" s="288">
        <f>ROUND(IF($A1798="E",L1798*(1+Assumptions!J$15),L1798*(1+Assumptions!J$14)),-2)</f>
        <v>12300</v>
      </c>
      <c r="N1798" s="288">
        <f>ROUND(IF($A1798="E",M1798*(1+Assumptions!K$15),M1798*(1+Assumptions!K$14)),-2)</f>
        <v>12600</v>
      </c>
    </row>
    <row r="1799" spans="2:14" x14ac:dyDescent="0.25">
      <c r="B1799" s="16" t="s">
        <v>43</v>
      </c>
      <c r="C1799" s="16" t="s">
        <v>2819</v>
      </c>
      <c r="D1799" s="16" t="s">
        <v>2820</v>
      </c>
      <c r="E1799" s="288">
        <v>1000</v>
      </c>
      <c r="F1799" s="288">
        <f>ROUND(IF($A1799="E",E1799*(1+Assumptions!C$15),E1799*(1+Assumptions!C$14)),-2)</f>
        <v>1000</v>
      </c>
      <c r="G1799" s="288">
        <f>ROUND(IF($A1799="E",F1799*(1+Assumptions!D$15),F1799*(1+Assumptions!D$14)),-2)</f>
        <v>1000</v>
      </c>
      <c r="H1799" s="288">
        <f>ROUND(IF($A1799="E",G1799*(1+Assumptions!E$15),G1799*(1+Assumptions!E$14)),-2)</f>
        <v>1000</v>
      </c>
      <c r="I1799" s="288">
        <f>ROUND(IF($A1799="E",H1799*(1+Assumptions!F$15),H1799*(1+Assumptions!F$14)),-2)</f>
        <v>1000</v>
      </c>
      <c r="J1799" s="288">
        <f>ROUND(IF($A1799="E",I1799*(1+Assumptions!G$15),I1799*(1+Assumptions!G$14)),-2)</f>
        <v>1000</v>
      </c>
      <c r="K1799" s="288">
        <f>ROUND(IF($A1799="E",J1799*(1+Assumptions!H$15),J1799*(1+Assumptions!H$14)),-2)</f>
        <v>1000</v>
      </c>
      <c r="L1799" s="288">
        <f>ROUND(IF($A1799="E",K1799*(1+Assumptions!I$15),K1799*(1+Assumptions!I$14)),-2)</f>
        <v>1000</v>
      </c>
      <c r="M1799" s="288">
        <f>ROUND(IF($A1799="E",L1799*(1+Assumptions!J$15),L1799*(1+Assumptions!J$14)),-2)</f>
        <v>1000</v>
      </c>
      <c r="N1799" s="288">
        <f>ROUND(IF($A1799="E",M1799*(1+Assumptions!K$15),M1799*(1+Assumptions!K$14)),-2)</f>
        <v>1000</v>
      </c>
    </row>
    <row r="1800" spans="2:14" x14ac:dyDescent="0.25">
      <c r="B1800" s="16" t="s">
        <v>43</v>
      </c>
      <c r="C1800" s="16" t="s">
        <v>2821</v>
      </c>
      <c r="D1800" s="16" t="s">
        <v>2822</v>
      </c>
      <c r="E1800" s="288">
        <v>700</v>
      </c>
      <c r="F1800" s="288">
        <f>ROUND(IF($A1800="E",E1800*(1+Assumptions!C$15),E1800*(1+Assumptions!C$14)),-2)</f>
        <v>700</v>
      </c>
      <c r="G1800" s="288">
        <f>ROUND(IF($A1800="E",F1800*(1+Assumptions!D$15),F1800*(1+Assumptions!D$14)),-2)</f>
        <v>700</v>
      </c>
      <c r="H1800" s="288">
        <f>ROUND(IF($A1800="E",G1800*(1+Assumptions!E$15),G1800*(1+Assumptions!E$14)),-2)</f>
        <v>700</v>
      </c>
      <c r="I1800" s="288">
        <f>ROUND(IF($A1800="E",H1800*(1+Assumptions!F$15),H1800*(1+Assumptions!F$14)),-2)</f>
        <v>700</v>
      </c>
      <c r="J1800" s="288">
        <f>ROUND(IF($A1800="E",I1800*(1+Assumptions!G$15),I1800*(1+Assumptions!G$14)),-2)</f>
        <v>700</v>
      </c>
      <c r="K1800" s="288">
        <f>ROUND(IF($A1800="E",J1800*(1+Assumptions!H$15),J1800*(1+Assumptions!H$14)),-2)</f>
        <v>700</v>
      </c>
      <c r="L1800" s="288">
        <f>ROUND(IF($A1800="E",K1800*(1+Assumptions!I$15),K1800*(1+Assumptions!I$14)),-2)</f>
        <v>700</v>
      </c>
      <c r="M1800" s="288">
        <f>ROUND(IF($A1800="E",L1800*(1+Assumptions!J$15),L1800*(1+Assumptions!J$14)),-2)</f>
        <v>700</v>
      </c>
      <c r="N1800" s="288">
        <f>ROUND(IF($A1800="E",M1800*(1+Assumptions!K$15),M1800*(1+Assumptions!K$14)),-2)</f>
        <v>700</v>
      </c>
    </row>
    <row r="1801" spans="2:14" x14ac:dyDescent="0.25">
      <c r="B1801" s="16" t="s">
        <v>43</v>
      </c>
      <c r="C1801" s="16" t="s">
        <v>2823</v>
      </c>
      <c r="D1801" s="27" t="s">
        <v>2824</v>
      </c>
      <c r="E1801" s="288">
        <v>144700</v>
      </c>
      <c r="F1801" s="288">
        <f>-F1841</f>
        <v>147600</v>
      </c>
      <c r="G1801" s="288">
        <f t="shared" ref="G1801:N1801" si="60">-G1841</f>
        <v>151300</v>
      </c>
      <c r="H1801" s="288">
        <f t="shared" si="60"/>
        <v>155100</v>
      </c>
      <c r="I1801" s="288">
        <f t="shared" si="60"/>
        <v>159000</v>
      </c>
      <c r="J1801" s="288">
        <f t="shared" si="60"/>
        <v>163000</v>
      </c>
      <c r="K1801" s="288">
        <f t="shared" si="60"/>
        <v>167100</v>
      </c>
      <c r="L1801" s="288">
        <f t="shared" si="60"/>
        <v>171300</v>
      </c>
      <c r="M1801" s="288">
        <f t="shared" si="60"/>
        <v>175600</v>
      </c>
      <c r="N1801" s="288">
        <f t="shared" si="60"/>
        <v>180000</v>
      </c>
    </row>
    <row r="1802" spans="2:14" x14ac:dyDescent="0.25">
      <c r="B1802" s="16" t="s">
        <v>43</v>
      </c>
      <c r="C1802" s="16" t="s">
        <v>2825</v>
      </c>
      <c r="D1802" s="16" t="s">
        <v>187</v>
      </c>
      <c r="E1802" s="289"/>
      <c r="F1802" s="289"/>
      <c r="G1802" s="289"/>
      <c r="H1802" s="289"/>
      <c r="I1802" s="289"/>
      <c r="J1802" s="289"/>
      <c r="K1802" s="289"/>
      <c r="L1802" s="289"/>
      <c r="M1802" s="289"/>
      <c r="N1802" s="289"/>
    </row>
    <row r="1803" spans="2:14" x14ac:dyDescent="0.25">
      <c r="B1803" s="16" t="s">
        <v>43</v>
      </c>
      <c r="C1803" s="16" t="s">
        <v>2826</v>
      </c>
      <c r="D1803" s="16" t="s">
        <v>193</v>
      </c>
      <c r="E1803" s="288">
        <v>600700</v>
      </c>
      <c r="F1803" s="288">
        <f>ROUND(IF($A1803="E",E1803*(1+Assumptions!C$15),E1803*(1+Assumptions!C$14)),-2)</f>
        <v>609700</v>
      </c>
      <c r="G1803" s="288">
        <f>ROUND(IF($A1803="E",F1803*(1+Assumptions!D$15),F1803*(1+Assumptions!D$14)),-2)</f>
        <v>621900</v>
      </c>
      <c r="H1803" s="288">
        <f>ROUND(IF($A1803="E",G1803*(1+Assumptions!E$15),G1803*(1+Assumptions!E$14)),-2)</f>
        <v>634300</v>
      </c>
      <c r="I1803" s="288">
        <f>ROUND(IF($A1803="E",H1803*(1+Assumptions!F$15),H1803*(1+Assumptions!F$14)),-2)</f>
        <v>647000</v>
      </c>
      <c r="J1803" s="288">
        <f>ROUND(IF($A1803="E",I1803*(1+Assumptions!G$15),I1803*(1+Assumptions!G$14)),-2)</f>
        <v>659900</v>
      </c>
      <c r="K1803" s="288">
        <f>ROUND(IF($A1803="E",J1803*(1+Assumptions!H$15),J1803*(1+Assumptions!H$14)),-2)</f>
        <v>673100</v>
      </c>
      <c r="L1803" s="288">
        <f>ROUND(IF($A1803="E",K1803*(1+Assumptions!I$15),K1803*(1+Assumptions!I$14)),-2)</f>
        <v>689900</v>
      </c>
      <c r="M1803" s="288">
        <f>ROUND(IF($A1803="E",L1803*(1+Assumptions!J$15),L1803*(1+Assumptions!J$14)),-2)</f>
        <v>707100</v>
      </c>
      <c r="N1803" s="288">
        <f>ROUND(IF($A1803="E",M1803*(1+Assumptions!K$15),M1803*(1+Assumptions!K$14)),-2)</f>
        <v>724800</v>
      </c>
    </row>
    <row r="1804" spans="2:14" x14ac:dyDescent="0.25">
      <c r="B1804" s="16" t="s">
        <v>43</v>
      </c>
      <c r="C1804" s="16" t="s">
        <v>2827</v>
      </c>
      <c r="D1804" s="16" t="s">
        <v>2828</v>
      </c>
      <c r="E1804" s="289"/>
      <c r="F1804" s="289"/>
      <c r="G1804" s="289"/>
      <c r="H1804" s="289"/>
      <c r="I1804" s="289"/>
      <c r="J1804" s="289"/>
      <c r="K1804" s="289"/>
      <c r="L1804" s="289"/>
      <c r="M1804" s="289"/>
      <c r="N1804" s="289"/>
    </row>
    <row r="1805" spans="2:14" x14ac:dyDescent="0.25">
      <c r="B1805" s="16" t="s">
        <v>41</v>
      </c>
      <c r="C1805" s="16" t="s">
        <v>2829</v>
      </c>
      <c r="D1805" s="16" t="s">
        <v>201</v>
      </c>
      <c r="E1805" s="288">
        <v>342200</v>
      </c>
      <c r="F1805" s="288">
        <f>ROUND(IF($A1805="E",E1805*(1+Assumptions!C$15),E1805*(1+Assumptions!C$14)),-2)</f>
        <v>347300</v>
      </c>
      <c r="G1805" s="288">
        <f>ROUND(IF($A1805="E",F1805*(1+Assumptions!D$15),F1805*(1+Assumptions!D$14)),-2)</f>
        <v>354200</v>
      </c>
      <c r="H1805" s="288">
        <f>ROUND(IF($A1805="E",G1805*(1+Assumptions!E$15),G1805*(1+Assumptions!E$14)),-2)</f>
        <v>361300</v>
      </c>
      <c r="I1805" s="288">
        <f>ROUND(IF($A1805="E",H1805*(1+Assumptions!F$15),H1805*(1+Assumptions!F$14)),-2)</f>
        <v>368500</v>
      </c>
      <c r="J1805" s="288">
        <f>ROUND(IF($A1805="E",I1805*(1+Assumptions!G$15),I1805*(1+Assumptions!G$14)),-2)</f>
        <v>375900</v>
      </c>
      <c r="K1805" s="288">
        <f>ROUND(IF($A1805="E",J1805*(1+Assumptions!H$15),J1805*(1+Assumptions!H$14)),-2)</f>
        <v>383400</v>
      </c>
      <c r="L1805" s="288">
        <f>ROUND(IF($A1805="E",K1805*(1+Assumptions!I$15),K1805*(1+Assumptions!I$14)),-2)</f>
        <v>393000</v>
      </c>
      <c r="M1805" s="288">
        <f>ROUND(IF($A1805="E",L1805*(1+Assumptions!J$15),L1805*(1+Assumptions!J$14)),-2)</f>
        <v>402800</v>
      </c>
      <c r="N1805" s="288">
        <f>ROUND(IF($A1805="E",M1805*(1+Assumptions!K$15),M1805*(1+Assumptions!K$14)),-2)</f>
        <v>412900</v>
      </c>
    </row>
    <row r="1806" spans="2:14" x14ac:dyDescent="0.25">
      <c r="B1806" s="16" t="s">
        <v>41</v>
      </c>
      <c r="C1806" s="16" t="s">
        <v>2830</v>
      </c>
      <c r="D1806" s="16" t="s">
        <v>2831</v>
      </c>
      <c r="E1806" s="288">
        <v>51500</v>
      </c>
      <c r="F1806" s="288">
        <f>ROUND(IF($A1806="E",E1806*(1+Assumptions!C$15),E1806*(1+Assumptions!C$14)),-2)</f>
        <v>52300</v>
      </c>
      <c r="G1806" s="288">
        <f>ROUND(IF($A1806="E",F1806*(1+Assumptions!D$15),F1806*(1+Assumptions!D$14)),-2)</f>
        <v>53300</v>
      </c>
      <c r="H1806" s="288">
        <f>ROUND(IF($A1806="E",G1806*(1+Assumptions!E$15),G1806*(1+Assumptions!E$14)),-2)</f>
        <v>54400</v>
      </c>
      <c r="I1806" s="288">
        <f>ROUND(IF($A1806="E",H1806*(1+Assumptions!F$15),H1806*(1+Assumptions!F$14)),-2)</f>
        <v>55500</v>
      </c>
      <c r="J1806" s="288">
        <f>ROUND(IF($A1806="E",I1806*(1+Assumptions!G$15),I1806*(1+Assumptions!G$14)),-2)</f>
        <v>56600</v>
      </c>
      <c r="K1806" s="288">
        <f>ROUND(IF($A1806="E",J1806*(1+Assumptions!H$15),J1806*(1+Assumptions!H$14)),-2)</f>
        <v>57700</v>
      </c>
      <c r="L1806" s="288">
        <f>ROUND(IF($A1806="E",K1806*(1+Assumptions!I$15),K1806*(1+Assumptions!I$14)),-2)</f>
        <v>59100</v>
      </c>
      <c r="M1806" s="288">
        <f>ROUND(IF($A1806="E",L1806*(1+Assumptions!J$15),L1806*(1+Assumptions!J$14)),-2)</f>
        <v>60600</v>
      </c>
      <c r="N1806" s="288">
        <f>ROUND(IF($A1806="E",M1806*(1+Assumptions!K$15),M1806*(1+Assumptions!K$14)),-2)</f>
        <v>62100</v>
      </c>
    </row>
    <row r="1807" spans="2:14" x14ac:dyDescent="0.25">
      <c r="B1807" s="16" t="s">
        <v>43</v>
      </c>
      <c r="C1807" s="16" t="s">
        <v>2832</v>
      </c>
      <c r="D1807" s="16" t="s">
        <v>2833</v>
      </c>
      <c r="E1807" s="289"/>
      <c r="F1807" s="289"/>
      <c r="G1807" s="289"/>
      <c r="H1807" s="289"/>
      <c r="I1807" s="289"/>
      <c r="J1807" s="289"/>
      <c r="K1807" s="289"/>
      <c r="L1807" s="289"/>
      <c r="M1807" s="289"/>
      <c r="N1807" s="289"/>
    </row>
    <row r="1808" spans="2:14" x14ac:dyDescent="0.25">
      <c r="B1808" s="16" t="s">
        <v>43</v>
      </c>
      <c r="C1808" s="16" t="s">
        <v>2834</v>
      </c>
      <c r="D1808" s="16" t="s">
        <v>2835</v>
      </c>
      <c r="E1808" s="288">
        <v>6700</v>
      </c>
      <c r="F1808" s="288">
        <f>ROUND(IF($A1808="E",E1808*(1+Assumptions!C$15),E1808*(1+Assumptions!C$14)),-2)</f>
        <v>6800</v>
      </c>
      <c r="G1808" s="288">
        <f>ROUND(IF($A1808="E",F1808*(1+Assumptions!D$15),F1808*(1+Assumptions!D$14)),-2)</f>
        <v>6900</v>
      </c>
      <c r="H1808" s="288">
        <f>ROUND(IF($A1808="E",G1808*(1+Assumptions!E$15),G1808*(1+Assumptions!E$14)),-2)</f>
        <v>7000</v>
      </c>
      <c r="I1808" s="288">
        <f>ROUND(IF($A1808="E",H1808*(1+Assumptions!F$15),H1808*(1+Assumptions!F$14)),-2)</f>
        <v>7100</v>
      </c>
      <c r="J1808" s="288">
        <f>ROUND(IF($A1808="E",I1808*(1+Assumptions!G$15),I1808*(1+Assumptions!G$14)),-2)</f>
        <v>7200</v>
      </c>
      <c r="K1808" s="288">
        <f>ROUND(IF($A1808="E",J1808*(1+Assumptions!H$15),J1808*(1+Assumptions!H$14)),-2)</f>
        <v>7300</v>
      </c>
      <c r="L1808" s="288">
        <f>ROUND(IF($A1808="E",K1808*(1+Assumptions!I$15),K1808*(1+Assumptions!I$14)),-2)</f>
        <v>7500</v>
      </c>
      <c r="M1808" s="288">
        <f>ROUND(IF($A1808="E",L1808*(1+Assumptions!J$15),L1808*(1+Assumptions!J$14)),-2)</f>
        <v>7700</v>
      </c>
      <c r="N1808" s="288">
        <f>ROUND(IF($A1808="E",M1808*(1+Assumptions!K$15),M1808*(1+Assumptions!K$14)),-2)</f>
        <v>7900</v>
      </c>
    </row>
    <row r="1809" spans="2:14" x14ac:dyDescent="0.25">
      <c r="B1809" s="16" t="s">
        <v>43</v>
      </c>
      <c r="C1809" s="16" t="s">
        <v>2836</v>
      </c>
      <c r="D1809" s="16" t="s">
        <v>2837</v>
      </c>
      <c r="E1809" s="288">
        <v>11100</v>
      </c>
      <c r="F1809" s="288">
        <f>ROUND(IF($A1809="E",E1809*(1+Assumptions!C$15),E1809*(1+Assumptions!C$14)),-2)</f>
        <v>11300</v>
      </c>
      <c r="G1809" s="288">
        <f>ROUND(IF($A1809="E",F1809*(1+Assumptions!D$15),F1809*(1+Assumptions!D$14)),-2)</f>
        <v>11500</v>
      </c>
      <c r="H1809" s="288">
        <f>ROUND(IF($A1809="E",G1809*(1+Assumptions!E$15),G1809*(1+Assumptions!E$14)),-2)</f>
        <v>11700</v>
      </c>
      <c r="I1809" s="288">
        <f>ROUND(IF($A1809="E",H1809*(1+Assumptions!F$15),H1809*(1+Assumptions!F$14)),-2)</f>
        <v>11900</v>
      </c>
      <c r="J1809" s="288">
        <f>ROUND(IF($A1809="E",I1809*(1+Assumptions!G$15),I1809*(1+Assumptions!G$14)),-2)</f>
        <v>12100</v>
      </c>
      <c r="K1809" s="288">
        <f>ROUND(IF($A1809="E",J1809*(1+Assumptions!H$15),J1809*(1+Assumptions!H$14)),-2)</f>
        <v>12300</v>
      </c>
      <c r="L1809" s="288">
        <f>ROUND(IF($A1809="E",K1809*(1+Assumptions!I$15),K1809*(1+Assumptions!I$14)),-2)</f>
        <v>12600</v>
      </c>
      <c r="M1809" s="288">
        <f>ROUND(IF($A1809="E",L1809*(1+Assumptions!J$15),L1809*(1+Assumptions!J$14)),-2)</f>
        <v>12900</v>
      </c>
      <c r="N1809" s="288">
        <f>ROUND(IF($A1809="E",M1809*(1+Assumptions!K$15),M1809*(1+Assumptions!K$14)),-2)</f>
        <v>13200</v>
      </c>
    </row>
    <row r="1810" spans="2:14" x14ac:dyDescent="0.25">
      <c r="B1810" s="16" t="s">
        <v>43</v>
      </c>
      <c r="C1810" s="16" t="s">
        <v>2838</v>
      </c>
      <c r="D1810" s="16" t="s">
        <v>2839</v>
      </c>
      <c r="E1810" s="288">
        <v>17700</v>
      </c>
      <c r="F1810" s="288">
        <f>ROUND(IF($A1810="E",E1810*(1+Assumptions!C$15),E1810*(1+Assumptions!C$14)),-2)</f>
        <v>18000</v>
      </c>
      <c r="G1810" s="288">
        <f>ROUND(IF($A1810="E",F1810*(1+Assumptions!D$15),F1810*(1+Assumptions!D$14)),-2)</f>
        <v>18400</v>
      </c>
      <c r="H1810" s="288">
        <f>ROUND(IF($A1810="E",G1810*(1+Assumptions!E$15),G1810*(1+Assumptions!E$14)),-2)</f>
        <v>18800</v>
      </c>
      <c r="I1810" s="288">
        <f>ROUND(IF($A1810="E",H1810*(1+Assumptions!F$15),H1810*(1+Assumptions!F$14)),-2)</f>
        <v>19200</v>
      </c>
      <c r="J1810" s="288">
        <f>ROUND(IF($A1810="E",I1810*(1+Assumptions!G$15),I1810*(1+Assumptions!G$14)),-2)</f>
        <v>19600</v>
      </c>
      <c r="K1810" s="288">
        <f>ROUND(IF($A1810="E",J1810*(1+Assumptions!H$15),J1810*(1+Assumptions!H$14)),-2)</f>
        <v>20000</v>
      </c>
      <c r="L1810" s="288">
        <f>ROUND(IF($A1810="E",K1810*(1+Assumptions!I$15),K1810*(1+Assumptions!I$14)),-2)</f>
        <v>20500</v>
      </c>
      <c r="M1810" s="288">
        <f>ROUND(IF($A1810="E",L1810*(1+Assumptions!J$15),L1810*(1+Assumptions!J$14)),-2)</f>
        <v>21000</v>
      </c>
      <c r="N1810" s="288">
        <f>ROUND(IF($A1810="E",M1810*(1+Assumptions!K$15),M1810*(1+Assumptions!K$14)),-2)</f>
        <v>21500</v>
      </c>
    </row>
    <row r="1811" spans="2:14" x14ac:dyDescent="0.25">
      <c r="B1811" s="16" t="s">
        <v>43</v>
      </c>
      <c r="C1811" s="16" t="s">
        <v>2840</v>
      </c>
      <c r="D1811" s="16" t="s">
        <v>2841</v>
      </c>
      <c r="E1811" s="288">
        <v>0</v>
      </c>
      <c r="F1811" s="288">
        <f>ROUND(IF($A1811="E",E1811*(1+Assumptions!C$15),E1811*(1+Assumptions!C$14)),-2)</f>
        <v>0</v>
      </c>
      <c r="G1811" s="288">
        <f>ROUND(IF($A1811="E",F1811*(1+Assumptions!D$15),F1811*(1+Assumptions!D$14)),-2)</f>
        <v>0</v>
      </c>
      <c r="H1811" s="288">
        <f>ROUND(IF($A1811="E",G1811*(1+Assumptions!E$15),G1811*(1+Assumptions!E$14)),-2)</f>
        <v>0</v>
      </c>
      <c r="I1811" s="288">
        <f>ROUND(IF($A1811="E",H1811*(1+Assumptions!F$15),H1811*(1+Assumptions!F$14)),-2)</f>
        <v>0</v>
      </c>
      <c r="J1811" s="288">
        <f>ROUND(IF($A1811="E",I1811*(1+Assumptions!G$15),I1811*(1+Assumptions!G$14)),-2)</f>
        <v>0</v>
      </c>
      <c r="K1811" s="288">
        <f>ROUND(IF($A1811="E",J1811*(1+Assumptions!H$15),J1811*(1+Assumptions!H$14)),-2)</f>
        <v>0</v>
      </c>
      <c r="L1811" s="288">
        <f>ROUND(IF($A1811="E",K1811*(1+Assumptions!I$15),K1811*(1+Assumptions!I$14)),-2)</f>
        <v>0</v>
      </c>
      <c r="M1811" s="288">
        <f>ROUND(IF($A1811="E",L1811*(1+Assumptions!J$15),L1811*(1+Assumptions!J$14)),-2)</f>
        <v>0</v>
      </c>
      <c r="N1811" s="288">
        <f>ROUND(IF($A1811="E",M1811*(1+Assumptions!K$15),M1811*(1+Assumptions!K$14)),-2)</f>
        <v>0</v>
      </c>
    </row>
    <row r="1812" spans="2:14" x14ac:dyDescent="0.25">
      <c r="B1812" s="16" t="s">
        <v>43</v>
      </c>
      <c r="C1812" s="16" t="s">
        <v>2842</v>
      </c>
      <c r="D1812" s="16" t="s">
        <v>2843</v>
      </c>
      <c r="E1812" s="288">
        <v>7900</v>
      </c>
      <c r="F1812" s="288">
        <f>ROUND(IF($A1812="E",E1812*(1+Assumptions!C$15),E1812*(1+Assumptions!C$14)),-2)</f>
        <v>8000</v>
      </c>
      <c r="G1812" s="288">
        <f>ROUND(IF($A1812="E",F1812*(1+Assumptions!D$15),F1812*(1+Assumptions!D$14)),-2)</f>
        <v>8200</v>
      </c>
      <c r="H1812" s="288">
        <f>ROUND(IF($A1812="E",G1812*(1+Assumptions!E$15),G1812*(1+Assumptions!E$14)),-2)</f>
        <v>8400</v>
      </c>
      <c r="I1812" s="288">
        <f>ROUND(IF($A1812="E",H1812*(1+Assumptions!F$15),H1812*(1+Assumptions!F$14)),-2)</f>
        <v>8600</v>
      </c>
      <c r="J1812" s="288">
        <f>ROUND(IF($A1812="E",I1812*(1+Assumptions!G$15),I1812*(1+Assumptions!G$14)),-2)</f>
        <v>8800</v>
      </c>
      <c r="K1812" s="288">
        <f>ROUND(IF($A1812="E",J1812*(1+Assumptions!H$15),J1812*(1+Assumptions!H$14)),-2)</f>
        <v>9000</v>
      </c>
      <c r="L1812" s="288">
        <f>ROUND(IF($A1812="E",K1812*(1+Assumptions!I$15),K1812*(1+Assumptions!I$14)),-2)</f>
        <v>9200</v>
      </c>
      <c r="M1812" s="288">
        <f>ROUND(IF($A1812="E",L1812*(1+Assumptions!J$15),L1812*(1+Assumptions!J$14)),-2)</f>
        <v>9400</v>
      </c>
      <c r="N1812" s="288">
        <f>ROUND(IF($A1812="E",M1812*(1+Assumptions!K$15),M1812*(1+Assumptions!K$14)),-2)</f>
        <v>9600</v>
      </c>
    </row>
    <row r="1813" spans="2:14" x14ac:dyDescent="0.25">
      <c r="B1813" s="16" t="s">
        <v>43</v>
      </c>
      <c r="C1813" s="16" t="s">
        <v>2844</v>
      </c>
      <c r="D1813" s="16" t="s">
        <v>2845</v>
      </c>
      <c r="E1813" s="288">
        <v>2200</v>
      </c>
      <c r="F1813" s="288">
        <f>ROUND(IF($A1813="E",E1813*(1+Assumptions!C$15),E1813*(1+Assumptions!C$14)),-2)</f>
        <v>2200</v>
      </c>
      <c r="G1813" s="288">
        <f>ROUND(IF($A1813="E",F1813*(1+Assumptions!D$15),F1813*(1+Assumptions!D$14)),-2)</f>
        <v>2200</v>
      </c>
      <c r="H1813" s="288">
        <f>ROUND(IF($A1813="E",G1813*(1+Assumptions!E$15),G1813*(1+Assumptions!E$14)),-2)</f>
        <v>2200</v>
      </c>
      <c r="I1813" s="288">
        <f>ROUND(IF($A1813="E",H1813*(1+Assumptions!F$15),H1813*(1+Assumptions!F$14)),-2)</f>
        <v>2200</v>
      </c>
      <c r="J1813" s="288">
        <f>ROUND(IF($A1813="E",I1813*(1+Assumptions!G$15),I1813*(1+Assumptions!G$14)),-2)</f>
        <v>2200</v>
      </c>
      <c r="K1813" s="288">
        <f>ROUND(IF($A1813="E",J1813*(1+Assumptions!H$15),J1813*(1+Assumptions!H$14)),-2)</f>
        <v>2200</v>
      </c>
      <c r="L1813" s="288">
        <f>ROUND(IF($A1813="E",K1813*(1+Assumptions!I$15),K1813*(1+Assumptions!I$14)),-2)</f>
        <v>2300</v>
      </c>
      <c r="M1813" s="288">
        <f>ROUND(IF($A1813="E",L1813*(1+Assumptions!J$15),L1813*(1+Assumptions!J$14)),-2)</f>
        <v>2400</v>
      </c>
      <c r="N1813" s="288">
        <f>ROUND(IF($A1813="E",M1813*(1+Assumptions!K$15),M1813*(1+Assumptions!K$14)),-2)</f>
        <v>2500</v>
      </c>
    </row>
    <row r="1814" spans="2:14" x14ac:dyDescent="0.25">
      <c r="B1814" s="16" t="s">
        <v>43</v>
      </c>
      <c r="C1814" s="16" t="s">
        <v>2846</v>
      </c>
      <c r="D1814" s="16" t="s">
        <v>93</v>
      </c>
      <c r="E1814" s="288">
        <v>10400</v>
      </c>
      <c r="F1814" s="288">
        <f>ROUND(IF($A1814="E",E1814*(1+Assumptions!C$15),E1814*(1+Assumptions!C$14)),-2)</f>
        <v>10600</v>
      </c>
      <c r="G1814" s="288">
        <f>ROUND(IF($A1814="E",F1814*(1+Assumptions!D$15),F1814*(1+Assumptions!D$14)),-2)</f>
        <v>10800</v>
      </c>
      <c r="H1814" s="288">
        <f>ROUND(IF($A1814="E",G1814*(1+Assumptions!E$15),G1814*(1+Assumptions!E$14)),-2)</f>
        <v>11000</v>
      </c>
      <c r="I1814" s="288">
        <f>ROUND(IF($A1814="E",H1814*(1+Assumptions!F$15),H1814*(1+Assumptions!F$14)),-2)</f>
        <v>11200</v>
      </c>
      <c r="J1814" s="288">
        <f>ROUND(IF($A1814="E",I1814*(1+Assumptions!G$15),I1814*(1+Assumptions!G$14)),-2)</f>
        <v>11400</v>
      </c>
      <c r="K1814" s="288">
        <f>ROUND(IF($A1814="E",J1814*(1+Assumptions!H$15),J1814*(1+Assumptions!H$14)),-2)</f>
        <v>11600</v>
      </c>
      <c r="L1814" s="288">
        <f>ROUND(IF($A1814="E",K1814*(1+Assumptions!I$15),K1814*(1+Assumptions!I$14)),-2)</f>
        <v>11900</v>
      </c>
      <c r="M1814" s="288">
        <f>ROUND(IF($A1814="E",L1814*(1+Assumptions!J$15),L1814*(1+Assumptions!J$14)),-2)</f>
        <v>12200</v>
      </c>
      <c r="N1814" s="288">
        <f>ROUND(IF($A1814="E",M1814*(1+Assumptions!K$15),M1814*(1+Assumptions!K$14)),-2)</f>
        <v>12500</v>
      </c>
    </row>
    <row r="1815" spans="2:14" x14ac:dyDescent="0.25">
      <c r="B1815" s="16" t="s">
        <v>43</v>
      </c>
      <c r="C1815" s="16" t="s">
        <v>2847</v>
      </c>
      <c r="D1815" s="16" t="s">
        <v>2848</v>
      </c>
      <c r="E1815" s="288">
        <v>10100</v>
      </c>
      <c r="F1815" s="288">
        <f>ROUND(IF($A1815="E",E1815*(1+Assumptions!C$15),E1815*(1+Assumptions!C$14)),-2)</f>
        <v>10300</v>
      </c>
      <c r="G1815" s="288">
        <f>ROUND(IF($A1815="E",F1815*(1+Assumptions!D$15),F1815*(1+Assumptions!D$14)),-2)</f>
        <v>10500</v>
      </c>
      <c r="H1815" s="288">
        <f>ROUND(IF($A1815="E",G1815*(1+Assumptions!E$15),G1815*(1+Assumptions!E$14)),-2)</f>
        <v>10700</v>
      </c>
      <c r="I1815" s="288">
        <f>ROUND(IF($A1815="E",H1815*(1+Assumptions!F$15),H1815*(1+Assumptions!F$14)),-2)</f>
        <v>10900</v>
      </c>
      <c r="J1815" s="288">
        <f>ROUND(IF($A1815="E",I1815*(1+Assumptions!G$15),I1815*(1+Assumptions!G$14)),-2)</f>
        <v>11100</v>
      </c>
      <c r="K1815" s="288">
        <f>ROUND(IF($A1815="E",J1815*(1+Assumptions!H$15),J1815*(1+Assumptions!H$14)),-2)</f>
        <v>11300</v>
      </c>
      <c r="L1815" s="288">
        <f>ROUND(IF($A1815="E",K1815*(1+Assumptions!I$15),K1815*(1+Assumptions!I$14)),-2)</f>
        <v>11600</v>
      </c>
      <c r="M1815" s="288">
        <f>ROUND(IF($A1815="E",L1815*(1+Assumptions!J$15),L1815*(1+Assumptions!J$14)),-2)</f>
        <v>11900</v>
      </c>
      <c r="N1815" s="288">
        <f>ROUND(IF($A1815="E",M1815*(1+Assumptions!K$15),M1815*(1+Assumptions!K$14)),-2)</f>
        <v>12200</v>
      </c>
    </row>
    <row r="1816" spans="2:14" x14ac:dyDescent="0.25">
      <c r="B1816" s="16" t="s">
        <v>43</v>
      </c>
      <c r="C1816" s="16" t="s">
        <v>2849</v>
      </c>
      <c r="D1816" s="16" t="s">
        <v>2850</v>
      </c>
      <c r="E1816" s="288">
        <v>4800</v>
      </c>
      <c r="F1816" s="288">
        <f>ROUND(IF($A1816="E",E1816*(1+Assumptions!C$15),E1816*(1+Assumptions!C$14)),-2)</f>
        <v>4900</v>
      </c>
      <c r="G1816" s="288">
        <f>ROUND(IF($A1816="E",F1816*(1+Assumptions!D$15),F1816*(1+Assumptions!D$14)),-2)</f>
        <v>5000</v>
      </c>
      <c r="H1816" s="288">
        <f>ROUND(IF($A1816="E",G1816*(1+Assumptions!E$15),G1816*(1+Assumptions!E$14)),-2)</f>
        <v>5100</v>
      </c>
      <c r="I1816" s="288">
        <f>ROUND(IF($A1816="E",H1816*(1+Assumptions!F$15),H1816*(1+Assumptions!F$14)),-2)</f>
        <v>5200</v>
      </c>
      <c r="J1816" s="288">
        <f>ROUND(IF($A1816="E",I1816*(1+Assumptions!G$15),I1816*(1+Assumptions!G$14)),-2)</f>
        <v>5300</v>
      </c>
      <c r="K1816" s="288">
        <f>ROUND(IF($A1816="E",J1816*(1+Assumptions!H$15),J1816*(1+Assumptions!H$14)),-2)</f>
        <v>5400</v>
      </c>
      <c r="L1816" s="288">
        <f>ROUND(IF($A1816="E",K1816*(1+Assumptions!I$15),K1816*(1+Assumptions!I$14)),-2)</f>
        <v>5500</v>
      </c>
      <c r="M1816" s="288">
        <f>ROUND(IF($A1816="E",L1816*(1+Assumptions!J$15),L1816*(1+Assumptions!J$14)),-2)</f>
        <v>5600</v>
      </c>
      <c r="N1816" s="288">
        <f>ROUND(IF($A1816="E",M1816*(1+Assumptions!K$15),M1816*(1+Assumptions!K$14)),-2)</f>
        <v>5700</v>
      </c>
    </row>
    <row r="1817" spans="2:14" x14ac:dyDescent="0.25">
      <c r="B1817" s="16" t="s">
        <v>43</v>
      </c>
      <c r="C1817" s="16" t="s">
        <v>2851</v>
      </c>
      <c r="D1817" s="16" t="s">
        <v>2852</v>
      </c>
      <c r="E1817" s="288">
        <v>10100</v>
      </c>
      <c r="F1817" s="288">
        <f>ROUND(IF($A1817="E",E1817*(1+Assumptions!C$15),E1817*(1+Assumptions!C$14)),-2)</f>
        <v>10300</v>
      </c>
      <c r="G1817" s="288">
        <f>ROUND(IF($A1817="E",F1817*(1+Assumptions!D$15),F1817*(1+Assumptions!D$14)),-2)</f>
        <v>10500</v>
      </c>
      <c r="H1817" s="288">
        <f>ROUND(IF($A1817="E",G1817*(1+Assumptions!E$15),G1817*(1+Assumptions!E$14)),-2)</f>
        <v>10700</v>
      </c>
      <c r="I1817" s="288">
        <f>ROUND(IF($A1817="E",H1817*(1+Assumptions!F$15),H1817*(1+Assumptions!F$14)),-2)</f>
        <v>10900</v>
      </c>
      <c r="J1817" s="288">
        <f>ROUND(IF($A1817="E",I1817*(1+Assumptions!G$15),I1817*(1+Assumptions!G$14)),-2)</f>
        <v>11100</v>
      </c>
      <c r="K1817" s="288">
        <f>ROUND(IF($A1817="E",J1817*(1+Assumptions!H$15),J1817*(1+Assumptions!H$14)),-2)</f>
        <v>11300</v>
      </c>
      <c r="L1817" s="288">
        <f>ROUND(IF($A1817="E",K1817*(1+Assumptions!I$15),K1817*(1+Assumptions!I$14)),-2)</f>
        <v>11600</v>
      </c>
      <c r="M1817" s="288">
        <f>ROUND(IF($A1817="E",L1817*(1+Assumptions!J$15),L1817*(1+Assumptions!J$14)),-2)</f>
        <v>11900</v>
      </c>
      <c r="N1817" s="288">
        <f>ROUND(IF($A1817="E",M1817*(1+Assumptions!K$15),M1817*(1+Assumptions!K$14)),-2)</f>
        <v>12200</v>
      </c>
    </row>
    <row r="1818" spans="2:14" x14ac:dyDescent="0.25">
      <c r="B1818" s="16" t="s">
        <v>43</v>
      </c>
      <c r="C1818" s="16" t="s">
        <v>2853</v>
      </c>
      <c r="D1818" s="16" t="s">
        <v>2854</v>
      </c>
      <c r="E1818" s="288">
        <v>0</v>
      </c>
      <c r="F1818" s="288">
        <f>ROUND(IF($A1818="E",E1818*(1+Assumptions!C$15),E1818*(1+Assumptions!C$14)),-2)</f>
        <v>0</v>
      </c>
      <c r="G1818" s="288">
        <f>ROUND(IF($A1818="E",F1818*(1+Assumptions!D$15),F1818*(1+Assumptions!D$14)),-2)</f>
        <v>0</v>
      </c>
      <c r="H1818" s="288">
        <f>ROUND(IF($A1818="E",G1818*(1+Assumptions!E$15),G1818*(1+Assumptions!E$14)),-2)</f>
        <v>0</v>
      </c>
      <c r="I1818" s="288">
        <f>ROUND(IF($A1818="E",H1818*(1+Assumptions!F$15),H1818*(1+Assumptions!F$14)),-2)</f>
        <v>0</v>
      </c>
      <c r="J1818" s="288">
        <f>ROUND(IF($A1818="E",I1818*(1+Assumptions!G$15),I1818*(1+Assumptions!G$14)),-2)</f>
        <v>0</v>
      </c>
      <c r="K1818" s="288">
        <f>ROUND(IF($A1818="E",J1818*(1+Assumptions!H$15),J1818*(1+Assumptions!H$14)),-2)</f>
        <v>0</v>
      </c>
      <c r="L1818" s="288">
        <f>ROUND(IF($A1818="E",K1818*(1+Assumptions!I$15),K1818*(1+Assumptions!I$14)),-2)</f>
        <v>0</v>
      </c>
      <c r="M1818" s="288">
        <f>ROUND(IF($A1818="E",L1818*(1+Assumptions!J$15),L1818*(1+Assumptions!J$14)),-2)</f>
        <v>0</v>
      </c>
      <c r="N1818" s="288">
        <f>ROUND(IF($A1818="E",M1818*(1+Assumptions!K$15),M1818*(1+Assumptions!K$14)),-2)</f>
        <v>0</v>
      </c>
    </row>
    <row r="1819" spans="2:14" x14ac:dyDescent="0.25">
      <c r="B1819" s="16" t="s">
        <v>43</v>
      </c>
      <c r="C1819" s="16" t="s">
        <v>2855</v>
      </c>
      <c r="D1819" s="16" t="s">
        <v>2856</v>
      </c>
      <c r="E1819" s="288">
        <v>0</v>
      </c>
      <c r="F1819" s="288">
        <f>ROUND(IF($A1819="E",E1819*(1+Assumptions!C$15),E1819*(1+Assumptions!C$14)),-2)</f>
        <v>0</v>
      </c>
      <c r="G1819" s="288">
        <f>ROUND(IF($A1819="E",F1819*(1+Assumptions!D$15),F1819*(1+Assumptions!D$14)),-2)</f>
        <v>0</v>
      </c>
      <c r="H1819" s="288">
        <f>ROUND(IF($A1819="E",G1819*(1+Assumptions!E$15),G1819*(1+Assumptions!E$14)),-2)</f>
        <v>0</v>
      </c>
      <c r="I1819" s="288">
        <f>ROUND(IF($A1819="E",H1819*(1+Assumptions!F$15),H1819*(1+Assumptions!F$14)),-2)</f>
        <v>0</v>
      </c>
      <c r="J1819" s="288">
        <f>ROUND(IF($A1819="E",I1819*(1+Assumptions!G$15),I1819*(1+Assumptions!G$14)),-2)</f>
        <v>0</v>
      </c>
      <c r="K1819" s="288">
        <f>ROUND(IF($A1819="E",J1819*(1+Assumptions!H$15),J1819*(1+Assumptions!H$14)),-2)</f>
        <v>0</v>
      </c>
      <c r="L1819" s="288">
        <f>ROUND(IF($A1819="E",K1819*(1+Assumptions!I$15),K1819*(1+Assumptions!I$14)),-2)</f>
        <v>0</v>
      </c>
      <c r="M1819" s="288">
        <f>ROUND(IF($A1819="E",L1819*(1+Assumptions!J$15),L1819*(1+Assumptions!J$14)),-2)</f>
        <v>0</v>
      </c>
      <c r="N1819" s="288">
        <f>ROUND(IF($A1819="E",M1819*(1+Assumptions!K$15),M1819*(1+Assumptions!K$14)),-2)</f>
        <v>0</v>
      </c>
    </row>
    <row r="1820" spans="2:14" x14ac:dyDescent="0.25">
      <c r="B1820" s="16" t="s">
        <v>43</v>
      </c>
      <c r="C1820" s="16" t="s">
        <v>2857</v>
      </c>
      <c r="D1820" s="16" t="s">
        <v>1186</v>
      </c>
      <c r="E1820" s="289"/>
      <c r="F1820" s="289"/>
      <c r="G1820" s="289"/>
      <c r="H1820" s="289"/>
      <c r="I1820" s="289"/>
      <c r="J1820" s="289"/>
      <c r="K1820" s="289"/>
      <c r="L1820" s="289"/>
      <c r="M1820" s="289"/>
      <c r="N1820" s="289"/>
    </row>
    <row r="1821" spans="2:14" x14ac:dyDescent="0.25">
      <c r="B1821" s="16" t="s">
        <v>43</v>
      </c>
      <c r="C1821" s="16" t="s">
        <v>2858</v>
      </c>
      <c r="D1821" s="16" t="s">
        <v>2859</v>
      </c>
      <c r="E1821" s="288">
        <v>160000</v>
      </c>
      <c r="F1821" s="288">
        <f>ROUND(IF($A1821="E",E1821*(1+Assumptions!C$15),E1821*(1+Assumptions!C$14)),-2)</f>
        <v>162400</v>
      </c>
      <c r="G1821" s="288">
        <f>ROUND(IF($A1821="E",F1821*(1+Assumptions!D$15),F1821*(1+Assumptions!D$14)),-2)</f>
        <v>165600</v>
      </c>
      <c r="H1821" s="288">
        <f>ROUND(IF($A1821="E",G1821*(1+Assumptions!E$15),G1821*(1+Assumptions!E$14)),-2)</f>
        <v>168900</v>
      </c>
      <c r="I1821" s="288">
        <f>ROUND(IF($A1821="E",H1821*(1+Assumptions!F$15),H1821*(1+Assumptions!F$14)),-2)</f>
        <v>172300</v>
      </c>
      <c r="J1821" s="288">
        <f>ROUND(IF($A1821="E",I1821*(1+Assumptions!G$15),I1821*(1+Assumptions!G$14)),-2)</f>
        <v>175700</v>
      </c>
      <c r="K1821" s="288">
        <f>ROUND(IF($A1821="E",J1821*(1+Assumptions!H$15),J1821*(1+Assumptions!H$14)),-2)</f>
        <v>179200</v>
      </c>
      <c r="L1821" s="288">
        <f>ROUND(IF($A1821="E",K1821*(1+Assumptions!I$15),K1821*(1+Assumptions!I$14)),-2)</f>
        <v>183700</v>
      </c>
      <c r="M1821" s="288">
        <f>ROUND(IF($A1821="E",L1821*(1+Assumptions!J$15),L1821*(1+Assumptions!J$14)),-2)</f>
        <v>188300</v>
      </c>
      <c r="N1821" s="288">
        <f>ROUND(IF($A1821="E",M1821*(1+Assumptions!K$15),M1821*(1+Assumptions!K$14)),-2)</f>
        <v>193000</v>
      </c>
    </row>
    <row r="1822" spans="2:14" x14ac:dyDescent="0.25">
      <c r="B1822" s="16" t="s">
        <v>43</v>
      </c>
      <c r="C1822" s="16" t="s">
        <v>2860</v>
      </c>
      <c r="D1822" s="16" t="s">
        <v>2861</v>
      </c>
      <c r="E1822" s="288">
        <v>19200</v>
      </c>
      <c r="F1822" s="288">
        <f>ROUND(IF($A1822="E",E1822*(1+Assumptions!C$15),E1822*(1+Assumptions!C$14)),-2)</f>
        <v>19500</v>
      </c>
      <c r="G1822" s="288">
        <f>ROUND(IF($A1822="E",F1822*(1+Assumptions!D$15),F1822*(1+Assumptions!D$14)),-2)</f>
        <v>19900</v>
      </c>
      <c r="H1822" s="288">
        <f>ROUND(IF($A1822="E",G1822*(1+Assumptions!E$15),G1822*(1+Assumptions!E$14)),-2)</f>
        <v>20300</v>
      </c>
      <c r="I1822" s="288">
        <f>ROUND(IF($A1822="E",H1822*(1+Assumptions!F$15),H1822*(1+Assumptions!F$14)),-2)</f>
        <v>20700</v>
      </c>
      <c r="J1822" s="288">
        <f>ROUND(IF($A1822="E",I1822*(1+Assumptions!G$15),I1822*(1+Assumptions!G$14)),-2)</f>
        <v>21100</v>
      </c>
      <c r="K1822" s="288">
        <f>ROUND(IF($A1822="E",J1822*(1+Assumptions!H$15),J1822*(1+Assumptions!H$14)),-2)</f>
        <v>21500</v>
      </c>
      <c r="L1822" s="288">
        <f>ROUND(IF($A1822="E",K1822*(1+Assumptions!I$15),K1822*(1+Assumptions!I$14)),-2)</f>
        <v>22000</v>
      </c>
      <c r="M1822" s="288">
        <f>ROUND(IF($A1822="E",L1822*(1+Assumptions!J$15),L1822*(1+Assumptions!J$14)),-2)</f>
        <v>22600</v>
      </c>
      <c r="N1822" s="288">
        <f>ROUND(IF($A1822="E",M1822*(1+Assumptions!K$15),M1822*(1+Assumptions!K$14)),-2)</f>
        <v>23200</v>
      </c>
    </row>
    <row r="1823" spans="2:14" x14ac:dyDescent="0.25">
      <c r="B1823" s="16" t="s">
        <v>43</v>
      </c>
      <c r="C1823" s="16" t="s">
        <v>2862</v>
      </c>
      <c r="D1823" s="16" t="s">
        <v>2863</v>
      </c>
      <c r="E1823" s="288">
        <v>10100</v>
      </c>
      <c r="F1823" s="288">
        <f>ROUND(IF($A1823="E",E1823*(1+Assumptions!C$15),E1823*(1+Assumptions!C$14)),-2)</f>
        <v>10300</v>
      </c>
      <c r="G1823" s="288">
        <f>ROUND(IF($A1823="E",F1823*(1+Assumptions!D$15),F1823*(1+Assumptions!D$14)),-2)</f>
        <v>10500</v>
      </c>
      <c r="H1823" s="288">
        <f>ROUND(IF($A1823="E",G1823*(1+Assumptions!E$15),G1823*(1+Assumptions!E$14)),-2)</f>
        <v>10700</v>
      </c>
      <c r="I1823" s="288">
        <f>ROUND(IF($A1823="E",H1823*(1+Assumptions!F$15),H1823*(1+Assumptions!F$14)),-2)</f>
        <v>10900</v>
      </c>
      <c r="J1823" s="288">
        <f>ROUND(IF($A1823="E",I1823*(1+Assumptions!G$15),I1823*(1+Assumptions!G$14)),-2)</f>
        <v>11100</v>
      </c>
      <c r="K1823" s="288">
        <f>ROUND(IF($A1823="E",J1823*(1+Assumptions!H$15),J1823*(1+Assumptions!H$14)),-2)</f>
        <v>11300</v>
      </c>
      <c r="L1823" s="288">
        <f>ROUND(IF($A1823="E",K1823*(1+Assumptions!I$15),K1823*(1+Assumptions!I$14)),-2)</f>
        <v>11600</v>
      </c>
      <c r="M1823" s="288">
        <f>ROUND(IF($A1823="E",L1823*(1+Assumptions!J$15),L1823*(1+Assumptions!J$14)),-2)</f>
        <v>11900</v>
      </c>
      <c r="N1823" s="288">
        <f>ROUND(IF($A1823="E",M1823*(1+Assumptions!K$15),M1823*(1+Assumptions!K$14)),-2)</f>
        <v>12200</v>
      </c>
    </row>
    <row r="1824" spans="2:14" x14ac:dyDescent="0.25">
      <c r="B1824" s="16" t="s">
        <v>45</v>
      </c>
      <c r="C1824" s="16" t="s">
        <v>2864</v>
      </c>
      <c r="D1824" s="16" t="s">
        <v>1915</v>
      </c>
      <c r="E1824" s="288">
        <v>7700</v>
      </c>
      <c r="F1824" s="288">
        <f>ROUND(IF($A1824="E",E1824*(1+Assumptions!C$15),E1824*(1+Assumptions!C$14)),-2)</f>
        <v>7800</v>
      </c>
      <c r="G1824" s="288">
        <f>ROUND(IF($A1824="E",F1824*(1+Assumptions!D$15),F1824*(1+Assumptions!D$14)),-2)</f>
        <v>8000</v>
      </c>
      <c r="H1824" s="288">
        <f>ROUND(IF($A1824="E",G1824*(1+Assumptions!E$15),G1824*(1+Assumptions!E$14)),-2)</f>
        <v>8200</v>
      </c>
      <c r="I1824" s="288">
        <f>ROUND(IF($A1824="E",H1824*(1+Assumptions!F$15),H1824*(1+Assumptions!F$14)),-2)</f>
        <v>8400</v>
      </c>
      <c r="J1824" s="288">
        <f>ROUND(IF($A1824="E",I1824*(1+Assumptions!G$15),I1824*(1+Assumptions!G$14)),-2)</f>
        <v>8600</v>
      </c>
      <c r="K1824" s="288">
        <f>ROUND(IF($A1824="E",J1824*(1+Assumptions!H$15),J1824*(1+Assumptions!H$14)),-2)</f>
        <v>8800</v>
      </c>
      <c r="L1824" s="288">
        <f>ROUND(IF($A1824="E",K1824*(1+Assumptions!I$15),K1824*(1+Assumptions!I$14)),-2)</f>
        <v>9000</v>
      </c>
      <c r="M1824" s="288">
        <f>ROUND(IF($A1824="E",L1824*(1+Assumptions!J$15),L1824*(1+Assumptions!J$14)),-2)</f>
        <v>9200</v>
      </c>
      <c r="N1824" s="288">
        <f>ROUND(IF($A1824="E",M1824*(1+Assumptions!K$15),M1824*(1+Assumptions!K$14)),-2)</f>
        <v>9400</v>
      </c>
    </row>
    <row r="1825" spans="1:14" ht="12.75" customHeight="1" x14ac:dyDescent="0.25">
      <c r="A1825" s="16" t="s">
        <v>4591</v>
      </c>
      <c r="B1825" s="397" t="s">
        <v>3231</v>
      </c>
      <c r="C1825" s="43" t="s">
        <v>3291</v>
      </c>
      <c r="D1825" s="44" t="s">
        <v>3289</v>
      </c>
      <c r="E1825" s="288">
        <v>400</v>
      </c>
      <c r="F1825" s="288">
        <f>ROUND(IF($A1825="E",E1825*(1+Assumptions!C$15),E1825*(1+Assumptions!C$17)),-2)</f>
        <v>400</v>
      </c>
      <c r="G1825" s="288">
        <f>ROUND(IF($A1825="E",F1825*(1+Assumptions!D$15),F1825*(1+Assumptions!D$17)),-2)</f>
        <v>400</v>
      </c>
      <c r="H1825" s="288">
        <f>ROUND(IF($A1825="E",G1825*(1+Assumptions!E$15),G1825*(1+Assumptions!E$17)),-2)</f>
        <v>400</v>
      </c>
      <c r="I1825" s="288">
        <f>ROUND(IF($A1825="E",H1825*(1+Assumptions!F$15),H1825*(1+Assumptions!F$17)),-2)</f>
        <v>400</v>
      </c>
      <c r="J1825" s="288">
        <f>ROUND(IF($A1825="E",I1825*(1+Assumptions!G$15),I1825*(1+Assumptions!G$17)),-2)</f>
        <v>400</v>
      </c>
      <c r="K1825" s="288">
        <f>ROUND(IF($A1825="E",J1825*(1+Assumptions!H$15),J1825*(1+Assumptions!H$17)),-2)</f>
        <v>400</v>
      </c>
      <c r="L1825" s="288">
        <f>ROUND(IF($A1825="E",K1825*(1+Assumptions!I$15),K1825*(1+Assumptions!I$17)),-2)</f>
        <v>400</v>
      </c>
      <c r="M1825" s="288">
        <f>ROUND(IF($A1825="E",L1825*(1+Assumptions!J$15),L1825*(1+Assumptions!J$17)),-2)</f>
        <v>400</v>
      </c>
      <c r="N1825" s="288">
        <f>ROUND(IF($A1825="E",M1825*(1+Assumptions!K$15),M1825*(1+Assumptions!K$17)),-2)</f>
        <v>400</v>
      </c>
    </row>
    <row r="1826" spans="1:14" ht="12.75" customHeight="1" x14ac:dyDescent="0.25">
      <c r="A1826" s="16" t="s">
        <v>4591</v>
      </c>
      <c r="B1826" s="397" t="s">
        <v>3231</v>
      </c>
      <c r="C1826" s="43" t="s">
        <v>3240</v>
      </c>
      <c r="D1826" s="44" t="s">
        <v>3290</v>
      </c>
      <c r="E1826" s="288">
        <v>16700</v>
      </c>
      <c r="F1826" s="288">
        <f>ROUND(IF($A1826="E",E1826*(1+Assumptions!C$15),E1826*(1+Assumptions!C$17)),-2)</f>
        <v>16900</v>
      </c>
      <c r="G1826" s="288">
        <f>ROUND(IF($A1826="E",F1826*(1+Assumptions!D$15),F1826*(1+Assumptions!D$17)),-2)</f>
        <v>17100</v>
      </c>
      <c r="H1826" s="288">
        <f>ROUND(IF($A1826="E",G1826*(1+Assumptions!E$15),G1826*(1+Assumptions!E$17)),-2)</f>
        <v>17300</v>
      </c>
      <c r="I1826" s="288">
        <f>ROUND(IF($A1826="E",H1826*(1+Assumptions!F$15),H1826*(1+Assumptions!F$17)),-2)</f>
        <v>17500</v>
      </c>
      <c r="J1826" s="288">
        <f>ROUND(IF($A1826="E",I1826*(1+Assumptions!G$15),I1826*(1+Assumptions!G$17)),-2)</f>
        <v>17700</v>
      </c>
      <c r="K1826" s="288">
        <f>ROUND(IF($A1826="E",J1826*(1+Assumptions!H$15),J1826*(1+Assumptions!H$17)),-2)</f>
        <v>17900</v>
      </c>
      <c r="L1826" s="288">
        <f>ROUND(IF($A1826="E",K1826*(1+Assumptions!I$15),K1826*(1+Assumptions!I$17)),-2)</f>
        <v>18100</v>
      </c>
      <c r="M1826" s="288">
        <f>ROUND(IF($A1826="E",L1826*(1+Assumptions!J$15),L1826*(1+Assumptions!J$17)),-2)</f>
        <v>18300</v>
      </c>
      <c r="N1826" s="288">
        <f>ROUND(IF($A1826="E",M1826*(1+Assumptions!K$15),M1826*(1+Assumptions!K$17)),-2)</f>
        <v>18500</v>
      </c>
    </row>
    <row r="1827" spans="1:14" ht="12.75" customHeight="1" x14ac:dyDescent="0.25">
      <c r="B1827" s="27" t="s">
        <v>43</v>
      </c>
      <c r="C1827" s="27" t="s">
        <v>380</v>
      </c>
      <c r="D1827" s="27" t="s">
        <v>3318</v>
      </c>
      <c r="E1827" s="290">
        <v>-2000</v>
      </c>
      <c r="F1827" s="289"/>
      <c r="G1827" s="289"/>
      <c r="H1827" s="289"/>
      <c r="I1827" s="289"/>
      <c r="J1827" s="289"/>
      <c r="K1827" s="289"/>
      <c r="L1827" s="289"/>
      <c r="M1827" s="289"/>
      <c r="N1827" s="289"/>
    </row>
    <row r="1828" spans="1:14" s="46" customFormat="1" ht="12.75" customHeight="1" x14ac:dyDescent="0.25">
      <c r="E1828" s="297"/>
      <c r="F1828" s="297"/>
      <c r="G1828" s="297"/>
      <c r="H1828" s="297"/>
      <c r="I1828" s="297"/>
      <c r="J1828" s="297"/>
      <c r="K1828" s="297"/>
      <c r="L1828" s="297"/>
      <c r="M1828" s="297"/>
      <c r="N1828" s="297"/>
    </row>
    <row r="1829" spans="1:14" ht="12.75" customHeight="1" x14ac:dyDescent="0.25">
      <c r="D1829" s="19" t="s">
        <v>3234</v>
      </c>
      <c r="E1829" s="291">
        <f>SUM(E1785:E1828)</f>
        <v>2265300</v>
      </c>
      <c r="F1829" s="291">
        <f t="shared" ref="F1829:N1829" si="61">SUM(F1785:F1828)</f>
        <v>2302100</v>
      </c>
      <c r="G1829" s="291">
        <f t="shared" si="61"/>
        <v>2348600</v>
      </c>
      <c r="H1829" s="291">
        <f t="shared" si="61"/>
        <v>2396100</v>
      </c>
      <c r="I1829" s="291">
        <f t="shared" si="61"/>
        <v>2444600</v>
      </c>
      <c r="J1829" s="291">
        <f t="shared" si="61"/>
        <v>2493900</v>
      </c>
      <c r="K1829" s="291">
        <f t="shared" si="61"/>
        <v>2544100</v>
      </c>
      <c r="L1829" s="291">
        <f t="shared" si="61"/>
        <v>2607300</v>
      </c>
      <c r="M1829" s="291">
        <f t="shared" si="61"/>
        <v>2672300</v>
      </c>
      <c r="N1829" s="291">
        <f t="shared" si="61"/>
        <v>2738900</v>
      </c>
    </row>
    <row r="1830" spans="1:14" ht="12.75" customHeight="1" x14ac:dyDescent="0.25">
      <c r="E1830" s="288"/>
      <c r="F1830" s="288"/>
      <c r="G1830" s="288"/>
      <c r="H1830" s="288"/>
      <c r="I1830" s="288"/>
      <c r="J1830" s="288"/>
      <c r="K1830" s="288"/>
      <c r="L1830" s="288"/>
      <c r="M1830" s="288"/>
      <c r="N1830" s="288"/>
    </row>
    <row r="1831" spans="1:14" x14ac:dyDescent="0.25">
      <c r="C1831" s="16" t="s">
        <v>315</v>
      </c>
      <c r="E1831" s="288"/>
      <c r="F1831" s="288"/>
      <c r="G1831" s="288"/>
      <c r="H1831" s="288"/>
      <c r="I1831" s="288"/>
      <c r="J1831" s="288"/>
      <c r="K1831" s="288"/>
      <c r="L1831" s="288"/>
      <c r="M1831" s="288"/>
      <c r="N1831" s="288"/>
    </row>
    <row r="1832" spans="1:14" x14ac:dyDescent="0.25">
      <c r="B1832" s="16" t="s">
        <v>3228</v>
      </c>
      <c r="C1832" s="16" t="s">
        <v>2865</v>
      </c>
      <c r="D1832" s="16" t="s">
        <v>2628</v>
      </c>
      <c r="E1832" s="289"/>
      <c r="F1832" s="289"/>
      <c r="G1832" s="289"/>
      <c r="H1832" s="289"/>
      <c r="I1832" s="289"/>
      <c r="J1832" s="289"/>
      <c r="K1832" s="289"/>
      <c r="L1832" s="289"/>
      <c r="M1832" s="289"/>
      <c r="N1832" s="289"/>
    </row>
    <row r="1833" spans="1:14" x14ac:dyDescent="0.25">
      <c r="B1833" s="16" t="s">
        <v>3228</v>
      </c>
      <c r="C1833" s="16" t="s">
        <v>2866</v>
      </c>
      <c r="D1833" s="16" t="s">
        <v>2867</v>
      </c>
      <c r="E1833" s="288">
        <v>-3200</v>
      </c>
      <c r="F1833" s="288">
        <f>ROUND(E1833+(E1833*Assumptions!C$13),-2)</f>
        <v>-3300</v>
      </c>
      <c r="G1833" s="288">
        <f>ROUND(F1833+(F1833*Assumptions!D$13),-2)</f>
        <v>-3400</v>
      </c>
      <c r="H1833" s="288">
        <f>ROUND(G1833+(G1833*Assumptions!E$13),-2)</f>
        <v>-3500</v>
      </c>
      <c r="I1833" s="288">
        <f>ROUND(H1833+(H1833*Assumptions!F$13),-2)</f>
        <v>-3600</v>
      </c>
      <c r="J1833" s="288">
        <f>ROUND(I1833+(I1833*Assumptions!G$13),-2)</f>
        <v>-3700</v>
      </c>
      <c r="K1833" s="288">
        <f>ROUND(J1833+(J1833*Assumptions!H$13),-2)</f>
        <v>-3800</v>
      </c>
      <c r="L1833" s="288">
        <f>ROUND(K1833+(K1833*Assumptions!I$13),-2)</f>
        <v>-3900</v>
      </c>
      <c r="M1833" s="288">
        <f>ROUND(L1833+(L1833*Assumptions!J$13),-2)</f>
        <v>-4000</v>
      </c>
      <c r="N1833" s="288">
        <f>ROUND(M1833+(M1833*Assumptions!K$13),-2)</f>
        <v>-4100</v>
      </c>
    </row>
    <row r="1834" spans="1:14" x14ac:dyDescent="0.25">
      <c r="B1834" s="16" t="s">
        <v>3228</v>
      </c>
      <c r="C1834" s="16" t="s">
        <v>2868</v>
      </c>
      <c r="D1834" s="16" t="s">
        <v>2869</v>
      </c>
      <c r="E1834" s="288">
        <v>-51700</v>
      </c>
      <c r="F1834" s="288">
        <f>ROUND(E1834+(E1834*Assumptions!C$13),-2)</f>
        <v>-52700</v>
      </c>
      <c r="G1834" s="288">
        <f>ROUND(F1834+(F1834*Assumptions!D$13),-2)</f>
        <v>-54000</v>
      </c>
      <c r="H1834" s="288">
        <f>ROUND(G1834+(G1834*Assumptions!E$13),-2)</f>
        <v>-55400</v>
      </c>
      <c r="I1834" s="288">
        <f>ROUND(H1834+(H1834*Assumptions!F$13),-2)</f>
        <v>-56800</v>
      </c>
      <c r="J1834" s="288">
        <f>ROUND(I1834+(I1834*Assumptions!G$13),-2)</f>
        <v>-58200</v>
      </c>
      <c r="K1834" s="288">
        <f>ROUND(J1834+(J1834*Assumptions!H$13),-2)</f>
        <v>-59700</v>
      </c>
      <c r="L1834" s="288">
        <f>ROUND(K1834+(K1834*Assumptions!I$13),-2)</f>
        <v>-61200</v>
      </c>
      <c r="M1834" s="288">
        <f>ROUND(L1834+(L1834*Assumptions!J$13),-2)</f>
        <v>-62700</v>
      </c>
      <c r="N1834" s="288">
        <f>ROUND(M1834+(M1834*Assumptions!K$13),-2)</f>
        <v>-64300</v>
      </c>
    </row>
    <row r="1835" spans="1:14" x14ac:dyDescent="0.25">
      <c r="B1835" s="16" t="s">
        <v>3228</v>
      </c>
      <c r="C1835" s="16" t="s">
        <v>2870</v>
      </c>
      <c r="D1835" s="16" t="s">
        <v>2871</v>
      </c>
      <c r="E1835" s="288">
        <v>-2800</v>
      </c>
      <c r="F1835" s="288">
        <f>ROUND(E1835+(E1835*Assumptions!C$13),-2)</f>
        <v>-2900</v>
      </c>
      <c r="G1835" s="288">
        <f>ROUND(F1835+(F1835*Assumptions!D$13),-2)</f>
        <v>-3000</v>
      </c>
      <c r="H1835" s="288">
        <f>ROUND(G1835+(G1835*Assumptions!E$13),-2)</f>
        <v>-3100</v>
      </c>
      <c r="I1835" s="288">
        <f>ROUND(H1835+(H1835*Assumptions!F$13),-2)</f>
        <v>-3200</v>
      </c>
      <c r="J1835" s="288">
        <f>ROUND(I1835+(I1835*Assumptions!G$13),-2)</f>
        <v>-3300</v>
      </c>
      <c r="K1835" s="288">
        <f>ROUND(J1835+(J1835*Assumptions!H$13),-2)</f>
        <v>-3400</v>
      </c>
      <c r="L1835" s="288">
        <f>ROUND(K1835+(K1835*Assumptions!I$13),-2)</f>
        <v>-3500</v>
      </c>
      <c r="M1835" s="288">
        <f>ROUND(L1835+(L1835*Assumptions!J$13),-2)</f>
        <v>-3600</v>
      </c>
      <c r="N1835" s="288">
        <f>ROUND(M1835+(M1835*Assumptions!K$13),-2)</f>
        <v>-3700</v>
      </c>
    </row>
    <row r="1836" spans="1:14" x14ac:dyDescent="0.25">
      <c r="B1836" s="16" t="s">
        <v>3228</v>
      </c>
      <c r="C1836" s="16" t="s">
        <v>2872</v>
      </c>
      <c r="D1836" s="16" t="s">
        <v>2873</v>
      </c>
      <c r="E1836" s="288">
        <v>-5000</v>
      </c>
      <c r="F1836" s="288">
        <f>ROUND(E1836+(E1836*Assumptions!C$13),-2)</f>
        <v>-5100</v>
      </c>
      <c r="G1836" s="288">
        <f>ROUND(F1836+(F1836*Assumptions!D$13),-2)</f>
        <v>-5200</v>
      </c>
      <c r="H1836" s="288">
        <f>ROUND(G1836+(G1836*Assumptions!E$13),-2)</f>
        <v>-5300</v>
      </c>
      <c r="I1836" s="288">
        <f>ROUND(H1836+(H1836*Assumptions!F$13),-2)</f>
        <v>-5400</v>
      </c>
      <c r="J1836" s="288">
        <f>ROUND(I1836+(I1836*Assumptions!G$13),-2)</f>
        <v>-5500</v>
      </c>
      <c r="K1836" s="288">
        <f>ROUND(J1836+(J1836*Assumptions!H$13),-2)</f>
        <v>-5600</v>
      </c>
      <c r="L1836" s="288">
        <f>ROUND(K1836+(K1836*Assumptions!I$13),-2)</f>
        <v>-5700</v>
      </c>
      <c r="M1836" s="288">
        <f>ROUND(L1836+(L1836*Assumptions!J$13),-2)</f>
        <v>-5800</v>
      </c>
      <c r="N1836" s="288">
        <f>ROUND(M1836+(M1836*Assumptions!K$13),-2)</f>
        <v>-5900</v>
      </c>
    </row>
    <row r="1837" spans="1:14" x14ac:dyDescent="0.25">
      <c r="B1837" s="16" t="s">
        <v>3228</v>
      </c>
      <c r="C1837" s="16" t="s">
        <v>2874</v>
      </c>
      <c r="D1837" s="16" t="s">
        <v>2875</v>
      </c>
      <c r="E1837" s="288">
        <v>-76700</v>
      </c>
      <c r="F1837" s="288">
        <f>ROUND(E1837+(E1837*Assumptions!C$13),-2)</f>
        <v>-78200</v>
      </c>
      <c r="G1837" s="288">
        <f>ROUND(F1837+(F1837*Assumptions!D$13),-2)</f>
        <v>-80200</v>
      </c>
      <c r="H1837" s="288">
        <f>ROUND(G1837+(G1837*Assumptions!E$13),-2)</f>
        <v>-82200</v>
      </c>
      <c r="I1837" s="288">
        <f>ROUND(H1837+(H1837*Assumptions!F$13),-2)</f>
        <v>-84300</v>
      </c>
      <c r="J1837" s="288">
        <f>ROUND(I1837+(I1837*Assumptions!G$13),-2)</f>
        <v>-86400</v>
      </c>
      <c r="K1837" s="288">
        <f>ROUND(J1837+(J1837*Assumptions!H$13),-2)</f>
        <v>-88600</v>
      </c>
      <c r="L1837" s="288">
        <f>ROUND(K1837+(K1837*Assumptions!I$13),-2)</f>
        <v>-90800</v>
      </c>
      <c r="M1837" s="288">
        <f>ROUND(L1837+(L1837*Assumptions!J$13),-2)</f>
        <v>-93100</v>
      </c>
      <c r="N1837" s="288">
        <f>ROUND(M1837+(M1837*Assumptions!K$13),-2)</f>
        <v>-95400</v>
      </c>
    </row>
    <row r="1838" spans="1:14" x14ac:dyDescent="0.25">
      <c r="B1838" s="16" t="s">
        <v>3228</v>
      </c>
      <c r="C1838" s="16" t="s">
        <v>2876</v>
      </c>
      <c r="D1838" s="16" t="s">
        <v>2877</v>
      </c>
      <c r="E1838" s="288">
        <v>-1100</v>
      </c>
      <c r="F1838" s="288">
        <f>ROUND(E1838+(E1838*Assumptions!C$13),-2)</f>
        <v>-1100</v>
      </c>
      <c r="G1838" s="288">
        <f>ROUND(F1838+(F1838*Assumptions!D$13),-2)</f>
        <v>-1100</v>
      </c>
      <c r="H1838" s="288">
        <f>ROUND(G1838+(G1838*Assumptions!E$13),-2)</f>
        <v>-1100</v>
      </c>
      <c r="I1838" s="288">
        <f>ROUND(H1838+(H1838*Assumptions!F$13),-2)</f>
        <v>-1100</v>
      </c>
      <c r="J1838" s="288">
        <f>ROUND(I1838+(I1838*Assumptions!G$13),-2)</f>
        <v>-1100</v>
      </c>
      <c r="K1838" s="288">
        <f>ROUND(J1838+(J1838*Assumptions!H$13),-2)</f>
        <v>-1100</v>
      </c>
      <c r="L1838" s="288">
        <f>ROUND(K1838+(K1838*Assumptions!I$13),-2)</f>
        <v>-1100</v>
      </c>
      <c r="M1838" s="288">
        <f>ROUND(L1838+(L1838*Assumptions!J$13),-2)</f>
        <v>-1100</v>
      </c>
      <c r="N1838" s="288">
        <f>ROUND(M1838+(M1838*Assumptions!K$13),-2)</f>
        <v>-1100</v>
      </c>
    </row>
    <row r="1839" spans="1:14" x14ac:dyDescent="0.25">
      <c r="B1839" s="16" t="s">
        <v>3228</v>
      </c>
      <c r="C1839" s="16" t="s">
        <v>2878</v>
      </c>
      <c r="D1839" s="16" t="s">
        <v>2879</v>
      </c>
      <c r="E1839" s="288">
        <v>-72600</v>
      </c>
      <c r="F1839" s="288">
        <f>ROUND(E1839+(E1839*Assumptions!C$13),-2)</f>
        <v>-74100</v>
      </c>
      <c r="G1839" s="288">
        <f>ROUND(F1839+(F1839*Assumptions!D$13),-2)</f>
        <v>-76000</v>
      </c>
      <c r="H1839" s="288">
        <f>ROUND(G1839+(G1839*Assumptions!E$13),-2)</f>
        <v>-77900</v>
      </c>
      <c r="I1839" s="288">
        <f>ROUND(H1839+(H1839*Assumptions!F$13),-2)</f>
        <v>-79800</v>
      </c>
      <c r="J1839" s="288">
        <f>ROUND(I1839+(I1839*Assumptions!G$13),-2)</f>
        <v>-81800</v>
      </c>
      <c r="K1839" s="288">
        <f>ROUND(J1839+(J1839*Assumptions!H$13),-2)</f>
        <v>-83800</v>
      </c>
      <c r="L1839" s="288">
        <f>ROUND(K1839+(K1839*Assumptions!I$13),-2)</f>
        <v>-85900</v>
      </c>
      <c r="M1839" s="288">
        <f>ROUND(L1839+(L1839*Assumptions!J$13),-2)</f>
        <v>-88000</v>
      </c>
      <c r="N1839" s="288">
        <f>ROUND(M1839+(M1839*Assumptions!K$13),-2)</f>
        <v>-90200</v>
      </c>
    </row>
    <row r="1840" spans="1:14" x14ac:dyDescent="0.25">
      <c r="B1840" s="16" t="s">
        <v>3228</v>
      </c>
      <c r="C1840" s="16" t="s">
        <v>2880</v>
      </c>
      <c r="D1840" s="16" t="s">
        <v>2881</v>
      </c>
      <c r="E1840" s="288">
        <v>-1000</v>
      </c>
      <c r="F1840" s="288">
        <f>ROUND(E1840+(E1840*Assumptions!C$13),-2)</f>
        <v>-1000</v>
      </c>
      <c r="G1840" s="288">
        <f>ROUND(F1840+(F1840*Assumptions!D$13),-2)</f>
        <v>-1000</v>
      </c>
      <c r="H1840" s="288">
        <f>ROUND(G1840+(G1840*Assumptions!E$13),-2)</f>
        <v>-1000</v>
      </c>
      <c r="I1840" s="288">
        <f>ROUND(H1840+(H1840*Assumptions!F$13),-2)</f>
        <v>-1000</v>
      </c>
      <c r="J1840" s="288">
        <f>ROUND(I1840+(I1840*Assumptions!G$13),-2)</f>
        <v>-1000</v>
      </c>
      <c r="K1840" s="288">
        <f>ROUND(J1840+(J1840*Assumptions!H$13),-2)</f>
        <v>-1000</v>
      </c>
      <c r="L1840" s="288">
        <f>ROUND(K1840+(K1840*Assumptions!I$13),-2)</f>
        <v>-1000</v>
      </c>
      <c r="M1840" s="288">
        <f>ROUND(L1840+(L1840*Assumptions!J$13),-2)</f>
        <v>-1000</v>
      </c>
      <c r="N1840" s="288">
        <f>ROUND(M1840+(M1840*Assumptions!K$13),-2)</f>
        <v>-1000</v>
      </c>
    </row>
    <row r="1841" spans="2:14" x14ac:dyDescent="0.25">
      <c r="B1841" s="16" t="s">
        <v>3228</v>
      </c>
      <c r="C1841" s="16" t="s">
        <v>2882</v>
      </c>
      <c r="D1841" s="27" t="s">
        <v>2824</v>
      </c>
      <c r="E1841" s="288">
        <v>-144700</v>
      </c>
      <c r="F1841" s="288">
        <f>ROUND(E1841+(E1841*Assumptions!C$13),-2)</f>
        <v>-147600</v>
      </c>
      <c r="G1841" s="288">
        <f>ROUND(F1841+(F1841*Assumptions!D$13),-2)</f>
        <v>-151300</v>
      </c>
      <c r="H1841" s="288">
        <f>ROUND(G1841+(G1841*Assumptions!E$13),-2)</f>
        <v>-155100</v>
      </c>
      <c r="I1841" s="288">
        <f>ROUND(H1841+(H1841*Assumptions!F$13),-2)</f>
        <v>-159000</v>
      </c>
      <c r="J1841" s="288">
        <f>ROUND(I1841+(I1841*Assumptions!G$13),-2)</f>
        <v>-163000</v>
      </c>
      <c r="K1841" s="288">
        <f>ROUND(J1841+(J1841*Assumptions!H$13),-2)</f>
        <v>-167100</v>
      </c>
      <c r="L1841" s="288">
        <f>ROUND(K1841+(K1841*Assumptions!I$13),-2)</f>
        <v>-171300</v>
      </c>
      <c r="M1841" s="288">
        <f>ROUND(L1841+(L1841*Assumptions!J$13),-2)</f>
        <v>-175600</v>
      </c>
      <c r="N1841" s="288">
        <f>ROUND(M1841+(M1841*Assumptions!K$13),-2)</f>
        <v>-180000</v>
      </c>
    </row>
    <row r="1842" spans="2:14" x14ac:dyDescent="0.25">
      <c r="B1842" s="16" t="s">
        <v>3228</v>
      </c>
      <c r="C1842" s="16" t="s">
        <v>2883</v>
      </c>
      <c r="D1842" s="16" t="s">
        <v>2884</v>
      </c>
      <c r="E1842" s="289"/>
      <c r="F1842" s="289"/>
      <c r="G1842" s="289"/>
      <c r="H1842" s="289"/>
      <c r="I1842" s="289"/>
      <c r="J1842" s="289"/>
      <c r="K1842" s="289"/>
      <c r="L1842" s="289"/>
      <c r="M1842" s="289"/>
      <c r="N1842" s="289"/>
    </row>
    <row r="1843" spans="2:14" x14ac:dyDescent="0.25">
      <c r="B1843" s="16" t="s">
        <v>3228</v>
      </c>
      <c r="C1843" s="16" t="s">
        <v>2885</v>
      </c>
      <c r="D1843" s="16" t="s">
        <v>2886</v>
      </c>
      <c r="E1843" s="288">
        <v>-5000</v>
      </c>
      <c r="F1843" s="288">
        <f>ROUND(E1843+(E1843*Assumptions!C$13),-2)</f>
        <v>-5100</v>
      </c>
      <c r="G1843" s="288">
        <f>ROUND(F1843+(F1843*Assumptions!D$13),-2)</f>
        <v>-5200</v>
      </c>
      <c r="H1843" s="288">
        <f>ROUND(G1843+(G1843*Assumptions!E$13),-2)</f>
        <v>-5300</v>
      </c>
      <c r="I1843" s="288">
        <f>ROUND(H1843+(H1843*Assumptions!F$13),-2)</f>
        <v>-5400</v>
      </c>
      <c r="J1843" s="288">
        <f>ROUND(I1843+(I1843*Assumptions!G$13),-2)</f>
        <v>-5500</v>
      </c>
      <c r="K1843" s="288">
        <f>ROUND(J1843+(J1843*Assumptions!H$13),-2)</f>
        <v>-5600</v>
      </c>
      <c r="L1843" s="288">
        <f>ROUND(K1843+(K1843*Assumptions!I$13),-2)</f>
        <v>-5700</v>
      </c>
      <c r="M1843" s="288">
        <f>ROUND(L1843+(L1843*Assumptions!J$13),-2)</f>
        <v>-5800</v>
      </c>
      <c r="N1843" s="288">
        <f>ROUND(M1843+(M1843*Assumptions!K$13),-2)</f>
        <v>-5900</v>
      </c>
    </row>
    <row r="1844" spans="2:14" x14ac:dyDescent="0.25">
      <c r="B1844" s="16" t="s">
        <v>3228</v>
      </c>
      <c r="C1844" s="16" t="s">
        <v>2887</v>
      </c>
      <c r="D1844" s="16" t="s">
        <v>2888</v>
      </c>
      <c r="E1844" s="289"/>
      <c r="F1844" s="289"/>
      <c r="G1844" s="289"/>
      <c r="H1844" s="289"/>
      <c r="I1844" s="289"/>
      <c r="J1844" s="289"/>
      <c r="K1844" s="289"/>
      <c r="L1844" s="289"/>
      <c r="M1844" s="289"/>
      <c r="N1844" s="289"/>
    </row>
    <row r="1845" spans="2:14" x14ac:dyDescent="0.25">
      <c r="B1845" s="16" t="s">
        <v>3228</v>
      </c>
      <c r="C1845" s="16" t="s">
        <v>2889</v>
      </c>
      <c r="D1845" s="16" t="s">
        <v>2890</v>
      </c>
      <c r="E1845" s="288">
        <v>-30000</v>
      </c>
      <c r="F1845" s="288">
        <f>ROUND(E1845+(E1845*Assumptions!C$13),-2)</f>
        <v>-30600</v>
      </c>
      <c r="G1845" s="288">
        <f>ROUND(F1845+(F1845*Assumptions!D$13),-2)</f>
        <v>-31400</v>
      </c>
      <c r="H1845" s="288">
        <f>ROUND(G1845+(G1845*Assumptions!E$13),-2)</f>
        <v>-32200</v>
      </c>
      <c r="I1845" s="288">
        <f>ROUND(H1845+(H1845*Assumptions!F$13),-2)</f>
        <v>-33000</v>
      </c>
      <c r="J1845" s="288">
        <f>ROUND(I1845+(I1845*Assumptions!G$13),-2)</f>
        <v>-33800</v>
      </c>
      <c r="K1845" s="288">
        <f>ROUND(J1845+(J1845*Assumptions!H$13),-2)</f>
        <v>-34600</v>
      </c>
      <c r="L1845" s="288">
        <f>ROUND(K1845+(K1845*Assumptions!I$13),-2)</f>
        <v>-35500</v>
      </c>
      <c r="M1845" s="288">
        <f>ROUND(L1845+(L1845*Assumptions!J$13),-2)</f>
        <v>-36400</v>
      </c>
      <c r="N1845" s="288">
        <f>ROUND(M1845+(M1845*Assumptions!K$13),-2)</f>
        <v>-37300</v>
      </c>
    </row>
    <row r="1846" spans="2:14" x14ac:dyDescent="0.25">
      <c r="B1846" s="16" t="s">
        <v>3228</v>
      </c>
      <c r="C1846" s="16" t="s">
        <v>2891</v>
      </c>
      <c r="D1846" s="16" t="s">
        <v>2892</v>
      </c>
      <c r="E1846" s="289"/>
      <c r="F1846" s="289"/>
      <c r="G1846" s="289"/>
      <c r="H1846" s="289"/>
      <c r="I1846" s="289"/>
      <c r="J1846" s="289"/>
      <c r="K1846" s="289"/>
      <c r="L1846" s="289"/>
      <c r="M1846" s="289"/>
      <c r="N1846" s="289"/>
    </row>
    <row r="1847" spans="2:14" x14ac:dyDescent="0.25">
      <c r="B1847" s="16" t="s">
        <v>3228</v>
      </c>
      <c r="C1847" s="16" t="s">
        <v>2893</v>
      </c>
      <c r="D1847" s="16" t="s">
        <v>2894</v>
      </c>
      <c r="E1847" s="288">
        <v>-11500</v>
      </c>
      <c r="F1847" s="288">
        <f>ROUND(E1847+(E1847*Assumptions!C$13),-2)</f>
        <v>-11700</v>
      </c>
      <c r="G1847" s="288">
        <f>ROUND(F1847+(F1847*Assumptions!D$13),-2)</f>
        <v>-12000</v>
      </c>
      <c r="H1847" s="288">
        <f>ROUND(G1847+(G1847*Assumptions!E$13),-2)</f>
        <v>-12300</v>
      </c>
      <c r="I1847" s="288">
        <f>ROUND(H1847+(H1847*Assumptions!F$13),-2)</f>
        <v>-12600</v>
      </c>
      <c r="J1847" s="288">
        <f>ROUND(I1847+(I1847*Assumptions!G$13),-2)</f>
        <v>-12900</v>
      </c>
      <c r="K1847" s="288">
        <f>ROUND(J1847+(J1847*Assumptions!H$13),-2)</f>
        <v>-13200</v>
      </c>
      <c r="L1847" s="288">
        <f>ROUND(K1847+(K1847*Assumptions!I$13),-2)</f>
        <v>-13500</v>
      </c>
      <c r="M1847" s="288">
        <f>ROUND(L1847+(L1847*Assumptions!J$13),-2)</f>
        <v>-13800</v>
      </c>
      <c r="N1847" s="288">
        <f>ROUND(M1847+(M1847*Assumptions!K$13),-2)</f>
        <v>-14100</v>
      </c>
    </row>
    <row r="1848" spans="2:14" x14ac:dyDescent="0.25">
      <c r="B1848" s="16" t="s">
        <v>3228</v>
      </c>
      <c r="C1848" s="16" t="s">
        <v>2895</v>
      </c>
      <c r="D1848" s="16" t="s">
        <v>2896</v>
      </c>
      <c r="E1848" s="288">
        <v>-3600</v>
      </c>
      <c r="F1848" s="288">
        <f>ROUND(E1848+(E1848*Assumptions!C$13),-2)</f>
        <v>-3700</v>
      </c>
      <c r="G1848" s="288">
        <f>ROUND(F1848+(F1848*Assumptions!D$13),-2)</f>
        <v>-3800</v>
      </c>
      <c r="H1848" s="288">
        <f>ROUND(G1848+(G1848*Assumptions!E$13),-2)</f>
        <v>-3900</v>
      </c>
      <c r="I1848" s="288">
        <f>ROUND(H1848+(H1848*Assumptions!F$13),-2)</f>
        <v>-4000</v>
      </c>
      <c r="J1848" s="288">
        <f>ROUND(I1848+(I1848*Assumptions!G$13),-2)</f>
        <v>-4100</v>
      </c>
      <c r="K1848" s="288">
        <f>ROUND(J1848+(J1848*Assumptions!H$13),-2)</f>
        <v>-4200</v>
      </c>
      <c r="L1848" s="288">
        <f>ROUND(K1848+(K1848*Assumptions!I$13),-2)</f>
        <v>-4300</v>
      </c>
      <c r="M1848" s="288">
        <f>ROUND(L1848+(L1848*Assumptions!J$13),-2)</f>
        <v>-4400</v>
      </c>
      <c r="N1848" s="288">
        <f>ROUND(M1848+(M1848*Assumptions!K$13),-2)</f>
        <v>-4500</v>
      </c>
    </row>
    <row r="1849" spans="2:14" x14ac:dyDescent="0.25">
      <c r="B1849" s="16" t="s">
        <v>3228</v>
      </c>
      <c r="C1849" s="16" t="s">
        <v>2897</v>
      </c>
      <c r="D1849" s="16" t="s">
        <v>2898</v>
      </c>
      <c r="E1849" s="289"/>
      <c r="F1849" s="289"/>
      <c r="G1849" s="289"/>
      <c r="H1849" s="289"/>
      <c r="I1849" s="289"/>
      <c r="J1849" s="289"/>
      <c r="K1849" s="289"/>
      <c r="L1849" s="289"/>
      <c r="M1849" s="289"/>
      <c r="N1849" s="289"/>
    </row>
    <row r="1850" spans="2:14" x14ac:dyDescent="0.25">
      <c r="B1850" s="16" t="s">
        <v>3228</v>
      </c>
      <c r="C1850" s="16" t="s">
        <v>2899</v>
      </c>
      <c r="D1850" s="16" t="s">
        <v>2900</v>
      </c>
      <c r="E1850" s="288">
        <v>-12300</v>
      </c>
      <c r="F1850" s="288">
        <f>ROUND(E1850+(E1850*Assumptions!C$13),-2)</f>
        <v>-12500</v>
      </c>
      <c r="G1850" s="288">
        <f>ROUND(F1850+(F1850*Assumptions!D$13),-2)</f>
        <v>-12800</v>
      </c>
      <c r="H1850" s="288">
        <f>ROUND(G1850+(G1850*Assumptions!E$13),-2)</f>
        <v>-13100</v>
      </c>
      <c r="I1850" s="288">
        <f>ROUND(H1850+(H1850*Assumptions!F$13),-2)</f>
        <v>-13400</v>
      </c>
      <c r="J1850" s="288">
        <f>ROUND(I1850+(I1850*Assumptions!G$13),-2)</f>
        <v>-13700</v>
      </c>
      <c r="K1850" s="288">
        <f>ROUND(J1850+(J1850*Assumptions!H$13),-2)</f>
        <v>-14000</v>
      </c>
      <c r="L1850" s="288">
        <f>ROUND(K1850+(K1850*Assumptions!I$13),-2)</f>
        <v>-14400</v>
      </c>
      <c r="M1850" s="288">
        <f>ROUND(L1850+(L1850*Assumptions!J$13),-2)</f>
        <v>-14800</v>
      </c>
      <c r="N1850" s="288">
        <f>ROUND(M1850+(M1850*Assumptions!K$13),-2)</f>
        <v>-15200</v>
      </c>
    </row>
    <row r="1851" spans="2:14" x14ac:dyDescent="0.25">
      <c r="B1851" s="16" t="s">
        <v>3228</v>
      </c>
      <c r="C1851" s="16" t="s">
        <v>2901</v>
      </c>
      <c r="D1851" s="16" t="s">
        <v>2902</v>
      </c>
      <c r="E1851" s="288">
        <v>-1100</v>
      </c>
      <c r="F1851" s="288">
        <f>ROUND(E1851+(E1851*Assumptions!C$13),-2)</f>
        <v>-1100</v>
      </c>
      <c r="G1851" s="288">
        <f>ROUND(F1851+(F1851*Assumptions!D$13),-2)</f>
        <v>-1100</v>
      </c>
      <c r="H1851" s="288">
        <f>ROUND(G1851+(G1851*Assumptions!E$13),-2)</f>
        <v>-1100</v>
      </c>
      <c r="I1851" s="288">
        <f>ROUND(H1851+(H1851*Assumptions!F$13),-2)</f>
        <v>-1100</v>
      </c>
      <c r="J1851" s="288">
        <f>ROUND(I1851+(I1851*Assumptions!G$13),-2)</f>
        <v>-1100</v>
      </c>
      <c r="K1851" s="288">
        <f>ROUND(J1851+(J1851*Assumptions!H$13),-2)</f>
        <v>-1100</v>
      </c>
      <c r="L1851" s="288">
        <f>ROUND(K1851+(K1851*Assumptions!I$13),-2)</f>
        <v>-1100</v>
      </c>
      <c r="M1851" s="288">
        <f>ROUND(L1851+(L1851*Assumptions!J$13),-2)</f>
        <v>-1100</v>
      </c>
      <c r="N1851" s="288">
        <f>ROUND(M1851+(M1851*Assumptions!K$13),-2)</f>
        <v>-1100</v>
      </c>
    </row>
    <row r="1852" spans="2:14" x14ac:dyDescent="0.25">
      <c r="B1852" s="16" t="s">
        <v>3228</v>
      </c>
      <c r="C1852" s="16" t="s">
        <v>2903</v>
      </c>
      <c r="D1852" s="16" t="s">
        <v>2628</v>
      </c>
      <c r="E1852" s="289"/>
      <c r="F1852" s="289"/>
      <c r="G1852" s="289"/>
      <c r="H1852" s="289"/>
      <c r="I1852" s="289"/>
      <c r="J1852" s="289"/>
      <c r="K1852" s="289"/>
      <c r="L1852" s="289"/>
      <c r="M1852" s="289"/>
      <c r="N1852" s="289"/>
    </row>
    <row r="1853" spans="2:14" x14ac:dyDescent="0.25">
      <c r="B1853" s="16" t="s">
        <v>3228</v>
      </c>
      <c r="C1853" s="16" t="s">
        <v>2904</v>
      </c>
      <c r="D1853" s="16" t="s">
        <v>2905</v>
      </c>
      <c r="E1853" s="288">
        <v>-2800</v>
      </c>
      <c r="F1853" s="288">
        <f>ROUND(E1853+(E1853*Assumptions!C$13),-2)</f>
        <v>-2900</v>
      </c>
      <c r="G1853" s="288">
        <f>ROUND(F1853+(F1853*Assumptions!D$13),-2)</f>
        <v>-3000</v>
      </c>
      <c r="H1853" s="288">
        <f>ROUND(G1853+(G1853*Assumptions!E$13),-2)</f>
        <v>-3100</v>
      </c>
      <c r="I1853" s="288">
        <f>ROUND(H1853+(H1853*Assumptions!F$13),-2)</f>
        <v>-3200</v>
      </c>
      <c r="J1853" s="288">
        <f>ROUND(I1853+(I1853*Assumptions!G$13),-2)</f>
        <v>-3300</v>
      </c>
      <c r="K1853" s="288">
        <f>ROUND(J1853+(J1853*Assumptions!H$13),-2)</f>
        <v>-3400</v>
      </c>
      <c r="L1853" s="288">
        <f>ROUND(K1853+(K1853*Assumptions!I$13),-2)</f>
        <v>-3500</v>
      </c>
      <c r="M1853" s="288">
        <f>ROUND(L1853+(L1853*Assumptions!J$13),-2)</f>
        <v>-3600</v>
      </c>
      <c r="N1853" s="288">
        <f>ROUND(M1853+(M1853*Assumptions!K$13),-2)</f>
        <v>-3700</v>
      </c>
    </row>
    <row r="1854" spans="2:14" x14ac:dyDescent="0.25">
      <c r="B1854" s="16" t="s">
        <v>3228</v>
      </c>
      <c r="C1854" s="16" t="s">
        <v>2906</v>
      </c>
      <c r="D1854" s="16" t="s">
        <v>2907</v>
      </c>
      <c r="E1854" s="288">
        <v>-2200</v>
      </c>
      <c r="F1854" s="288">
        <f>ROUND(E1854+(E1854*Assumptions!C$13),-2)</f>
        <v>-2200</v>
      </c>
      <c r="G1854" s="288">
        <f>ROUND(F1854+(F1854*Assumptions!D$13),-2)</f>
        <v>-2300</v>
      </c>
      <c r="H1854" s="288">
        <f>ROUND(G1854+(G1854*Assumptions!E$13),-2)</f>
        <v>-2400</v>
      </c>
      <c r="I1854" s="288">
        <f>ROUND(H1854+(H1854*Assumptions!F$13),-2)</f>
        <v>-2500</v>
      </c>
      <c r="J1854" s="288">
        <f>ROUND(I1854+(I1854*Assumptions!G$13),-2)</f>
        <v>-2600</v>
      </c>
      <c r="K1854" s="288">
        <f>ROUND(J1854+(J1854*Assumptions!H$13),-2)</f>
        <v>-2700</v>
      </c>
      <c r="L1854" s="288">
        <f>ROUND(K1854+(K1854*Assumptions!I$13),-2)</f>
        <v>-2800</v>
      </c>
      <c r="M1854" s="288">
        <f>ROUND(L1854+(L1854*Assumptions!J$13),-2)</f>
        <v>-2900</v>
      </c>
      <c r="N1854" s="288">
        <f>ROUND(M1854+(M1854*Assumptions!K$13),-2)</f>
        <v>-3000</v>
      </c>
    </row>
    <row r="1855" spans="2:14" x14ac:dyDescent="0.25">
      <c r="B1855" s="16" t="s">
        <v>3228</v>
      </c>
      <c r="C1855" s="16" t="s">
        <v>2908</v>
      </c>
      <c r="D1855" s="16" t="s">
        <v>2909</v>
      </c>
      <c r="E1855" s="288">
        <v>-4500</v>
      </c>
      <c r="F1855" s="288">
        <f>ROUND(E1855+(E1855*Assumptions!C$13),-2)</f>
        <v>-4600</v>
      </c>
      <c r="G1855" s="288">
        <f>ROUND(F1855+(F1855*Assumptions!D$13),-2)</f>
        <v>-4700</v>
      </c>
      <c r="H1855" s="288">
        <f>ROUND(G1855+(G1855*Assumptions!E$13),-2)</f>
        <v>-4800</v>
      </c>
      <c r="I1855" s="288">
        <f>ROUND(H1855+(H1855*Assumptions!F$13),-2)</f>
        <v>-4900</v>
      </c>
      <c r="J1855" s="288">
        <f>ROUND(I1855+(I1855*Assumptions!G$13),-2)</f>
        <v>-5000</v>
      </c>
      <c r="K1855" s="288">
        <f>ROUND(J1855+(J1855*Assumptions!H$13),-2)</f>
        <v>-5100</v>
      </c>
      <c r="L1855" s="288">
        <f>ROUND(K1855+(K1855*Assumptions!I$13),-2)</f>
        <v>-5200</v>
      </c>
      <c r="M1855" s="288">
        <f>ROUND(L1855+(L1855*Assumptions!J$13),-2)</f>
        <v>-5300</v>
      </c>
      <c r="N1855" s="288">
        <f>ROUND(M1855+(M1855*Assumptions!K$13),-2)</f>
        <v>-5400</v>
      </c>
    </row>
    <row r="1856" spans="2:14" x14ac:dyDescent="0.25">
      <c r="B1856" s="16" t="s">
        <v>3228</v>
      </c>
      <c r="C1856" s="16" t="s">
        <v>2910</v>
      </c>
      <c r="D1856" s="16" t="s">
        <v>2911</v>
      </c>
      <c r="E1856" s="288">
        <v>-4500</v>
      </c>
      <c r="F1856" s="288">
        <f>ROUND(E1856+(E1856*Assumptions!C$13),-2)</f>
        <v>-4600</v>
      </c>
      <c r="G1856" s="288">
        <f>ROUND(F1856+(F1856*Assumptions!D$13),-2)</f>
        <v>-4700</v>
      </c>
      <c r="H1856" s="288">
        <f>ROUND(G1856+(G1856*Assumptions!E$13),-2)</f>
        <v>-4800</v>
      </c>
      <c r="I1856" s="288">
        <f>ROUND(H1856+(H1856*Assumptions!F$13),-2)</f>
        <v>-4900</v>
      </c>
      <c r="J1856" s="288">
        <f>ROUND(I1856+(I1856*Assumptions!G$13),-2)</f>
        <v>-5000</v>
      </c>
      <c r="K1856" s="288">
        <f>ROUND(J1856+(J1856*Assumptions!H$13),-2)</f>
        <v>-5100</v>
      </c>
      <c r="L1856" s="288">
        <f>ROUND(K1856+(K1856*Assumptions!I$13),-2)</f>
        <v>-5200</v>
      </c>
      <c r="M1856" s="288">
        <f>ROUND(L1856+(L1856*Assumptions!J$13),-2)</f>
        <v>-5300</v>
      </c>
      <c r="N1856" s="288">
        <f>ROUND(M1856+(M1856*Assumptions!K$13),-2)</f>
        <v>-5400</v>
      </c>
    </row>
    <row r="1857" spans="1:14" x14ac:dyDescent="0.25">
      <c r="B1857" s="16" t="s">
        <v>3228</v>
      </c>
      <c r="C1857" s="16" t="s">
        <v>2912</v>
      </c>
      <c r="D1857" s="16" t="s">
        <v>2913</v>
      </c>
      <c r="E1857" s="288">
        <v>-3300</v>
      </c>
      <c r="F1857" s="288">
        <f>ROUND(E1857+(E1857*Assumptions!C$13),-2)</f>
        <v>-3400</v>
      </c>
      <c r="G1857" s="288">
        <f>ROUND(F1857+(F1857*Assumptions!D$13),-2)</f>
        <v>-3500</v>
      </c>
      <c r="H1857" s="288">
        <f>ROUND(G1857+(G1857*Assumptions!E$13),-2)</f>
        <v>-3600</v>
      </c>
      <c r="I1857" s="288">
        <f>ROUND(H1857+(H1857*Assumptions!F$13),-2)</f>
        <v>-3700</v>
      </c>
      <c r="J1857" s="288">
        <f>ROUND(I1857+(I1857*Assumptions!G$13),-2)</f>
        <v>-3800</v>
      </c>
      <c r="K1857" s="288">
        <f>ROUND(J1857+(J1857*Assumptions!H$13),-2)</f>
        <v>-3900</v>
      </c>
      <c r="L1857" s="288">
        <f>ROUND(K1857+(K1857*Assumptions!I$13),-2)</f>
        <v>-4000</v>
      </c>
      <c r="M1857" s="288">
        <f>ROUND(L1857+(L1857*Assumptions!J$13),-2)</f>
        <v>-4100</v>
      </c>
      <c r="N1857" s="288">
        <f>ROUND(M1857+(M1857*Assumptions!K$13),-2)</f>
        <v>-4200</v>
      </c>
    </row>
    <row r="1858" spans="1:14" x14ac:dyDescent="0.25">
      <c r="B1858" s="16" t="s">
        <v>3228</v>
      </c>
      <c r="C1858" s="16" t="s">
        <v>2914</v>
      </c>
      <c r="D1858" s="16" t="s">
        <v>2915</v>
      </c>
      <c r="E1858" s="288">
        <v>-2200</v>
      </c>
      <c r="F1858" s="288">
        <f>ROUND(E1858+(E1858*Assumptions!C$13),-2)</f>
        <v>-2200</v>
      </c>
      <c r="G1858" s="288">
        <f>ROUND(F1858+(F1858*Assumptions!D$13),-2)</f>
        <v>-2300</v>
      </c>
      <c r="H1858" s="288">
        <f>ROUND(G1858+(G1858*Assumptions!E$13),-2)</f>
        <v>-2400</v>
      </c>
      <c r="I1858" s="288">
        <f>ROUND(H1858+(H1858*Assumptions!F$13),-2)</f>
        <v>-2500</v>
      </c>
      <c r="J1858" s="288">
        <f>ROUND(I1858+(I1858*Assumptions!G$13),-2)</f>
        <v>-2600</v>
      </c>
      <c r="K1858" s="288">
        <f>ROUND(J1858+(J1858*Assumptions!H$13),-2)</f>
        <v>-2700</v>
      </c>
      <c r="L1858" s="288">
        <f>ROUND(K1858+(K1858*Assumptions!I$13),-2)</f>
        <v>-2800</v>
      </c>
      <c r="M1858" s="288">
        <f>ROUND(L1858+(L1858*Assumptions!J$13),-2)</f>
        <v>-2900</v>
      </c>
      <c r="N1858" s="288">
        <f>ROUND(M1858+(M1858*Assumptions!K$13),-2)</f>
        <v>-3000</v>
      </c>
    </row>
    <row r="1859" spans="1:14" x14ac:dyDescent="0.25">
      <c r="B1859" s="16" t="s">
        <v>3228</v>
      </c>
      <c r="C1859" s="16" t="s">
        <v>2916</v>
      </c>
      <c r="D1859" s="16" t="s">
        <v>2917</v>
      </c>
      <c r="E1859" s="288">
        <v>-8400</v>
      </c>
      <c r="F1859" s="288">
        <f>ROUND(E1859+(E1859*Assumptions!C$13),-2)</f>
        <v>-8600</v>
      </c>
      <c r="G1859" s="288">
        <f>ROUND(F1859+(F1859*Assumptions!D$13),-2)</f>
        <v>-8800</v>
      </c>
      <c r="H1859" s="288">
        <f>ROUND(G1859+(G1859*Assumptions!E$13),-2)</f>
        <v>-9000</v>
      </c>
      <c r="I1859" s="288">
        <f>ROUND(H1859+(H1859*Assumptions!F$13),-2)</f>
        <v>-9200</v>
      </c>
      <c r="J1859" s="288">
        <f>ROUND(I1859+(I1859*Assumptions!G$13),-2)</f>
        <v>-9400</v>
      </c>
      <c r="K1859" s="288">
        <f>ROUND(J1859+(J1859*Assumptions!H$13),-2)</f>
        <v>-9600</v>
      </c>
      <c r="L1859" s="288">
        <f>ROUND(K1859+(K1859*Assumptions!I$13),-2)</f>
        <v>-9800</v>
      </c>
      <c r="M1859" s="288">
        <f>ROUND(L1859+(L1859*Assumptions!J$13),-2)</f>
        <v>-10000</v>
      </c>
      <c r="N1859" s="288">
        <f>ROUND(M1859+(M1859*Assumptions!K$13),-2)</f>
        <v>-10300</v>
      </c>
    </row>
    <row r="1860" spans="1:14" x14ac:dyDescent="0.25">
      <c r="B1860" s="16" t="s">
        <v>3228</v>
      </c>
      <c r="C1860" s="16" t="s">
        <v>2918</v>
      </c>
      <c r="D1860" s="16" t="s">
        <v>2919</v>
      </c>
      <c r="E1860" s="288">
        <v>-1100</v>
      </c>
      <c r="F1860" s="288">
        <f>ROUND(E1860+(E1860*Assumptions!C$13),-2)</f>
        <v>-1100</v>
      </c>
      <c r="G1860" s="288">
        <f>ROUND(F1860+(F1860*Assumptions!D$13),-2)</f>
        <v>-1100</v>
      </c>
      <c r="H1860" s="288">
        <f>ROUND(G1860+(G1860*Assumptions!E$13),-2)</f>
        <v>-1100</v>
      </c>
      <c r="I1860" s="288">
        <f>ROUND(H1860+(H1860*Assumptions!F$13),-2)</f>
        <v>-1100</v>
      </c>
      <c r="J1860" s="288">
        <f>ROUND(I1860+(I1860*Assumptions!G$13),-2)</f>
        <v>-1100</v>
      </c>
      <c r="K1860" s="288">
        <f>ROUND(J1860+(J1860*Assumptions!H$13),-2)</f>
        <v>-1100</v>
      </c>
      <c r="L1860" s="288">
        <f>ROUND(K1860+(K1860*Assumptions!I$13),-2)</f>
        <v>-1100</v>
      </c>
      <c r="M1860" s="288">
        <f>ROUND(L1860+(L1860*Assumptions!J$13),-2)</f>
        <v>-1100</v>
      </c>
      <c r="N1860" s="288">
        <f>ROUND(M1860+(M1860*Assumptions!K$13),-2)</f>
        <v>-1100</v>
      </c>
    </row>
    <row r="1861" spans="1:14" x14ac:dyDescent="0.25">
      <c r="B1861" s="16" t="s">
        <v>3228</v>
      </c>
      <c r="C1861" s="16" t="s">
        <v>2920</v>
      </c>
      <c r="D1861" s="16" t="s">
        <v>2921</v>
      </c>
      <c r="E1861" s="288">
        <v>-7100</v>
      </c>
      <c r="F1861" s="288">
        <f>ROUND(E1861+(E1861*Assumptions!C$13),-2)</f>
        <v>-7200</v>
      </c>
      <c r="G1861" s="288">
        <f>ROUND(F1861+(F1861*Assumptions!D$13),-2)</f>
        <v>-7400</v>
      </c>
      <c r="H1861" s="288">
        <f>ROUND(G1861+(G1861*Assumptions!E$13),-2)</f>
        <v>-7600</v>
      </c>
      <c r="I1861" s="288">
        <f>ROUND(H1861+(H1861*Assumptions!F$13),-2)</f>
        <v>-7800</v>
      </c>
      <c r="J1861" s="288">
        <f>ROUND(I1861+(I1861*Assumptions!G$13),-2)</f>
        <v>-8000</v>
      </c>
      <c r="K1861" s="288">
        <f>ROUND(J1861+(J1861*Assumptions!H$13),-2)</f>
        <v>-8200</v>
      </c>
      <c r="L1861" s="288">
        <f>ROUND(K1861+(K1861*Assumptions!I$13),-2)</f>
        <v>-8400</v>
      </c>
      <c r="M1861" s="288">
        <f>ROUND(L1861+(L1861*Assumptions!J$13),-2)</f>
        <v>-8600</v>
      </c>
      <c r="N1861" s="288">
        <f>ROUND(M1861+(M1861*Assumptions!K$13),-2)</f>
        <v>-8800</v>
      </c>
    </row>
    <row r="1862" spans="1:14" x14ac:dyDescent="0.25">
      <c r="B1862" s="16" t="s">
        <v>3228</v>
      </c>
      <c r="C1862" s="16" t="s">
        <v>2922</v>
      </c>
      <c r="D1862" s="16" t="s">
        <v>2923</v>
      </c>
      <c r="E1862" s="288">
        <v>-20200</v>
      </c>
      <c r="F1862" s="288">
        <f>ROUND(E1862+(E1862*Assumptions!C$13),-2)</f>
        <v>-20600</v>
      </c>
      <c r="G1862" s="288">
        <f>ROUND(F1862+(F1862*Assumptions!D$13),-2)</f>
        <v>-21100</v>
      </c>
      <c r="H1862" s="288">
        <f>ROUND(G1862+(G1862*Assumptions!E$13),-2)</f>
        <v>-21600</v>
      </c>
      <c r="I1862" s="288">
        <f>ROUND(H1862+(H1862*Assumptions!F$13),-2)</f>
        <v>-22100</v>
      </c>
      <c r="J1862" s="288">
        <f>ROUND(I1862+(I1862*Assumptions!G$13),-2)</f>
        <v>-22700</v>
      </c>
      <c r="K1862" s="288">
        <f>ROUND(J1862+(J1862*Assumptions!H$13),-2)</f>
        <v>-23300</v>
      </c>
      <c r="L1862" s="288">
        <f>ROUND(K1862+(K1862*Assumptions!I$13),-2)</f>
        <v>-23900</v>
      </c>
      <c r="M1862" s="288">
        <f>ROUND(L1862+(L1862*Assumptions!J$13),-2)</f>
        <v>-24500</v>
      </c>
      <c r="N1862" s="288">
        <f>ROUND(M1862+(M1862*Assumptions!K$13),-2)</f>
        <v>-25100</v>
      </c>
    </row>
    <row r="1863" spans="1:14" x14ac:dyDescent="0.25">
      <c r="B1863" s="16" t="s">
        <v>3228</v>
      </c>
      <c r="C1863" s="16" t="s">
        <v>2924</v>
      </c>
      <c r="D1863" s="16" t="s">
        <v>2925</v>
      </c>
      <c r="E1863" s="288">
        <v>-1000</v>
      </c>
      <c r="F1863" s="288">
        <f>ROUND(E1863+(E1863*Assumptions!C$13),-2)</f>
        <v>-1000</v>
      </c>
      <c r="G1863" s="288">
        <f>ROUND(F1863+(F1863*Assumptions!D$13),-2)</f>
        <v>-1000</v>
      </c>
      <c r="H1863" s="288">
        <f>ROUND(G1863+(G1863*Assumptions!E$13),-2)</f>
        <v>-1000</v>
      </c>
      <c r="I1863" s="288">
        <f>ROUND(H1863+(H1863*Assumptions!F$13),-2)</f>
        <v>-1000</v>
      </c>
      <c r="J1863" s="288">
        <f>ROUND(I1863+(I1863*Assumptions!G$13),-2)</f>
        <v>-1000</v>
      </c>
      <c r="K1863" s="288">
        <f>ROUND(J1863+(J1863*Assumptions!H$13),-2)</f>
        <v>-1000</v>
      </c>
      <c r="L1863" s="288">
        <f>ROUND(K1863+(K1863*Assumptions!I$13),-2)</f>
        <v>-1000</v>
      </c>
      <c r="M1863" s="288">
        <f>ROUND(L1863+(L1863*Assumptions!J$13),-2)</f>
        <v>-1000</v>
      </c>
      <c r="N1863" s="288">
        <f>ROUND(M1863+(M1863*Assumptions!K$13),-2)</f>
        <v>-1000</v>
      </c>
    </row>
    <row r="1864" spans="1:14" x14ac:dyDescent="0.25">
      <c r="B1864" s="16" t="s">
        <v>66</v>
      </c>
      <c r="C1864" s="16" t="s">
        <v>2926</v>
      </c>
      <c r="D1864" s="16" t="s">
        <v>2927</v>
      </c>
      <c r="E1864" s="289"/>
      <c r="F1864" s="289"/>
      <c r="G1864" s="289"/>
      <c r="H1864" s="289"/>
      <c r="I1864" s="289"/>
      <c r="J1864" s="289"/>
      <c r="K1864" s="289"/>
      <c r="L1864" s="289"/>
      <c r="M1864" s="289"/>
      <c r="N1864" s="289"/>
    </row>
    <row r="1865" spans="1:14" x14ac:dyDescent="0.25">
      <c r="B1865" s="16" t="s">
        <v>66</v>
      </c>
      <c r="C1865" s="16" t="s">
        <v>2928</v>
      </c>
      <c r="D1865" s="27" t="s">
        <v>2929</v>
      </c>
      <c r="E1865" s="288">
        <v>-1300000</v>
      </c>
      <c r="F1865" s="288">
        <v>-1320300</v>
      </c>
      <c r="G1865" s="288">
        <v>-1300000</v>
      </c>
      <c r="H1865" s="288">
        <f t="shared" ref="H1865:N1865" si="62">G1865</f>
        <v>-1300000</v>
      </c>
      <c r="I1865" s="288">
        <f t="shared" si="62"/>
        <v>-1300000</v>
      </c>
      <c r="J1865" s="288">
        <f t="shared" si="62"/>
        <v>-1300000</v>
      </c>
      <c r="K1865" s="288">
        <f t="shared" si="62"/>
        <v>-1300000</v>
      </c>
      <c r="L1865" s="288">
        <f t="shared" si="62"/>
        <v>-1300000</v>
      </c>
      <c r="M1865" s="288">
        <f t="shared" si="62"/>
        <v>-1300000</v>
      </c>
      <c r="N1865" s="288">
        <f t="shared" si="62"/>
        <v>-1300000</v>
      </c>
    </row>
    <row r="1866" spans="1:14" x14ac:dyDescent="0.25">
      <c r="B1866" s="16" t="s">
        <v>66</v>
      </c>
      <c r="C1866" s="16" t="s">
        <v>2930</v>
      </c>
      <c r="D1866" s="16" t="s">
        <v>2931</v>
      </c>
      <c r="E1866" s="288">
        <v>-12800</v>
      </c>
      <c r="F1866" s="288">
        <v>0</v>
      </c>
      <c r="G1866" s="288">
        <v>0</v>
      </c>
      <c r="H1866" s="288">
        <v>0</v>
      </c>
      <c r="I1866" s="288">
        <v>0</v>
      </c>
      <c r="J1866" s="288">
        <v>0</v>
      </c>
      <c r="K1866" s="288">
        <f>ROUND(J1866+(J1866*Assumptions!H$13),-2)</f>
        <v>0</v>
      </c>
      <c r="L1866" s="288">
        <f>ROUND(K1866+(K1866*Assumptions!I$13),-2)</f>
        <v>0</v>
      </c>
      <c r="M1866" s="288">
        <f>ROUND(L1866+(L1866*Assumptions!J$13),-2)</f>
        <v>0</v>
      </c>
      <c r="N1866" s="288">
        <f>ROUND(M1866+(M1866*Assumptions!K$13),-2)</f>
        <v>0</v>
      </c>
    </row>
    <row r="1867" spans="1:14" x14ac:dyDescent="0.25">
      <c r="E1867" s="288"/>
      <c r="F1867" s="288"/>
      <c r="G1867" s="288"/>
      <c r="H1867" s="288"/>
      <c r="I1867" s="288"/>
      <c r="J1867" s="288"/>
      <c r="K1867" s="288"/>
      <c r="L1867" s="288"/>
      <c r="M1867" s="288"/>
      <c r="N1867" s="288"/>
    </row>
    <row r="1868" spans="1:14" x14ac:dyDescent="0.25">
      <c r="D1868" s="19" t="s">
        <v>3234</v>
      </c>
      <c r="E1868" s="291">
        <f>SUM(E1832:E1867)</f>
        <v>-1792400</v>
      </c>
      <c r="F1868" s="291">
        <f t="shared" ref="F1868:N1868" si="63">SUM(F1832:F1867)</f>
        <v>-1809400</v>
      </c>
      <c r="G1868" s="291">
        <f t="shared" si="63"/>
        <v>-1801400</v>
      </c>
      <c r="H1868" s="291">
        <f t="shared" si="63"/>
        <v>-1813900</v>
      </c>
      <c r="I1868" s="291">
        <f t="shared" si="63"/>
        <v>-1826600</v>
      </c>
      <c r="J1868" s="291">
        <f t="shared" si="63"/>
        <v>-1839600</v>
      </c>
      <c r="K1868" s="291">
        <f t="shared" si="63"/>
        <v>-1852900</v>
      </c>
      <c r="L1868" s="291">
        <f t="shared" si="63"/>
        <v>-1866600</v>
      </c>
      <c r="M1868" s="291">
        <f t="shared" si="63"/>
        <v>-1880500</v>
      </c>
      <c r="N1868" s="291">
        <f t="shared" si="63"/>
        <v>-1894800</v>
      </c>
    </row>
    <row r="1869" spans="1:14" ht="12.75" customHeight="1" x14ac:dyDescent="0.25">
      <c r="E1869" s="288"/>
      <c r="F1869" s="288"/>
      <c r="G1869" s="288"/>
      <c r="H1869" s="288"/>
      <c r="I1869" s="288"/>
      <c r="J1869" s="288"/>
      <c r="K1869" s="288"/>
      <c r="L1869" s="288"/>
      <c r="M1869" s="288"/>
      <c r="N1869" s="288"/>
    </row>
    <row r="1870" spans="1:14" ht="12.75" customHeight="1" x14ac:dyDescent="0.25">
      <c r="A1870" s="27"/>
      <c r="B1870" s="27"/>
      <c r="C1870" s="27"/>
      <c r="D1870" s="27"/>
      <c r="E1870" s="290"/>
      <c r="F1870" s="290"/>
      <c r="G1870" s="290"/>
      <c r="H1870" s="290"/>
      <c r="I1870" s="290"/>
      <c r="J1870" s="290"/>
      <c r="K1870" s="290"/>
      <c r="L1870" s="290"/>
      <c r="M1870" s="290"/>
      <c r="N1870" s="290"/>
    </row>
    <row r="1871" spans="1:14" ht="12.75" customHeight="1" x14ac:dyDescent="0.25">
      <c r="C1871" s="19" t="s">
        <v>3224</v>
      </c>
      <c r="E1871" s="288"/>
      <c r="F1871" s="288"/>
      <c r="G1871" s="288"/>
      <c r="H1871" s="288"/>
      <c r="I1871" s="288"/>
      <c r="J1871" s="288"/>
      <c r="K1871" s="288"/>
      <c r="L1871" s="288"/>
      <c r="M1871" s="288"/>
      <c r="N1871" s="288"/>
    </row>
    <row r="1872" spans="1:14" x14ac:dyDescent="0.25">
      <c r="C1872" s="19" t="s">
        <v>2932</v>
      </c>
      <c r="E1872" s="288"/>
      <c r="F1872" s="288"/>
      <c r="G1872" s="288"/>
      <c r="H1872" s="288"/>
      <c r="I1872" s="288"/>
      <c r="J1872" s="288"/>
      <c r="K1872" s="288"/>
      <c r="L1872" s="288"/>
      <c r="M1872" s="288"/>
      <c r="N1872" s="288"/>
    </row>
    <row r="1873" spans="2:14" ht="12.75" customHeight="1" x14ac:dyDescent="0.25">
      <c r="E1873" s="288"/>
      <c r="F1873" s="288"/>
      <c r="G1873" s="288"/>
      <c r="H1873" s="288"/>
      <c r="I1873" s="288"/>
      <c r="J1873" s="288"/>
      <c r="K1873" s="288"/>
      <c r="L1873" s="288"/>
      <c r="M1873" s="288"/>
      <c r="N1873" s="288"/>
    </row>
    <row r="1874" spans="2:14" x14ac:dyDescent="0.25">
      <c r="C1874" s="16" t="s">
        <v>87</v>
      </c>
      <c r="E1874" s="288"/>
      <c r="F1874" s="288"/>
      <c r="G1874" s="288"/>
      <c r="H1874" s="288"/>
      <c r="I1874" s="288"/>
      <c r="J1874" s="288"/>
      <c r="K1874" s="288"/>
      <c r="L1874" s="288"/>
      <c r="M1874" s="288"/>
      <c r="N1874" s="288"/>
    </row>
    <row r="1875" spans="2:14" x14ac:dyDescent="0.25">
      <c r="B1875" s="16" t="s">
        <v>41</v>
      </c>
      <c r="C1875" s="16" t="s">
        <v>2933</v>
      </c>
      <c r="D1875" s="16" t="s">
        <v>2934</v>
      </c>
      <c r="E1875" s="289"/>
      <c r="F1875" s="289"/>
      <c r="G1875" s="289"/>
      <c r="H1875" s="289"/>
      <c r="I1875" s="289"/>
      <c r="J1875" s="289"/>
      <c r="K1875" s="289"/>
      <c r="L1875" s="289"/>
      <c r="M1875" s="289"/>
      <c r="N1875" s="289"/>
    </row>
    <row r="1876" spans="2:14" x14ac:dyDescent="0.25">
      <c r="B1876" s="16" t="s">
        <v>41</v>
      </c>
      <c r="C1876" s="16" t="s">
        <v>2935</v>
      </c>
      <c r="D1876" s="16" t="s">
        <v>201</v>
      </c>
      <c r="E1876" s="288">
        <v>0</v>
      </c>
      <c r="F1876" s="288">
        <f>ROUND(IF($A1876="E",E1876*(1+Assumptions!C$15),E1876*(1+Assumptions!C$14)),-2)</f>
        <v>0</v>
      </c>
      <c r="G1876" s="288">
        <f>ROUND(IF($A1876="E",F1876*(1+Assumptions!D$15),F1876*(1+Assumptions!D$14)),-2)</f>
        <v>0</v>
      </c>
      <c r="H1876" s="288">
        <f>ROUND(IF($A1876="E",G1876*(1+Assumptions!E$15),G1876*(1+Assumptions!E$14)),-2)</f>
        <v>0</v>
      </c>
      <c r="I1876" s="288">
        <f>ROUND(IF($A1876="E",H1876*(1+Assumptions!F$15),H1876*(1+Assumptions!F$14)),-2)</f>
        <v>0</v>
      </c>
      <c r="J1876" s="288">
        <f>ROUND(IF($A1876="E",I1876*(1+Assumptions!G$15),I1876*(1+Assumptions!G$14)),-2)</f>
        <v>0</v>
      </c>
      <c r="K1876" s="288">
        <f>ROUND(IF($A1876="E",J1876*(1+Assumptions!H$15),J1876*(1+Assumptions!H$14)),-2)</f>
        <v>0</v>
      </c>
      <c r="L1876" s="288">
        <f>ROUND(IF($A1876="E",K1876*(1+Assumptions!I$15),K1876*(1+Assumptions!I$14)),-2)</f>
        <v>0</v>
      </c>
      <c r="M1876" s="288">
        <f>ROUND(IF($A1876="E",L1876*(1+Assumptions!J$15),L1876*(1+Assumptions!J$14)),-2)</f>
        <v>0</v>
      </c>
      <c r="N1876" s="288">
        <f>ROUND(IF($A1876="E",M1876*(1+Assumptions!K$15),M1876*(1+Assumptions!K$14)),-2)</f>
        <v>0</v>
      </c>
    </row>
    <row r="1877" spans="2:14" x14ac:dyDescent="0.25">
      <c r="B1877" s="16" t="s">
        <v>41</v>
      </c>
      <c r="C1877" s="16" t="s">
        <v>2936</v>
      </c>
      <c r="D1877" s="16" t="s">
        <v>2937</v>
      </c>
      <c r="E1877" s="289"/>
      <c r="F1877" s="289"/>
      <c r="G1877" s="289"/>
      <c r="H1877" s="289"/>
      <c r="I1877" s="289"/>
      <c r="J1877" s="289"/>
      <c r="K1877" s="289"/>
      <c r="L1877" s="289"/>
      <c r="M1877" s="289"/>
      <c r="N1877" s="289"/>
    </row>
    <row r="1878" spans="2:14" x14ac:dyDescent="0.25">
      <c r="B1878" s="16" t="s">
        <v>41</v>
      </c>
      <c r="C1878" s="16" t="s">
        <v>2938</v>
      </c>
      <c r="D1878" s="16" t="s">
        <v>201</v>
      </c>
      <c r="E1878" s="288">
        <v>107400</v>
      </c>
      <c r="F1878" s="288">
        <f>ROUND(IF($A1878="E",E1878*(1+Assumptions!C$15),E1878*(1+Assumptions!C$14)),-2)</f>
        <v>109000</v>
      </c>
      <c r="G1878" s="288">
        <f>ROUND(IF($A1878="E",F1878*(1+Assumptions!D$15),F1878*(1+Assumptions!D$14)),-2)</f>
        <v>111200</v>
      </c>
      <c r="H1878" s="288">
        <f>ROUND(IF($A1878="E",G1878*(1+Assumptions!E$15),G1878*(1+Assumptions!E$14)),-2)</f>
        <v>113400</v>
      </c>
      <c r="I1878" s="288">
        <f>ROUND(IF($A1878="E",H1878*(1+Assumptions!F$15),H1878*(1+Assumptions!F$14)),-2)</f>
        <v>115700</v>
      </c>
      <c r="J1878" s="288">
        <f>ROUND(IF($A1878="E",I1878*(1+Assumptions!G$15),I1878*(1+Assumptions!G$14)),-2)</f>
        <v>118000</v>
      </c>
      <c r="K1878" s="288">
        <f>ROUND(IF($A1878="E",J1878*(1+Assumptions!H$15),J1878*(1+Assumptions!H$14)),-2)</f>
        <v>120400</v>
      </c>
      <c r="L1878" s="288">
        <f>ROUND(IF($A1878="E",K1878*(1+Assumptions!I$15),K1878*(1+Assumptions!I$14)),-2)</f>
        <v>123400</v>
      </c>
      <c r="M1878" s="288">
        <f>ROUND(IF($A1878="E",L1878*(1+Assumptions!J$15),L1878*(1+Assumptions!J$14)),-2)</f>
        <v>126500</v>
      </c>
      <c r="N1878" s="288">
        <f>ROUND(IF($A1878="E",M1878*(1+Assumptions!K$15),M1878*(1+Assumptions!K$14)),-2)</f>
        <v>129700</v>
      </c>
    </row>
    <row r="1879" spans="2:14" x14ac:dyDescent="0.25">
      <c r="B1879" s="16" t="s">
        <v>43</v>
      </c>
      <c r="C1879" s="16" t="s">
        <v>2939</v>
      </c>
      <c r="D1879" s="16" t="s">
        <v>97</v>
      </c>
      <c r="E1879" s="288">
        <v>5300</v>
      </c>
      <c r="F1879" s="288">
        <f>ROUND(IF($A1879="E",E1879*(1+Assumptions!C$15),E1879*(1+Assumptions!C$14)),-2)</f>
        <v>5400</v>
      </c>
      <c r="G1879" s="288">
        <f>ROUND(IF($A1879="E",F1879*(1+Assumptions!D$15),F1879*(1+Assumptions!D$14)),-2)</f>
        <v>5500</v>
      </c>
      <c r="H1879" s="288">
        <f>ROUND(IF($A1879="E",G1879*(1+Assumptions!E$15),G1879*(1+Assumptions!E$14)),-2)</f>
        <v>5600</v>
      </c>
      <c r="I1879" s="288">
        <f>ROUND(IF($A1879="E",H1879*(1+Assumptions!F$15),H1879*(1+Assumptions!F$14)),-2)</f>
        <v>5700</v>
      </c>
      <c r="J1879" s="288">
        <f>ROUND(IF($A1879="E",I1879*(1+Assumptions!G$15),I1879*(1+Assumptions!G$14)),-2)</f>
        <v>5800</v>
      </c>
      <c r="K1879" s="288">
        <f>ROUND(IF($A1879="E",J1879*(1+Assumptions!H$15),J1879*(1+Assumptions!H$14)),-2)</f>
        <v>5900</v>
      </c>
      <c r="L1879" s="288">
        <f>ROUND(IF($A1879="E",K1879*(1+Assumptions!I$15),K1879*(1+Assumptions!I$14)),-2)</f>
        <v>6000</v>
      </c>
      <c r="M1879" s="288">
        <f>ROUND(IF($A1879="E",L1879*(1+Assumptions!J$15),L1879*(1+Assumptions!J$14)),-2)</f>
        <v>6200</v>
      </c>
      <c r="N1879" s="288">
        <f>ROUND(IF($A1879="E",M1879*(1+Assumptions!K$15),M1879*(1+Assumptions!K$14)),-2)</f>
        <v>6400</v>
      </c>
    </row>
    <row r="1880" spans="2:14" x14ac:dyDescent="0.25">
      <c r="B1880" s="16" t="s">
        <v>41</v>
      </c>
      <c r="C1880" s="16" t="s">
        <v>2940</v>
      </c>
      <c r="D1880" s="16" t="s">
        <v>2941</v>
      </c>
      <c r="E1880" s="289"/>
      <c r="F1880" s="289"/>
      <c r="G1880" s="289"/>
      <c r="H1880" s="289"/>
      <c r="I1880" s="289"/>
      <c r="J1880" s="289"/>
      <c r="K1880" s="289"/>
      <c r="L1880" s="289"/>
      <c r="M1880" s="289"/>
      <c r="N1880" s="289"/>
    </row>
    <row r="1881" spans="2:14" x14ac:dyDescent="0.25">
      <c r="B1881" s="16" t="s">
        <v>41</v>
      </c>
      <c r="C1881" s="16" t="s">
        <v>2942</v>
      </c>
      <c r="D1881" s="16" t="s">
        <v>91</v>
      </c>
      <c r="E1881" s="288">
        <v>0</v>
      </c>
      <c r="F1881" s="288">
        <f>ROUND(IF($A1881="E",E1881*(1+Assumptions!C$15),E1881*(1+Assumptions!C$14)),-2)</f>
        <v>0</v>
      </c>
      <c r="G1881" s="288">
        <f>ROUND(IF($A1881="E",F1881*(1+Assumptions!D$15),F1881*(1+Assumptions!D$14)),-2)</f>
        <v>0</v>
      </c>
      <c r="H1881" s="288">
        <f>ROUND(IF($A1881="E",G1881*(1+Assumptions!E$15),G1881*(1+Assumptions!E$14)),-2)</f>
        <v>0</v>
      </c>
      <c r="I1881" s="288">
        <f>ROUND(IF($A1881="E",H1881*(1+Assumptions!F$15),H1881*(1+Assumptions!F$14)),-2)</f>
        <v>0</v>
      </c>
      <c r="J1881" s="288">
        <f>ROUND(IF($A1881="E",I1881*(1+Assumptions!G$15),I1881*(1+Assumptions!G$14)),-2)</f>
        <v>0</v>
      </c>
      <c r="K1881" s="288">
        <f>ROUND(IF($A1881="E",J1881*(1+Assumptions!H$15),J1881*(1+Assumptions!H$14)),-2)</f>
        <v>0</v>
      </c>
      <c r="L1881" s="288">
        <f>ROUND(IF($A1881="E",K1881*(1+Assumptions!I$15),K1881*(1+Assumptions!I$14)),-2)</f>
        <v>0</v>
      </c>
      <c r="M1881" s="288">
        <f>ROUND(IF($A1881="E",L1881*(1+Assumptions!J$15),L1881*(1+Assumptions!J$14)),-2)</f>
        <v>0</v>
      </c>
      <c r="N1881" s="288">
        <f>ROUND(IF($A1881="E",M1881*(1+Assumptions!K$15),M1881*(1+Assumptions!K$14)),-2)</f>
        <v>0</v>
      </c>
    </row>
    <row r="1882" spans="2:14" x14ac:dyDescent="0.25">
      <c r="B1882" s="16" t="s">
        <v>41</v>
      </c>
      <c r="C1882" s="16" t="s">
        <v>2943</v>
      </c>
      <c r="D1882" s="16" t="s">
        <v>2944</v>
      </c>
      <c r="E1882" s="289"/>
      <c r="F1882" s="289"/>
      <c r="G1882" s="289"/>
      <c r="H1882" s="289"/>
      <c r="I1882" s="289"/>
      <c r="J1882" s="289"/>
      <c r="K1882" s="289"/>
      <c r="L1882" s="289"/>
      <c r="M1882" s="289"/>
      <c r="N1882" s="289"/>
    </row>
    <row r="1883" spans="2:14" x14ac:dyDescent="0.25">
      <c r="B1883" s="16" t="s">
        <v>41</v>
      </c>
      <c r="C1883" s="16" t="s">
        <v>2945</v>
      </c>
      <c r="D1883" s="16" t="s">
        <v>201</v>
      </c>
      <c r="E1883" s="288">
        <v>62800</v>
      </c>
      <c r="F1883" s="288">
        <f>ROUND(IF($A1883="E",E1883*(1+Assumptions!C$15),E1883*(1+Assumptions!C$14)),-2)</f>
        <v>63700</v>
      </c>
      <c r="G1883" s="288">
        <f>ROUND(IF($A1883="E",F1883*(1+Assumptions!D$15),F1883*(1+Assumptions!D$14)),-2)</f>
        <v>65000</v>
      </c>
      <c r="H1883" s="288">
        <f>ROUND(IF($A1883="E",G1883*(1+Assumptions!E$15),G1883*(1+Assumptions!E$14)),-2)</f>
        <v>66300</v>
      </c>
      <c r="I1883" s="288">
        <f>ROUND(IF($A1883="E",H1883*(1+Assumptions!F$15),H1883*(1+Assumptions!F$14)),-2)</f>
        <v>67600</v>
      </c>
      <c r="J1883" s="288">
        <f>ROUND(IF($A1883="E",I1883*(1+Assumptions!G$15),I1883*(1+Assumptions!G$14)),-2)</f>
        <v>69000</v>
      </c>
      <c r="K1883" s="288">
        <f>ROUND(IF($A1883="E",J1883*(1+Assumptions!H$15),J1883*(1+Assumptions!H$14)),-2)</f>
        <v>70400</v>
      </c>
      <c r="L1883" s="288">
        <f>ROUND(IF($A1883="E",K1883*(1+Assumptions!I$15),K1883*(1+Assumptions!I$14)),-2)</f>
        <v>72200</v>
      </c>
      <c r="M1883" s="288">
        <f>ROUND(IF($A1883="E",L1883*(1+Assumptions!J$15),L1883*(1+Assumptions!J$14)),-2)</f>
        <v>74000</v>
      </c>
      <c r="N1883" s="288">
        <f>ROUND(IF($A1883="E",M1883*(1+Assumptions!K$15),M1883*(1+Assumptions!K$14)),-2)</f>
        <v>75900</v>
      </c>
    </row>
    <row r="1884" spans="2:14" x14ac:dyDescent="0.25">
      <c r="B1884" s="16" t="s">
        <v>43</v>
      </c>
      <c r="C1884" s="16" t="s">
        <v>2946</v>
      </c>
      <c r="D1884" s="16" t="s">
        <v>97</v>
      </c>
      <c r="E1884" s="288">
        <v>2700</v>
      </c>
      <c r="F1884" s="288">
        <f>ROUND(IF($A1884="E",E1884*(1+Assumptions!C$15),E1884*(1+Assumptions!C$14)),-2)</f>
        <v>2700</v>
      </c>
      <c r="G1884" s="288">
        <f>ROUND(IF($A1884="E",F1884*(1+Assumptions!D$15),F1884*(1+Assumptions!D$14)),-2)</f>
        <v>2800</v>
      </c>
      <c r="H1884" s="288">
        <f>ROUND(IF($A1884="E",G1884*(1+Assumptions!E$15),G1884*(1+Assumptions!E$14)),-2)</f>
        <v>2900</v>
      </c>
      <c r="I1884" s="288">
        <f>ROUND(IF($A1884="E",H1884*(1+Assumptions!F$15),H1884*(1+Assumptions!F$14)),-2)</f>
        <v>3000</v>
      </c>
      <c r="J1884" s="288">
        <f>ROUND(IF($A1884="E",I1884*(1+Assumptions!G$15),I1884*(1+Assumptions!G$14)),-2)</f>
        <v>3100</v>
      </c>
      <c r="K1884" s="288">
        <f>ROUND(IF($A1884="E",J1884*(1+Assumptions!H$15),J1884*(1+Assumptions!H$14)),-2)</f>
        <v>3200</v>
      </c>
      <c r="L1884" s="288">
        <f>ROUND(IF($A1884="E",K1884*(1+Assumptions!I$15),K1884*(1+Assumptions!I$14)),-2)</f>
        <v>3300</v>
      </c>
      <c r="M1884" s="288">
        <f>ROUND(IF($A1884="E",L1884*(1+Assumptions!J$15),L1884*(1+Assumptions!J$14)),-2)</f>
        <v>3400</v>
      </c>
      <c r="N1884" s="288">
        <f>ROUND(IF($A1884="E",M1884*(1+Assumptions!K$15),M1884*(1+Assumptions!K$14)),-2)</f>
        <v>3500</v>
      </c>
    </row>
    <row r="1885" spans="2:14" x14ac:dyDescent="0.25">
      <c r="B1885" s="16" t="s">
        <v>41</v>
      </c>
      <c r="C1885" s="16" t="s">
        <v>2947</v>
      </c>
      <c r="D1885" s="16" t="s">
        <v>2948</v>
      </c>
      <c r="E1885" s="289"/>
      <c r="F1885" s="289"/>
      <c r="G1885" s="289"/>
      <c r="H1885" s="289"/>
      <c r="I1885" s="289"/>
      <c r="J1885" s="289"/>
      <c r="K1885" s="289"/>
      <c r="L1885" s="289"/>
      <c r="M1885" s="289"/>
      <c r="N1885" s="289"/>
    </row>
    <row r="1886" spans="2:14" x14ac:dyDescent="0.25">
      <c r="B1886" s="16" t="s">
        <v>41</v>
      </c>
      <c r="C1886" s="16" t="s">
        <v>2949</v>
      </c>
      <c r="D1886" s="16" t="s">
        <v>201</v>
      </c>
      <c r="E1886" s="288">
        <v>108100</v>
      </c>
      <c r="F1886" s="288">
        <f>ROUND(IF($A1886="E",E1886*(1+Assumptions!C$15),E1886*(1+Assumptions!C$14)),-2)</f>
        <v>109700</v>
      </c>
      <c r="G1886" s="288">
        <f>ROUND(IF($A1886="E",F1886*(1+Assumptions!D$15),F1886*(1+Assumptions!D$14)),-2)</f>
        <v>111900</v>
      </c>
      <c r="H1886" s="288">
        <f>ROUND(IF($A1886="E",G1886*(1+Assumptions!E$15),G1886*(1+Assumptions!E$14)),-2)</f>
        <v>114100</v>
      </c>
      <c r="I1886" s="288">
        <f>ROUND(IF($A1886="E",H1886*(1+Assumptions!F$15),H1886*(1+Assumptions!F$14)),-2)</f>
        <v>116400</v>
      </c>
      <c r="J1886" s="288">
        <f>ROUND(IF($A1886="E",I1886*(1+Assumptions!G$15),I1886*(1+Assumptions!G$14)),-2)</f>
        <v>118700</v>
      </c>
      <c r="K1886" s="288">
        <f>ROUND(IF($A1886="E",J1886*(1+Assumptions!H$15),J1886*(1+Assumptions!H$14)),-2)</f>
        <v>121100</v>
      </c>
      <c r="L1886" s="288">
        <f>ROUND(IF($A1886="E",K1886*(1+Assumptions!I$15),K1886*(1+Assumptions!I$14)),-2)</f>
        <v>124100</v>
      </c>
      <c r="M1886" s="288">
        <f>ROUND(IF($A1886="E",L1886*(1+Assumptions!J$15),L1886*(1+Assumptions!J$14)),-2)</f>
        <v>127200</v>
      </c>
      <c r="N1886" s="288">
        <f>ROUND(IF($A1886="E",M1886*(1+Assumptions!K$15),M1886*(1+Assumptions!K$14)),-2)</f>
        <v>130400</v>
      </c>
    </row>
    <row r="1887" spans="2:14" x14ac:dyDescent="0.25">
      <c r="B1887" s="16" t="s">
        <v>43</v>
      </c>
      <c r="C1887" s="16" t="s">
        <v>2950</v>
      </c>
      <c r="D1887" s="16" t="s">
        <v>2951</v>
      </c>
      <c r="E1887" s="289"/>
      <c r="F1887" s="289"/>
      <c r="G1887" s="289"/>
      <c r="H1887" s="289"/>
      <c r="I1887" s="289"/>
      <c r="J1887" s="289"/>
      <c r="K1887" s="289"/>
      <c r="L1887" s="289"/>
      <c r="M1887" s="289"/>
      <c r="N1887" s="289"/>
    </row>
    <row r="1888" spans="2:14" x14ac:dyDescent="0.25">
      <c r="B1888" s="16" t="s">
        <v>43</v>
      </c>
      <c r="C1888" s="16" t="s">
        <v>2952</v>
      </c>
      <c r="D1888" s="16" t="s">
        <v>2953</v>
      </c>
      <c r="E1888" s="288">
        <v>37300</v>
      </c>
      <c r="F1888" s="288">
        <f>ROUND(IF($A1888="E",E1888*(1+Assumptions!C$15),E1888*(1+Assumptions!C$14)),-2)</f>
        <v>37900</v>
      </c>
      <c r="G1888" s="288">
        <f>ROUND(IF($A1888="E",F1888*(1+Assumptions!D$15),F1888*(1+Assumptions!D$14)),-2)</f>
        <v>38700</v>
      </c>
      <c r="H1888" s="288">
        <f>ROUND(IF($A1888="E",G1888*(1+Assumptions!E$15),G1888*(1+Assumptions!E$14)),-2)</f>
        <v>39500</v>
      </c>
      <c r="I1888" s="288">
        <f>ROUND(IF($A1888="E",H1888*(1+Assumptions!F$15),H1888*(1+Assumptions!F$14)),-2)</f>
        <v>40300</v>
      </c>
      <c r="J1888" s="288">
        <f>ROUND(IF($A1888="E",I1888*(1+Assumptions!G$15),I1888*(1+Assumptions!G$14)),-2)</f>
        <v>41100</v>
      </c>
      <c r="K1888" s="288">
        <f>ROUND(IF($A1888="E",J1888*(1+Assumptions!H$15),J1888*(1+Assumptions!H$14)),-2)</f>
        <v>41900</v>
      </c>
      <c r="L1888" s="288">
        <f>ROUND(IF($A1888="E",K1888*(1+Assumptions!I$15),K1888*(1+Assumptions!I$14)),-2)</f>
        <v>42900</v>
      </c>
      <c r="M1888" s="288">
        <f>ROUND(IF($A1888="E",L1888*(1+Assumptions!J$15),L1888*(1+Assumptions!J$14)),-2)</f>
        <v>44000</v>
      </c>
      <c r="N1888" s="288">
        <f>ROUND(IF($A1888="E",M1888*(1+Assumptions!K$15),M1888*(1+Assumptions!K$14)),-2)</f>
        <v>45100</v>
      </c>
    </row>
    <row r="1889" spans="2:14" x14ac:dyDescent="0.25">
      <c r="B1889" s="16" t="s">
        <v>41</v>
      </c>
      <c r="C1889" s="16" t="s">
        <v>2954</v>
      </c>
      <c r="D1889" s="16" t="s">
        <v>2955</v>
      </c>
      <c r="E1889" s="289"/>
      <c r="F1889" s="289"/>
      <c r="G1889" s="289"/>
      <c r="H1889" s="289"/>
      <c r="I1889" s="289"/>
      <c r="J1889" s="289"/>
      <c r="K1889" s="289"/>
      <c r="L1889" s="289"/>
      <c r="M1889" s="289"/>
      <c r="N1889" s="289"/>
    </row>
    <row r="1890" spans="2:14" x14ac:dyDescent="0.25">
      <c r="B1890" s="16" t="s">
        <v>41</v>
      </c>
      <c r="C1890" s="16" t="s">
        <v>2956</v>
      </c>
      <c r="D1890" s="16" t="s">
        <v>2957</v>
      </c>
      <c r="E1890" s="288">
        <v>10300</v>
      </c>
      <c r="F1890" s="288">
        <f>ROUND(IF($A1890="E",E1890*(1+Assumptions!C$15),E1890*(1+Assumptions!C$14)),-2)</f>
        <v>10500</v>
      </c>
      <c r="G1890" s="288">
        <f>ROUND(IF($A1890="E",F1890*(1+Assumptions!D$15),F1890*(1+Assumptions!D$14)),-2)</f>
        <v>10700</v>
      </c>
      <c r="H1890" s="288">
        <f>ROUND(IF($A1890="E",G1890*(1+Assumptions!E$15),G1890*(1+Assumptions!E$14)),-2)</f>
        <v>10900</v>
      </c>
      <c r="I1890" s="288">
        <f>ROUND(IF($A1890="E",H1890*(1+Assumptions!F$15),H1890*(1+Assumptions!F$14)),-2)</f>
        <v>11100</v>
      </c>
      <c r="J1890" s="288">
        <f>ROUND(IF($A1890="E",I1890*(1+Assumptions!G$15),I1890*(1+Assumptions!G$14)),-2)</f>
        <v>11300</v>
      </c>
      <c r="K1890" s="288">
        <f>ROUND(IF($A1890="E",J1890*(1+Assumptions!H$15),J1890*(1+Assumptions!H$14)),-2)</f>
        <v>11500</v>
      </c>
      <c r="L1890" s="288">
        <f>ROUND(IF($A1890="E",K1890*(1+Assumptions!I$15),K1890*(1+Assumptions!I$14)),-2)</f>
        <v>11800</v>
      </c>
      <c r="M1890" s="288">
        <f>ROUND(IF($A1890="E",L1890*(1+Assumptions!J$15),L1890*(1+Assumptions!J$14)),-2)</f>
        <v>12100</v>
      </c>
      <c r="N1890" s="288">
        <f>ROUND(IF($A1890="E",M1890*(1+Assumptions!K$15),M1890*(1+Assumptions!K$14)),-2)</f>
        <v>12400</v>
      </c>
    </row>
    <row r="1891" spans="2:14" x14ac:dyDescent="0.25">
      <c r="B1891" s="16" t="s">
        <v>43</v>
      </c>
      <c r="C1891" s="16" t="s">
        <v>2958</v>
      </c>
      <c r="D1891" s="16" t="s">
        <v>1000</v>
      </c>
      <c r="E1891" s="289"/>
      <c r="F1891" s="289"/>
      <c r="G1891" s="289"/>
      <c r="H1891" s="289"/>
      <c r="I1891" s="289"/>
      <c r="J1891" s="289"/>
      <c r="K1891" s="289"/>
      <c r="L1891" s="289"/>
      <c r="M1891" s="289"/>
      <c r="N1891" s="289"/>
    </row>
    <row r="1892" spans="2:14" x14ac:dyDescent="0.25">
      <c r="B1892" s="16" t="s">
        <v>43</v>
      </c>
      <c r="C1892" s="16" t="s">
        <v>2959</v>
      </c>
      <c r="D1892" s="16" t="s">
        <v>817</v>
      </c>
      <c r="E1892" s="288">
        <v>5300</v>
      </c>
      <c r="F1892" s="288">
        <f>ROUND(IF($A1892="E",E1892*(1+Assumptions!C$15),E1892*(1+Assumptions!C$14)),-2)</f>
        <v>5400</v>
      </c>
      <c r="G1892" s="288">
        <f>ROUND(IF($A1892="E",F1892*(1+Assumptions!D$15),F1892*(1+Assumptions!D$14)),-2)</f>
        <v>5500</v>
      </c>
      <c r="H1892" s="288">
        <f>ROUND(IF($A1892="E",G1892*(1+Assumptions!E$15),G1892*(1+Assumptions!E$14)),-2)</f>
        <v>5600</v>
      </c>
      <c r="I1892" s="288">
        <f>ROUND(IF($A1892="E",H1892*(1+Assumptions!F$15),H1892*(1+Assumptions!F$14)),-2)</f>
        <v>5700</v>
      </c>
      <c r="J1892" s="288">
        <f>ROUND(IF($A1892="E",I1892*(1+Assumptions!G$15),I1892*(1+Assumptions!G$14)),-2)</f>
        <v>5800</v>
      </c>
      <c r="K1892" s="288">
        <f>ROUND(IF($A1892="E",J1892*(1+Assumptions!H$15),J1892*(1+Assumptions!H$14)),-2)</f>
        <v>5900</v>
      </c>
      <c r="L1892" s="288">
        <f>ROUND(IF($A1892="E",K1892*(1+Assumptions!I$15),K1892*(1+Assumptions!I$14)),-2)</f>
        <v>6000</v>
      </c>
      <c r="M1892" s="288">
        <f>ROUND(IF($A1892="E",L1892*(1+Assumptions!J$15),L1892*(1+Assumptions!J$14)),-2)</f>
        <v>6200</v>
      </c>
      <c r="N1892" s="288">
        <f>ROUND(IF($A1892="E",M1892*(1+Assumptions!K$15),M1892*(1+Assumptions!K$14)),-2)</f>
        <v>6400</v>
      </c>
    </row>
    <row r="1893" spans="2:14" x14ac:dyDescent="0.25">
      <c r="B1893" s="16" t="s">
        <v>43</v>
      </c>
      <c r="C1893" s="16" t="s">
        <v>2960</v>
      </c>
      <c r="D1893" s="16" t="s">
        <v>2961</v>
      </c>
      <c r="E1893" s="288">
        <v>16000</v>
      </c>
      <c r="F1893" s="288">
        <f>ROUND(IF($A1893="E",E1893*(1+Assumptions!C$15),E1893*(1+Assumptions!C$14)),-2)</f>
        <v>16200</v>
      </c>
      <c r="G1893" s="288">
        <f>ROUND(IF($A1893="E",F1893*(1+Assumptions!D$15),F1893*(1+Assumptions!D$14)),-2)</f>
        <v>16500</v>
      </c>
      <c r="H1893" s="288">
        <f>ROUND(IF($A1893="E",G1893*(1+Assumptions!E$15),G1893*(1+Assumptions!E$14)),-2)</f>
        <v>16800</v>
      </c>
      <c r="I1893" s="288">
        <f>ROUND(IF($A1893="E",H1893*(1+Assumptions!F$15),H1893*(1+Assumptions!F$14)),-2)</f>
        <v>17100</v>
      </c>
      <c r="J1893" s="288">
        <f>ROUND(IF($A1893="E",I1893*(1+Assumptions!G$15),I1893*(1+Assumptions!G$14)),-2)</f>
        <v>17400</v>
      </c>
      <c r="K1893" s="288">
        <f>ROUND(IF($A1893="E",J1893*(1+Assumptions!H$15),J1893*(1+Assumptions!H$14)),-2)</f>
        <v>17700</v>
      </c>
      <c r="L1893" s="288">
        <f>ROUND(IF($A1893="E",K1893*(1+Assumptions!I$15),K1893*(1+Assumptions!I$14)),-2)</f>
        <v>18100</v>
      </c>
      <c r="M1893" s="288">
        <f>ROUND(IF($A1893="E",L1893*(1+Assumptions!J$15),L1893*(1+Assumptions!J$14)),-2)</f>
        <v>18600</v>
      </c>
      <c r="N1893" s="288">
        <f>ROUND(IF($A1893="E",M1893*(1+Assumptions!K$15),M1893*(1+Assumptions!K$14)),-2)</f>
        <v>19100</v>
      </c>
    </row>
    <row r="1894" spans="2:14" x14ac:dyDescent="0.25">
      <c r="B1894" s="16" t="s">
        <v>43</v>
      </c>
      <c r="C1894" s="16" t="s">
        <v>2962</v>
      </c>
      <c r="D1894" s="16" t="s">
        <v>2963</v>
      </c>
      <c r="E1894" s="288">
        <v>25800</v>
      </c>
      <c r="F1894" s="288">
        <f>ROUND(IF($A1894="E",E1894*(1+Assumptions!C$15),E1894*(1+Assumptions!C$14)),-2)</f>
        <v>26200</v>
      </c>
      <c r="G1894" s="288">
        <f>ROUND(IF($A1894="E",F1894*(1+Assumptions!D$15),F1894*(1+Assumptions!D$14)),-2)</f>
        <v>26700</v>
      </c>
      <c r="H1894" s="288">
        <f>ROUND(IF($A1894="E",G1894*(1+Assumptions!E$15),G1894*(1+Assumptions!E$14)),-2)</f>
        <v>27200</v>
      </c>
      <c r="I1894" s="288">
        <f>ROUND(IF($A1894="E",H1894*(1+Assumptions!F$15),H1894*(1+Assumptions!F$14)),-2)</f>
        <v>27700</v>
      </c>
      <c r="J1894" s="288">
        <f>ROUND(IF($A1894="E",I1894*(1+Assumptions!G$15),I1894*(1+Assumptions!G$14)),-2)</f>
        <v>28300</v>
      </c>
      <c r="K1894" s="288">
        <f>ROUND(IF($A1894="E",J1894*(1+Assumptions!H$15),J1894*(1+Assumptions!H$14)),-2)</f>
        <v>28900</v>
      </c>
      <c r="L1894" s="288">
        <f>ROUND(IF($A1894="E",K1894*(1+Assumptions!I$15),K1894*(1+Assumptions!I$14)),-2)</f>
        <v>29600</v>
      </c>
      <c r="M1894" s="288">
        <f>ROUND(IF($A1894="E",L1894*(1+Assumptions!J$15),L1894*(1+Assumptions!J$14)),-2)</f>
        <v>30300</v>
      </c>
      <c r="N1894" s="288">
        <f>ROUND(IF($A1894="E",M1894*(1+Assumptions!K$15),M1894*(1+Assumptions!K$14)),-2)</f>
        <v>31100</v>
      </c>
    </row>
    <row r="1895" spans="2:14" x14ac:dyDescent="0.25">
      <c r="B1895" s="16" t="s">
        <v>43</v>
      </c>
      <c r="C1895" s="16" t="s">
        <v>2964</v>
      </c>
      <c r="D1895" s="16" t="s">
        <v>2965</v>
      </c>
      <c r="E1895" s="288">
        <v>6900</v>
      </c>
      <c r="F1895" s="288">
        <f>ROUND(IF($A1895="E",E1895*(1+Assumptions!C$15),E1895*(1+Assumptions!C$14)),-2)</f>
        <v>7000</v>
      </c>
      <c r="G1895" s="288">
        <f>ROUND(IF($A1895="E",F1895*(1+Assumptions!D$15),F1895*(1+Assumptions!D$14)),-2)</f>
        <v>7100</v>
      </c>
      <c r="H1895" s="288">
        <f>ROUND(IF($A1895="E",G1895*(1+Assumptions!E$15),G1895*(1+Assumptions!E$14)),-2)</f>
        <v>7200</v>
      </c>
      <c r="I1895" s="288">
        <f>ROUND(IF($A1895="E",H1895*(1+Assumptions!F$15),H1895*(1+Assumptions!F$14)),-2)</f>
        <v>7300</v>
      </c>
      <c r="J1895" s="288">
        <f>ROUND(IF($A1895="E",I1895*(1+Assumptions!G$15),I1895*(1+Assumptions!G$14)),-2)</f>
        <v>7400</v>
      </c>
      <c r="K1895" s="288">
        <f>ROUND(IF($A1895="E",J1895*(1+Assumptions!H$15),J1895*(1+Assumptions!H$14)),-2)</f>
        <v>7500</v>
      </c>
      <c r="L1895" s="288">
        <f>ROUND(IF($A1895="E",K1895*(1+Assumptions!I$15),K1895*(1+Assumptions!I$14)),-2)</f>
        <v>7700</v>
      </c>
      <c r="M1895" s="288">
        <f>ROUND(IF($A1895="E",L1895*(1+Assumptions!J$15),L1895*(1+Assumptions!J$14)),-2)</f>
        <v>7900</v>
      </c>
      <c r="N1895" s="288">
        <f>ROUND(IF($A1895="E",M1895*(1+Assumptions!K$15),M1895*(1+Assumptions!K$14)),-2)</f>
        <v>8100</v>
      </c>
    </row>
    <row r="1896" spans="2:14" x14ac:dyDescent="0.25">
      <c r="B1896" s="16" t="s">
        <v>43</v>
      </c>
      <c r="C1896" s="16" t="s">
        <v>2966</v>
      </c>
      <c r="D1896" s="16" t="s">
        <v>2967</v>
      </c>
      <c r="E1896" s="288">
        <v>28400</v>
      </c>
      <c r="F1896" s="288">
        <f>ROUND(IF($A1896="E",E1896*(1+Assumptions!C$15),E1896*(1+Assumptions!C$14)),-2)</f>
        <v>28800</v>
      </c>
      <c r="G1896" s="288">
        <f>ROUND(IF($A1896="E",F1896*(1+Assumptions!D$15),F1896*(1+Assumptions!D$14)),-2)</f>
        <v>29400</v>
      </c>
      <c r="H1896" s="288">
        <f>ROUND(IF($A1896="E",G1896*(1+Assumptions!E$15),G1896*(1+Assumptions!E$14)),-2)</f>
        <v>30000</v>
      </c>
      <c r="I1896" s="288">
        <f>ROUND(IF($A1896="E",H1896*(1+Assumptions!F$15),H1896*(1+Assumptions!F$14)),-2)</f>
        <v>30600</v>
      </c>
      <c r="J1896" s="288">
        <f>ROUND(IF($A1896="E",I1896*(1+Assumptions!G$15),I1896*(1+Assumptions!G$14)),-2)</f>
        <v>31200</v>
      </c>
      <c r="K1896" s="288">
        <f>ROUND(IF($A1896="E",J1896*(1+Assumptions!H$15),J1896*(1+Assumptions!H$14)),-2)</f>
        <v>31800</v>
      </c>
      <c r="L1896" s="288">
        <f>ROUND(IF($A1896="E",K1896*(1+Assumptions!I$15),K1896*(1+Assumptions!I$14)),-2)</f>
        <v>32600</v>
      </c>
      <c r="M1896" s="288">
        <f>ROUND(IF($A1896="E",L1896*(1+Assumptions!J$15),L1896*(1+Assumptions!J$14)),-2)</f>
        <v>33400</v>
      </c>
      <c r="N1896" s="288">
        <f>ROUND(IF($A1896="E",M1896*(1+Assumptions!K$15),M1896*(1+Assumptions!K$14)),-2)</f>
        <v>34200</v>
      </c>
    </row>
    <row r="1897" spans="2:14" x14ac:dyDescent="0.25">
      <c r="B1897" s="16" t="s">
        <v>43</v>
      </c>
      <c r="C1897" s="16" t="s">
        <v>2968</v>
      </c>
      <c r="D1897" s="16" t="s">
        <v>2969</v>
      </c>
      <c r="E1897" s="288">
        <v>5100</v>
      </c>
      <c r="F1897" s="288">
        <f>ROUND(IF($A1897="E",E1897*(1+Assumptions!C$15),E1897*(1+Assumptions!C$14)),-2)</f>
        <v>5200</v>
      </c>
      <c r="G1897" s="288">
        <f>ROUND(IF($A1897="E",F1897*(1+Assumptions!D$15),F1897*(1+Assumptions!D$14)),-2)</f>
        <v>5300</v>
      </c>
      <c r="H1897" s="288">
        <f>ROUND(IF($A1897="E",G1897*(1+Assumptions!E$15),G1897*(1+Assumptions!E$14)),-2)</f>
        <v>5400</v>
      </c>
      <c r="I1897" s="288">
        <f>ROUND(IF($A1897="E",H1897*(1+Assumptions!F$15),H1897*(1+Assumptions!F$14)),-2)</f>
        <v>5500</v>
      </c>
      <c r="J1897" s="288">
        <f>ROUND(IF($A1897="E",I1897*(1+Assumptions!G$15),I1897*(1+Assumptions!G$14)),-2)</f>
        <v>5600</v>
      </c>
      <c r="K1897" s="288">
        <f>ROUND(IF($A1897="E",J1897*(1+Assumptions!H$15),J1897*(1+Assumptions!H$14)),-2)</f>
        <v>5700</v>
      </c>
      <c r="L1897" s="288">
        <f>ROUND(IF($A1897="E",K1897*(1+Assumptions!I$15),K1897*(1+Assumptions!I$14)),-2)</f>
        <v>5800</v>
      </c>
      <c r="M1897" s="288">
        <f>ROUND(IF($A1897="E",L1897*(1+Assumptions!J$15),L1897*(1+Assumptions!J$14)),-2)</f>
        <v>5900</v>
      </c>
      <c r="N1897" s="288">
        <f>ROUND(IF($A1897="E",M1897*(1+Assumptions!K$15),M1897*(1+Assumptions!K$14)),-2)</f>
        <v>6000</v>
      </c>
    </row>
    <row r="1898" spans="2:14" x14ac:dyDescent="0.25">
      <c r="B1898" s="16" t="s">
        <v>41</v>
      </c>
      <c r="C1898" s="16" t="s">
        <v>2970</v>
      </c>
      <c r="D1898" s="16" t="s">
        <v>2971</v>
      </c>
      <c r="E1898" s="288">
        <v>92000</v>
      </c>
      <c r="F1898" s="288">
        <f>ROUND(IF($A1898="E",E1898*(1+Assumptions!C$15),E1898*(1+Assumptions!C$14)),-2)</f>
        <v>93400</v>
      </c>
      <c r="G1898" s="288">
        <f>ROUND(IF($A1898="E",F1898*(1+Assumptions!D$15),F1898*(1+Assumptions!D$14)),-2)</f>
        <v>95300</v>
      </c>
      <c r="H1898" s="288">
        <f>ROUND(IF($A1898="E",G1898*(1+Assumptions!E$15),G1898*(1+Assumptions!E$14)),-2)</f>
        <v>97200</v>
      </c>
      <c r="I1898" s="288">
        <f>ROUND(IF($A1898="E",H1898*(1+Assumptions!F$15),H1898*(1+Assumptions!F$14)),-2)</f>
        <v>99100</v>
      </c>
      <c r="J1898" s="288">
        <f>ROUND(IF($A1898="E",I1898*(1+Assumptions!G$15),I1898*(1+Assumptions!G$14)),-2)</f>
        <v>101100</v>
      </c>
      <c r="K1898" s="288">
        <f>ROUND(IF($A1898="E",J1898*(1+Assumptions!H$15),J1898*(1+Assumptions!H$14)),-2)</f>
        <v>103100</v>
      </c>
      <c r="L1898" s="288">
        <f>ROUND(IF($A1898="E",K1898*(1+Assumptions!I$15),K1898*(1+Assumptions!I$14)),-2)</f>
        <v>105700</v>
      </c>
      <c r="M1898" s="288">
        <f>ROUND(IF($A1898="E",L1898*(1+Assumptions!J$15),L1898*(1+Assumptions!J$14)),-2)</f>
        <v>108300</v>
      </c>
      <c r="N1898" s="288">
        <f>ROUND(IF($A1898="E",M1898*(1+Assumptions!K$15),M1898*(1+Assumptions!K$14)),-2)</f>
        <v>111000</v>
      </c>
    </row>
    <row r="1899" spans="2:14" x14ac:dyDescent="0.25">
      <c r="B1899" s="16" t="s">
        <v>43</v>
      </c>
      <c r="C1899" s="16" t="s">
        <v>2972</v>
      </c>
      <c r="D1899" s="16" t="s">
        <v>2973</v>
      </c>
      <c r="E1899" s="288">
        <v>6400</v>
      </c>
      <c r="F1899" s="288">
        <f>ROUND(IF($A1899="E",E1899*(1+Assumptions!C$15),E1899*(1+Assumptions!C$14)),-2)</f>
        <v>6500</v>
      </c>
      <c r="G1899" s="288">
        <f>ROUND(IF($A1899="E",F1899*(1+Assumptions!D$15),F1899*(1+Assumptions!D$14)),-2)</f>
        <v>6600</v>
      </c>
      <c r="H1899" s="288">
        <f>ROUND(IF($A1899="E",G1899*(1+Assumptions!E$15),G1899*(1+Assumptions!E$14)),-2)</f>
        <v>6700</v>
      </c>
      <c r="I1899" s="288">
        <f>ROUND(IF($A1899="E",H1899*(1+Assumptions!F$15),H1899*(1+Assumptions!F$14)),-2)</f>
        <v>6800</v>
      </c>
      <c r="J1899" s="288">
        <f>ROUND(IF($A1899="E",I1899*(1+Assumptions!G$15),I1899*(1+Assumptions!G$14)),-2)</f>
        <v>6900</v>
      </c>
      <c r="K1899" s="288">
        <f>ROUND(IF($A1899="E",J1899*(1+Assumptions!H$15),J1899*(1+Assumptions!H$14)),-2)</f>
        <v>7000</v>
      </c>
      <c r="L1899" s="288">
        <f>ROUND(IF($A1899="E",K1899*(1+Assumptions!I$15),K1899*(1+Assumptions!I$14)),-2)</f>
        <v>7200</v>
      </c>
      <c r="M1899" s="288">
        <f>ROUND(IF($A1899="E",L1899*(1+Assumptions!J$15),L1899*(1+Assumptions!J$14)),-2)</f>
        <v>7400</v>
      </c>
      <c r="N1899" s="288">
        <f>ROUND(IF($A1899="E",M1899*(1+Assumptions!K$15),M1899*(1+Assumptions!K$14)),-2)</f>
        <v>7600</v>
      </c>
    </row>
    <row r="1900" spans="2:14" x14ac:dyDescent="0.25">
      <c r="B1900" s="16" t="s">
        <v>43</v>
      </c>
      <c r="C1900" s="16" t="s">
        <v>2974</v>
      </c>
      <c r="D1900" s="16" t="s">
        <v>2975</v>
      </c>
      <c r="E1900" s="288">
        <v>28300</v>
      </c>
      <c r="F1900" s="288">
        <f>ROUND(IF($A1900="E",E1900*(1+Assumptions!C$15),E1900*(1+Assumptions!C$14)),-2)</f>
        <v>28700</v>
      </c>
      <c r="G1900" s="288">
        <f>ROUND(IF($A1900="E",F1900*(1+Assumptions!D$15),F1900*(1+Assumptions!D$14)),-2)</f>
        <v>29300</v>
      </c>
      <c r="H1900" s="288">
        <f>ROUND(IF($A1900="E",G1900*(1+Assumptions!E$15),G1900*(1+Assumptions!E$14)),-2)</f>
        <v>29900</v>
      </c>
      <c r="I1900" s="288">
        <f>ROUND(IF($A1900="E",H1900*(1+Assumptions!F$15),H1900*(1+Assumptions!F$14)),-2)</f>
        <v>30500</v>
      </c>
      <c r="J1900" s="288">
        <f>ROUND(IF($A1900="E",I1900*(1+Assumptions!G$15),I1900*(1+Assumptions!G$14)),-2)</f>
        <v>31100</v>
      </c>
      <c r="K1900" s="288">
        <f>ROUND(IF($A1900="E",J1900*(1+Assumptions!H$15),J1900*(1+Assumptions!H$14)),-2)</f>
        <v>31700</v>
      </c>
      <c r="L1900" s="288">
        <f>ROUND(IF($A1900="E",K1900*(1+Assumptions!I$15),K1900*(1+Assumptions!I$14)),-2)</f>
        <v>32500</v>
      </c>
      <c r="M1900" s="288">
        <f>ROUND(IF($A1900="E",L1900*(1+Assumptions!J$15),L1900*(1+Assumptions!J$14)),-2)</f>
        <v>33300</v>
      </c>
      <c r="N1900" s="288">
        <f>ROUND(IF($A1900="E",M1900*(1+Assumptions!K$15),M1900*(1+Assumptions!K$14)),-2)</f>
        <v>34100</v>
      </c>
    </row>
    <row r="1901" spans="2:14" x14ac:dyDescent="0.25">
      <c r="B1901" s="16" t="s">
        <v>43</v>
      </c>
      <c r="C1901" s="16" t="s">
        <v>2976</v>
      </c>
      <c r="D1901" s="16" t="s">
        <v>2977</v>
      </c>
      <c r="E1901" s="288">
        <v>17000</v>
      </c>
      <c r="F1901" s="288">
        <f>ROUND(IF($A1901="E",E1901*(1+Assumptions!C$15),E1901*(1+Assumptions!C$14)),-2)</f>
        <v>17300</v>
      </c>
      <c r="G1901" s="288">
        <f>ROUND(IF($A1901="E",F1901*(1+Assumptions!D$15),F1901*(1+Assumptions!D$14)),-2)</f>
        <v>17600</v>
      </c>
      <c r="H1901" s="288">
        <f>ROUND(IF($A1901="E",G1901*(1+Assumptions!E$15),G1901*(1+Assumptions!E$14)),-2)</f>
        <v>18000</v>
      </c>
      <c r="I1901" s="288">
        <f>ROUND(IF($A1901="E",H1901*(1+Assumptions!F$15),H1901*(1+Assumptions!F$14)),-2)</f>
        <v>18400</v>
      </c>
      <c r="J1901" s="288">
        <f>ROUND(IF($A1901="E",I1901*(1+Assumptions!G$15),I1901*(1+Assumptions!G$14)),-2)</f>
        <v>18800</v>
      </c>
      <c r="K1901" s="288">
        <f>ROUND(IF($A1901="E",J1901*(1+Assumptions!H$15),J1901*(1+Assumptions!H$14)),-2)</f>
        <v>19200</v>
      </c>
      <c r="L1901" s="288">
        <f>ROUND(IF($A1901="E",K1901*(1+Assumptions!I$15),K1901*(1+Assumptions!I$14)),-2)</f>
        <v>19700</v>
      </c>
      <c r="M1901" s="288">
        <f>ROUND(IF($A1901="E",L1901*(1+Assumptions!J$15),L1901*(1+Assumptions!J$14)),-2)</f>
        <v>20200</v>
      </c>
      <c r="N1901" s="288">
        <f>ROUND(IF($A1901="E",M1901*(1+Assumptions!K$15),M1901*(1+Assumptions!K$14)),-2)</f>
        <v>20700</v>
      </c>
    </row>
    <row r="1902" spans="2:14" x14ac:dyDescent="0.25">
      <c r="B1902" s="16" t="s">
        <v>43</v>
      </c>
      <c r="C1902" s="16" t="s">
        <v>2978</v>
      </c>
      <c r="D1902" s="16" t="s">
        <v>2979</v>
      </c>
      <c r="E1902" s="288">
        <v>3100</v>
      </c>
      <c r="F1902" s="288">
        <f>ROUND(IF($A1902="E",E1902*(1+Assumptions!C$15),E1902*(1+Assumptions!C$14)),-2)</f>
        <v>3100</v>
      </c>
      <c r="G1902" s="288">
        <f>ROUND(IF($A1902="E",F1902*(1+Assumptions!D$15),F1902*(1+Assumptions!D$14)),-2)</f>
        <v>3200</v>
      </c>
      <c r="H1902" s="288">
        <f>ROUND(IF($A1902="E",G1902*(1+Assumptions!E$15),G1902*(1+Assumptions!E$14)),-2)</f>
        <v>3300</v>
      </c>
      <c r="I1902" s="288">
        <f>ROUND(IF($A1902="E",H1902*(1+Assumptions!F$15),H1902*(1+Assumptions!F$14)),-2)</f>
        <v>3400</v>
      </c>
      <c r="J1902" s="288">
        <f>ROUND(IF($A1902="E",I1902*(1+Assumptions!G$15),I1902*(1+Assumptions!G$14)),-2)</f>
        <v>3500</v>
      </c>
      <c r="K1902" s="288">
        <f>ROUND(IF($A1902="E",J1902*(1+Assumptions!H$15),J1902*(1+Assumptions!H$14)),-2)</f>
        <v>3600</v>
      </c>
      <c r="L1902" s="288">
        <f>ROUND(IF($A1902="E",K1902*(1+Assumptions!I$15),K1902*(1+Assumptions!I$14)),-2)</f>
        <v>3700</v>
      </c>
      <c r="M1902" s="288">
        <f>ROUND(IF($A1902="E",L1902*(1+Assumptions!J$15),L1902*(1+Assumptions!J$14)),-2)</f>
        <v>3800</v>
      </c>
      <c r="N1902" s="288">
        <f>ROUND(IF($A1902="E",M1902*(1+Assumptions!K$15),M1902*(1+Assumptions!K$14)),-2)</f>
        <v>3900</v>
      </c>
    </row>
    <row r="1903" spans="2:14" x14ac:dyDescent="0.25">
      <c r="B1903" s="16" t="s">
        <v>43</v>
      </c>
      <c r="C1903" s="16" t="s">
        <v>2980</v>
      </c>
      <c r="D1903" s="16" t="s">
        <v>2981</v>
      </c>
      <c r="E1903" s="288">
        <v>10300</v>
      </c>
      <c r="F1903" s="288">
        <f>ROUND(IF($A1903="E",E1903*(1+Assumptions!C$15),E1903*(1+Assumptions!C$14)),-2)</f>
        <v>10500</v>
      </c>
      <c r="G1903" s="288">
        <f>ROUND(IF($A1903="E",F1903*(1+Assumptions!D$15),F1903*(1+Assumptions!D$14)),-2)</f>
        <v>10700</v>
      </c>
      <c r="H1903" s="288">
        <f>ROUND(IF($A1903="E",G1903*(1+Assumptions!E$15),G1903*(1+Assumptions!E$14)),-2)</f>
        <v>10900</v>
      </c>
      <c r="I1903" s="288">
        <f>ROUND(IF($A1903="E",H1903*(1+Assumptions!F$15),H1903*(1+Assumptions!F$14)),-2)</f>
        <v>11100</v>
      </c>
      <c r="J1903" s="288">
        <f>ROUND(IF($A1903="E",I1903*(1+Assumptions!G$15),I1903*(1+Assumptions!G$14)),-2)</f>
        <v>11300</v>
      </c>
      <c r="K1903" s="288">
        <f>ROUND(IF($A1903="E",J1903*(1+Assumptions!H$15),J1903*(1+Assumptions!H$14)),-2)</f>
        <v>11500</v>
      </c>
      <c r="L1903" s="288">
        <f>ROUND(IF($A1903="E",K1903*(1+Assumptions!I$15),K1903*(1+Assumptions!I$14)),-2)</f>
        <v>11800</v>
      </c>
      <c r="M1903" s="288">
        <f>ROUND(IF($A1903="E",L1903*(1+Assumptions!J$15),L1903*(1+Assumptions!J$14)),-2)</f>
        <v>12100</v>
      </c>
      <c r="N1903" s="288">
        <f>ROUND(IF($A1903="E",M1903*(1+Assumptions!K$15),M1903*(1+Assumptions!K$14)),-2)</f>
        <v>12400</v>
      </c>
    </row>
    <row r="1904" spans="2:14" x14ac:dyDescent="0.25">
      <c r="B1904" s="16" t="s">
        <v>43</v>
      </c>
      <c r="C1904" s="16" t="s">
        <v>2982</v>
      </c>
      <c r="D1904" s="16" t="s">
        <v>2983</v>
      </c>
      <c r="E1904" s="288">
        <v>2200</v>
      </c>
      <c r="F1904" s="288">
        <f>ROUND(IF($A1904="E",E1904*(1+Assumptions!C$15),E1904*(1+Assumptions!C$14)),-2)</f>
        <v>2200</v>
      </c>
      <c r="G1904" s="288">
        <f>ROUND(IF($A1904="E",F1904*(1+Assumptions!D$15),F1904*(1+Assumptions!D$14)),-2)</f>
        <v>2200</v>
      </c>
      <c r="H1904" s="288">
        <f>ROUND(IF($A1904="E",G1904*(1+Assumptions!E$15),G1904*(1+Assumptions!E$14)),-2)</f>
        <v>2200</v>
      </c>
      <c r="I1904" s="288">
        <f>ROUND(IF($A1904="E",H1904*(1+Assumptions!F$15),H1904*(1+Assumptions!F$14)),-2)</f>
        <v>2200</v>
      </c>
      <c r="J1904" s="288">
        <f>ROUND(IF($A1904="E",I1904*(1+Assumptions!G$15),I1904*(1+Assumptions!G$14)),-2)</f>
        <v>2200</v>
      </c>
      <c r="K1904" s="288">
        <f>ROUND(IF($A1904="E",J1904*(1+Assumptions!H$15),J1904*(1+Assumptions!H$14)),-2)</f>
        <v>2200</v>
      </c>
      <c r="L1904" s="288">
        <f>ROUND(IF($A1904="E",K1904*(1+Assumptions!I$15),K1904*(1+Assumptions!I$14)),-2)</f>
        <v>2300</v>
      </c>
      <c r="M1904" s="288">
        <f>ROUND(IF($A1904="E",L1904*(1+Assumptions!J$15),L1904*(1+Assumptions!J$14)),-2)</f>
        <v>2400</v>
      </c>
      <c r="N1904" s="288">
        <f>ROUND(IF($A1904="E",M1904*(1+Assumptions!K$15),M1904*(1+Assumptions!K$14)),-2)</f>
        <v>2500</v>
      </c>
    </row>
    <row r="1905" spans="2:14" x14ac:dyDescent="0.25">
      <c r="B1905" s="16" t="s">
        <v>43</v>
      </c>
      <c r="C1905" s="16" t="s">
        <v>2984</v>
      </c>
      <c r="D1905" s="16" t="s">
        <v>2985</v>
      </c>
      <c r="E1905" s="288">
        <v>30200</v>
      </c>
      <c r="F1905" s="288">
        <f>ROUND(IF($A1905="E",E1905*(1+Assumptions!C$15),E1905*(1+Assumptions!C$14)),-2)</f>
        <v>30700</v>
      </c>
      <c r="G1905" s="288">
        <f>ROUND(IF($A1905="E",F1905*(1+Assumptions!D$15),F1905*(1+Assumptions!D$14)),-2)</f>
        <v>31300</v>
      </c>
      <c r="H1905" s="288">
        <f>ROUND(IF($A1905="E",G1905*(1+Assumptions!E$15),G1905*(1+Assumptions!E$14)),-2)</f>
        <v>31900</v>
      </c>
      <c r="I1905" s="288">
        <f>ROUND(IF($A1905="E",H1905*(1+Assumptions!F$15),H1905*(1+Assumptions!F$14)),-2)</f>
        <v>32500</v>
      </c>
      <c r="J1905" s="288">
        <f>ROUND(IF($A1905="E",I1905*(1+Assumptions!G$15),I1905*(1+Assumptions!G$14)),-2)</f>
        <v>33200</v>
      </c>
      <c r="K1905" s="288">
        <f>ROUND(IF($A1905="E",J1905*(1+Assumptions!H$15),J1905*(1+Assumptions!H$14)),-2)</f>
        <v>33900</v>
      </c>
      <c r="L1905" s="288">
        <f>ROUND(IF($A1905="E",K1905*(1+Assumptions!I$15),K1905*(1+Assumptions!I$14)),-2)</f>
        <v>34700</v>
      </c>
      <c r="M1905" s="288">
        <f>ROUND(IF($A1905="E",L1905*(1+Assumptions!J$15),L1905*(1+Assumptions!J$14)),-2)</f>
        <v>35600</v>
      </c>
      <c r="N1905" s="288">
        <f>ROUND(IF($A1905="E",M1905*(1+Assumptions!K$15),M1905*(1+Assumptions!K$14)),-2)</f>
        <v>36500</v>
      </c>
    </row>
    <row r="1906" spans="2:14" x14ac:dyDescent="0.25">
      <c r="B1906" s="16" t="s">
        <v>45</v>
      </c>
      <c r="C1906" s="16" t="s">
        <v>2986</v>
      </c>
      <c r="D1906" s="16" t="s">
        <v>2987</v>
      </c>
      <c r="E1906" s="289"/>
      <c r="F1906" s="289"/>
      <c r="G1906" s="289"/>
      <c r="H1906" s="289"/>
      <c r="I1906" s="289"/>
      <c r="J1906" s="289"/>
      <c r="K1906" s="289"/>
      <c r="L1906" s="289"/>
      <c r="M1906" s="289"/>
      <c r="N1906" s="289"/>
    </row>
    <row r="1907" spans="2:14" x14ac:dyDescent="0.25">
      <c r="B1907" s="16" t="s">
        <v>45</v>
      </c>
      <c r="C1907" s="16" t="s">
        <v>2988</v>
      </c>
      <c r="D1907" s="16" t="s">
        <v>2989</v>
      </c>
      <c r="E1907" s="288">
        <v>5300</v>
      </c>
      <c r="F1907" s="288">
        <f>ROUND(IF($A1907="E",E1907*(1+Assumptions!C$15),E1907*(1+Assumptions!C$14)),-2)</f>
        <v>5400</v>
      </c>
      <c r="G1907" s="288">
        <f>ROUND(IF($A1907="E",F1907*(1+Assumptions!D$15),F1907*(1+Assumptions!D$14)),-2)</f>
        <v>5500</v>
      </c>
      <c r="H1907" s="288">
        <f>ROUND(IF($A1907="E",G1907*(1+Assumptions!E$15),G1907*(1+Assumptions!E$14)),-2)</f>
        <v>5600</v>
      </c>
      <c r="I1907" s="288">
        <f>ROUND(IF($A1907="E",H1907*(1+Assumptions!F$15),H1907*(1+Assumptions!F$14)),-2)</f>
        <v>5700</v>
      </c>
      <c r="J1907" s="288">
        <f>ROUND(IF($A1907="E",I1907*(1+Assumptions!G$15),I1907*(1+Assumptions!G$14)),-2)</f>
        <v>5800</v>
      </c>
      <c r="K1907" s="288">
        <f>ROUND(IF($A1907="E",J1907*(1+Assumptions!H$15),J1907*(1+Assumptions!H$14)),-2)</f>
        <v>5900</v>
      </c>
      <c r="L1907" s="288">
        <f>ROUND(IF($A1907="E",K1907*(1+Assumptions!I$15),K1907*(1+Assumptions!I$14)),-2)</f>
        <v>6000</v>
      </c>
      <c r="M1907" s="288">
        <f>ROUND(IF($A1907="E",L1907*(1+Assumptions!J$15),L1907*(1+Assumptions!J$14)),-2)</f>
        <v>6200</v>
      </c>
      <c r="N1907" s="288">
        <f>ROUND(IF($A1907="E",M1907*(1+Assumptions!K$15),M1907*(1+Assumptions!K$14)),-2)</f>
        <v>6400</v>
      </c>
    </row>
    <row r="1908" spans="2:14" x14ac:dyDescent="0.25">
      <c r="B1908" s="16" t="s">
        <v>45</v>
      </c>
      <c r="C1908" s="16" t="s">
        <v>2990</v>
      </c>
      <c r="D1908" s="16" t="s">
        <v>397</v>
      </c>
      <c r="E1908" s="288">
        <v>5300</v>
      </c>
      <c r="F1908" s="288">
        <f>ROUND(IF($A1908="E",E1908*(1+Assumptions!C$15),E1908*(1+Assumptions!C$14)),-2)</f>
        <v>5400</v>
      </c>
      <c r="G1908" s="288">
        <f>ROUND(IF($A1908="E",F1908*(1+Assumptions!D$15),F1908*(1+Assumptions!D$14)),-2)</f>
        <v>5500</v>
      </c>
      <c r="H1908" s="288">
        <f>ROUND(IF($A1908="E",G1908*(1+Assumptions!E$15),G1908*(1+Assumptions!E$14)),-2)</f>
        <v>5600</v>
      </c>
      <c r="I1908" s="288">
        <f>ROUND(IF($A1908="E",H1908*(1+Assumptions!F$15),H1908*(1+Assumptions!F$14)),-2)</f>
        <v>5700</v>
      </c>
      <c r="J1908" s="288">
        <f>ROUND(IF($A1908="E",I1908*(1+Assumptions!G$15),I1908*(1+Assumptions!G$14)),-2)</f>
        <v>5800</v>
      </c>
      <c r="K1908" s="288">
        <f>ROUND(IF($A1908="E",J1908*(1+Assumptions!H$15),J1908*(1+Assumptions!H$14)),-2)</f>
        <v>5900</v>
      </c>
      <c r="L1908" s="288">
        <f>ROUND(IF($A1908="E",K1908*(1+Assumptions!I$15),K1908*(1+Assumptions!I$14)),-2)</f>
        <v>6000</v>
      </c>
      <c r="M1908" s="288">
        <f>ROUND(IF($A1908="E",L1908*(1+Assumptions!J$15),L1908*(1+Assumptions!J$14)),-2)</f>
        <v>6200</v>
      </c>
      <c r="N1908" s="288">
        <f>ROUND(IF($A1908="E",M1908*(1+Assumptions!K$15),M1908*(1+Assumptions!K$14)),-2)</f>
        <v>6400</v>
      </c>
    </row>
    <row r="1909" spans="2:14" x14ac:dyDescent="0.25">
      <c r="C1909" s="16" t="s">
        <v>2991</v>
      </c>
      <c r="D1909" s="16" t="s">
        <v>187</v>
      </c>
      <c r="E1909" s="289"/>
      <c r="F1909" s="289"/>
      <c r="G1909" s="289"/>
      <c r="H1909" s="289"/>
      <c r="I1909" s="289"/>
      <c r="J1909" s="289"/>
      <c r="K1909" s="289"/>
      <c r="L1909" s="289"/>
      <c r="M1909" s="289"/>
      <c r="N1909" s="289"/>
    </row>
    <row r="1910" spans="2:14" x14ac:dyDescent="0.25">
      <c r="B1910" s="16" t="s">
        <v>43</v>
      </c>
      <c r="C1910" s="16" t="s">
        <v>2992</v>
      </c>
      <c r="D1910" s="16" t="s">
        <v>2993</v>
      </c>
      <c r="E1910" s="288">
        <v>51500</v>
      </c>
      <c r="F1910" s="288">
        <f>ROUND(IF($A1910="E",E1910*(1+Assumptions!C$15),E1910*(1+Assumptions!C$14)),-2)</f>
        <v>52300</v>
      </c>
      <c r="G1910" s="288">
        <f>ROUND(IF($A1910="E",F1910*(1+Assumptions!D$15),F1910*(1+Assumptions!D$14)),-2)</f>
        <v>53300</v>
      </c>
      <c r="H1910" s="288">
        <f>ROUND(IF($A1910="E",G1910*(1+Assumptions!E$15),G1910*(1+Assumptions!E$14)),-2)</f>
        <v>54400</v>
      </c>
      <c r="I1910" s="288">
        <f>ROUND(IF($A1910="E",H1910*(1+Assumptions!F$15),H1910*(1+Assumptions!F$14)),-2)</f>
        <v>55500</v>
      </c>
      <c r="J1910" s="288">
        <f>ROUND(IF($A1910="E",I1910*(1+Assumptions!G$15),I1910*(1+Assumptions!G$14)),-2)</f>
        <v>56600</v>
      </c>
      <c r="K1910" s="288">
        <f>ROUND(IF($A1910="E",J1910*(1+Assumptions!H$15),J1910*(1+Assumptions!H$14)),-2)</f>
        <v>57700</v>
      </c>
      <c r="L1910" s="288">
        <f>ROUND(IF($A1910="E",K1910*(1+Assumptions!I$15),K1910*(1+Assumptions!I$14)),-2)</f>
        <v>59100</v>
      </c>
      <c r="M1910" s="288">
        <f>ROUND(IF($A1910="E",L1910*(1+Assumptions!J$15),L1910*(1+Assumptions!J$14)),-2)</f>
        <v>60600</v>
      </c>
      <c r="N1910" s="288">
        <f>ROUND(IF($A1910="E",M1910*(1+Assumptions!K$15),M1910*(1+Assumptions!K$14)),-2)</f>
        <v>62100</v>
      </c>
    </row>
    <row r="1911" spans="2:14" x14ac:dyDescent="0.25">
      <c r="B1911" s="16" t="s">
        <v>43</v>
      </c>
      <c r="C1911" s="16" t="s">
        <v>2994</v>
      </c>
      <c r="D1911" s="16" t="s">
        <v>1929</v>
      </c>
      <c r="E1911" s="288">
        <v>9000</v>
      </c>
      <c r="F1911" s="288">
        <f>ROUND(IF($A1911="E",E1911*(1+Assumptions!C$15),E1911*(1+Assumptions!C$14)),-2)</f>
        <v>9100</v>
      </c>
      <c r="G1911" s="288">
        <f>ROUND(IF($A1911="E",F1911*(1+Assumptions!D$15),F1911*(1+Assumptions!D$14)),-2)</f>
        <v>9300</v>
      </c>
      <c r="H1911" s="288">
        <f>ROUND(IF($A1911="E",G1911*(1+Assumptions!E$15),G1911*(1+Assumptions!E$14)),-2)</f>
        <v>9500</v>
      </c>
      <c r="I1911" s="288">
        <f>ROUND(IF($A1911="E",H1911*(1+Assumptions!F$15),H1911*(1+Assumptions!F$14)),-2)</f>
        <v>9700</v>
      </c>
      <c r="J1911" s="288">
        <f>ROUND(IF($A1911="E",I1911*(1+Assumptions!G$15),I1911*(1+Assumptions!G$14)),-2)</f>
        <v>9900</v>
      </c>
      <c r="K1911" s="288">
        <f>ROUND(IF($A1911="E",J1911*(1+Assumptions!H$15),J1911*(1+Assumptions!H$14)),-2)</f>
        <v>10100</v>
      </c>
      <c r="L1911" s="288">
        <f>ROUND(IF($A1911="E",K1911*(1+Assumptions!I$15),K1911*(1+Assumptions!I$14)),-2)</f>
        <v>10400</v>
      </c>
      <c r="M1911" s="288">
        <f>ROUND(IF($A1911="E",L1911*(1+Assumptions!J$15),L1911*(1+Assumptions!J$14)),-2)</f>
        <v>10700</v>
      </c>
      <c r="N1911" s="288">
        <f>ROUND(IF($A1911="E",M1911*(1+Assumptions!K$15),M1911*(1+Assumptions!K$14)),-2)</f>
        <v>11000</v>
      </c>
    </row>
    <row r="1912" spans="2:14" x14ac:dyDescent="0.25">
      <c r="B1912" s="16" t="s">
        <v>43</v>
      </c>
      <c r="C1912" s="16" t="s">
        <v>2995</v>
      </c>
      <c r="D1912" s="16" t="s">
        <v>367</v>
      </c>
      <c r="E1912" s="288">
        <v>109400</v>
      </c>
      <c r="F1912" s="288">
        <f>ROUND(IF($A1912="E",E1912*(1+Assumptions!C$15),E1912*(1+Assumptions!C$14)),-2)</f>
        <v>111000</v>
      </c>
      <c r="G1912" s="288">
        <f>ROUND(IF($A1912="E",F1912*(1+Assumptions!D$15),F1912*(1+Assumptions!D$14)),-2)</f>
        <v>113200</v>
      </c>
      <c r="H1912" s="288">
        <f>ROUND(IF($A1912="E",G1912*(1+Assumptions!E$15),G1912*(1+Assumptions!E$14)),-2)</f>
        <v>115500</v>
      </c>
      <c r="I1912" s="288">
        <f>ROUND(IF($A1912="E",H1912*(1+Assumptions!F$15),H1912*(1+Assumptions!F$14)),-2)</f>
        <v>117800</v>
      </c>
      <c r="J1912" s="288">
        <f>ROUND(IF($A1912="E",I1912*(1+Assumptions!G$15),I1912*(1+Assumptions!G$14)),-2)</f>
        <v>120200</v>
      </c>
      <c r="K1912" s="288">
        <f>ROUND(IF($A1912="E",J1912*(1+Assumptions!H$15),J1912*(1+Assumptions!H$14)),-2)</f>
        <v>122600</v>
      </c>
      <c r="L1912" s="288">
        <f>ROUND(IF($A1912="E",K1912*(1+Assumptions!I$15),K1912*(1+Assumptions!I$14)),-2)</f>
        <v>125700</v>
      </c>
      <c r="M1912" s="288">
        <f>ROUND(IF($A1912="E",L1912*(1+Assumptions!J$15),L1912*(1+Assumptions!J$14)),-2)</f>
        <v>128800</v>
      </c>
      <c r="N1912" s="288">
        <f>ROUND(IF($A1912="E",M1912*(1+Assumptions!K$15),M1912*(1+Assumptions!K$14)),-2)</f>
        <v>132000</v>
      </c>
    </row>
    <row r="1913" spans="2:14" x14ac:dyDescent="0.25">
      <c r="B1913" s="16" t="s">
        <v>43</v>
      </c>
      <c r="C1913" s="16" t="s">
        <v>2996</v>
      </c>
      <c r="D1913" s="16" t="s">
        <v>193</v>
      </c>
      <c r="E1913" s="288">
        <v>1020600</v>
      </c>
      <c r="F1913" s="288">
        <f>ROUND(IF($A1913="E",E1913*(1+Assumptions!C$15),E1913*(1+Assumptions!C$14)),-2)</f>
        <v>1035900</v>
      </c>
      <c r="G1913" s="288">
        <f>ROUND(IF($A1913="E",F1913*(1+Assumptions!D$15),F1913*(1+Assumptions!D$14)),-2)</f>
        <v>1056600</v>
      </c>
      <c r="H1913" s="288">
        <f>ROUND(IF($A1913="E",G1913*(1+Assumptions!E$15),G1913*(1+Assumptions!E$14)),-2)</f>
        <v>1077700</v>
      </c>
      <c r="I1913" s="288">
        <f>ROUND(IF($A1913="E",H1913*(1+Assumptions!F$15),H1913*(1+Assumptions!F$14)),-2)</f>
        <v>1099300</v>
      </c>
      <c r="J1913" s="288">
        <f>ROUND(IF($A1913="E",I1913*(1+Assumptions!G$15),I1913*(1+Assumptions!G$14)),-2)</f>
        <v>1121300</v>
      </c>
      <c r="K1913" s="288">
        <f>ROUND(IF($A1913="E",J1913*(1+Assumptions!H$15),J1913*(1+Assumptions!H$14)),-2)</f>
        <v>1143700</v>
      </c>
      <c r="L1913" s="288">
        <f>ROUND(IF($A1913="E",K1913*(1+Assumptions!I$15),K1913*(1+Assumptions!I$14)),-2)</f>
        <v>1172300</v>
      </c>
      <c r="M1913" s="288">
        <f>ROUND(IF($A1913="E",L1913*(1+Assumptions!J$15),L1913*(1+Assumptions!J$14)),-2)</f>
        <v>1201600</v>
      </c>
      <c r="N1913" s="288">
        <f>ROUND(IF($A1913="E",M1913*(1+Assumptions!K$15),M1913*(1+Assumptions!K$14)),-2)</f>
        <v>1231600</v>
      </c>
    </row>
    <row r="1914" spans="2:14" x14ac:dyDescent="0.25">
      <c r="B1914" s="16" t="s">
        <v>43</v>
      </c>
      <c r="C1914" s="16" t="s">
        <v>2997</v>
      </c>
      <c r="D1914" s="16" t="s">
        <v>2464</v>
      </c>
      <c r="E1914" s="289"/>
      <c r="F1914" s="289"/>
      <c r="G1914" s="289"/>
      <c r="H1914" s="289"/>
      <c r="I1914" s="289"/>
      <c r="J1914" s="289"/>
      <c r="K1914" s="289"/>
      <c r="L1914" s="289"/>
      <c r="M1914" s="289"/>
      <c r="N1914" s="289"/>
    </row>
    <row r="1915" spans="2:14" x14ac:dyDescent="0.25">
      <c r="B1915" s="16" t="s">
        <v>43</v>
      </c>
      <c r="C1915" s="16" t="s">
        <v>2998</v>
      </c>
      <c r="D1915" s="16" t="s">
        <v>2999</v>
      </c>
      <c r="E1915" s="288">
        <v>388100</v>
      </c>
      <c r="F1915" s="288">
        <f>ROUND(IF($A1915="E",E1915*(1+Assumptions!C$15),E1915*(1+Assumptions!C$14)),-2)</f>
        <v>393900</v>
      </c>
      <c r="G1915" s="288">
        <f>ROUND(IF($A1915="E",F1915*(1+Assumptions!D$15),F1915*(1+Assumptions!D$14)),-2)</f>
        <v>401800</v>
      </c>
      <c r="H1915" s="288">
        <f>ROUND(IF($A1915="E",G1915*(1+Assumptions!E$15),G1915*(1+Assumptions!E$14)),-2)</f>
        <v>409800</v>
      </c>
      <c r="I1915" s="288">
        <f>ROUND(IF($A1915="E",H1915*(1+Assumptions!F$15),H1915*(1+Assumptions!F$14)),-2)</f>
        <v>418000</v>
      </c>
      <c r="J1915" s="288">
        <f>ROUND(IF($A1915="E",I1915*(1+Assumptions!G$15),I1915*(1+Assumptions!G$14)),-2)</f>
        <v>426400</v>
      </c>
      <c r="K1915" s="288">
        <f>ROUND(IF($A1915="E",J1915*(1+Assumptions!H$15),J1915*(1+Assumptions!H$14)),-2)</f>
        <v>434900</v>
      </c>
      <c r="L1915" s="288">
        <f>ROUND(IF($A1915="E",K1915*(1+Assumptions!I$15),K1915*(1+Assumptions!I$14)),-2)</f>
        <v>445800</v>
      </c>
      <c r="M1915" s="288">
        <f>ROUND(IF($A1915="E",L1915*(1+Assumptions!J$15),L1915*(1+Assumptions!J$14)),-2)</f>
        <v>456900</v>
      </c>
      <c r="N1915" s="288">
        <f>ROUND(IF($A1915="E",M1915*(1+Assumptions!K$15),M1915*(1+Assumptions!K$14)),-2)</f>
        <v>468300</v>
      </c>
    </row>
    <row r="1916" spans="2:14" x14ac:dyDescent="0.25">
      <c r="B1916" s="16" t="s">
        <v>43</v>
      </c>
      <c r="C1916" s="16" t="s">
        <v>3000</v>
      </c>
      <c r="D1916" s="16" t="s">
        <v>3001</v>
      </c>
      <c r="E1916" s="288">
        <v>299900</v>
      </c>
      <c r="F1916" s="288">
        <f>ROUND(IF($A1916="E",E1916*(1+Assumptions!C$15),E1916*(1+Assumptions!C$14)),-2)</f>
        <v>304400</v>
      </c>
      <c r="G1916" s="288">
        <f>ROUND(IF($A1916="E",F1916*(1+Assumptions!D$15),F1916*(1+Assumptions!D$14)),-2)</f>
        <v>310500</v>
      </c>
      <c r="H1916" s="288">
        <f>ROUND(IF($A1916="E",G1916*(1+Assumptions!E$15),G1916*(1+Assumptions!E$14)),-2)</f>
        <v>316700</v>
      </c>
      <c r="I1916" s="288">
        <f>ROUND(IF($A1916="E",H1916*(1+Assumptions!F$15),H1916*(1+Assumptions!F$14)),-2)</f>
        <v>323000</v>
      </c>
      <c r="J1916" s="288">
        <f>ROUND(IF($A1916="E",I1916*(1+Assumptions!G$15),I1916*(1+Assumptions!G$14)),-2)</f>
        <v>329500</v>
      </c>
      <c r="K1916" s="288">
        <f>ROUND(IF($A1916="E",J1916*(1+Assumptions!H$15),J1916*(1+Assumptions!H$14)),-2)</f>
        <v>336100</v>
      </c>
      <c r="L1916" s="288">
        <f>ROUND(IF($A1916="E",K1916*(1+Assumptions!I$15),K1916*(1+Assumptions!I$14)),-2)</f>
        <v>344500</v>
      </c>
      <c r="M1916" s="288">
        <f>ROUND(IF($A1916="E",L1916*(1+Assumptions!J$15),L1916*(1+Assumptions!J$14)),-2)</f>
        <v>353100</v>
      </c>
      <c r="N1916" s="288">
        <f>ROUND(IF($A1916="E",M1916*(1+Assumptions!K$15),M1916*(1+Assumptions!K$14)),-2)</f>
        <v>361900</v>
      </c>
    </row>
    <row r="1917" spans="2:14" x14ac:dyDescent="0.25">
      <c r="B1917" s="16" t="s">
        <v>43</v>
      </c>
      <c r="C1917" s="16" t="s">
        <v>3002</v>
      </c>
      <c r="D1917" s="16" t="s">
        <v>3003</v>
      </c>
      <c r="E1917" s="288">
        <v>163000</v>
      </c>
      <c r="F1917" s="288">
        <f>ROUND(IF($A1917="E",E1917*(1+Assumptions!C$15),E1917*(1+Assumptions!C$14)),-2)</f>
        <v>165400</v>
      </c>
      <c r="G1917" s="288">
        <f>ROUND(IF($A1917="E",F1917*(1+Assumptions!D$15),F1917*(1+Assumptions!D$14)),-2)</f>
        <v>168700</v>
      </c>
      <c r="H1917" s="288">
        <f>ROUND(IF($A1917="E",G1917*(1+Assumptions!E$15),G1917*(1+Assumptions!E$14)),-2)</f>
        <v>172100</v>
      </c>
      <c r="I1917" s="288">
        <f>ROUND(IF($A1917="E",H1917*(1+Assumptions!F$15),H1917*(1+Assumptions!F$14)),-2)</f>
        <v>175500</v>
      </c>
      <c r="J1917" s="288">
        <f>ROUND(IF($A1917="E",I1917*(1+Assumptions!G$15),I1917*(1+Assumptions!G$14)),-2)</f>
        <v>179000</v>
      </c>
      <c r="K1917" s="288">
        <f>ROUND(IF($A1917="E",J1917*(1+Assumptions!H$15),J1917*(1+Assumptions!H$14)),-2)</f>
        <v>182600</v>
      </c>
      <c r="L1917" s="288">
        <f>ROUND(IF($A1917="E",K1917*(1+Assumptions!I$15),K1917*(1+Assumptions!I$14)),-2)</f>
        <v>187200</v>
      </c>
      <c r="M1917" s="288">
        <f>ROUND(IF($A1917="E",L1917*(1+Assumptions!J$15),L1917*(1+Assumptions!J$14)),-2)</f>
        <v>191900</v>
      </c>
      <c r="N1917" s="288">
        <f>ROUND(IF($A1917="E",M1917*(1+Assumptions!K$15),M1917*(1+Assumptions!K$14)),-2)</f>
        <v>196700</v>
      </c>
    </row>
    <row r="1918" spans="2:14" x14ac:dyDescent="0.25">
      <c r="B1918" s="16" t="s">
        <v>43</v>
      </c>
      <c r="C1918" s="16" t="s">
        <v>3004</v>
      </c>
      <c r="D1918" s="16" t="s">
        <v>3005</v>
      </c>
      <c r="E1918" s="288">
        <v>20700</v>
      </c>
      <c r="F1918" s="288">
        <f>ROUND(IF($A1918="E",E1918*(1+Assumptions!C$15),E1918*(1+Assumptions!C$14)),-2)</f>
        <v>21000</v>
      </c>
      <c r="G1918" s="288">
        <f>ROUND(IF($A1918="E",F1918*(1+Assumptions!D$15),F1918*(1+Assumptions!D$14)),-2)</f>
        <v>21400</v>
      </c>
      <c r="H1918" s="288">
        <f>ROUND(IF($A1918="E",G1918*(1+Assumptions!E$15),G1918*(1+Assumptions!E$14)),-2)</f>
        <v>21800</v>
      </c>
      <c r="I1918" s="288">
        <f>ROUND(IF($A1918="E",H1918*(1+Assumptions!F$15),H1918*(1+Assumptions!F$14)),-2)</f>
        <v>22200</v>
      </c>
      <c r="J1918" s="288">
        <f>ROUND(IF($A1918="E",I1918*(1+Assumptions!G$15),I1918*(1+Assumptions!G$14)),-2)</f>
        <v>22600</v>
      </c>
      <c r="K1918" s="288">
        <f>ROUND(IF($A1918="E",J1918*(1+Assumptions!H$15),J1918*(1+Assumptions!H$14)),-2)</f>
        <v>23100</v>
      </c>
      <c r="L1918" s="288">
        <f>ROUND(IF($A1918="E",K1918*(1+Assumptions!I$15),K1918*(1+Assumptions!I$14)),-2)</f>
        <v>23700</v>
      </c>
      <c r="M1918" s="288">
        <f>ROUND(IF($A1918="E",L1918*(1+Assumptions!J$15),L1918*(1+Assumptions!J$14)),-2)</f>
        <v>24300</v>
      </c>
      <c r="N1918" s="288">
        <f>ROUND(IF($A1918="E",M1918*(1+Assumptions!K$15),M1918*(1+Assumptions!K$14)),-2)</f>
        <v>24900</v>
      </c>
    </row>
    <row r="1919" spans="2:14" x14ac:dyDescent="0.25">
      <c r="B1919" s="16" t="s">
        <v>43</v>
      </c>
      <c r="C1919" s="16" t="s">
        <v>3006</v>
      </c>
      <c r="D1919" s="16" t="s">
        <v>3007</v>
      </c>
      <c r="E1919" s="288">
        <v>330700</v>
      </c>
      <c r="F1919" s="288">
        <f>ROUND(IF($A1919="E",E1919*(1+Assumptions!C$15),E1919*(1+Assumptions!C$14)),-2)</f>
        <v>335700</v>
      </c>
      <c r="G1919" s="288">
        <f>ROUND(IF($A1919="E",F1919*(1+Assumptions!D$15),F1919*(1+Assumptions!D$14)),-2)</f>
        <v>342400</v>
      </c>
      <c r="H1919" s="288">
        <f>ROUND(IF($A1919="E",G1919*(1+Assumptions!E$15),G1919*(1+Assumptions!E$14)),-2)</f>
        <v>349200</v>
      </c>
      <c r="I1919" s="288">
        <f>ROUND(IF($A1919="E",H1919*(1+Assumptions!F$15),H1919*(1+Assumptions!F$14)),-2)</f>
        <v>356200</v>
      </c>
      <c r="J1919" s="288">
        <f>ROUND(IF($A1919="E",I1919*(1+Assumptions!G$15),I1919*(1+Assumptions!G$14)),-2)</f>
        <v>363300</v>
      </c>
      <c r="K1919" s="288">
        <f>ROUND(IF($A1919="E",J1919*(1+Assumptions!H$15),J1919*(1+Assumptions!H$14)),-2)</f>
        <v>370600</v>
      </c>
      <c r="L1919" s="288">
        <f>ROUND(IF($A1919="E",K1919*(1+Assumptions!I$15),K1919*(1+Assumptions!I$14)),-2)</f>
        <v>379900</v>
      </c>
      <c r="M1919" s="288">
        <f>ROUND(IF($A1919="E",L1919*(1+Assumptions!J$15),L1919*(1+Assumptions!J$14)),-2)</f>
        <v>389400</v>
      </c>
      <c r="N1919" s="288">
        <f>ROUND(IF($A1919="E",M1919*(1+Assumptions!K$15),M1919*(1+Assumptions!K$14)),-2)</f>
        <v>399100</v>
      </c>
    </row>
    <row r="1920" spans="2:14" x14ac:dyDescent="0.25">
      <c r="B1920" s="16" t="s">
        <v>43</v>
      </c>
      <c r="C1920" s="16" t="s">
        <v>3008</v>
      </c>
      <c r="D1920" s="16" t="s">
        <v>3009</v>
      </c>
      <c r="E1920" s="288">
        <v>9800</v>
      </c>
      <c r="F1920" s="288">
        <f>ROUND(IF($A1920="E",E1920*(1+Assumptions!C$15),E1920*(1+Assumptions!C$14)),-2)</f>
        <v>9900</v>
      </c>
      <c r="G1920" s="288">
        <f>ROUND(IF($A1920="E",F1920*(1+Assumptions!D$15),F1920*(1+Assumptions!D$14)),-2)</f>
        <v>10100</v>
      </c>
      <c r="H1920" s="288">
        <f>ROUND(IF($A1920="E",G1920*(1+Assumptions!E$15),G1920*(1+Assumptions!E$14)),-2)</f>
        <v>10300</v>
      </c>
      <c r="I1920" s="288">
        <f>ROUND(IF($A1920="E",H1920*(1+Assumptions!F$15),H1920*(1+Assumptions!F$14)),-2)</f>
        <v>10500</v>
      </c>
      <c r="J1920" s="288">
        <f>ROUND(IF($A1920="E",I1920*(1+Assumptions!G$15),I1920*(1+Assumptions!G$14)),-2)</f>
        <v>10700</v>
      </c>
      <c r="K1920" s="288">
        <f>ROUND(IF($A1920="E",J1920*(1+Assumptions!H$15),J1920*(1+Assumptions!H$14)),-2)</f>
        <v>10900</v>
      </c>
      <c r="L1920" s="288">
        <f>ROUND(IF($A1920="E",K1920*(1+Assumptions!I$15),K1920*(1+Assumptions!I$14)),-2)</f>
        <v>11200</v>
      </c>
      <c r="M1920" s="288">
        <f>ROUND(IF($A1920="E",L1920*(1+Assumptions!J$15),L1920*(1+Assumptions!J$14)),-2)</f>
        <v>11500</v>
      </c>
      <c r="N1920" s="288">
        <f>ROUND(IF($A1920="E",M1920*(1+Assumptions!K$15),M1920*(1+Assumptions!K$14)),-2)</f>
        <v>11800</v>
      </c>
    </row>
    <row r="1921" spans="1:14" x14ac:dyDescent="0.25">
      <c r="B1921" s="16" t="s">
        <v>43</v>
      </c>
      <c r="C1921" s="16" t="s">
        <v>3010</v>
      </c>
      <c r="D1921" s="16" t="s">
        <v>3011</v>
      </c>
      <c r="E1921" s="288">
        <v>3900500</v>
      </c>
      <c r="F1921" s="288">
        <f>ROUND(IF($A1921="E",E1921*(1+Assumptions!C$15),E1921*(1+Assumptions!C$14)),-2)</f>
        <v>3959000</v>
      </c>
      <c r="G1921" s="288">
        <f>ROUND(IF($A1921="E",F1921*(1+Assumptions!D$15),F1921*(1+Assumptions!D$14)),-2)</f>
        <v>4038200</v>
      </c>
      <c r="H1921" s="288">
        <f>ROUND(IF($A1921="E",G1921*(1+Assumptions!E$15),G1921*(1+Assumptions!E$14)),-2)</f>
        <v>4119000</v>
      </c>
      <c r="I1921" s="288">
        <f>ROUND(IF($A1921="E",H1921*(1+Assumptions!F$15),H1921*(1+Assumptions!F$14)),-2)</f>
        <v>4201400</v>
      </c>
      <c r="J1921" s="288">
        <f>ROUND(IF($A1921="E",I1921*(1+Assumptions!G$15),I1921*(1+Assumptions!G$14)),-2)</f>
        <v>4285400</v>
      </c>
      <c r="K1921" s="288">
        <f>ROUND(IF($A1921="E",J1921*(1+Assumptions!H$15),J1921*(1+Assumptions!H$14)),-2)</f>
        <v>4371100</v>
      </c>
      <c r="L1921" s="288">
        <f>ROUND(IF($A1921="E",K1921*(1+Assumptions!I$15),K1921*(1+Assumptions!I$14)),-2)</f>
        <v>4480400</v>
      </c>
      <c r="M1921" s="288">
        <f>ROUND(IF($A1921="E",L1921*(1+Assumptions!J$15),L1921*(1+Assumptions!J$14)),-2)</f>
        <v>4592400</v>
      </c>
      <c r="N1921" s="288">
        <f>ROUND(IF($A1921="E",M1921*(1+Assumptions!K$15),M1921*(1+Assumptions!K$14)),-2)</f>
        <v>4707200</v>
      </c>
    </row>
    <row r="1922" spans="1:14" x14ac:dyDescent="0.25">
      <c r="B1922" s="16" t="s">
        <v>43</v>
      </c>
      <c r="C1922" s="16" t="s">
        <v>3012</v>
      </c>
      <c r="D1922" s="16" t="s">
        <v>962</v>
      </c>
      <c r="E1922" s="289"/>
      <c r="F1922" s="289"/>
      <c r="G1922" s="289"/>
      <c r="H1922" s="289"/>
      <c r="I1922" s="289"/>
      <c r="J1922" s="289"/>
      <c r="K1922" s="289"/>
      <c r="L1922" s="289"/>
      <c r="M1922" s="289"/>
      <c r="N1922" s="289"/>
    </row>
    <row r="1923" spans="1:14" x14ac:dyDescent="0.25">
      <c r="B1923" s="16" t="s">
        <v>43</v>
      </c>
      <c r="C1923" s="16" t="s">
        <v>3013</v>
      </c>
      <c r="D1923" s="16" t="s">
        <v>3014</v>
      </c>
      <c r="E1923" s="288">
        <v>66500</v>
      </c>
      <c r="F1923" s="288">
        <f>ROUND(IF($A1923="E",E1923*(1+Assumptions!C$15),E1923*(1+Assumptions!C$14)),-2)</f>
        <v>67500</v>
      </c>
      <c r="G1923" s="288">
        <f>ROUND(IF($A1923="E",F1923*(1+Assumptions!D$15),F1923*(1+Assumptions!D$14)),-2)</f>
        <v>68900</v>
      </c>
      <c r="H1923" s="288">
        <f>ROUND(IF($A1923="E",G1923*(1+Assumptions!E$15),G1923*(1+Assumptions!E$14)),-2)</f>
        <v>70300</v>
      </c>
      <c r="I1923" s="288">
        <f>ROUND(IF($A1923="E",H1923*(1+Assumptions!F$15),H1923*(1+Assumptions!F$14)),-2)</f>
        <v>71700</v>
      </c>
      <c r="J1923" s="288">
        <f>ROUND(IF($A1923="E",I1923*(1+Assumptions!G$15),I1923*(1+Assumptions!G$14)),-2)</f>
        <v>73100</v>
      </c>
      <c r="K1923" s="288">
        <f>ROUND(IF($A1923="E",J1923*(1+Assumptions!H$15),J1923*(1+Assumptions!H$14)),-2)</f>
        <v>74600</v>
      </c>
      <c r="L1923" s="288">
        <f>ROUND(IF($A1923="E",K1923*(1+Assumptions!I$15),K1923*(1+Assumptions!I$14)),-2)</f>
        <v>76500</v>
      </c>
      <c r="M1923" s="288">
        <f>ROUND(IF($A1923="E",L1923*(1+Assumptions!J$15),L1923*(1+Assumptions!J$14)),-2)</f>
        <v>78400</v>
      </c>
      <c r="N1923" s="288">
        <f>ROUND(IF($A1923="E",M1923*(1+Assumptions!K$15),M1923*(1+Assumptions!K$14)),-2)</f>
        <v>80400</v>
      </c>
    </row>
    <row r="1924" spans="1:14" x14ac:dyDescent="0.25">
      <c r="B1924" s="16" t="s">
        <v>43</v>
      </c>
      <c r="C1924" s="16" t="s">
        <v>3015</v>
      </c>
      <c r="D1924" s="16" t="s">
        <v>3016</v>
      </c>
      <c r="E1924" s="288">
        <v>43300</v>
      </c>
      <c r="F1924" s="288">
        <f>ROUND(IF($A1924="E",E1924*(1+Assumptions!C$15),E1924*(1+Assumptions!C$14)),-2)</f>
        <v>43900</v>
      </c>
      <c r="G1924" s="288">
        <f>ROUND(IF($A1924="E",F1924*(1+Assumptions!D$15),F1924*(1+Assumptions!D$14)),-2)</f>
        <v>44800</v>
      </c>
      <c r="H1924" s="288">
        <f>ROUND(IF($A1924="E",G1924*(1+Assumptions!E$15),G1924*(1+Assumptions!E$14)),-2)</f>
        <v>45700</v>
      </c>
      <c r="I1924" s="288">
        <f>ROUND(IF($A1924="E",H1924*(1+Assumptions!F$15),H1924*(1+Assumptions!F$14)),-2)</f>
        <v>46600</v>
      </c>
      <c r="J1924" s="288">
        <f>ROUND(IF($A1924="E",I1924*(1+Assumptions!G$15),I1924*(1+Assumptions!G$14)),-2)</f>
        <v>47500</v>
      </c>
      <c r="K1924" s="288">
        <f>ROUND(IF($A1924="E",J1924*(1+Assumptions!H$15),J1924*(1+Assumptions!H$14)),-2)</f>
        <v>48500</v>
      </c>
      <c r="L1924" s="288">
        <f>ROUND(IF($A1924="E",K1924*(1+Assumptions!I$15),K1924*(1+Assumptions!I$14)),-2)</f>
        <v>49700</v>
      </c>
      <c r="M1924" s="288">
        <f>ROUND(IF($A1924="E",L1924*(1+Assumptions!J$15),L1924*(1+Assumptions!J$14)),-2)</f>
        <v>50900</v>
      </c>
      <c r="N1924" s="288">
        <f>ROUND(IF($A1924="E",M1924*(1+Assumptions!K$15),M1924*(1+Assumptions!K$14)),-2)</f>
        <v>52200</v>
      </c>
    </row>
    <row r="1925" spans="1:14" x14ac:dyDescent="0.25">
      <c r="B1925" s="16" t="s">
        <v>43</v>
      </c>
      <c r="C1925" s="16" t="s">
        <v>3017</v>
      </c>
      <c r="D1925" s="16" t="s">
        <v>3018</v>
      </c>
      <c r="E1925" s="288">
        <v>157000</v>
      </c>
      <c r="F1925" s="288">
        <f>ROUND(IF($A1925="E",E1925*(1+Assumptions!C$15),E1925*(1+Assumptions!C$14)),-2)</f>
        <v>159400</v>
      </c>
      <c r="G1925" s="288">
        <f>ROUND(IF($A1925="E",F1925*(1+Assumptions!D$15),F1925*(1+Assumptions!D$14)),-2)</f>
        <v>162600</v>
      </c>
      <c r="H1925" s="288">
        <f>ROUND(IF($A1925="E",G1925*(1+Assumptions!E$15),G1925*(1+Assumptions!E$14)),-2)</f>
        <v>165900</v>
      </c>
      <c r="I1925" s="288">
        <f>ROUND(IF($A1925="E",H1925*(1+Assumptions!F$15),H1925*(1+Assumptions!F$14)),-2)</f>
        <v>169200</v>
      </c>
      <c r="J1925" s="288">
        <f>ROUND(IF($A1925="E",I1925*(1+Assumptions!G$15),I1925*(1+Assumptions!G$14)),-2)</f>
        <v>172600</v>
      </c>
      <c r="K1925" s="288">
        <f>ROUND(IF($A1925="E",J1925*(1+Assumptions!H$15),J1925*(1+Assumptions!H$14)),-2)</f>
        <v>176100</v>
      </c>
      <c r="L1925" s="288">
        <f>ROUND(IF($A1925="E",K1925*(1+Assumptions!I$15),K1925*(1+Assumptions!I$14)),-2)</f>
        <v>180500</v>
      </c>
      <c r="M1925" s="288">
        <f>ROUND(IF($A1925="E",L1925*(1+Assumptions!J$15),L1925*(1+Assumptions!J$14)),-2)</f>
        <v>185000</v>
      </c>
      <c r="N1925" s="288">
        <f>ROUND(IF($A1925="E",M1925*(1+Assumptions!K$15),M1925*(1+Assumptions!K$14)),-2)</f>
        <v>189600</v>
      </c>
    </row>
    <row r="1926" spans="1:14" ht="12.75" customHeight="1" x14ac:dyDescent="0.25">
      <c r="A1926" s="16" t="s">
        <v>4591</v>
      </c>
      <c r="B1926" s="397" t="s">
        <v>3231</v>
      </c>
      <c r="C1926" s="43" t="s">
        <v>3295</v>
      </c>
      <c r="D1926" s="16" t="s">
        <v>3296</v>
      </c>
      <c r="E1926" s="288">
        <v>1169600</v>
      </c>
      <c r="F1926" s="288">
        <f>ROUND(IF($A1926="E",E1926*(1+Assumptions!C$15),E1926*(1+Assumptions!C$17)),-2)</f>
        <v>1181300</v>
      </c>
      <c r="G1926" s="288">
        <f>ROUND(IF($A1926="E",F1926*(1+Assumptions!D$15),F1926*(1+Assumptions!D$17)),-2)</f>
        <v>1193100</v>
      </c>
      <c r="H1926" s="288">
        <f>ROUND(IF($A1926="E",G1926*(1+Assumptions!E$15),G1926*(1+Assumptions!E$17)),-2)</f>
        <v>1205000</v>
      </c>
      <c r="I1926" s="288">
        <f>ROUND(IF($A1926="E",H1926*(1+Assumptions!F$15),H1926*(1+Assumptions!F$17)),-2)</f>
        <v>1217100</v>
      </c>
      <c r="J1926" s="288">
        <f>ROUND(IF($A1926="E",I1926*(1+Assumptions!G$15),I1926*(1+Assumptions!G$17)),-2)</f>
        <v>1229300</v>
      </c>
      <c r="K1926" s="288">
        <f>ROUND(IF($A1926="E",J1926*(1+Assumptions!H$15),J1926*(1+Assumptions!H$17)),-2)</f>
        <v>1241600</v>
      </c>
      <c r="L1926" s="288">
        <f>ROUND(IF($A1926="E",K1926*(1+Assumptions!I$15),K1926*(1+Assumptions!I$17)),-2)</f>
        <v>1254000</v>
      </c>
      <c r="M1926" s="288">
        <f>ROUND(IF($A1926="E",L1926*(1+Assumptions!J$15),L1926*(1+Assumptions!J$17)),-2)</f>
        <v>1266500</v>
      </c>
      <c r="N1926" s="288">
        <f>ROUND(IF($A1926="E",M1926*(1+Assumptions!K$15),M1926*(1+Assumptions!K$17)),-2)</f>
        <v>1279200</v>
      </c>
    </row>
    <row r="1927" spans="1:14" x14ac:dyDescent="0.25">
      <c r="E1927" s="288"/>
      <c r="F1927" s="288"/>
      <c r="G1927" s="288"/>
      <c r="H1927" s="288"/>
      <c r="I1927" s="288"/>
      <c r="J1927" s="288"/>
      <c r="K1927" s="288"/>
      <c r="L1927" s="288"/>
      <c r="M1927" s="288"/>
      <c r="N1927" s="288"/>
    </row>
    <row r="1928" spans="1:14" x14ac:dyDescent="0.25">
      <c r="D1928" s="19" t="s">
        <v>3234</v>
      </c>
      <c r="E1928" s="291">
        <f>SUM(E1875:E1927)</f>
        <v>8361100</v>
      </c>
      <c r="F1928" s="291">
        <f t="shared" ref="F1928:N1928" si="64">SUM(F1875:F1927)</f>
        <v>8480600</v>
      </c>
      <c r="G1928" s="291">
        <f t="shared" si="64"/>
        <v>8638400</v>
      </c>
      <c r="H1928" s="291">
        <f t="shared" si="64"/>
        <v>8799100</v>
      </c>
      <c r="I1928" s="291">
        <f t="shared" si="64"/>
        <v>8962800</v>
      </c>
      <c r="J1928" s="291">
        <f t="shared" si="64"/>
        <v>9129800</v>
      </c>
      <c r="K1928" s="291">
        <f t="shared" si="64"/>
        <v>9300100</v>
      </c>
      <c r="L1928" s="291">
        <f t="shared" si="64"/>
        <v>9514000</v>
      </c>
      <c r="M1928" s="291">
        <f t="shared" si="64"/>
        <v>9733200</v>
      </c>
      <c r="N1928" s="291">
        <f t="shared" si="64"/>
        <v>9957800</v>
      </c>
    </row>
    <row r="1929" spans="1:14" x14ac:dyDescent="0.25">
      <c r="D1929" s="19"/>
      <c r="E1929" s="288"/>
      <c r="F1929" s="288"/>
      <c r="G1929" s="288"/>
      <c r="H1929" s="288"/>
      <c r="I1929" s="288"/>
      <c r="J1929" s="288"/>
      <c r="K1929" s="288"/>
      <c r="L1929" s="288"/>
      <c r="M1929" s="288"/>
      <c r="N1929" s="288"/>
    </row>
    <row r="1930" spans="1:14" x14ac:dyDescent="0.25">
      <c r="C1930" s="16" t="s">
        <v>315</v>
      </c>
      <c r="E1930" s="288"/>
      <c r="F1930" s="288"/>
      <c r="G1930" s="288"/>
      <c r="H1930" s="288"/>
      <c r="I1930" s="288"/>
      <c r="J1930" s="288"/>
      <c r="K1930" s="288"/>
      <c r="L1930" s="288"/>
      <c r="M1930" s="288"/>
      <c r="N1930" s="288"/>
    </row>
    <row r="1931" spans="1:14" x14ac:dyDescent="0.25">
      <c r="B1931" s="16" t="s">
        <v>3229</v>
      </c>
      <c r="C1931" s="16" t="s">
        <v>3019</v>
      </c>
      <c r="D1931" s="16" t="s">
        <v>1230</v>
      </c>
      <c r="E1931" s="289"/>
      <c r="F1931" s="289"/>
      <c r="G1931" s="289"/>
      <c r="H1931" s="289"/>
      <c r="I1931" s="289"/>
      <c r="J1931" s="289"/>
      <c r="K1931" s="289"/>
      <c r="L1931" s="289"/>
      <c r="M1931" s="289"/>
      <c r="N1931" s="289"/>
    </row>
    <row r="1932" spans="1:14" x14ac:dyDescent="0.25">
      <c r="B1932" s="16" t="s">
        <v>3229</v>
      </c>
      <c r="C1932" s="16" t="s">
        <v>3020</v>
      </c>
      <c r="D1932" s="16" t="s">
        <v>3021</v>
      </c>
      <c r="E1932" s="288">
        <v>-102500</v>
      </c>
      <c r="F1932" s="288">
        <f>ROUND(E1932+(E1932*Assumptions!C$13),-2)</f>
        <v>-104600</v>
      </c>
      <c r="G1932" s="288">
        <f>ROUND(F1932+(F1932*Assumptions!D$13),-2)</f>
        <v>-107200</v>
      </c>
      <c r="H1932" s="288">
        <f>ROUND(G1932+(G1932*Assumptions!E$13),-2)</f>
        <v>-109900</v>
      </c>
      <c r="I1932" s="288">
        <f>ROUND(H1932+(H1932*Assumptions!F$13),-2)</f>
        <v>-112600</v>
      </c>
      <c r="J1932" s="288">
        <f>ROUND(I1932+(I1932*Assumptions!G$13),-2)</f>
        <v>-115400</v>
      </c>
      <c r="K1932" s="288">
        <f>ROUND(J1932+(J1932*Assumptions!H$13),-2)</f>
        <v>-118300</v>
      </c>
      <c r="L1932" s="288">
        <f>ROUND(K1932+(K1932*Assumptions!I$13),-2)</f>
        <v>-121300</v>
      </c>
      <c r="M1932" s="288">
        <f>ROUND(L1932+(L1932*Assumptions!J$13),-2)</f>
        <v>-124300</v>
      </c>
      <c r="N1932" s="288">
        <f>ROUND(M1932+(M1932*Assumptions!K$13),-2)</f>
        <v>-127400</v>
      </c>
    </row>
    <row r="1933" spans="1:14" x14ac:dyDescent="0.25">
      <c r="B1933" s="16" t="s">
        <v>3227</v>
      </c>
      <c r="C1933" s="16" t="s">
        <v>3022</v>
      </c>
      <c r="D1933" s="16" t="s">
        <v>3023</v>
      </c>
      <c r="E1933" s="289"/>
      <c r="F1933" s="289"/>
      <c r="G1933" s="289"/>
      <c r="H1933" s="289"/>
      <c r="I1933" s="289"/>
      <c r="J1933" s="289"/>
      <c r="K1933" s="289"/>
      <c r="L1933" s="289"/>
      <c r="M1933" s="289"/>
      <c r="N1933" s="289"/>
    </row>
    <row r="1934" spans="1:14" x14ac:dyDescent="0.25">
      <c r="B1934" s="16" t="s">
        <v>3227</v>
      </c>
      <c r="C1934" s="16" t="s">
        <v>3024</v>
      </c>
      <c r="D1934" s="27" t="s">
        <v>3025</v>
      </c>
      <c r="E1934" s="288">
        <v>-1873400</v>
      </c>
      <c r="F1934" s="288">
        <f>E1934</f>
        <v>-1873400</v>
      </c>
      <c r="G1934" s="288">
        <f>F1934</f>
        <v>-1873400</v>
      </c>
      <c r="H1934" s="288">
        <f t="shared" ref="H1934:N1934" si="65">G1934</f>
        <v>-1873400</v>
      </c>
      <c r="I1934" s="288">
        <f t="shared" si="65"/>
        <v>-1873400</v>
      </c>
      <c r="J1934" s="288">
        <f t="shared" si="65"/>
        <v>-1873400</v>
      </c>
      <c r="K1934" s="288">
        <f t="shared" si="65"/>
        <v>-1873400</v>
      </c>
      <c r="L1934" s="288">
        <f t="shared" si="65"/>
        <v>-1873400</v>
      </c>
      <c r="M1934" s="288">
        <f t="shared" si="65"/>
        <v>-1873400</v>
      </c>
      <c r="N1934" s="288">
        <f t="shared" si="65"/>
        <v>-1873400</v>
      </c>
    </row>
    <row r="1935" spans="1:14" x14ac:dyDescent="0.25">
      <c r="B1935" s="16" t="s">
        <v>3227</v>
      </c>
      <c r="C1935" s="16" t="s">
        <v>3026</v>
      </c>
      <c r="D1935" s="27" t="s">
        <v>3027</v>
      </c>
      <c r="E1935" s="288">
        <v>-494100</v>
      </c>
      <c r="F1935" s="288">
        <f>E1935</f>
        <v>-494100</v>
      </c>
      <c r="G1935" s="288">
        <f>F1935</f>
        <v>-494100</v>
      </c>
      <c r="H1935" s="288">
        <f t="shared" ref="H1935:N1935" si="66">G1935</f>
        <v>-494100</v>
      </c>
      <c r="I1935" s="288">
        <f t="shared" si="66"/>
        <v>-494100</v>
      </c>
      <c r="J1935" s="288">
        <f t="shared" si="66"/>
        <v>-494100</v>
      </c>
      <c r="K1935" s="288">
        <f t="shared" si="66"/>
        <v>-494100</v>
      </c>
      <c r="L1935" s="288">
        <f t="shared" si="66"/>
        <v>-494100</v>
      </c>
      <c r="M1935" s="288">
        <f t="shared" si="66"/>
        <v>-494100</v>
      </c>
      <c r="N1935" s="288">
        <f t="shared" si="66"/>
        <v>-494100</v>
      </c>
    </row>
    <row r="1936" spans="1:14" x14ac:dyDescent="0.25">
      <c r="B1936" s="16" t="s">
        <v>3227</v>
      </c>
      <c r="C1936" s="16" t="s">
        <v>3028</v>
      </c>
      <c r="D1936" s="27" t="s">
        <v>329</v>
      </c>
      <c r="E1936" s="288">
        <v>122400</v>
      </c>
      <c r="F1936" s="288">
        <f>ROUND(E1936+(E1936*Assumptions!C$13),-2)</f>
        <v>124800</v>
      </c>
      <c r="G1936" s="288">
        <f>ROUND(F1936+(F1936*Assumptions!D$13),-2)</f>
        <v>127900</v>
      </c>
      <c r="H1936" s="288">
        <f>ROUND(G1936+(G1936*Assumptions!E$13),-2)</f>
        <v>131100</v>
      </c>
      <c r="I1936" s="288">
        <f>ROUND(H1936+(H1936*Assumptions!F$13),-2)</f>
        <v>134400</v>
      </c>
      <c r="J1936" s="288">
        <f>ROUND(I1936+(I1936*Assumptions!G$13),-2)</f>
        <v>137800</v>
      </c>
      <c r="K1936" s="288">
        <f>ROUND(J1936+(J1936*Assumptions!H$13),-2)</f>
        <v>141200</v>
      </c>
      <c r="L1936" s="288">
        <f>ROUND(K1936+(K1936*Assumptions!I$13),-2)</f>
        <v>144700</v>
      </c>
      <c r="M1936" s="288">
        <f>ROUND(L1936+(L1936*Assumptions!J$13),-2)</f>
        <v>148300</v>
      </c>
      <c r="N1936" s="288">
        <f>ROUND(M1936+(M1936*Assumptions!K$13),-2)</f>
        <v>152000</v>
      </c>
    </row>
    <row r="1937" spans="2:14" x14ac:dyDescent="0.25">
      <c r="B1937" s="16" t="s">
        <v>3228</v>
      </c>
      <c r="C1937" s="16" t="s">
        <v>3029</v>
      </c>
      <c r="D1937" s="27" t="s">
        <v>3030</v>
      </c>
      <c r="E1937" s="289"/>
      <c r="F1937" s="289"/>
      <c r="G1937" s="289"/>
      <c r="H1937" s="289"/>
      <c r="I1937" s="289"/>
      <c r="J1937" s="289"/>
      <c r="K1937" s="289"/>
      <c r="L1937" s="289"/>
      <c r="M1937" s="289"/>
      <c r="N1937" s="289"/>
    </row>
    <row r="1938" spans="2:14" x14ac:dyDescent="0.25">
      <c r="B1938" s="16" t="s">
        <v>3228</v>
      </c>
      <c r="C1938" s="16" t="s">
        <v>3031</v>
      </c>
      <c r="D1938" s="27" t="s">
        <v>3025</v>
      </c>
      <c r="E1938" s="288">
        <v>-4384100</v>
      </c>
      <c r="F1938" s="288">
        <f>ROUND(E1938+(E1938*Assumptions!C$7),-2)</f>
        <v>-4314000</v>
      </c>
      <c r="G1938" s="288">
        <f>ROUND(F1938+(F1938*Assumptions!D$7),-2)</f>
        <v>-4314000</v>
      </c>
      <c r="H1938" s="288">
        <f>ROUND(G1938+(G1938*Assumptions!E$7),-2)</f>
        <v>-4314000</v>
      </c>
      <c r="I1938" s="288">
        <f>ROUND(H1938+(H1938*Assumptions!F$7),-2)</f>
        <v>-4314000</v>
      </c>
      <c r="J1938" s="288">
        <f>ROUND(I1938+(I1938*Assumptions!G$7),-2)</f>
        <v>-4314000</v>
      </c>
      <c r="K1938" s="288">
        <f>ROUND(J1938+(J1938*Assumptions!H$7),-2)</f>
        <v>-4314000</v>
      </c>
      <c r="L1938" s="288">
        <f>ROUND(K1938+(K1938*Assumptions!I$7),-2)</f>
        <v>-4314000</v>
      </c>
      <c r="M1938" s="288">
        <f>ROUND(L1938+(L1938*Assumptions!J$7),-2)</f>
        <v>-4314000</v>
      </c>
      <c r="N1938" s="288">
        <f>ROUND(M1938+(M1938*Assumptions!K$7),-2)</f>
        <v>-4314000</v>
      </c>
    </row>
    <row r="1939" spans="2:14" x14ac:dyDescent="0.25">
      <c r="B1939" s="16" t="s">
        <v>3228</v>
      </c>
      <c r="C1939" s="16" t="s">
        <v>3032</v>
      </c>
      <c r="D1939" s="27" t="s">
        <v>3027</v>
      </c>
      <c r="E1939" s="288">
        <v>-2081700</v>
      </c>
      <c r="F1939" s="288">
        <f>ROUND(E1939+(E1939*Assumptions!C$7),-2)</f>
        <v>-2048400</v>
      </c>
      <c r="G1939" s="288">
        <f>ROUND(F1939+(F1939*Assumptions!D$7),-2)</f>
        <v>-2048400</v>
      </c>
      <c r="H1939" s="288">
        <f>ROUND(G1939+(G1939*Assumptions!E$7),-2)</f>
        <v>-2048400</v>
      </c>
      <c r="I1939" s="288">
        <f>ROUND(H1939+(H1939*Assumptions!F$7),-2)</f>
        <v>-2048400</v>
      </c>
      <c r="J1939" s="288">
        <f>ROUND(I1939+(I1939*Assumptions!G$7),-2)</f>
        <v>-2048400</v>
      </c>
      <c r="K1939" s="288">
        <f>ROUND(J1939+(J1939*Assumptions!H$7),-2)</f>
        <v>-2048400</v>
      </c>
      <c r="L1939" s="288">
        <f>ROUND(K1939+(K1939*Assumptions!I$7),-2)</f>
        <v>-2048400</v>
      </c>
      <c r="M1939" s="288">
        <f>ROUND(L1939+(L1939*Assumptions!J$7),-2)</f>
        <v>-2048400</v>
      </c>
      <c r="N1939" s="288">
        <f>ROUND(M1939+(M1939*Assumptions!K$7),-2)</f>
        <v>-2048400</v>
      </c>
    </row>
    <row r="1940" spans="2:14" x14ac:dyDescent="0.25">
      <c r="B1940" s="16" t="s">
        <v>3228</v>
      </c>
      <c r="C1940" s="16" t="s">
        <v>3033</v>
      </c>
      <c r="D1940" s="16" t="s">
        <v>329</v>
      </c>
      <c r="E1940" s="288">
        <v>38800</v>
      </c>
      <c r="F1940" s="288">
        <f>ROUND(E1940+(E1940*Assumptions!C$13),-2)</f>
        <v>39600</v>
      </c>
      <c r="G1940" s="288">
        <f>ROUND(F1940+(F1940*Assumptions!D$13),-2)</f>
        <v>40600</v>
      </c>
      <c r="H1940" s="288">
        <f>ROUND(G1940+(G1940*Assumptions!E$13),-2)</f>
        <v>41600</v>
      </c>
      <c r="I1940" s="288">
        <f>ROUND(H1940+(H1940*Assumptions!F$13),-2)</f>
        <v>42600</v>
      </c>
      <c r="J1940" s="288">
        <f>ROUND(I1940+(I1940*Assumptions!G$13),-2)</f>
        <v>43700</v>
      </c>
      <c r="K1940" s="288">
        <f>ROUND(J1940+(J1940*Assumptions!H$13),-2)</f>
        <v>44800</v>
      </c>
      <c r="L1940" s="288">
        <f>ROUND(K1940+(K1940*Assumptions!I$13),-2)</f>
        <v>45900</v>
      </c>
      <c r="M1940" s="288">
        <f>ROUND(L1940+(L1940*Assumptions!J$13),-2)</f>
        <v>47000</v>
      </c>
      <c r="N1940" s="288">
        <f>ROUND(M1940+(M1940*Assumptions!K$13),-2)</f>
        <v>48200</v>
      </c>
    </row>
    <row r="1941" spans="2:14" x14ac:dyDescent="0.25">
      <c r="B1941" s="16" t="s">
        <v>3228</v>
      </c>
      <c r="C1941" s="16" t="s">
        <v>3034</v>
      </c>
      <c r="D1941" s="16" t="s">
        <v>3035</v>
      </c>
      <c r="E1941" s="289"/>
      <c r="F1941" s="289"/>
      <c r="G1941" s="289"/>
      <c r="H1941" s="289"/>
      <c r="I1941" s="289"/>
      <c r="J1941" s="289"/>
      <c r="K1941" s="289"/>
      <c r="L1941" s="289"/>
      <c r="M1941" s="289"/>
      <c r="N1941" s="289"/>
    </row>
    <row r="1942" spans="2:14" x14ac:dyDescent="0.25">
      <c r="B1942" s="16" t="s">
        <v>3228</v>
      </c>
      <c r="C1942" s="16" t="s">
        <v>3036</v>
      </c>
      <c r="D1942" s="16" t="s">
        <v>3037</v>
      </c>
      <c r="E1942" s="288">
        <v>0</v>
      </c>
      <c r="F1942" s="288">
        <f>ROUND(E1942+(E1942*Assumptions!C$13),-2)</f>
        <v>0</v>
      </c>
      <c r="G1942" s="288">
        <f>ROUND(F1942+(F1942*Assumptions!D$13),-2)</f>
        <v>0</v>
      </c>
      <c r="H1942" s="288">
        <f>ROUND(G1942+(G1942*Assumptions!E$13),-2)</f>
        <v>0</v>
      </c>
      <c r="I1942" s="288">
        <f>ROUND(H1942+(H1942*Assumptions!F$13),-2)</f>
        <v>0</v>
      </c>
      <c r="J1942" s="288">
        <f>ROUND(I1942+(I1942*Assumptions!G$13),-2)</f>
        <v>0</v>
      </c>
      <c r="K1942" s="288">
        <f>ROUND(J1942+(J1942*Assumptions!H$13),-2)</f>
        <v>0</v>
      </c>
      <c r="L1942" s="288">
        <f>ROUND(K1942+(K1942*Assumptions!I$13),-2)</f>
        <v>0</v>
      </c>
      <c r="M1942" s="288">
        <f>ROUND(L1942+(L1942*Assumptions!J$13),-2)</f>
        <v>0</v>
      </c>
      <c r="N1942" s="288">
        <f>ROUND(M1942+(M1942*Assumptions!K$13),-2)</f>
        <v>0</v>
      </c>
    </row>
    <row r="1943" spans="2:14" x14ac:dyDescent="0.25">
      <c r="B1943" s="16" t="s">
        <v>3228</v>
      </c>
      <c r="C1943" s="16" t="s">
        <v>3038</v>
      </c>
      <c r="D1943" s="16" t="s">
        <v>3039</v>
      </c>
      <c r="E1943" s="288">
        <v>-44500</v>
      </c>
      <c r="F1943" s="288">
        <f>ROUND(E1943+(E1943*Assumptions!C$13),-2)</f>
        <v>-45400</v>
      </c>
      <c r="G1943" s="288">
        <f>ROUND(F1943+(F1943*Assumptions!D$13),-2)</f>
        <v>-46500</v>
      </c>
      <c r="H1943" s="288">
        <f>ROUND(G1943+(G1943*Assumptions!E$13),-2)</f>
        <v>-47700</v>
      </c>
      <c r="I1943" s="288">
        <f>ROUND(H1943+(H1943*Assumptions!F$13),-2)</f>
        <v>-48900</v>
      </c>
      <c r="J1943" s="288">
        <f>ROUND(I1943+(I1943*Assumptions!G$13),-2)</f>
        <v>-50100</v>
      </c>
      <c r="K1943" s="288">
        <f>ROUND(J1943+(J1943*Assumptions!H$13),-2)</f>
        <v>-51400</v>
      </c>
      <c r="L1943" s="288">
        <f>ROUND(K1943+(K1943*Assumptions!I$13),-2)</f>
        <v>-52700</v>
      </c>
      <c r="M1943" s="288">
        <f>ROUND(L1943+(L1943*Assumptions!J$13),-2)</f>
        <v>-54000</v>
      </c>
      <c r="N1943" s="288">
        <f>ROUND(M1943+(M1943*Assumptions!K$13),-2)</f>
        <v>-55400</v>
      </c>
    </row>
    <row r="1944" spans="2:14" x14ac:dyDescent="0.25">
      <c r="B1944" s="16" t="s">
        <v>3228</v>
      </c>
      <c r="C1944" s="16" t="s">
        <v>3040</v>
      </c>
      <c r="D1944" s="16" t="s">
        <v>3041</v>
      </c>
      <c r="E1944" s="288">
        <v>0</v>
      </c>
      <c r="F1944" s="288">
        <f>ROUND(E1944+(E1944*Assumptions!C$13),-2)</f>
        <v>0</v>
      </c>
      <c r="G1944" s="288">
        <f>ROUND(F1944+(F1944*Assumptions!D$13),-2)</f>
        <v>0</v>
      </c>
      <c r="H1944" s="288">
        <f>ROUND(G1944+(G1944*Assumptions!E$13),-2)</f>
        <v>0</v>
      </c>
      <c r="I1944" s="288">
        <f>ROUND(H1944+(H1944*Assumptions!F$13),-2)</f>
        <v>0</v>
      </c>
      <c r="J1944" s="288">
        <f>ROUND(I1944+(I1944*Assumptions!G$13),-2)</f>
        <v>0</v>
      </c>
      <c r="K1944" s="288">
        <f>ROUND(J1944+(J1944*Assumptions!H$13),-2)</f>
        <v>0</v>
      </c>
      <c r="L1944" s="288">
        <f>ROUND(K1944+(K1944*Assumptions!I$13),-2)</f>
        <v>0</v>
      </c>
      <c r="M1944" s="288">
        <f>ROUND(L1944+(L1944*Assumptions!J$13),-2)</f>
        <v>0</v>
      </c>
      <c r="N1944" s="288">
        <f>ROUND(M1944+(M1944*Assumptions!K$13),-2)</f>
        <v>0</v>
      </c>
    </row>
    <row r="1945" spans="2:14" x14ac:dyDescent="0.25">
      <c r="B1945" s="16" t="s">
        <v>3228</v>
      </c>
      <c r="C1945" s="16" t="s">
        <v>3042</v>
      </c>
      <c r="D1945" s="16" t="s">
        <v>3043</v>
      </c>
      <c r="E1945" s="288">
        <v>-79000</v>
      </c>
      <c r="F1945" s="288">
        <f>ROUND(E1945+(E1945*Assumptions!C$13),-2)</f>
        <v>-80600</v>
      </c>
      <c r="G1945" s="288">
        <f>ROUND(F1945+(F1945*Assumptions!D$13),-2)</f>
        <v>-82600</v>
      </c>
      <c r="H1945" s="288">
        <f>ROUND(G1945+(G1945*Assumptions!E$13),-2)</f>
        <v>-84700</v>
      </c>
      <c r="I1945" s="288">
        <f>ROUND(H1945+(H1945*Assumptions!F$13),-2)</f>
        <v>-86800</v>
      </c>
      <c r="J1945" s="288">
        <f>ROUND(I1945+(I1945*Assumptions!G$13),-2)</f>
        <v>-89000</v>
      </c>
      <c r="K1945" s="288">
        <f>ROUND(J1945+(J1945*Assumptions!H$13),-2)</f>
        <v>-91200</v>
      </c>
      <c r="L1945" s="288">
        <f>ROUND(K1945+(K1945*Assumptions!I$13),-2)</f>
        <v>-93500</v>
      </c>
      <c r="M1945" s="288">
        <f>ROUND(L1945+(L1945*Assumptions!J$13),-2)</f>
        <v>-95800</v>
      </c>
      <c r="N1945" s="288">
        <f>ROUND(M1945+(M1945*Assumptions!K$13),-2)</f>
        <v>-98200</v>
      </c>
    </row>
    <row r="1946" spans="2:14" x14ac:dyDescent="0.25">
      <c r="B1946" s="16" t="s">
        <v>3228</v>
      </c>
      <c r="C1946" s="16" t="s">
        <v>3044</v>
      </c>
      <c r="D1946" s="16" t="s">
        <v>3045</v>
      </c>
      <c r="E1946" s="288">
        <v>-3400</v>
      </c>
      <c r="F1946" s="288">
        <f>ROUND(E1946+(E1946*Assumptions!C$13),-2)</f>
        <v>-3500</v>
      </c>
      <c r="G1946" s="288">
        <f>ROUND(F1946+(F1946*Assumptions!D$13),-2)</f>
        <v>-3600</v>
      </c>
      <c r="H1946" s="288">
        <f>ROUND(G1946+(G1946*Assumptions!E$13),-2)</f>
        <v>-3700</v>
      </c>
      <c r="I1946" s="288">
        <f>ROUND(H1946+(H1946*Assumptions!F$13),-2)</f>
        <v>-3800</v>
      </c>
      <c r="J1946" s="288">
        <f>ROUND(I1946+(I1946*Assumptions!G$13),-2)</f>
        <v>-3900</v>
      </c>
      <c r="K1946" s="288">
        <f>ROUND(J1946+(J1946*Assumptions!H$13),-2)</f>
        <v>-4000</v>
      </c>
      <c r="L1946" s="288">
        <f>ROUND(K1946+(K1946*Assumptions!I$13),-2)</f>
        <v>-4100</v>
      </c>
      <c r="M1946" s="288">
        <f>ROUND(L1946+(L1946*Assumptions!J$13),-2)</f>
        <v>-4200</v>
      </c>
      <c r="N1946" s="288">
        <f>ROUND(M1946+(M1946*Assumptions!K$13),-2)</f>
        <v>-4300</v>
      </c>
    </row>
    <row r="1947" spans="2:14" x14ac:dyDescent="0.25">
      <c r="B1947" s="16" t="s">
        <v>3228</v>
      </c>
      <c r="C1947" s="16" t="s">
        <v>3046</v>
      </c>
      <c r="D1947" s="16" t="s">
        <v>3047</v>
      </c>
      <c r="E1947" s="288">
        <v>-11400</v>
      </c>
      <c r="F1947" s="288">
        <f>ROUND(E1947+(E1947*Assumptions!C$13),-2)</f>
        <v>-11600</v>
      </c>
      <c r="G1947" s="288">
        <f>ROUND(F1947+(F1947*Assumptions!D$13),-2)</f>
        <v>-11900</v>
      </c>
      <c r="H1947" s="288">
        <f>ROUND(G1947+(G1947*Assumptions!E$13),-2)</f>
        <v>-12200</v>
      </c>
      <c r="I1947" s="288">
        <f>ROUND(H1947+(H1947*Assumptions!F$13),-2)</f>
        <v>-12500</v>
      </c>
      <c r="J1947" s="288">
        <f>ROUND(I1947+(I1947*Assumptions!G$13),-2)</f>
        <v>-12800</v>
      </c>
      <c r="K1947" s="288">
        <f>ROUND(J1947+(J1947*Assumptions!H$13),-2)</f>
        <v>-13100</v>
      </c>
      <c r="L1947" s="288">
        <f>ROUND(K1947+(K1947*Assumptions!I$13),-2)</f>
        <v>-13400</v>
      </c>
      <c r="M1947" s="288">
        <f>ROUND(L1947+(L1947*Assumptions!J$13),-2)</f>
        <v>-13700</v>
      </c>
      <c r="N1947" s="288">
        <f>ROUND(M1947+(M1947*Assumptions!K$13),-2)</f>
        <v>-14000</v>
      </c>
    </row>
    <row r="1948" spans="2:14" x14ac:dyDescent="0.25">
      <c r="B1948" s="16" t="s">
        <v>3228</v>
      </c>
      <c r="C1948" s="16" t="s">
        <v>3048</v>
      </c>
      <c r="D1948" s="16" t="s">
        <v>3049</v>
      </c>
      <c r="E1948" s="288">
        <v>-10000</v>
      </c>
      <c r="F1948" s="288">
        <f>ROUND(E1948+(E1948*Assumptions!C$13),-2)</f>
        <v>-10200</v>
      </c>
      <c r="G1948" s="288">
        <f>ROUND(F1948+(F1948*Assumptions!D$13),-2)</f>
        <v>-10500</v>
      </c>
      <c r="H1948" s="288">
        <f>ROUND(G1948+(G1948*Assumptions!E$13),-2)</f>
        <v>-10800</v>
      </c>
      <c r="I1948" s="288">
        <f>ROUND(H1948+(H1948*Assumptions!F$13),-2)</f>
        <v>-11100</v>
      </c>
      <c r="J1948" s="288">
        <f>ROUND(I1948+(I1948*Assumptions!G$13),-2)</f>
        <v>-11400</v>
      </c>
      <c r="K1948" s="288">
        <f>ROUND(J1948+(J1948*Assumptions!H$13),-2)</f>
        <v>-11700</v>
      </c>
      <c r="L1948" s="288">
        <f>ROUND(K1948+(K1948*Assumptions!I$13),-2)</f>
        <v>-12000</v>
      </c>
      <c r="M1948" s="288">
        <f>ROUND(L1948+(L1948*Assumptions!J$13),-2)</f>
        <v>-12300</v>
      </c>
      <c r="N1948" s="288">
        <f>ROUND(M1948+(M1948*Assumptions!K$13),-2)</f>
        <v>-12600</v>
      </c>
    </row>
    <row r="1949" spans="2:14" x14ac:dyDescent="0.25">
      <c r="B1949" s="16" t="s">
        <v>3228</v>
      </c>
      <c r="C1949" s="16" t="s">
        <v>3050</v>
      </c>
      <c r="D1949" s="16" t="s">
        <v>3051</v>
      </c>
      <c r="E1949" s="288">
        <v>-5700</v>
      </c>
      <c r="F1949" s="288">
        <f>ROUND(E1949+(E1949*Assumptions!C$13),-2)</f>
        <v>-5800</v>
      </c>
      <c r="G1949" s="288">
        <f>ROUND(F1949+(F1949*Assumptions!D$13),-2)</f>
        <v>-5900</v>
      </c>
      <c r="H1949" s="288">
        <f>ROUND(G1949+(G1949*Assumptions!E$13),-2)</f>
        <v>-6000</v>
      </c>
      <c r="I1949" s="288">
        <f>ROUND(H1949+(H1949*Assumptions!F$13),-2)</f>
        <v>-6200</v>
      </c>
      <c r="J1949" s="288">
        <f>ROUND(I1949+(I1949*Assumptions!G$13),-2)</f>
        <v>-6400</v>
      </c>
      <c r="K1949" s="288">
        <f>ROUND(J1949+(J1949*Assumptions!H$13),-2)</f>
        <v>-6600</v>
      </c>
      <c r="L1949" s="288">
        <f>ROUND(K1949+(K1949*Assumptions!I$13),-2)</f>
        <v>-6800</v>
      </c>
      <c r="M1949" s="288">
        <f>ROUND(L1949+(L1949*Assumptions!J$13),-2)</f>
        <v>-7000</v>
      </c>
      <c r="N1949" s="288">
        <f>ROUND(M1949+(M1949*Assumptions!K$13),-2)</f>
        <v>-7200</v>
      </c>
    </row>
    <row r="1950" spans="2:14" x14ac:dyDescent="0.25">
      <c r="B1950" s="16" t="s">
        <v>3228</v>
      </c>
      <c r="C1950" s="16" t="s">
        <v>3052</v>
      </c>
      <c r="D1950" s="16" t="s">
        <v>3053</v>
      </c>
      <c r="E1950" s="288">
        <v>-14100</v>
      </c>
      <c r="F1950" s="288">
        <f>ROUND(E1950+(E1950*Assumptions!C$13),-2)</f>
        <v>-14400</v>
      </c>
      <c r="G1950" s="288">
        <f>ROUND(F1950+(F1950*Assumptions!D$13),-2)</f>
        <v>-14800</v>
      </c>
      <c r="H1950" s="288">
        <f>ROUND(G1950+(G1950*Assumptions!E$13),-2)</f>
        <v>-15200</v>
      </c>
      <c r="I1950" s="288">
        <f>ROUND(H1950+(H1950*Assumptions!F$13),-2)</f>
        <v>-15600</v>
      </c>
      <c r="J1950" s="288">
        <f>ROUND(I1950+(I1950*Assumptions!G$13),-2)</f>
        <v>-16000</v>
      </c>
      <c r="K1950" s="288">
        <f>ROUND(J1950+(J1950*Assumptions!H$13),-2)</f>
        <v>-16400</v>
      </c>
      <c r="L1950" s="288">
        <f>ROUND(K1950+(K1950*Assumptions!I$13),-2)</f>
        <v>-16800</v>
      </c>
      <c r="M1950" s="288">
        <f>ROUND(L1950+(L1950*Assumptions!J$13),-2)</f>
        <v>-17200</v>
      </c>
      <c r="N1950" s="288">
        <f>ROUND(M1950+(M1950*Assumptions!K$13),-2)</f>
        <v>-17600</v>
      </c>
    </row>
    <row r="1951" spans="2:14" x14ac:dyDescent="0.25">
      <c r="B1951" s="16" t="s">
        <v>3228</v>
      </c>
      <c r="C1951" s="16" t="s">
        <v>3054</v>
      </c>
      <c r="D1951" s="16" t="s">
        <v>3055</v>
      </c>
      <c r="E1951" s="288">
        <v>-1700</v>
      </c>
      <c r="F1951" s="288">
        <f>ROUND(E1951+(E1951*Assumptions!C$13),-2)</f>
        <v>-1700</v>
      </c>
      <c r="G1951" s="288">
        <f>ROUND(F1951+(F1951*Assumptions!D$13),-2)</f>
        <v>-1700</v>
      </c>
      <c r="H1951" s="288">
        <f>ROUND(G1951+(G1951*Assumptions!E$13),-2)</f>
        <v>-1700</v>
      </c>
      <c r="I1951" s="288">
        <f>ROUND(H1951+(H1951*Assumptions!F$13),-2)</f>
        <v>-1700</v>
      </c>
      <c r="J1951" s="288">
        <f>ROUND(I1951+(I1951*Assumptions!G$13),-2)</f>
        <v>-1700</v>
      </c>
      <c r="K1951" s="288">
        <f>ROUND(J1951+(J1951*Assumptions!H$13),-2)</f>
        <v>-1700</v>
      </c>
      <c r="L1951" s="288">
        <f>ROUND(K1951+(K1951*Assumptions!I$13),-2)</f>
        <v>-1700</v>
      </c>
      <c r="M1951" s="288">
        <f>ROUND(L1951+(L1951*Assumptions!J$13),-2)</f>
        <v>-1700</v>
      </c>
      <c r="N1951" s="288">
        <f>ROUND(M1951+(M1951*Assumptions!K$13),-2)</f>
        <v>-1700</v>
      </c>
    </row>
    <row r="1952" spans="2:14" x14ac:dyDescent="0.25">
      <c r="B1952" s="16" t="s">
        <v>3228</v>
      </c>
      <c r="C1952" s="16" t="s">
        <v>3056</v>
      </c>
      <c r="D1952" s="16" t="s">
        <v>3057</v>
      </c>
      <c r="E1952" s="288">
        <v>0</v>
      </c>
      <c r="F1952" s="288">
        <f>ROUND(E1952+(E1952*Assumptions!C$13),-2)</f>
        <v>0</v>
      </c>
      <c r="G1952" s="288">
        <f>ROUND(F1952+(F1952*Assumptions!D$13),-2)</f>
        <v>0</v>
      </c>
      <c r="H1952" s="288">
        <f>ROUND(G1952+(G1952*Assumptions!E$13),-2)</f>
        <v>0</v>
      </c>
      <c r="I1952" s="288">
        <f>ROUND(H1952+(H1952*Assumptions!F$13),-2)</f>
        <v>0</v>
      </c>
      <c r="J1952" s="288">
        <f>ROUND(I1952+(I1952*Assumptions!G$13),-2)</f>
        <v>0</v>
      </c>
      <c r="K1952" s="288">
        <f>ROUND(J1952+(J1952*Assumptions!H$13),-2)</f>
        <v>0</v>
      </c>
      <c r="L1952" s="288">
        <f>ROUND(K1952+(K1952*Assumptions!I$13),-2)</f>
        <v>0</v>
      </c>
      <c r="M1952" s="288">
        <f>ROUND(L1952+(L1952*Assumptions!J$13),-2)</f>
        <v>0</v>
      </c>
      <c r="N1952" s="288">
        <f>ROUND(M1952+(M1952*Assumptions!K$13),-2)</f>
        <v>0</v>
      </c>
    </row>
    <row r="1953" spans="1:23" x14ac:dyDescent="0.25">
      <c r="B1953" s="16" t="s">
        <v>3228</v>
      </c>
      <c r="C1953" s="16" t="s">
        <v>3058</v>
      </c>
      <c r="D1953" s="16" t="s">
        <v>1541</v>
      </c>
      <c r="E1953" s="289"/>
      <c r="F1953" s="289"/>
      <c r="G1953" s="289"/>
      <c r="H1953" s="289"/>
      <c r="I1953" s="289"/>
      <c r="J1953" s="289"/>
      <c r="K1953" s="289"/>
      <c r="L1953" s="289"/>
      <c r="M1953" s="289"/>
      <c r="N1953" s="289"/>
    </row>
    <row r="1954" spans="1:23" x14ac:dyDescent="0.25">
      <c r="B1954" s="16" t="s">
        <v>3228</v>
      </c>
      <c r="C1954" s="16" t="s">
        <v>3059</v>
      </c>
      <c r="D1954" s="16" t="s">
        <v>3060</v>
      </c>
      <c r="E1954" s="288">
        <v>0</v>
      </c>
      <c r="F1954" s="288">
        <f>ROUND(E1954+(E1954*Assumptions!C$13),-2)</f>
        <v>0</v>
      </c>
      <c r="G1954" s="288">
        <f>ROUND(F1954+(F1954*Assumptions!D$13),-2)</f>
        <v>0</v>
      </c>
      <c r="H1954" s="288">
        <f>ROUND(G1954+(G1954*Assumptions!E$13),-2)</f>
        <v>0</v>
      </c>
      <c r="I1954" s="288">
        <f>ROUND(H1954+(H1954*Assumptions!F$13),-2)</f>
        <v>0</v>
      </c>
      <c r="J1954" s="288">
        <f>ROUND(I1954+(I1954*Assumptions!G$13),-2)</f>
        <v>0</v>
      </c>
      <c r="K1954" s="288">
        <f>ROUND(J1954+(J1954*Assumptions!H$13),-2)</f>
        <v>0</v>
      </c>
      <c r="L1954" s="288">
        <f>ROUND(K1954+(K1954*Assumptions!I$13),-2)</f>
        <v>0</v>
      </c>
      <c r="M1954" s="288">
        <f>ROUND(L1954+(L1954*Assumptions!J$13),-2)</f>
        <v>0</v>
      </c>
      <c r="N1954" s="288">
        <f>ROUND(M1954+(M1954*Assumptions!K$13),-2)</f>
        <v>0</v>
      </c>
    </row>
    <row r="1955" spans="1:23" x14ac:dyDescent="0.25">
      <c r="B1955" s="16" t="s">
        <v>35</v>
      </c>
      <c r="C1955" s="16" t="s">
        <v>3061</v>
      </c>
      <c r="D1955" s="16" t="s">
        <v>3062</v>
      </c>
      <c r="E1955" s="289"/>
      <c r="F1955" s="289"/>
      <c r="G1955" s="289"/>
      <c r="H1955" s="289"/>
      <c r="I1955" s="289"/>
      <c r="J1955" s="289"/>
      <c r="K1955" s="289"/>
      <c r="L1955" s="289"/>
      <c r="M1955" s="289"/>
      <c r="N1955" s="289"/>
    </row>
    <row r="1956" spans="1:23" x14ac:dyDescent="0.25">
      <c r="B1956" s="16" t="s">
        <v>35</v>
      </c>
      <c r="C1956" s="16" t="s">
        <v>3063</v>
      </c>
      <c r="D1956" s="16" t="s">
        <v>3064</v>
      </c>
      <c r="E1956" s="288">
        <v>-6100</v>
      </c>
      <c r="F1956" s="288">
        <f>ROUND(E1956+(E1956*Assumptions!C$13),-2)</f>
        <v>-6200</v>
      </c>
      <c r="G1956" s="288">
        <f>ROUND(F1956+(F1956*Assumptions!D$13),-2)</f>
        <v>-6400</v>
      </c>
      <c r="H1956" s="288">
        <f>ROUND(G1956+(G1956*Assumptions!E$13),-2)</f>
        <v>-6600</v>
      </c>
      <c r="I1956" s="288">
        <f>ROUND(H1956+(H1956*Assumptions!F$13),-2)</f>
        <v>-6800</v>
      </c>
      <c r="J1956" s="288">
        <f>ROUND(I1956+(I1956*Assumptions!G$13),-2)</f>
        <v>-7000</v>
      </c>
      <c r="K1956" s="288">
        <f>ROUND(J1956+(J1956*Assumptions!H$13),-2)</f>
        <v>-7200</v>
      </c>
      <c r="L1956" s="288">
        <f>ROUND(K1956+(K1956*Assumptions!I$13),-2)</f>
        <v>-7400</v>
      </c>
      <c r="M1956" s="288">
        <f>ROUND(L1956+(L1956*Assumptions!J$13),-2)</f>
        <v>-7600</v>
      </c>
      <c r="N1956" s="288">
        <f>ROUND(M1956+(M1956*Assumptions!K$13),-2)</f>
        <v>-7800</v>
      </c>
    </row>
    <row r="1957" spans="1:23" x14ac:dyDescent="0.25">
      <c r="B1957" s="16" t="s">
        <v>35</v>
      </c>
      <c r="C1957" s="16" t="s">
        <v>3065</v>
      </c>
      <c r="D1957" s="16" t="s">
        <v>3066</v>
      </c>
      <c r="E1957" s="288">
        <v>-11200</v>
      </c>
      <c r="F1957" s="288">
        <f>ROUND(E1957+(E1957*Assumptions!C$13),-2)</f>
        <v>-11400</v>
      </c>
      <c r="G1957" s="288">
        <f>ROUND(F1957+(F1957*Assumptions!D$13),-2)</f>
        <v>-11700</v>
      </c>
      <c r="H1957" s="288">
        <f>ROUND(G1957+(G1957*Assumptions!E$13),-2)</f>
        <v>-12000</v>
      </c>
      <c r="I1957" s="288">
        <f>ROUND(H1957+(H1957*Assumptions!F$13),-2)</f>
        <v>-12300</v>
      </c>
      <c r="J1957" s="288">
        <f>ROUND(I1957+(I1957*Assumptions!G$13),-2)</f>
        <v>-12600</v>
      </c>
      <c r="K1957" s="288">
        <f>ROUND(J1957+(J1957*Assumptions!H$13),-2)</f>
        <v>-12900</v>
      </c>
      <c r="L1957" s="288">
        <f>ROUND(K1957+(K1957*Assumptions!I$13),-2)</f>
        <v>-13200</v>
      </c>
      <c r="M1957" s="288">
        <f>ROUND(L1957+(L1957*Assumptions!J$13),-2)</f>
        <v>-13500</v>
      </c>
      <c r="N1957" s="288">
        <f>ROUND(M1957+(M1957*Assumptions!K$13),-2)</f>
        <v>-13800</v>
      </c>
    </row>
    <row r="1958" spans="1:23" x14ac:dyDescent="0.25">
      <c r="B1958" s="16" t="s">
        <v>35</v>
      </c>
      <c r="C1958" s="16" t="s">
        <v>3067</v>
      </c>
      <c r="D1958" s="16" t="s">
        <v>3068</v>
      </c>
      <c r="E1958" s="289"/>
      <c r="F1958" s="289"/>
      <c r="G1958" s="289"/>
      <c r="H1958" s="289"/>
      <c r="I1958" s="289"/>
      <c r="J1958" s="289"/>
      <c r="K1958" s="289"/>
      <c r="L1958" s="289"/>
      <c r="M1958" s="289"/>
      <c r="N1958" s="289"/>
    </row>
    <row r="1959" spans="1:23" ht="12.75" customHeight="1" x14ac:dyDescent="0.25">
      <c r="B1959" s="16" t="s">
        <v>35</v>
      </c>
      <c r="C1959" s="16" t="s">
        <v>3069</v>
      </c>
      <c r="D1959" s="16" t="s">
        <v>3070</v>
      </c>
      <c r="E1959" s="288">
        <v>-113700</v>
      </c>
      <c r="F1959" s="288">
        <f>-interest!D27-interest!D28</f>
        <v>-140900</v>
      </c>
      <c r="G1959" s="288">
        <f>-interest!E27-interest!E28</f>
        <v>-123900</v>
      </c>
      <c r="H1959" s="288">
        <f>-interest!F27-interest!F28</f>
        <v>-168900</v>
      </c>
      <c r="I1959" s="288">
        <f>-interest!G27-interest!G28</f>
        <v>-175500</v>
      </c>
      <c r="J1959" s="288">
        <f>-interest!H27-interest!H28</f>
        <v>-189500</v>
      </c>
      <c r="K1959" s="288">
        <f>-interest!I27-interest!I28</f>
        <v>-191100</v>
      </c>
      <c r="L1959" s="288">
        <f>-interest!J27-interest!J28</f>
        <v>-223400</v>
      </c>
      <c r="M1959" s="288">
        <f>-interest!K27-interest!K28</f>
        <v>-256900</v>
      </c>
      <c r="N1959" s="288">
        <f>-interest!L27-interest!L28</f>
        <v>-312000</v>
      </c>
    </row>
    <row r="1960" spans="1:23" ht="12.75" customHeight="1" x14ac:dyDescent="0.25">
      <c r="A1960" s="46"/>
      <c r="B1960" s="16" t="s">
        <v>35</v>
      </c>
      <c r="C1960" s="16" t="s">
        <v>3071</v>
      </c>
      <c r="D1960" s="16" t="s">
        <v>3072</v>
      </c>
      <c r="E1960" s="288">
        <v>0</v>
      </c>
      <c r="F1960" s="297">
        <f>ROUND(E1960+(E1960*Assumptions!C$13),-2)</f>
        <v>0</v>
      </c>
      <c r="G1960" s="297">
        <f>ROUND(F1960+(F1960*Assumptions!D$13),-2)</f>
        <v>0</v>
      </c>
      <c r="H1960" s="297">
        <f>ROUND(G1960+(G1960*Assumptions!E$13),-2)</f>
        <v>0</v>
      </c>
      <c r="I1960" s="297">
        <f>ROUND(H1960+(H1960*Assumptions!F$13),-2)</f>
        <v>0</v>
      </c>
      <c r="J1960" s="297">
        <f>ROUND(I1960+(I1960*Assumptions!G$13),-2)</f>
        <v>0</v>
      </c>
      <c r="K1960" s="297">
        <f>ROUND(J1960+(J1960*Assumptions!H$13),-2)</f>
        <v>0</v>
      </c>
      <c r="L1960" s="297">
        <f>ROUND(K1960+(K1960*Assumptions!I$13),-2)</f>
        <v>0</v>
      </c>
      <c r="M1960" s="297">
        <f>ROUND(L1960+(L1960*Assumptions!J$13),-2)</f>
        <v>0</v>
      </c>
      <c r="N1960" s="297">
        <f>ROUND(M1960+(M1960*Assumptions!K$13),-2)</f>
        <v>0</v>
      </c>
      <c r="O1960" s="46"/>
      <c r="P1960" s="46"/>
      <c r="Q1960" s="46"/>
      <c r="R1960" s="46"/>
      <c r="S1960" s="46"/>
      <c r="T1960" s="46"/>
      <c r="U1960" s="46"/>
      <c r="V1960" s="46"/>
      <c r="W1960" s="46"/>
    </row>
    <row r="1961" spans="1:23" ht="12.75" customHeight="1" x14ac:dyDescent="0.25">
      <c r="A1961" s="46"/>
      <c r="E1961" s="288"/>
      <c r="F1961" s="297"/>
      <c r="G1961" s="297"/>
      <c r="H1961" s="297"/>
      <c r="I1961" s="297"/>
      <c r="J1961" s="297"/>
      <c r="K1961" s="297"/>
      <c r="L1961" s="297"/>
      <c r="M1961" s="297"/>
      <c r="N1961" s="297"/>
      <c r="O1961" s="46"/>
      <c r="P1961" s="46"/>
      <c r="Q1961" s="46"/>
      <c r="R1961" s="46"/>
      <c r="S1961" s="46"/>
      <c r="T1961" s="46"/>
      <c r="U1961" s="46"/>
      <c r="V1961" s="46"/>
      <c r="W1961" s="46"/>
    </row>
    <row r="1962" spans="1:23" ht="12.75" customHeight="1" x14ac:dyDescent="0.25">
      <c r="A1962" s="46"/>
      <c r="D1962" s="19" t="s">
        <v>3234</v>
      </c>
      <c r="E1962" s="291">
        <f>SUM(E1931:E1961)</f>
        <v>-9075400</v>
      </c>
      <c r="F1962" s="291">
        <f t="shared" ref="F1962:N1962" si="67">SUM(F1931:F1961)</f>
        <v>-9001800</v>
      </c>
      <c r="G1962" s="291">
        <f t="shared" si="67"/>
        <v>-8988100</v>
      </c>
      <c r="H1962" s="291">
        <f t="shared" si="67"/>
        <v>-9036600</v>
      </c>
      <c r="I1962" s="291">
        <f t="shared" si="67"/>
        <v>-9046700</v>
      </c>
      <c r="J1962" s="291">
        <f t="shared" si="67"/>
        <v>-9064200</v>
      </c>
      <c r="K1962" s="291">
        <f t="shared" si="67"/>
        <v>-9069500</v>
      </c>
      <c r="L1962" s="291">
        <f t="shared" si="67"/>
        <v>-9105600</v>
      </c>
      <c r="M1962" s="291">
        <f t="shared" si="67"/>
        <v>-9142800</v>
      </c>
      <c r="N1962" s="291">
        <f t="shared" si="67"/>
        <v>-9201700</v>
      </c>
      <c r="O1962" s="46"/>
      <c r="P1962" s="46"/>
      <c r="Q1962" s="46"/>
      <c r="R1962" s="46"/>
      <c r="S1962" s="46"/>
      <c r="T1962" s="46"/>
      <c r="U1962" s="46"/>
      <c r="V1962" s="46"/>
      <c r="W1962" s="46"/>
    </row>
    <row r="1963" spans="1:23" ht="12.75" customHeight="1" x14ac:dyDescent="0.25">
      <c r="E1963" s="288"/>
      <c r="F1963" s="288"/>
      <c r="G1963" s="288"/>
      <c r="H1963" s="288"/>
      <c r="I1963" s="288"/>
      <c r="J1963" s="288"/>
      <c r="K1963" s="288"/>
      <c r="L1963" s="288"/>
      <c r="M1963" s="288"/>
      <c r="N1963" s="288"/>
    </row>
    <row r="1964" spans="1:23" x14ac:dyDescent="0.25">
      <c r="A1964" s="27"/>
      <c r="B1964" s="27"/>
      <c r="C1964" s="27"/>
      <c r="D1964" s="27"/>
      <c r="E1964" s="290"/>
      <c r="F1964" s="290"/>
      <c r="G1964" s="290"/>
      <c r="H1964" s="290"/>
      <c r="I1964" s="290"/>
      <c r="J1964" s="290"/>
      <c r="K1964" s="290"/>
      <c r="L1964" s="290"/>
      <c r="M1964" s="290"/>
      <c r="N1964" s="290"/>
    </row>
    <row r="1965" spans="1:23" ht="12.75" customHeight="1" x14ac:dyDescent="0.25">
      <c r="C1965" s="19" t="s">
        <v>3225</v>
      </c>
      <c r="E1965" s="288"/>
      <c r="F1965" s="288"/>
      <c r="G1965" s="288"/>
      <c r="H1965" s="288"/>
      <c r="I1965" s="288"/>
      <c r="J1965" s="288"/>
      <c r="K1965" s="288"/>
      <c r="L1965" s="288"/>
      <c r="M1965" s="288"/>
      <c r="N1965" s="288"/>
    </row>
    <row r="1966" spans="1:23" x14ac:dyDescent="0.25">
      <c r="C1966" s="19" t="s">
        <v>3073</v>
      </c>
      <c r="E1966" s="288"/>
      <c r="F1966" s="288"/>
      <c r="G1966" s="288"/>
      <c r="H1966" s="288"/>
      <c r="I1966" s="288"/>
      <c r="J1966" s="288"/>
      <c r="K1966" s="288"/>
      <c r="L1966" s="288"/>
      <c r="M1966" s="288"/>
      <c r="N1966" s="288"/>
    </row>
    <row r="1967" spans="1:23" x14ac:dyDescent="0.25">
      <c r="E1967" s="288"/>
      <c r="F1967" s="288"/>
      <c r="G1967" s="288"/>
      <c r="H1967" s="288"/>
      <c r="I1967" s="288"/>
      <c r="J1967" s="288"/>
      <c r="K1967" s="288"/>
      <c r="L1967" s="288"/>
      <c r="M1967" s="288"/>
      <c r="N1967" s="288"/>
    </row>
    <row r="1968" spans="1:23" x14ac:dyDescent="0.25">
      <c r="C1968" s="16" t="s">
        <v>87</v>
      </c>
      <c r="E1968" s="288"/>
      <c r="F1968" s="288"/>
      <c r="G1968" s="288"/>
      <c r="H1968" s="288"/>
      <c r="I1968" s="288"/>
      <c r="J1968" s="288"/>
      <c r="K1968" s="288"/>
      <c r="L1968" s="288"/>
      <c r="M1968" s="288"/>
      <c r="N1968" s="288"/>
    </row>
    <row r="1969" spans="2:14" x14ac:dyDescent="0.25">
      <c r="B1969" s="16" t="s">
        <v>41</v>
      </c>
      <c r="C1969" s="16" t="s">
        <v>3074</v>
      </c>
      <c r="D1969" s="16" t="s">
        <v>2934</v>
      </c>
      <c r="E1969" s="289"/>
      <c r="F1969" s="289"/>
      <c r="G1969" s="289"/>
      <c r="H1969" s="289"/>
      <c r="I1969" s="289"/>
      <c r="J1969" s="289"/>
      <c r="K1969" s="289"/>
      <c r="L1969" s="289"/>
      <c r="M1969" s="289"/>
      <c r="N1969" s="289"/>
    </row>
    <row r="1970" spans="2:14" x14ac:dyDescent="0.25">
      <c r="B1970" s="16" t="s">
        <v>41</v>
      </c>
      <c r="C1970" s="16" t="s">
        <v>3075</v>
      </c>
      <c r="D1970" s="16" t="s">
        <v>201</v>
      </c>
      <c r="E1970" s="288">
        <v>0</v>
      </c>
      <c r="F1970" s="288">
        <f>ROUND(IF($A1970="E",E1970*(1+Assumptions!C$15),E1970*(1+Assumptions!C$14)),-2)</f>
        <v>0</v>
      </c>
      <c r="G1970" s="288">
        <f>ROUND(IF($A1970="E",F1970*(1+Assumptions!D$15),F1970*(1+Assumptions!D$14)),-2)</f>
        <v>0</v>
      </c>
      <c r="H1970" s="288">
        <f>ROUND(IF($A1970="E",G1970*(1+Assumptions!E$15),G1970*(1+Assumptions!E$14)),-2)</f>
        <v>0</v>
      </c>
      <c r="I1970" s="288">
        <f>ROUND(IF($A1970="E",H1970*(1+Assumptions!F$15),H1970*(1+Assumptions!F$14)),-2)</f>
        <v>0</v>
      </c>
      <c r="J1970" s="288">
        <f>ROUND(IF($A1970="E",I1970*(1+Assumptions!G$15),I1970*(1+Assumptions!G$14)),-2)</f>
        <v>0</v>
      </c>
      <c r="K1970" s="288">
        <f>ROUND(IF($A1970="E",J1970*(1+Assumptions!H$15),J1970*(1+Assumptions!H$14)),-2)</f>
        <v>0</v>
      </c>
      <c r="L1970" s="288">
        <f>ROUND(IF($A1970="E",K1970*(1+Assumptions!I$15),K1970*(1+Assumptions!I$14)),-2)</f>
        <v>0</v>
      </c>
      <c r="M1970" s="288">
        <f>ROUND(IF($A1970="E",L1970*(1+Assumptions!J$15),L1970*(1+Assumptions!J$14)),-2)</f>
        <v>0</v>
      </c>
      <c r="N1970" s="288">
        <f>ROUND(IF($A1970="E",M1970*(1+Assumptions!K$15),M1970*(1+Assumptions!K$14)),-2)</f>
        <v>0</v>
      </c>
    </row>
    <row r="1971" spans="2:14" x14ac:dyDescent="0.25">
      <c r="B1971" s="16" t="s">
        <v>41</v>
      </c>
      <c r="C1971" s="16" t="s">
        <v>3076</v>
      </c>
      <c r="D1971" s="16" t="s">
        <v>3077</v>
      </c>
      <c r="E1971" s="288">
        <v>0</v>
      </c>
      <c r="F1971" s="288">
        <f>ROUND(IF($A1971="E",E1971*(1+Assumptions!C$15),E1971*(1+Assumptions!C$14)),-2)</f>
        <v>0</v>
      </c>
      <c r="G1971" s="288">
        <f>ROUND(IF($A1971="E",F1971*(1+Assumptions!D$15),F1971*(1+Assumptions!D$14)),-2)</f>
        <v>0</v>
      </c>
      <c r="H1971" s="288">
        <f>ROUND(IF($A1971="E",G1971*(1+Assumptions!E$15),G1971*(1+Assumptions!E$14)),-2)</f>
        <v>0</v>
      </c>
      <c r="I1971" s="288">
        <f>ROUND(IF($A1971="E",H1971*(1+Assumptions!F$15),H1971*(1+Assumptions!F$14)),-2)</f>
        <v>0</v>
      </c>
      <c r="J1971" s="288">
        <f>ROUND(IF($A1971="E",I1971*(1+Assumptions!G$15),I1971*(1+Assumptions!G$14)),-2)</f>
        <v>0</v>
      </c>
      <c r="K1971" s="288">
        <f>ROUND(IF($A1971="E",J1971*(1+Assumptions!H$15),J1971*(1+Assumptions!H$14)),-2)</f>
        <v>0</v>
      </c>
      <c r="L1971" s="288">
        <f>ROUND(IF($A1971="E",K1971*(1+Assumptions!I$15),K1971*(1+Assumptions!I$14)),-2)</f>
        <v>0</v>
      </c>
      <c r="M1971" s="288">
        <f>ROUND(IF($A1971="E",L1971*(1+Assumptions!J$15),L1971*(1+Assumptions!J$14)),-2)</f>
        <v>0</v>
      </c>
      <c r="N1971" s="288">
        <f>ROUND(IF($A1971="E",M1971*(1+Assumptions!K$15),M1971*(1+Assumptions!K$14)),-2)</f>
        <v>0</v>
      </c>
    </row>
    <row r="1972" spans="2:14" x14ac:dyDescent="0.25">
      <c r="B1972" s="16" t="s">
        <v>41</v>
      </c>
      <c r="C1972" s="16" t="s">
        <v>3078</v>
      </c>
      <c r="D1972" s="16" t="s">
        <v>2937</v>
      </c>
      <c r="E1972" s="289"/>
      <c r="F1972" s="289"/>
      <c r="G1972" s="289"/>
      <c r="H1972" s="289"/>
      <c r="I1972" s="289"/>
      <c r="J1972" s="289"/>
      <c r="K1972" s="289"/>
      <c r="L1972" s="289"/>
      <c r="M1972" s="289"/>
      <c r="N1972" s="289"/>
    </row>
    <row r="1973" spans="2:14" x14ac:dyDescent="0.25">
      <c r="B1973" s="16" t="s">
        <v>41</v>
      </c>
      <c r="C1973" s="16" t="s">
        <v>3079</v>
      </c>
      <c r="D1973" s="16" t="s">
        <v>3080</v>
      </c>
      <c r="E1973" s="288">
        <v>107400</v>
      </c>
      <c r="F1973" s="288">
        <f>ROUND(IF($A1973="E",E1973*(1+Assumptions!C$15),E1973*(1+Assumptions!C$14)),-2)</f>
        <v>109000</v>
      </c>
      <c r="G1973" s="288">
        <f>ROUND(IF($A1973="E",F1973*(1+Assumptions!D$15),F1973*(1+Assumptions!D$14)),-2)</f>
        <v>111200</v>
      </c>
      <c r="H1973" s="288">
        <f>ROUND(IF($A1973="E",G1973*(1+Assumptions!E$15),G1973*(1+Assumptions!E$14)),-2)</f>
        <v>113400</v>
      </c>
      <c r="I1973" s="288">
        <f>ROUND(IF($A1973="E",H1973*(1+Assumptions!F$15),H1973*(1+Assumptions!F$14)),-2)</f>
        <v>115700</v>
      </c>
      <c r="J1973" s="288">
        <f>ROUND(IF($A1973="E",I1973*(1+Assumptions!G$15),I1973*(1+Assumptions!G$14)),-2)</f>
        <v>118000</v>
      </c>
      <c r="K1973" s="288">
        <f>ROUND(IF($A1973="E",J1973*(1+Assumptions!H$15),J1973*(1+Assumptions!H$14)),-2)</f>
        <v>120400</v>
      </c>
      <c r="L1973" s="288">
        <f>ROUND(IF($A1973="E",K1973*(1+Assumptions!I$15),K1973*(1+Assumptions!I$14)),-2)</f>
        <v>123400</v>
      </c>
      <c r="M1973" s="288">
        <f>ROUND(IF($A1973="E",L1973*(1+Assumptions!J$15),L1973*(1+Assumptions!J$14)),-2)</f>
        <v>126500</v>
      </c>
      <c r="N1973" s="288">
        <f>ROUND(IF($A1973="E",M1973*(1+Assumptions!K$15),M1973*(1+Assumptions!K$14)),-2)</f>
        <v>129700</v>
      </c>
    </row>
    <row r="1974" spans="2:14" x14ac:dyDescent="0.25">
      <c r="B1974" s="16" t="s">
        <v>43</v>
      </c>
      <c r="C1974" s="16" t="s">
        <v>3081</v>
      </c>
      <c r="D1974" s="16" t="s">
        <v>97</v>
      </c>
      <c r="E1974" s="288">
        <v>5300</v>
      </c>
      <c r="F1974" s="288">
        <f>ROUND(IF($A1974="E",E1974*(1+Assumptions!C$15),E1974*(1+Assumptions!C$14)),-2)</f>
        <v>5400</v>
      </c>
      <c r="G1974" s="288">
        <f>ROUND(IF($A1974="E",F1974*(1+Assumptions!D$15),F1974*(1+Assumptions!D$14)),-2)</f>
        <v>5500</v>
      </c>
      <c r="H1974" s="288">
        <f>ROUND(IF($A1974="E",G1974*(1+Assumptions!E$15),G1974*(1+Assumptions!E$14)),-2)</f>
        <v>5600</v>
      </c>
      <c r="I1974" s="288">
        <f>ROUND(IF($A1974="E",H1974*(1+Assumptions!F$15),H1974*(1+Assumptions!F$14)),-2)</f>
        <v>5700</v>
      </c>
      <c r="J1974" s="288">
        <f>ROUND(IF($A1974="E",I1974*(1+Assumptions!G$15),I1974*(1+Assumptions!G$14)),-2)</f>
        <v>5800</v>
      </c>
      <c r="K1974" s="288">
        <f>ROUND(IF($A1974="E",J1974*(1+Assumptions!H$15),J1974*(1+Assumptions!H$14)),-2)</f>
        <v>5900</v>
      </c>
      <c r="L1974" s="288">
        <f>ROUND(IF($A1974="E",K1974*(1+Assumptions!I$15),K1974*(1+Assumptions!I$14)),-2)</f>
        <v>6000</v>
      </c>
      <c r="M1974" s="288">
        <f>ROUND(IF($A1974="E",L1974*(1+Assumptions!J$15),L1974*(1+Assumptions!J$14)),-2)</f>
        <v>6200</v>
      </c>
      <c r="N1974" s="288">
        <f>ROUND(IF($A1974="E",M1974*(1+Assumptions!K$15),M1974*(1+Assumptions!K$14)),-2)</f>
        <v>6400</v>
      </c>
    </row>
    <row r="1975" spans="2:14" x14ac:dyDescent="0.25">
      <c r="B1975" s="16" t="s">
        <v>41</v>
      </c>
      <c r="C1975" s="16" t="s">
        <v>3082</v>
      </c>
      <c r="D1975" s="16" t="s">
        <v>3083</v>
      </c>
      <c r="E1975" s="289"/>
      <c r="F1975" s="289"/>
      <c r="G1975" s="289"/>
      <c r="H1975" s="289"/>
      <c r="I1975" s="289"/>
      <c r="J1975" s="289"/>
      <c r="K1975" s="289"/>
      <c r="L1975" s="289"/>
      <c r="M1975" s="289"/>
      <c r="N1975" s="289"/>
    </row>
    <row r="1976" spans="2:14" x14ac:dyDescent="0.25">
      <c r="B1976" s="16" t="s">
        <v>41</v>
      </c>
      <c r="C1976" s="16" t="s">
        <v>3084</v>
      </c>
      <c r="D1976" s="16" t="s">
        <v>91</v>
      </c>
      <c r="E1976" s="288">
        <v>0</v>
      </c>
      <c r="F1976" s="288">
        <f>ROUND(IF($A1976="E",E1976*(1+Assumptions!C$15),E1976*(1+Assumptions!C$14)),-2)</f>
        <v>0</v>
      </c>
      <c r="G1976" s="288">
        <f>ROUND(IF($A1976="E",F1976*(1+Assumptions!D$15),F1976*(1+Assumptions!D$14)),-2)</f>
        <v>0</v>
      </c>
      <c r="H1976" s="288">
        <f>ROUND(IF($A1976="E",G1976*(1+Assumptions!E$15),G1976*(1+Assumptions!E$14)),-2)</f>
        <v>0</v>
      </c>
      <c r="I1976" s="288">
        <f>ROUND(IF($A1976="E",H1976*(1+Assumptions!F$15),H1976*(1+Assumptions!F$14)),-2)</f>
        <v>0</v>
      </c>
      <c r="J1976" s="288">
        <f>ROUND(IF($A1976="E",I1976*(1+Assumptions!G$15),I1976*(1+Assumptions!G$14)),-2)</f>
        <v>0</v>
      </c>
      <c r="K1976" s="288">
        <f>ROUND(IF($A1976="E",J1976*(1+Assumptions!H$15),J1976*(1+Assumptions!H$14)),-2)</f>
        <v>0</v>
      </c>
      <c r="L1976" s="288">
        <f>ROUND(IF($A1976="E",K1976*(1+Assumptions!I$15),K1976*(1+Assumptions!I$14)),-2)</f>
        <v>0</v>
      </c>
      <c r="M1976" s="288">
        <f>ROUND(IF($A1976="E",L1976*(1+Assumptions!J$15),L1976*(1+Assumptions!J$14)),-2)</f>
        <v>0</v>
      </c>
      <c r="N1976" s="288">
        <f>ROUND(IF($A1976="E",M1976*(1+Assumptions!K$15),M1976*(1+Assumptions!K$14)),-2)</f>
        <v>0</v>
      </c>
    </row>
    <row r="1977" spans="2:14" x14ac:dyDescent="0.25">
      <c r="B1977" s="16" t="s">
        <v>41</v>
      </c>
      <c r="C1977" s="16" t="s">
        <v>3085</v>
      </c>
      <c r="D1977" s="16" t="s">
        <v>2944</v>
      </c>
      <c r="E1977" s="289"/>
      <c r="F1977" s="289"/>
      <c r="G1977" s="289"/>
      <c r="H1977" s="289"/>
      <c r="I1977" s="289"/>
      <c r="J1977" s="289"/>
      <c r="K1977" s="289"/>
      <c r="L1977" s="289"/>
      <c r="M1977" s="289"/>
      <c r="N1977" s="289"/>
    </row>
    <row r="1978" spans="2:14" x14ac:dyDescent="0.25">
      <c r="B1978" s="16" t="s">
        <v>41</v>
      </c>
      <c r="C1978" s="16" t="s">
        <v>3086</v>
      </c>
      <c r="D1978" s="16" t="s">
        <v>3080</v>
      </c>
      <c r="E1978" s="288">
        <v>62800</v>
      </c>
      <c r="F1978" s="288">
        <f>ROUND(IF($A1978="E",E1978*(1+Assumptions!C$15),E1978*(1+Assumptions!C$14)),-2)</f>
        <v>63700</v>
      </c>
      <c r="G1978" s="288">
        <f>ROUND(IF($A1978="E",F1978*(1+Assumptions!D$15),F1978*(1+Assumptions!D$14)),-2)</f>
        <v>65000</v>
      </c>
      <c r="H1978" s="288">
        <f>ROUND(IF($A1978="E",G1978*(1+Assumptions!E$15),G1978*(1+Assumptions!E$14)),-2)</f>
        <v>66300</v>
      </c>
      <c r="I1978" s="288">
        <f>ROUND(IF($A1978="E",H1978*(1+Assumptions!F$15),H1978*(1+Assumptions!F$14)),-2)</f>
        <v>67600</v>
      </c>
      <c r="J1978" s="288">
        <f>ROUND(IF($A1978="E",I1978*(1+Assumptions!G$15),I1978*(1+Assumptions!G$14)),-2)</f>
        <v>69000</v>
      </c>
      <c r="K1978" s="288">
        <f>ROUND(IF($A1978="E",J1978*(1+Assumptions!H$15),J1978*(1+Assumptions!H$14)),-2)</f>
        <v>70400</v>
      </c>
      <c r="L1978" s="288">
        <f>ROUND(IF($A1978="E",K1978*(1+Assumptions!I$15),K1978*(1+Assumptions!I$14)),-2)</f>
        <v>72200</v>
      </c>
      <c r="M1978" s="288">
        <f>ROUND(IF($A1978="E",L1978*(1+Assumptions!J$15),L1978*(1+Assumptions!J$14)),-2)</f>
        <v>74000</v>
      </c>
      <c r="N1978" s="288">
        <f>ROUND(IF($A1978="E",M1978*(1+Assumptions!K$15),M1978*(1+Assumptions!K$14)),-2)</f>
        <v>75900</v>
      </c>
    </row>
    <row r="1979" spans="2:14" x14ac:dyDescent="0.25">
      <c r="B1979" s="16" t="s">
        <v>43</v>
      </c>
      <c r="C1979" s="16" t="s">
        <v>3087</v>
      </c>
      <c r="D1979" s="16" t="s">
        <v>97</v>
      </c>
      <c r="E1979" s="288">
        <v>2700</v>
      </c>
      <c r="F1979" s="288">
        <f>ROUND(IF($A1979="E",E1979*(1+Assumptions!C$15),E1979*(1+Assumptions!C$14)),-2)</f>
        <v>2700</v>
      </c>
      <c r="G1979" s="288">
        <f>ROUND(IF($A1979="E",F1979*(1+Assumptions!D$15),F1979*(1+Assumptions!D$14)),-2)</f>
        <v>2800</v>
      </c>
      <c r="H1979" s="288">
        <f>ROUND(IF($A1979="E",G1979*(1+Assumptions!E$15),G1979*(1+Assumptions!E$14)),-2)</f>
        <v>2900</v>
      </c>
      <c r="I1979" s="288">
        <f>ROUND(IF($A1979="E",H1979*(1+Assumptions!F$15),H1979*(1+Assumptions!F$14)),-2)</f>
        <v>3000</v>
      </c>
      <c r="J1979" s="288">
        <f>ROUND(IF($A1979="E",I1979*(1+Assumptions!G$15),I1979*(1+Assumptions!G$14)),-2)</f>
        <v>3100</v>
      </c>
      <c r="K1979" s="288">
        <f>ROUND(IF($A1979="E",J1979*(1+Assumptions!H$15),J1979*(1+Assumptions!H$14)),-2)</f>
        <v>3200</v>
      </c>
      <c r="L1979" s="288">
        <f>ROUND(IF($A1979="E",K1979*(1+Assumptions!I$15),K1979*(1+Assumptions!I$14)),-2)</f>
        <v>3300</v>
      </c>
      <c r="M1979" s="288">
        <f>ROUND(IF($A1979="E",L1979*(1+Assumptions!J$15),L1979*(1+Assumptions!J$14)),-2)</f>
        <v>3400</v>
      </c>
      <c r="N1979" s="288">
        <f>ROUND(IF($A1979="E",M1979*(1+Assumptions!K$15),M1979*(1+Assumptions!K$14)),-2)</f>
        <v>3500</v>
      </c>
    </row>
    <row r="1980" spans="2:14" x14ac:dyDescent="0.25">
      <c r="B1980" s="16" t="s">
        <v>41</v>
      </c>
      <c r="C1980" s="16" t="s">
        <v>3088</v>
      </c>
      <c r="D1980" s="16" t="s">
        <v>2948</v>
      </c>
      <c r="E1980" s="289"/>
      <c r="F1980" s="289"/>
      <c r="G1980" s="289"/>
      <c r="H1980" s="289"/>
      <c r="I1980" s="289"/>
      <c r="J1980" s="289"/>
      <c r="K1980" s="289"/>
      <c r="L1980" s="289"/>
      <c r="M1980" s="289"/>
      <c r="N1980" s="289"/>
    </row>
    <row r="1981" spans="2:14" x14ac:dyDescent="0.25">
      <c r="B1981" s="16" t="s">
        <v>41</v>
      </c>
      <c r="C1981" s="16" t="s">
        <v>3089</v>
      </c>
      <c r="D1981" s="16" t="s">
        <v>3080</v>
      </c>
      <c r="E1981" s="288">
        <v>108100</v>
      </c>
      <c r="F1981" s="288">
        <f>ROUND(IF($A1981="E",E1981*(1+Assumptions!C$15),E1981*(1+Assumptions!C$14)),-2)</f>
        <v>109700</v>
      </c>
      <c r="G1981" s="288">
        <f>ROUND(IF($A1981="E",F1981*(1+Assumptions!D$15),F1981*(1+Assumptions!D$14)),-2)</f>
        <v>111900</v>
      </c>
      <c r="H1981" s="288">
        <f>ROUND(IF($A1981="E",G1981*(1+Assumptions!E$15),G1981*(1+Assumptions!E$14)),-2)</f>
        <v>114100</v>
      </c>
      <c r="I1981" s="288">
        <f>ROUND(IF($A1981="E",H1981*(1+Assumptions!F$15),H1981*(1+Assumptions!F$14)),-2)</f>
        <v>116400</v>
      </c>
      <c r="J1981" s="288">
        <f>ROUND(IF($A1981="E",I1981*(1+Assumptions!G$15),I1981*(1+Assumptions!G$14)),-2)</f>
        <v>118700</v>
      </c>
      <c r="K1981" s="288">
        <f>ROUND(IF($A1981="E",J1981*(1+Assumptions!H$15),J1981*(1+Assumptions!H$14)),-2)</f>
        <v>121100</v>
      </c>
      <c r="L1981" s="288">
        <f>ROUND(IF($A1981="E",K1981*(1+Assumptions!I$15),K1981*(1+Assumptions!I$14)),-2)</f>
        <v>124100</v>
      </c>
      <c r="M1981" s="288">
        <f>ROUND(IF($A1981="E",L1981*(1+Assumptions!J$15),L1981*(1+Assumptions!J$14)),-2)</f>
        <v>127200</v>
      </c>
      <c r="N1981" s="288">
        <f>ROUND(IF($A1981="E",M1981*(1+Assumptions!K$15),M1981*(1+Assumptions!K$14)),-2)</f>
        <v>130400</v>
      </c>
    </row>
    <row r="1982" spans="2:14" x14ac:dyDescent="0.25">
      <c r="B1982" s="16" t="s">
        <v>43</v>
      </c>
      <c r="C1982" s="16" t="s">
        <v>3090</v>
      </c>
      <c r="D1982" s="16" t="s">
        <v>97</v>
      </c>
      <c r="E1982" s="288">
        <v>2800</v>
      </c>
      <c r="F1982" s="288">
        <f>ROUND(IF($A1982="E",E1982*(1+Assumptions!C$15),E1982*(1+Assumptions!C$14)),-2)</f>
        <v>2800</v>
      </c>
      <c r="G1982" s="288">
        <f>ROUND(IF($A1982="E",F1982*(1+Assumptions!D$15),F1982*(1+Assumptions!D$14)),-2)</f>
        <v>2900</v>
      </c>
      <c r="H1982" s="288">
        <f>ROUND(IF($A1982="E",G1982*(1+Assumptions!E$15),G1982*(1+Assumptions!E$14)),-2)</f>
        <v>3000</v>
      </c>
      <c r="I1982" s="288">
        <f>ROUND(IF($A1982="E",H1982*(1+Assumptions!F$15),H1982*(1+Assumptions!F$14)),-2)</f>
        <v>3100</v>
      </c>
      <c r="J1982" s="288">
        <f>ROUND(IF($A1982="E",I1982*(1+Assumptions!G$15),I1982*(1+Assumptions!G$14)),-2)</f>
        <v>3200</v>
      </c>
      <c r="K1982" s="288">
        <f>ROUND(IF($A1982="E",J1982*(1+Assumptions!H$15),J1982*(1+Assumptions!H$14)),-2)</f>
        <v>3300</v>
      </c>
      <c r="L1982" s="288">
        <f>ROUND(IF($A1982="E",K1982*(1+Assumptions!I$15),K1982*(1+Assumptions!I$14)),-2)</f>
        <v>3400</v>
      </c>
      <c r="M1982" s="288">
        <f>ROUND(IF($A1982="E",L1982*(1+Assumptions!J$15),L1982*(1+Assumptions!J$14)),-2)</f>
        <v>3500</v>
      </c>
      <c r="N1982" s="288">
        <f>ROUND(IF($A1982="E",M1982*(1+Assumptions!K$15),M1982*(1+Assumptions!K$14)),-2)</f>
        <v>3600</v>
      </c>
    </row>
    <row r="1983" spans="2:14" x14ac:dyDescent="0.25">
      <c r="B1983" s="16" t="s">
        <v>43</v>
      </c>
      <c r="C1983" s="16" t="s">
        <v>3091</v>
      </c>
      <c r="D1983" s="16" t="s">
        <v>2951</v>
      </c>
      <c r="E1983" s="289"/>
      <c r="F1983" s="289"/>
      <c r="G1983" s="289"/>
      <c r="H1983" s="289"/>
      <c r="I1983" s="289"/>
      <c r="J1983" s="289"/>
      <c r="K1983" s="289"/>
      <c r="L1983" s="289"/>
      <c r="M1983" s="289"/>
      <c r="N1983" s="289"/>
    </row>
    <row r="1984" spans="2:14" x14ac:dyDescent="0.25">
      <c r="B1984" s="16" t="s">
        <v>43</v>
      </c>
      <c r="C1984" s="16" t="s">
        <v>3092</v>
      </c>
      <c r="D1984" s="16" t="s">
        <v>3093</v>
      </c>
      <c r="E1984" s="288">
        <v>34300</v>
      </c>
      <c r="F1984" s="288">
        <f>ROUND(IF($A1984="E",E1984*(1+Assumptions!C$15),E1984*(1+Assumptions!C$14)),-2)</f>
        <v>34800</v>
      </c>
      <c r="G1984" s="288">
        <f>ROUND(IF($A1984="E",F1984*(1+Assumptions!D$15),F1984*(1+Assumptions!D$14)),-2)</f>
        <v>35500</v>
      </c>
      <c r="H1984" s="288">
        <f>ROUND(IF($A1984="E",G1984*(1+Assumptions!E$15),G1984*(1+Assumptions!E$14)),-2)</f>
        <v>36200</v>
      </c>
      <c r="I1984" s="288">
        <f>ROUND(IF($A1984="E",H1984*(1+Assumptions!F$15),H1984*(1+Assumptions!F$14)),-2)</f>
        <v>36900</v>
      </c>
      <c r="J1984" s="288">
        <f>ROUND(IF($A1984="E",I1984*(1+Assumptions!G$15),I1984*(1+Assumptions!G$14)),-2)</f>
        <v>37600</v>
      </c>
      <c r="K1984" s="288">
        <f>ROUND(IF($A1984="E",J1984*(1+Assumptions!H$15),J1984*(1+Assumptions!H$14)),-2)</f>
        <v>38400</v>
      </c>
      <c r="L1984" s="288">
        <f>ROUND(IF($A1984="E",K1984*(1+Assumptions!I$15),K1984*(1+Assumptions!I$14)),-2)</f>
        <v>39400</v>
      </c>
      <c r="M1984" s="288">
        <f>ROUND(IF($A1984="E",L1984*(1+Assumptions!J$15),L1984*(1+Assumptions!J$14)),-2)</f>
        <v>40400</v>
      </c>
      <c r="N1984" s="288">
        <f>ROUND(IF($A1984="E",M1984*(1+Assumptions!K$15),M1984*(1+Assumptions!K$14)),-2)</f>
        <v>41400</v>
      </c>
    </row>
    <row r="1985" spans="2:14" x14ac:dyDescent="0.25">
      <c r="B1985" s="16" t="s">
        <v>43</v>
      </c>
      <c r="C1985" s="16" t="s">
        <v>3094</v>
      </c>
      <c r="D1985" s="16" t="s">
        <v>2955</v>
      </c>
      <c r="E1985" s="289"/>
      <c r="F1985" s="289"/>
      <c r="G1985" s="289"/>
      <c r="H1985" s="289"/>
      <c r="I1985" s="289"/>
      <c r="J1985" s="289"/>
      <c r="K1985" s="289"/>
      <c r="L1985" s="289"/>
      <c r="M1985" s="289"/>
      <c r="N1985" s="289"/>
    </row>
    <row r="1986" spans="2:14" x14ac:dyDescent="0.25">
      <c r="B1986" s="16" t="s">
        <v>43</v>
      </c>
      <c r="C1986" s="16" t="s">
        <v>3095</v>
      </c>
      <c r="D1986" s="16" t="s">
        <v>2957</v>
      </c>
      <c r="E1986" s="288">
        <v>2200</v>
      </c>
      <c r="F1986" s="288">
        <f>ROUND(IF($A1986="E",E1986*(1+Assumptions!C$15),E1986*(1+Assumptions!C$14)),-2)</f>
        <v>2200</v>
      </c>
      <c r="G1986" s="288">
        <f>ROUND(IF($A1986="E",F1986*(1+Assumptions!D$15),F1986*(1+Assumptions!D$14)),-2)</f>
        <v>2200</v>
      </c>
      <c r="H1986" s="288">
        <f>ROUND(IF($A1986="E",G1986*(1+Assumptions!E$15),G1986*(1+Assumptions!E$14)),-2)</f>
        <v>2200</v>
      </c>
      <c r="I1986" s="288">
        <f>ROUND(IF($A1986="E",H1986*(1+Assumptions!F$15),H1986*(1+Assumptions!F$14)),-2)</f>
        <v>2200</v>
      </c>
      <c r="J1986" s="288">
        <f>ROUND(IF($A1986="E",I1986*(1+Assumptions!G$15),I1986*(1+Assumptions!G$14)),-2)</f>
        <v>2200</v>
      </c>
      <c r="K1986" s="288">
        <f>ROUND(IF($A1986="E",J1986*(1+Assumptions!H$15),J1986*(1+Assumptions!H$14)),-2)</f>
        <v>2200</v>
      </c>
      <c r="L1986" s="288">
        <f>ROUND(IF($A1986="E",K1986*(1+Assumptions!I$15),K1986*(1+Assumptions!I$14)),-2)</f>
        <v>2300</v>
      </c>
      <c r="M1986" s="288">
        <f>ROUND(IF($A1986="E",L1986*(1+Assumptions!J$15),L1986*(1+Assumptions!J$14)),-2)</f>
        <v>2400</v>
      </c>
      <c r="N1986" s="288">
        <f>ROUND(IF($A1986="E",M1986*(1+Assumptions!K$15),M1986*(1+Assumptions!K$14)),-2)</f>
        <v>2500</v>
      </c>
    </row>
    <row r="1987" spans="2:14" x14ac:dyDescent="0.25">
      <c r="B1987" s="16" t="s">
        <v>43</v>
      </c>
      <c r="C1987" s="16" t="s">
        <v>3096</v>
      </c>
      <c r="D1987" s="16" t="s">
        <v>1000</v>
      </c>
      <c r="E1987" s="289"/>
      <c r="F1987" s="289"/>
      <c r="G1987" s="289"/>
      <c r="H1987" s="289"/>
      <c r="I1987" s="289"/>
      <c r="J1987" s="289"/>
      <c r="K1987" s="289"/>
      <c r="L1987" s="289"/>
      <c r="M1987" s="289"/>
      <c r="N1987" s="289"/>
    </row>
    <row r="1988" spans="2:14" x14ac:dyDescent="0.25">
      <c r="B1988" s="16" t="s">
        <v>43</v>
      </c>
      <c r="C1988" s="16" t="s">
        <v>3097</v>
      </c>
      <c r="D1988" s="16" t="s">
        <v>817</v>
      </c>
      <c r="E1988" s="288">
        <v>5100</v>
      </c>
      <c r="F1988" s="288">
        <f>ROUND(IF($A1988="E",E1988*(1+Assumptions!C$15),E1988*(1+Assumptions!C$14)),-2)</f>
        <v>5200</v>
      </c>
      <c r="G1988" s="288">
        <f>ROUND(IF($A1988="E",F1988*(1+Assumptions!D$15),F1988*(1+Assumptions!D$14)),-2)</f>
        <v>5300</v>
      </c>
      <c r="H1988" s="288">
        <f>ROUND(IF($A1988="E",G1988*(1+Assumptions!E$15),G1988*(1+Assumptions!E$14)),-2)</f>
        <v>5400</v>
      </c>
      <c r="I1988" s="288">
        <f>ROUND(IF($A1988="E",H1988*(1+Assumptions!F$15),H1988*(1+Assumptions!F$14)),-2)</f>
        <v>5500</v>
      </c>
      <c r="J1988" s="288">
        <f>ROUND(IF($A1988="E",I1988*(1+Assumptions!G$15),I1988*(1+Assumptions!G$14)),-2)</f>
        <v>5600</v>
      </c>
      <c r="K1988" s="288">
        <f>ROUND(IF($A1988="E",J1988*(1+Assumptions!H$15),J1988*(1+Assumptions!H$14)),-2)</f>
        <v>5700</v>
      </c>
      <c r="L1988" s="288">
        <f>ROUND(IF($A1988="E",K1988*(1+Assumptions!I$15),K1988*(1+Assumptions!I$14)),-2)</f>
        <v>5800</v>
      </c>
      <c r="M1988" s="288">
        <f>ROUND(IF($A1988="E",L1988*(1+Assumptions!J$15),L1988*(1+Assumptions!J$14)),-2)</f>
        <v>5900</v>
      </c>
      <c r="N1988" s="288">
        <f>ROUND(IF($A1988="E",M1988*(1+Assumptions!K$15),M1988*(1+Assumptions!K$14)),-2)</f>
        <v>6000</v>
      </c>
    </row>
    <row r="1989" spans="2:14" x14ac:dyDescent="0.25">
      <c r="B1989" s="16" t="s">
        <v>43</v>
      </c>
      <c r="C1989" s="16" t="s">
        <v>3098</v>
      </c>
      <c r="D1989" s="16" t="s">
        <v>2961</v>
      </c>
      <c r="E1989" s="288">
        <v>30900</v>
      </c>
      <c r="F1989" s="288">
        <f>ROUND(IF($A1989="E",E1989*(1+Assumptions!C$15),E1989*(1+Assumptions!C$14)),-2)</f>
        <v>31400</v>
      </c>
      <c r="G1989" s="288">
        <f>ROUND(IF($A1989="E",F1989*(1+Assumptions!D$15),F1989*(1+Assumptions!D$14)),-2)</f>
        <v>32000</v>
      </c>
      <c r="H1989" s="288">
        <f>ROUND(IF($A1989="E",G1989*(1+Assumptions!E$15),G1989*(1+Assumptions!E$14)),-2)</f>
        <v>32600</v>
      </c>
      <c r="I1989" s="288">
        <f>ROUND(IF($A1989="E",H1989*(1+Assumptions!F$15),H1989*(1+Assumptions!F$14)),-2)</f>
        <v>33300</v>
      </c>
      <c r="J1989" s="288">
        <f>ROUND(IF($A1989="E",I1989*(1+Assumptions!G$15),I1989*(1+Assumptions!G$14)),-2)</f>
        <v>34000</v>
      </c>
      <c r="K1989" s="288">
        <f>ROUND(IF($A1989="E",J1989*(1+Assumptions!H$15),J1989*(1+Assumptions!H$14)),-2)</f>
        <v>34700</v>
      </c>
      <c r="L1989" s="288">
        <f>ROUND(IF($A1989="E",K1989*(1+Assumptions!I$15),K1989*(1+Assumptions!I$14)),-2)</f>
        <v>35600</v>
      </c>
      <c r="M1989" s="288">
        <f>ROUND(IF($A1989="E",L1989*(1+Assumptions!J$15),L1989*(1+Assumptions!J$14)),-2)</f>
        <v>36500</v>
      </c>
      <c r="N1989" s="288">
        <f>ROUND(IF($A1989="E",M1989*(1+Assumptions!K$15),M1989*(1+Assumptions!K$14)),-2)</f>
        <v>37400</v>
      </c>
    </row>
    <row r="1990" spans="2:14" x14ac:dyDescent="0.25">
      <c r="B1990" s="16" t="s">
        <v>43</v>
      </c>
      <c r="C1990" s="16" t="s">
        <v>3099</v>
      </c>
      <c r="D1990" s="16" t="s">
        <v>3100</v>
      </c>
      <c r="E1990" s="288">
        <v>25800</v>
      </c>
      <c r="F1990" s="288">
        <f>ROUND(IF($A1990="E",E1990*(1+Assumptions!C$15),E1990*(1+Assumptions!C$14)),-2)</f>
        <v>26200</v>
      </c>
      <c r="G1990" s="288">
        <f>ROUND(IF($A1990="E",F1990*(1+Assumptions!D$15),F1990*(1+Assumptions!D$14)),-2)</f>
        <v>26700</v>
      </c>
      <c r="H1990" s="288">
        <f>ROUND(IF($A1990="E",G1990*(1+Assumptions!E$15),G1990*(1+Assumptions!E$14)),-2)</f>
        <v>27200</v>
      </c>
      <c r="I1990" s="288">
        <f>ROUND(IF($A1990="E",H1990*(1+Assumptions!F$15),H1990*(1+Assumptions!F$14)),-2)</f>
        <v>27700</v>
      </c>
      <c r="J1990" s="288">
        <f>ROUND(IF($A1990="E",I1990*(1+Assumptions!G$15),I1990*(1+Assumptions!G$14)),-2)</f>
        <v>28300</v>
      </c>
      <c r="K1990" s="288">
        <f>ROUND(IF($A1990="E",J1990*(1+Assumptions!H$15),J1990*(1+Assumptions!H$14)),-2)</f>
        <v>28900</v>
      </c>
      <c r="L1990" s="288">
        <f>ROUND(IF($A1990="E",K1990*(1+Assumptions!I$15),K1990*(1+Assumptions!I$14)),-2)</f>
        <v>29600</v>
      </c>
      <c r="M1990" s="288">
        <f>ROUND(IF($A1990="E",L1990*(1+Assumptions!J$15),L1990*(1+Assumptions!J$14)),-2)</f>
        <v>30300</v>
      </c>
      <c r="N1990" s="288">
        <f>ROUND(IF($A1990="E",M1990*(1+Assumptions!K$15),M1990*(1+Assumptions!K$14)),-2)</f>
        <v>31100</v>
      </c>
    </row>
    <row r="1991" spans="2:14" x14ac:dyDescent="0.25">
      <c r="B1991" s="16" t="s">
        <v>43</v>
      </c>
      <c r="C1991" s="16" t="s">
        <v>3101</v>
      </c>
      <c r="D1991" s="16" t="s">
        <v>3102</v>
      </c>
      <c r="E1991" s="288">
        <v>25800</v>
      </c>
      <c r="F1991" s="288">
        <f>ROUND(IF($A1991="E",E1991*(1+Assumptions!C$15),E1991*(1+Assumptions!C$14)),-2)</f>
        <v>26200</v>
      </c>
      <c r="G1991" s="288">
        <f>ROUND(IF($A1991="E",F1991*(1+Assumptions!D$15),F1991*(1+Assumptions!D$14)),-2)</f>
        <v>26700</v>
      </c>
      <c r="H1991" s="288">
        <f>ROUND(IF($A1991="E",G1991*(1+Assumptions!E$15),G1991*(1+Assumptions!E$14)),-2)</f>
        <v>27200</v>
      </c>
      <c r="I1991" s="288">
        <f>ROUND(IF($A1991="E",H1991*(1+Assumptions!F$15),H1991*(1+Assumptions!F$14)),-2)</f>
        <v>27700</v>
      </c>
      <c r="J1991" s="288">
        <f>ROUND(IF($A1991="E",I1991*(1+Assumptions!G$15),I1991*(1+Assumptions!G$14)),-2)</f>
        <v>28300</v>
      </c>
      <c r="K1991" s="288">
        <f>ROUND(IF($A1991="E",J1991*(1+Assumptions!H$15),J1991*(1+Assumptions!H$14)),-2)</f>
        <v>28900</v>
      </c>
      <c r="L1991" s="288">
        <f>ROUND(IF($A1991="E",K1991*(1+Assumptions!I$15),K1991*(1+Assumptions!I$14)),-2)</f>
        <v>29600</v>
      </c>
      <c r="M1991" s="288">
        <f>ROUND(IF($A1991="E",L1991*(1+Assumptions!J$15),L1991*(1+Assumptions!J$14)),-2)</f>
        <v>30300</v>
      </c>
      <c r="N1991" s="288">
        <f>ROUND(IF($A1991="E",M1991*(1+Assumptions!K$15),M1991*(1+Assumptions!K$14)),-2)</f>
        <v>31100</v>
      </c>
    </row>
    <row r="1992" spans="2:14" x14ac:dyDescent="0.25">
      <c r="B1992" s="16" t="s">
        <v>43</v>
      </c>
      <c r="C1992" s="16" t="s">
        <v>3103</v>
      </c>
      <c r="D1992" s="16" t="s">
        <v>3104</v>
      </c>
      <c r="E1992" s="288">
        <v>31900</v>
      </c>
      <c r="F1992" s="288">
        <f>ROUND(IF($A1992="E",E1992*(1+Assumptions!C$15),E1992*(1+Assumptions!C$14)),-2)</f>
        <v>32400</v>
      </c>
      <c r="G1992" s="288">
        <f>ROUND(IF($A1992="E",F1992*(1+Assumptions!D$15),F1992*(1+Assumptions!D$14)),-2)</f>
        <v>33000</v>
      </c>
      <c r="H1992" s="288">
        <f>ROUND(IF($A1992="E",G1992*(1+Assumptions!E$15),G1992*(1+Assumptions!E$14)),-2)</f>
        <v>33700</v>
      </c>
      <c r="I1992" s="288">
        <f>ROUND(IF($A1992="E",H1992*(1+Assumptions!F$15),H1992*(1+Assumptions!F$14)),-2)</f>
        <v>34400</v>
      </c>
      <c r="J1992" s="288">
        <f>ROUND(IF($A1992="E",I1992*(1+Assumptions!G$15),I1992*(1+Assumptions!G$14)),-2)</f>
        <v>35100</v>
      </c>
      <c r="K1992" s="288">
        <f>ROUND(IF($A1992="E",J1992*(1+Assumptions!H$15),J1992*(1+Assumptions!H$14)),-2)</f>
        <v>35800</v>
      </c>
      <c r="L1992" s="288">
        <f>ROUND(IF($A1992="E",K1992*(1+Assumptions!I$15),K1992*(1+Assumptions!I$14)),-2)</f>
        <v>36700</v>
      </c>
      <c r="M1992" s="288">
        <f>ROUND(IF($A1992="E",L1992*(1+Assumptions!J$15),L1992*(1+Assumptions!J$14)),-2)</f>
        <v>37600</v>
      </c>
      <c r="N1992" s="288">
        <f>ROUND(IF($A1992="E",M1992*(1+Assumptions!K$15),M1992*(1+Assumptions!K$14)),-2)</f>
        <v>38500</v>
      </c>
    </row>
    <row r="1993" spans="2:14" x14ac:dyDescent="0.25">
      <c r="B1993" s="16" t="s">
        <v>43</v>
      </c>
      <c r="C1993" s="16" t="s">
        <v>3105</v>
      </c>
      <c r="D1993" s="16" t="s">
        <v>3106</v>
      </c>
      <c r="E1993" s="288">
        <v>3100</v>
      </c>
      <c r="F1993" s="288">
        <f>ROUND(IF($A1993="E",E1993*(1+Assumptions!C$15),E1993*(1+Assumptions!C$14)),-2)</f>
        <v>3100</v>
      </c>
      <c r="G1993" s="288">
        <f>ROUND(IF($A1993="E",F1993*(1+Assumptions!D$15),F1993*(1+Assumptions!D$14)),-2)</f>
        <v>3200</v>
      </c>
      <c r="H1993" s="288">
        <f>ROUND(IF($A1993="E",G1993*(1+Assumptions!E$15),G1993*(1+Assumptions!E$14)),-2)</f>
        <v>3300</v>
      </c>
      <c r="I1993" s="288">
        <f>ROUND(IF($A1993="E",H1993*(1+Assumptions!F$15),H1993*(1+Assumptions!F$14)),-2)</f>
        <v>3400</v>
      </c>
      <c r="J1993" s="288">
        <f>ROUND(IF($A1993="E",I1993*(1+Assumptions!G$15),I1993*(1+Assumptions!G$14)),-2)</f>
        <v>3500</v>
      </c>
      <c r="K1993" s="288">
        <f>ROUND(IF($A1993="E",J1993*(1+Assumptions!H$15),J1993*(1+Assumptions!H$14)),-2)</f>
        <v>3600</v>
      </c>
      <c r="L1993" s="288">
        <f>ROUND(IF($A1993="E",K1993*(1+Assumptions!I$15),K1993*(1+Assumptions!I$14)),-2)</f>
        <v>3700</v>
      </c>
      <c r="M1993" s="288">
        <f>ROUND(IF($A1993="E",L1993*(1+Assumptions!J$15),L1993*(1+Assumptions!J$14)),-2)</f>
        <v>3800</v>
      </c>
      <c r="N1993" s="288">
        <f>ROUND(IF($A1993="E",M1993*(1+Assumptions!K$15),M1993*(1+Assumptions!K$14)),-2)</f>
        <v>3900</v>
      </c>
    </row>
    <row r="1994" spans="2:14" x14ac:dyDescent="0.25">
      <c r="B1994" s="16" t="s">
        <v>41</v>
      </c>
      <c r="C1994" s="16" t="s">
        <v>3107</v>
      </c>
      <c r="D1994" s="16" t="s">
        <v>2971</v>
      </c>
      <c r="E1994" s="288">
        <v>91100</v>
      </c>
      <c r="F1994" s="288">
        <f>ROUND(IF($A1994="E",E1994*(1+Assumptions!C$15),E1994*(1+Assumptions!C$14)),-2)</f>
        <v>92500</v>
      </c>
      <c r="G1994" s="288">
        <f>ROUND(IF($A1994="E",F1994*(1+Assumptions!D$15),F1994*(1+Assumptions!D$14)),-2)</f>
        <v>94400</v>
      </c>
      <c r="H1994" s="288">
        <f>ROUND(IF($A1994="E",G1994*(1+Assumptions!E$15),G1994*(1+Assumptions!E$14)),-2)</f>
        <v>96300</v>
      </c>
      <c r="I1994" s="288">
        <f>ROUND(IF($A1994="E",H1994*(1+Assumptions!F$15),H1994*(1+Assumptions!F$14)),-2)</f>
        <v>98200</v>
      </c>
      <c r="J1994" s="288">
        <f>ROUND(IF($A1994="E",I1994*(1+Assumptions!G$15),I1994*(1+Assumptions!G$14)),-2)</f>
        <v>100200</v>
      </c>
      <c r="K1994" s="288">
        <f>ROUND(IF($A1994="E",J1994*(1+Assumptions!H$15),J1994*(1+Assumptions!H$14)),-2)</f>
        <v>102200</v>
      </c>
      <c r="L1994" s="288">
        <f>ROUND(IF($A1994="E",K1994*(1+Assumptions!I$15),K1994*(1+Assumptions!I$14)),-2)</f>
        <v>104800</v>
      </c>
      <c r="M1994" s="288">
        <f>ROUND(IF($A1994="E",L1994*(1+Assumptions!J$15),L1994*(1+Assumptions!J$14)),-2)</f>
        <v>107400</v>
      </c>
      <c r="N1994" s="288">
        <f>ROUND(IF($A1994="E",M1994*(1+Assumptions!K$15),M1994*(1+Assumptions!K$14)),-2)</f>
        <v>110100</v>
      </c>
    </row>
    <row r="1995" spans="2:14" x14ac:dyDescent="0.25">
      <c r="B1995" s="16" t="s">
        <v>41</v>
      </c>
      <c r="C1995" s="16" t="s">
        <v>3108</v>
      </c>
      <c r="D1995" s="16" t="s">
        <v>2975</v>
      </c>
      <c r="E1995" s="288">
        <v>28300</v>
      </c>
      <c r="F1995" s="288">
        <f>ROUND(IF($A1995="E",E1995*(1+Assumptions!C$15),E1995*(1+Assumptions!C$14)),-2)</f>
        <v>28700</v>
      </c>
      <c r="G1995" s="288">
        <f>ROUND(IF($A1995="E",F1995*(1+Assumptions!D$15),F1995*(1+Assumptions!D$14)),-2)</f>
        <v>29300</v>
      </c>
      <c r="H1995" s="288">
        <f>ROUND(IF($A1995="E",G1995*(1+Assumptions!E$15),G1995*(1+Assumptions!E$14)),-2)</f>
        <v>29900</v>
      </c>
      <c r="I1995" s="288">
        <f>ROUND(IF($A1995="E",H1995*(1+Assumptions!F$15),H1995*(1+Assumptions!F$14)),-2)</f>
        <v>30500</v>
      </c>
      <c r="J1995" s="288">
        <f>ROUND(IF($A1995="E",I1995*(1+Assumptions!G$15),I1995*(1+Assumptions!G$14)),-2)</f>
        <v>31100</v>
      </c>
      <c r="K1995" s="288">
        <f>ROUND(IF($A1995="E",J1995*(1+Assumptions!H$15),J1995*(1+Assumptions!H$14)),-2)</f>
        <v>31700</v>
      </c>
      <c r="L1995" s="288">
        <f>ROUND(IF($A1995="E",K1995*(1+Assumptions!I$15),K1995*(1+Assumptions!I$14)),-2)</f>
        <v>32500</v>
      </c>
      <c r="M1995" s="288">
        <f>ROUND(IF($A1995="E",L1995*(1+Assumptions!J$15),L1995*(1+Assumptions!J$14)),-2)</f>
        <v>33300</v>
      </c>
      <c r="N1995" s="288">
        <f>ROUND(IF($A1995="E",M1995*(1+Assumptions!K$15),M1995*(1+Assumptions!K$14)),-2)</f>
        <v>34100</v>
      </c>
    </row>
    <row r="1996" spans="2:14" x14ac:dyDescent="0.25">
      <c r="B1996" s="16" t="s">
        <v>43</v>
      </c>
      <c r="C1996" s="16" t="s">
        <v>3109</v>
      </c>
      <c r="D1996" s="16" t="s">
        <v>3110</v>
      </c>
      <c r="E1996" s="288">
        <v>16000</v>
      </c>
      <c r="F1996" s="288">
        <f>ROUND(IF($A1996="E",E1996*(1+Assumptions!C$15),E1996*(1+Assumptions!C$14)),-2)</f>
        <v>16200</v>
      </c>
      <c r="G1996" s="288">
        <f>ROUND(IF($A1996="E",F1996*(1+Assumptions!D$15),F1996*(1+Assumptions!D$14)),-2)</f>
        <v>16500</v>
      </c>
      <c r="H1996" s="288">
        <f>ROUND(IF($A1996="E",G1996*(1+Assumptions!E$15),G1996*(1+Assumptions!E$14)),-2)</f>
        <v>16800</v>
      </c>
      <c r="I1996" s="288">
        <f>ROUND(IF($A1996="E",H1996*(1+Assumptions!F$15),H1996*(1+Assumptions!F$14)),-2)</f>
        <v>17100</v>
      </c>
      <c r="J1996" s="288">
        <f>ROUND(IF($A1996="E",I1996*(1+Assumptions!G$15),I1996*(1+Assumptions!G$14)),-2)</f>
        <v>17400</v>
      </c>
      <c r="K1996" s="288">
        <f>ROUND(IF($A1996="E",J1996*(1+Assumptions!H$15),J1996*(1+Assumptions!H$14)),-2)</f>
        <v>17700</v>
      </c>
      <c r="L1996" s="288">
        <f>ROUND(IF($A1996="E",K1996*(1+Assumptions!I$15),K1996*(1+Assumptions!I$14)),-2)</f>
        <v>18100</v>
      </c>
      <c r="M1996" s="288">
        <f>ROUND(IF($A1996="E",L1996*(1+Assumptions!J$15),L1996*(1+Assumptions!J$14)),-2)</f>
        <v>18600</v>
      </c>
      <c r="N1996" s="288">
        <f>ROUND(IF($A1996="E",M1996*(1+Assumptions!K$15),M1996*(1+Assumptions!K$14)),-2)</f>
        <v>19100</v>
      </c>
    </row>
    <row r="1997" spans="2:14" x14ac:dyDescent="0.25">
      <c r="B1997" s="16" t="s">
        <v>43</v>
      </c>
      <c r="C1997" s="16" t="s">
        <v>3111</v>
      </c>
      <c r="D1997" s="16" t="s">
        <v>3112</v>
      </c>
      <c r="E1997" s="288">
        <v>1000</v>
      </c>
      <c r="F1997" s="288">
        <f>ROUND(IF($A1997="E",E1997*(1+Assumptions!C$15),E1997*(1+Assumptions!C$14)),-2)</f>
        <v>1000</v>
      </c>
      <c r="G1997" s="288">
        <f>ROUND(IF($A1997="E",F1997*(1+Assumptions!D$15),F1997*(1+Assumptions!D$14)),-2)</f>
        <v>1000</v>
      </c>
      <c r="H1997" s="288">
        <f>ROUND(IF($A1997="E",G1997*(1+Assumptions!E$15),G1997*(1+Assumptions!E$14)),-2)</f>
        <v>1000</v>
      </c>
      <c r="I1997" s="288">
        <f>ROUND(IF($A1997="E",H1997*(1+Assumptions!F$15),H1997*(1+Assumptions!F$14)),-2)</f>
        <v>1000</v>
      </c>
      <c r="J1997" s="288">
        <f>ROUND(IF($A1997="E",I1997*(1+Assumptions!G$15),I1997*(1+Assumptions!G$14)),-2)</f>
        <v>1000</v>
      </c>
      <c r="K1997" s="288">
        <f>ROUND(IF($A1997="E",J1997*(1+Assumptions!H$15),J1997*(1+Assumptions!H$14)),-2)</f>
        <v>1000</v>
      </c>
      <c r="L1997" s="288">
        <f>ROUND(IF($A1997="E",K1997*(1+Assumptions!I$15),K1997*(1+Assumptions!I$14)),-2)</f>
        <v>1000</v>
      </c>
      <c r="M1997" s="288">
        <f>ROUND(IF($A1997="E",L1997*(1+Assumptions!J$15),L1997*(1+Assumptions!J$14)),-2)</f>
        <v>1000</v>
      </c>
      <c r="N1997" s="288">
        <f>ROUND(IF($A1997="E",M1997*(1+Assumptions!K$15),M1997*(1+Assumptions!K$14)),-2)</f>
        <v>1000</v>
      </c>
    </row>
    <row r="1998" spans="2:14" x14ac:dyDescent="0.25">
      <c r="B1998" s="16" t="s">
        <v>43</v>
      </c>
      <c r="C1998" s="16" t="s">
        <v>3113</v>
      </c>
      <c r="D1998" s="16" t="s">
        <v>1898</v>
      </c>
      <c r="E1998" s="288">
        <v>20700</v>
      </c>
      <c r="F1998" s="288">
        <f>ROUND(IF($A1998="E",E1998*(1+Assumptions!C$15),E1998*(1+Assumptions!C$14)),-2)</f>
        <v>21000</v>
      </c>
      <c r="G1998" s="288">
        <f>ROUND(IF($A1998="E",F1998*(1+Assumptions!D$15),F1998*(1+Assumptions!D$14)),-2)</f>
        <v>21400</v>
      </c>
      <c r="H1998" s="288">
        <f>ROUND(IF($A1998="E",G1998*(1+Assumptions!E$15),G1998*(1+Assumptions!E$14)),-2)</f>
        <v>21800</v>
      </c>
      <c r="I1998" s="288">
        <f>ROUND(IF($A1998="E",H1998*(1+Assumptions!F$15),H1998*(1+Assumptions!F$14)),-2)</f>
        <v>22200</v>
      </c>
      <c r="J1998" s="288">
        <f>ROUND(IF($A1998="E",I1998*(1+Assumptions!G$15),I1998*(1+Assumptions!G$14)),-2)</f>
        <v>22600</v>
      </c>
      <c r="K1998" s="288">
        <f>ROUND(IF($A1998="E",J1998*(1+Assumptions!H$15),J1998*(1+Assumptions!H$14)),-2)</f>
        <v>23100</v>
      </c>
      <c r="L1998" s="288">
        <f>ROUND(IF($A1998="E",K1998*(1+Assumptions!I$15),K1998*(1+Assumptions!I$14)),-2)</f>
        <v>23700</v>
      </c>
      <c r="M1998" s="288">
        <f>ROUND(IF($A1998="E",L1998*(1+Assumptions!J$15),L1998*(1+Assumptions!J$14)),-2)</f>
        <v>24300</v>
      </c>
      <c r="N1998" s="288">
        <f>ROUND(IF($A1998="E",M1998*(1+Assumptions!K$15),M1998*(1+Assumptions!K$14)),-2)</f>
        <v>24900</v>
      </c>
    </row>
    <row r="1999" spans="2:14" x14ac:dyDescent="0.25">
      <c r="B1999" s="16" t="s">
        <v>43</v>
      </c>
      <c r="C1999" s="16" t="s">
        <v>3114</v>
      </c>
      <c r="D1999" s="16" t="s">
        <v>2987</v>
      </c>
      <c r="E1999" s="289"/>
      <c r="F1999" s="289"/>
      <c r="G1999" s="289"/>
      <c r="H1999" s="289"/>
      <c r="I1999" s="289"/>
      <c r="J1999" s="289"/>
      <c r="K1999" s="289"/>
      <c r="L1999" s="289"/>
      <c r="M1999" s="289"/>
      <c r="N1999" s="289"/>
    </row>
    <row r="2000" spans="2:14" x14ac:dyDescent="0.25">
      <c r="B2000" s="16" t="s">
        <v>43</v>
      </c>
      <c r="C2000" s="16" t="s">
        <v>3115</v>
      </c>
      <c r="D2000" s="16" t="s">
        <v>3116</v>
      </c>
      <c r="E2000" s="288">
        <v>2200</v>
      </c>
      <c r="F2000" s="288">
        <f>ROUND(IF($A2000="E",E2000*(1+Assumptions!C$15),E2000*(1+Assumptions!C$14)),-2)</f>
        <v>2200</v>
      </c>
      <c r="G2000" s="288">
        <f>ROUND(IF($A2000="E",F2000*(1+Assumptions!D$15),F2000*(1+Assumptions!D$14)),-2)</f>
        <v>2200</v>
      </c>
      <c r="H2000" s="288">
        <f>ROUND(IF($A2000="E",G2000*(1+Assumptions!E$15),G2000*(1+Assumptions!E$14)),-2)</f>
        <v>2200</v>
      </c>
      <c r="I2000" s="288">
        <f>ROUND(IF($A2000="E",H2000*(1+Assumptions!F$15),H2000*(1+Assumptions!F$14)),-2)</f>
        <v>2200</v>
      </c>
      <c r="J2000" s="288">
        <f>ROUND(IF($A2000="E",I2000*(1+Assumptions!G$15),I2000*(1+Assumptions!G$14)),-2)</f>
        <v>2200</v>
      </c>
      <c r="K2000" s="288">
        <f>ROUND(IF($A2000="E",J2000*(1+Assumptions!H$15),J2000*(1+Assumptions!H$14)),-2)</f>
        <v>2200</v>
      </c>
      <c r="L2000" s="288">
        <f>ROUND(IF($A2000="E",K2000*(1+Assumptions!I$15),K2000*(1+Assumptions!I$14)),-2)</f>
        <v>2300</v>
      </c>
      <c r="M2000" s="288">
        <f>ROUND(IF($A2000="E",L2000*(1+Assumptions!J$15),L2000*(1+Assumptions!J$14)),-2)</f>
        <v>2400</v>
      </c>
      <c r="N2000" s="288">
        <f>ROUND(IF($A2000="E",M2000*(1+Assumptions!K$15),M2000*(1+Assumptions!K$14)),-2)</f>
        <v>2500</v>
      </c>
    </row>
    <row r="2001" spans="2:14" x14ac:dyDescent="0.25">
      <c r="B2001" s="16" t="s">
        <v>43</v>
      </c>
      <c r="C2001" s="16" t="s">
        <v>3117</v>
      </c>
      <c r="D2001" s="16" t="s">
        <v>3118</v>
      </c>
      <c r="E2001" s="288">
        <v>5100</v>
      </c>
      <c r="F2001" s="288">
        <f>ROUND(IF($A2001="E",E2001*(1+Assumptions!C$15),E2001*(1+Assumptions!C$14)),-2)</f>
        <v>5200</v>
      </c>
      <c r="G2001" s="288">
        <f>ROUND(IF($A2001="E",F2001*(1+Assumptions!D$15),F2001*(1+Assumptions!D$14)),-2)</f>
        <v>5300</v>
      </c>
      <c r="H2001" s="288">
        <f>ROUND(IF($A2001="E",G2001*(1+Assumptions!E$15),G2001*(1+Assumptions!E$14)),-2)</f>
        <v>5400</v>
      </c>
      <c r="I2001" s="288">
        <f>ROUND(IF($A2001="E",H2001*(1+Assumptions!F$15),H2001*(1+Assumptions!F$14)),-2)</f>
        <v>5500</v>
      </c>
      <c r="J2001" s="288">
        <f>ROUND(IF($A2001="E",I2001*(1+Assumptions!G$15),I2001*(1+Assumptions!G$14)),-2)</f>
        <v>5600</v>
      </c>
      <c r="K2001" s="288">
        <f>ROUND(IF($A2001="E",J2001*(1+Assumptions!H$15),J2001*(1+Assumptions!H$14)),-2)</f>
        <v>5700</v>
      </c>
      <c r="L2001" s="288">
        <f>ROUND(IF($A2001="E",K2001*(1+Assumptions!I$15),K2001*(1+Assumptions!I$14)),-2)</f>
        <v>5800</v>
      </c>
      <c r="M2001" s="288">
        <f>ROUND(IF($A2001="E",L2001*(1+Assumptions!J$15),L2001*(1+Assumptions!J$14)),-2)</f>
        <v>5900</v>
      </c>
      <c r="N2001" s="288">
        <f>ROUND(IF($A2001="E",M2001*(1+Assumptions!K$15),M2001*(1+Assumptions!K$14)),-2)</f>
        <v>6000</v>
      </c>
    </row>
    <row r="2002" spans="2:14" x14ac:dyDescent="0.25">
      <c r="B2002" s="16" t="s">
        <v>43</v>
      </c>
      <c r="C2002" s="16" t="s">
        <v>3119</v>
      </c>
      <c r="D2002" s="16" t="s">
        <v>45</v>
      </c>
      <c r="E2002" s="289"/>
      <c r="F2002" s="289"/>
      <c r="G2002" s="289"/>
      <c r="H2002" s="289"/>
      <c r="I2002" s="289"/>
      <c r="J2002" s="289"/>
      <c r="K2002" s="289"/>
      <c r="L2002" s="289"/>
      <c r="M2002" s="289"/>
      <c r="N2002" s="289"/>
    </row>
    <row r="2003" spans="2:14" x14ac:dyDescent="0.25">
      <c r="B2003" s="16" t="s">
        <v>43</v>
      </c>
      <c r="C2003" s="16" t="s">
        <v>3120</v>
      </c>
      <c r="D2003" s="16" t="s">
        <v>3121</v>
      </c>
      <c r="E2003" s="288">
        <v>2200</v>
      </c>
      <c r="F2003" s="288">
        <f>ROUND(IF($A2003="E",E2003*(1+Assumptions!C$15),E2003*(1+Assumptions!C$14)),-2)</f>
        <v>2200</v>
      </c>
      <c r="G2003" s="288">
        <f>ROUND(IF($A2003="E",F2003*(1+Assumptions!D$15),F2003*(1+Assumptions!D$14)),-2)</f>
        <v>2200</v>
      </c>
      <c r="H2003" s="288">
        <f>ROUND(IF($A2003="E",G2003*(1+Assumptions!E$15),G2003*(1+Assumptions!E$14)),-2)</f>
        <v>2200</v>
      </c>
      <c r="I2003" s="288">
        <f>ROUND(IF($A2003="E",H2003*(1+Assumptions!F$15),H2003*(1+Assumptions!F$14)),-2)</f>
        <v>2200</v>
      </c>
      <c r="J2003" s="288">
        <f>ROUND(IF($A2003="E",I2003*(1+Assumptions!G$15),I2003*(1+Assumptions!G$14)),-2)</f>
        <v>2200</v>
      </c>
      <c r="K2003" s="288">
        <f>ROUND(IF($A2003="E",J2003*(1+Assumptions!H$15),J2003*(1+Assumptions!H$14)),-2)</f>
        <v>2200</v>
      </c>
      <c r="L2003" s="288">
        <f>ROUND(IF($A2003="E",K2003*(1+Assumptions!I$15),K2003*(1+Assumptions!I$14)),-2)</f>
        <v>2300</v>
      </c>
      <c r="M2003" s="288">
        <f>ROUND(IF($A2003="E",L2003*(1+Assumptions!J$15),L2003*(1+Assumptions!J$14)),-2)</f>
        <v>2400</v>
      </c>
      <c r="N2003" s="288">
        <f>ROUND(IF($A2003="E",M2003*(1+Assumptions!K$15),M2003*(1+Assumptions!K$14)),-2)</f>
        <v>2500</v>
      </c>
    </row>
    <row r="2004" spans="2:14" x14ac:dyDescent="0.25">
      <c r="B2004" s="16" t="s">
        <v>42</v>
      </c>
      <c r="C2004" s="16" t="s">
        <v>3122</v>
      </c>
      <c r="D2004" s="16" t="s">
        <v>531</v>
      </c>
      <c r="E2004" s="289"/>
      <c r="F2004" s="289"/>
      <c r="G2004" s="289"/>
      <c r="H2004" s="289"/>
      <c r="I2004" s="289"/>
      <c r="J2004" s="289"/>
      <c r="K2004" s="289"/>
      <c r="L2004" s="289"/>
      <c r="M2004" s="289"/>
      <c r="N2004" s="289"/>
    </row>
    <row r="2005" spans="2:14" x14ac:dyDescent="0.25">
      <c r="B2005" s="16" t="s">
        <v>42</v>
      </c>
      <c r="C2005" s="16" t="s">
        <v>3123</v>
      </c>
      <c r="D2005" s="16" t="s">
        <v>406</v>
      </c>
      <c r="E2005" s="302">
        <v>3530100</v>
      </c>
      <c r="F2005" s="302">
        <f>ROUND(loans!U116,-2)</f>
        <v>3365300</v>
      </c>
      <c r="G2005" s="302">
        <f>ROUND(loans!Y116,-2)</f>
        <v>3253100</v>
      </c>
      <c r="H2005" s="302">
        <f>ROUND(loans!AC116,-2)</f>
        <v>3143400</v>
      </c>
      <c r="I2005" s="302">
        <f>ROUND(loans!AG116,-2)</f>
        <v>2982300</v>
      </c>
      <c r="J2005" s="302">
        <f>ROUND(loans!AK116,-2)</f>
        <v>2865000</v>
      </c>
      <c r="K2005" s="302">
        <f>ROUND(loans!AO116,-2)</f>
        <v>2709200</v>
      </c>
      <c r="L2005" s="302">
        <f>ROUND(loans!AS116,-2)</f>
        <v>2546200</v>
      </c>
      <c r="M2005" s="302">
        <f>ROUND(loans!AW116,-2)</f>
        <v>2348100</v>
      </c>
      <c r="N2005" s="302">
        <f>ROUND(loans!BA116,-2)</f>
        <v>2184600</v>
      </c>
    </row>
    <row r="2006" spans="2:14" x14ac:dyDescent="0.25">
      <c r="C2006" s="16" t="s">
        <v>3124</v>
      </c>
      <c r="D2006" s="16" t="s">
        <v>187</v>
      </c>
      <c r="E2006" s="289"/>
      <c r="F2006" s="289"/>
      <c r="G2006" s="289"/>
      <c r="H2006" s="289"/>
      <c r="I2006" s="289"/>
      <c r="J2006" s="289"/>
      <c r="K2006" s="289"/>
      <c r="L2006" s="289"/>
      <c r="M2006" s="289"/>
      <c r="N2006" s="289"/>
    </row>
    <row r="2007" spans="2:14" x14ac:dyDescent="0.25">
      <c r="B2007" s="16" t="s">
        <v>43</v>
      </c>
      <c r="C2007" s="16" t="s">
        <v>3125</v>
      </c>
      <c r="D2007" s="16" t="s">
        <v>2993</v>
      </c>
      <c r="E2007" s="288">
        <v>51500</v>
      </c>
      <c r="F2007" s="288">
        <f>ROUND(IF($A2007="E",E2007*(1+Assumptions!C$15),E2007*(1+Assumptions!C$14)),-2)</f>
        <v>52300</v>
      </c>
      <c r="G2007" s="288">
        <f>ROUND(IF($A2007="E",F2007*(1+Assumptions!D$15),F2007*(1+Assumptions!D$14)),-2)</f>
        <v>53300</v>
      </c>
      <c r="H2007" s="288">
        <f>ROUND(IF($A2007="E",G2007*(1+Assumptions!E$15),G2007*(1+Assumptions!E$14)),-2)</f>
        <v>54400</v>
      </c>
      <c r="I2007" s="288">
        <f>ROUND(IF($A2007="E",H2007*(1+Assumptions!F$15),H2007*(1+Assumptions!F$14)),-2)</f>
        <v>55500</v>
      </c>
      <c r="J2007" s="288">
        <f>ROUND(IF($A2007="E",I2007*(1+Assumptions!G$15),I2007*(1+Assumptions!G$14)),-2)</f>
        <v>56600</v>
      </c>
      <c r="K2007" s="288">
        <f>ROUND(IF($A2007="E",J2007*(1+Assumptions!H$15),J2007*(1+Assumptions!H$14)),-2)</f>
        <v>57700</v>
      </c>
      <c r="L2007" s="288">
        <f>ROUND(IF($A2007="E",K2007*(1+Assumptions!I$15),K2007*(1+Assumptions!I$14)),-2)</f>
        <v>59100</v>
      </c>
      <c r="M2007" s="288">
        <f>ROUND(IF($A2007="E",L2007*(1+Assumptions!J$15),L2007*(1+Assumptions!J$14)),-2)</f>
        <v>60600</v>
      </c>
      <c r="N2007" s="288">
        <f>ROUND(IF($A2007="E",M2007*(1+Assumptions!K$15),M2007*(1+Assumptions!K$14)),-2)</f>
        <v>62100</v>
      </c>
    </row>
    <row r="2008" spans="2:14" x14ac:dyDescent="0.25">
      <c r="B2008" s="16" t="s">
        <v>43</v>
      </c>
      <c r="C2008" s="16" t="s">
        <v>3126</v>
      </c>
      <c r="D2008" s="16" t="s">
        <v>367</v>
      </c>
      <c r="E2008" s="288">
        <v>109300</v>
      </c>
      <c r="F2008" s="288">
        <f>ROUND(IF($A2008="E",E2008*(1+Assumptions!C$15),E2008*(1+Assumptions!C$14)),-2)</f>
        <v>110900</v>
      </c>
      <c r="G2008" s="288">
        <f>ROUND(IF($A2008="E",F2008*(1+Assumptions!D$15),F2008*(1+Assumptions!D$14)),-2)</f>
        <v>113100</v>
      </c>
      <c r="H2008" s="288">
        <f>ROUND(IF($A2008="E",G2008*(1+Assumptions!E$15),G2008*(1+Assumptions!E$14)),-2)</f>
        <v>115400</v>
      </c>
      <c r="I2008" s="288">
        <f>ROUND(IF($A2008="E",H2008*(1+Assumptions!F$15),H2008*(1+Assumptions!F$14)),-2)</f>
        <v>117700</v>
      </c>
      <c r="J2008" s="288">
        <f>ROUND(IF($A2008="E",I2008*(1+Assumptions!G$15),I2008*(1+Assumptions!G$14)),-2)</f>
        <v>120100</v>
      </c>
      <c r="K2008" s="288">
        <f>ROUND(IF($A2008="E",J2008*(1+Assumptions!H$15),J2008*(1+Assumptions!H$14)),-2)</f>
        <v>122500</v>
      </c>
      <c r="L2008" s="288">
        <f>ROUND(IF($A2008="E",K2008*(1+Assumptions!I$15),K2008*(1+Assumptions!I$14)),-2)</f>
        <v>125600</v>
      </c>
      <c r="M2008" s="288">
        <f>ROUND(IF($A2008="E",L2008*(1+Assumptions!J$15),L2008*(1+Assumptions!J$14)),-2)</f>
        <v>128700</v>
      </c>
      <c r="N2008" s="288">
        <f>ROUND(IF($A2008="E",M2008*(1+Assumptions!K$15),M2008*(1+Assumptions!K$14)),-2)</f>
        <v>131900</v>
      </c>
    </row>
    <row r="2009" spans="2:14" x14ac:dyDescent="0.25">
      <c r="B2009" s="16" t="s">
        <v>43</v>
      </c>
      <c r="C2009" s="16" t="s">
        <v>3127</v>
      </c>
      <c r="D2009" s="16" t="s">
        <v>193</v>
      </c>
      <c r="E2009" s="288">
        <v>1229500</v>
      </c>
      <c r="F2009" s="288">
        <f>ROUND(IF($A2009="E",E2009*(1+Assumptions!C$15),E2009*(1+Assumptions!C$14)),-2)</f>
        <v>1247900</v>
      </c>
      <c r="G2009" s="288">
        <f>ROUND(IF($A2009="E",F2009*(1+Assumptions!D$15),F2009*(1+Assumptions!D$14)),-2)</f>
        <v>1272900</v>
      </c>
      <c r="H2009" s="288">
        <f>ROUND(IF($A2009="E",G2009*(1+Assumptions!E$15),G2009*(1+Assumptions!E$14)),-2)</f>
        <v>1298400</v>
      </c>
      <c r="I2009" s="288">
        <f>ROUND(IF($A2009="E",H2009*(1+Assumptions!F$15),H2009*(1+Assumptions!F$14)),-2)</f>
        <v>1324400</v>
      </c>
      <c r="J2009" s="288">
        <f>ROUND(IF($A2009="E",I2009*(1+Assumptions!G$15),I2009*(1+Assumptions!G$14)),-2)</f>
        <v>1350900</v>
      </c>
      <c r="K2009" s="288">
        <f>ROUND(IF($A2009="E",J2009*(1+Assumptions!H$15),J2009*(1+Assumptions!H$14)),-2)</f>
        <v>1377900</v>
      </c>
      <c r="L2009" s="288">
        <f>ROUND(IF($A2009="E",K2009*(1+Assumptions!I$15),K2009*(1+Assumptions!I$14)),-2)</f>
        <v>1412300</v>
      </c>
      <c r="M2009" s="288">
        <f>ROUND(IF($A2009="E",L2009*(1+Assumptions!J$15),L2009*(1+Assumptions!J$14)),-2)</f>
        <v>1447600</v>
      </c>
      <c r="N2009" s="288">
        <f>ROUND(IF($A2009="E",M2009*(1+Assumptions!K$15),M2009*(1+Assumptions!K$14)),-2)</f>
        <v>1483800</v>
      </c>
    </row>
    <row r="2010" spans="2:14" x14ac:dyDescent="0.25">
      <c r="B2010" s="16" t="s">
        <v>43</v>
      </c>
      <c r="C2010" s="16" t="s">
        <v>3128</v>
      </c>
      <c r="D2010" s="16" t="s">
        <v>3129</v>
      </c>
      <c r="E2010" s="289"/>
      <c r="F2010" s="289"/>
      <c r="G2010" s="289"/>
      <c r="H2010" s="289"/>
      <c r="I2010" s="289"/>
      <c r="J2010" s="289"/>
      <c r="K2010" s="289"/>
      <c r="L2010" s="289"/>
      <c r="M2010" s="289"/>
      <c r="N2010" s="289"/>
    </row>
    <row r="2011" spans="2:14" x14ac:dyDescent="0.25">
      <c r="B2011" s="16" t="s">
        <v>43</v>
      </c>
      <c r="C2011" s="16" t="s">
        <v>3130</v>
      </c>
      <c r="D2011" s="16" t="s">
        <v>3131</v>
      </c>
      <c r="E2011" s="288">
        <v>66500</v>
      </c>
      <c r="F2011" s="288">
        <f>ROUND(IF($A2011="E",E2011*(1+Assumptions!C$15),E2011*(1+Assumptions!C$14)),-2)</f>
        <v>67500</v>
      </c>
      <c r="G2011" s="288">
        <f>ROUND(IF($A2011="E",F2011*(1+Assumptions!D$15),F2011*(1+Assumptions!D$14)),-2)</f>
        <v>68900</v>
      </c>
      <c r="H2011" s="288">
        <f>ROUND(IF($A2011="E",G2011*(1+Assumptions!E$15),G2011*(1+Assumptions!E$14)),-2)</f>
        <v>70300</v>
      </c>
      <c r="I2011" s="288">
        <f>ROUND(IF($A2011="E",H2011*(1+Assumptions!F$15),H2011*(1+Assumptions!F$14)),-2)</f>
        <v>71700</v>
      </c>
      <c r="J2011" s="288">
        <f>ROUND(IF($A2011="E",I2011*(1+Assumptions!G$15),I2011*(1+Assumptions!G$14)),-2)</f>
        <v>73100</v>
      </c>
      <c r="K2011" s="288">
        <f>ROUND(IF($A2011="E",J2011*(1+Assumptions!H$15),J2011*(1+Assumptions!H$14)),-2)</f>
        <v>74600</v>
      </c>
      <c r="L2011" s="288">
        <f>ROUND(IF($A2011="E",K2011*(1+Assumptions!I$15),K2011*(1+Assumptions!I$14)),-2)</f>
        <v>76500</v>
      </c>
      <c r="M2011" s="288">
        <f>ROUND(IF($A2011="E",L2011*(1+Assumptions!J$15),L2011*(1+Assumptions!J$14)),-2)</f>
        <v>78400</v>
      </c>
      <c r="N2011" s="288">
        <f>ROUND(IF($A2011="E",M2011*(1+Assumptions!K$15),M2011*(1+Assumptions!K$14)),-2)</f>
        <v>80400</v>
      </c>
    </row>
    <row r="2012" spans="2:14" x14ac:dyDescent="0.25">
      <c r="B2012" s="16" t="s">
        <v>43</v>
      </c>
      <c r="C2012" s="16" t="s">
        <v>3132</v>
      </c>
      <c r="D2012" s="16" t="s">
        <v>3133</v>
      </c>
      <c r="E2012" s="288">
        <v>0</v>
      </c>
      <c r="F2012" s="288">
        <f>ROUND(IF($A2012="E",E2012*(1+Assumptions!C$15),E2012*(1+Assumptions!C$14)),-2)</f>
        <v>0</v>
      </c>
      <c r="G2012" s="288">
        <f>ROUND(IF($A2012="E",F2012*(1+Assumptions!D$15),F2012*(1+Assumptions!D$14)),-2)</f>
        <v>0</v>
      </c>
      <c r="H2012" s="288">
        <f>ROUND(IF($A2012="E",G2012*(1+Assumptions!E$15),G2012*(1+Assumptions!E$14)),-2)</f>
        <v>0</v>
      </c>
      <c r="I2012" s="288">
        <f>ROUND(IF($A2012="E",H2012*(1+Assumptions!F$15),H2012*(1+Assumptions!F$14)),-2)</f>
        <v>0</v>
      </c>
      <c r="J2012" s="288">
        <f>ROUND(IF($A2012="E",I2012*(1+Assumptions!G$15),I2012*(1+Assumptions!G$14)),-2)</f>
        <v>0</v>
      </c>
      <c r="K2012" s="288">
        <f>ROUND(IF($A2012="E",J2012*(1+Assumptions!H$15),J2012*(1+Assumptions!H$14)),-2)</f>
        <v>0</v>
      </c>
      <c r="L2012" s="288">
        <f>ROUND(IF($A2012="E",K2012*(1+Assumptions!I$15),K2012*(1+Assumptions!I$14)),-2)</f>
        <v>0</v>
      </c>
      <c r="M2012" s="288">
        <f>ROUND(IF($A2012="E",L2012*(1+Assumptions!J$15),L2012*(1+Assumptions!J$14)),-2)</f>
        <v>0</v>
      </c>
      <c r="N2012" s="288">
        <f>ROUND(IF($A2012="E",M2012*(1+Assumptions!K$15),M2012*(1+Assumptions!K$14)),-2)</f>
        <v>0</v>
      </c>
    </row>
    <row r="2013" spans="2:14" x14ac:dyDescent="0.25">
      <c r="B2013" s="16" t="s">
        <v>43</v>
      </c>
      <c r="C2013" s="16" t="s">
        <v>3134</v>
      </c>
      <c r="D2013" s="16" t="s">
        <v>3135</v>
      </c>
      <c r="E2013" s="288">
        <v>0</v>
      </c>
      <c r="F2013" s="288">
        <f>ROUND(IF($A2013="E",E2013*(1+Assumptions!C$15),E2013*(1+Assumptions!C$14)),-2)</f>
        <v>0</v>
      </c>
      <c r="G2013" s="288">
        <f>ROUND(IF($A2013="E",F2013*(1+Assumptions!D$15),F2013*(1+Assumptions!D$14)),-2)</f>
        <v>0</v>
      </c>
      <c r="H2013" s="288">
        <f>ROUND(IF($A2013="E",G2013*(1+Assumptions!E$15),G2013*(1+Assumptions!E$14)),-2)</f>
        <v>0</v>
      </c>
      <c r="I2013" s="288">
        <f>ROUND(IF($A2013="E",H2013*(1+Assumptions!F$15),H2013*(1+Assumptions!F$14)),-2)</f>
        <v>0</v>
      </c>
      <c r="J2013" s="288">
        <f>ROUND(IF($A2013="E",I2013*(1+Assumptions!G$15),I2013*(1+Assumptions!G$14)),-2)</f>
        <v>0</v>
      </c>
      <c r="K2013" s="288">
        <f>ROUND(IF($A2013="E",J2013*(1+Assumptions!H$15),J2013*(1+Assumptions!H$14)),-2)</f>
        <v>0</v>
      </c>
      <c r="L2013" s="288">
        <f>ROUND(IF($A2013="E",K2013*(1+Assumptions!I$15),K2013*(1+Assumptions!I$14)),-2)</f>
        <v>0</v>
      </c>
      <c r="M2013" s="288">
        <f>ROUND(IF($A2013="E",L2013*(1+Assumptions!J$15),L2013*(1+Assumptions!J$14)),-2)</f>
        <v>0</v>
      </c>
      <c r="N2013" s="288">
        <f>ROUND(IF($A2013="E",M2013*(1+Assumptions!K$15),M2013*(1+Assumptions!K$14)),-2)</f>
        <v>0</v>
      </c>
    </row>
    <row r="2014" spans="2:14" x14ac:dyDescent="0.25">
      <c r="B2014" s="16" t="s">
        <v>43</v>
      </c>
      <c r="C2014" s="16" t="s">
        <v>3136</v>
      </c>
      <c r="D2014" s="16" t="s">
        <v>3137</v>
      </c>
      <c r="E2014" s="288">
        <v>0</v>
      </c>
      <c r="F2014" s="288">
        <f>ROUND(IF($A2014="E",E2014*(1+Assumptions!C$15),E2014*(1+Assumptions!C$14)),-2)</f>
        <v>0</v>
      </c>
      <c r="G2014" s="288">
        <f>ROUND(IF($A2014="E",F2014*(1+Assumptions!D$15),F2014*(1+Assumptions!D$14)),-2)</f>
        <v>0</v>
      </c>
      <c r="H2014" s="288">
        <f>ROUND(IF($A2014="E",G2014*(1+Assumptions!E$15),G2014*(1+Assumptions!E$14)),-2)</f>
        <v>0</v>
      </c>
      <c r="I2014" s="288">
        <f>ROUND(IF($A2014="E",H2014*(1+Assumptions!F$15),H2014*(1+Assumptions!F$14)),-2)</f>
        <v>0</v>
      </c>
      <c r="J2014" s="288">
        <f>ROUND(IF($A2014="E",I2014*(1+Assumptions!G$15),I2014*(1+Assumptions!G$14)),-2)</f>
        <v>0</v>
      </c>
      <c r="K2014" s="288">
        <f>ROUND(IF($A2014="E",J2014*(1+Assumptions!H$15),J2014*(1+Assumptions!H$14)),-2)</f>
        <v>0</v>
      </c>
      <c r="L2014" s="288">
        <f>ROUND(IF($A2014="E",K2014*(1+Assumptions!I$15),K2014*(1+Assumptions!I$14)),-2)</f>
        <v>0</v>
      </c>
      <c r="M2014" s="288">
        <f>ROUND(IF($A2014="E",L2014*(1+Assumptions!J$15),L2014*(1+Assumptions!J$14)),-2)</f>
        <v>0</v>
      </c>
      <c r="N2014" s="288">
        <f>ROUND(IF($A2014="E",M2014*(1+Assumptions!K$15),M2014*(1+Assumptions!K$14)),-2)</f>
        <v>0</v>
      </c>
    </row>
    <row r="2015" spans="2:14" x14ac:dyDescent="0.25">
      <c r="B2015" s="16" t="s">
        <v>43</v>
      </c>
      <c r="C2015" s="16" t="s">
        <v>3138</v>
      </c>
      <c r="D2015" s="16" t="s">
        <v>3139</v>
      </c>
      <c r="E2015" s="288">
        <v>0</v>
      </c>
      <c r="F2015" s="288">
        <f>ROUND(IF($A2015="E",E2015*(1+Assumptions!C$15),E2015*(1+Assumptions!C$14)),-2)</f>
        <v>0</v>
      </c>
      <c r="G2015" s="288">
        <f>ROUND(IF($A2015="E",F2015*(1+Assumptions!D$15),F2015*(1+Assumptions!D$14)),-2)</f>
        <v>0</v>
      </c>
      <c r="H2015" s="288">
        <f>ROUND(IF($A2015="E",G2015*(1+Assumptions!E$15),G2015*(1+Assumptions!E$14)),-2)</f>
        <v>0</v>
      </c>
      <c r="I2015" s="288">
        <f>ROUND(IF($A2015="E",H2015*(1+Assumptions!F$15),H2015*(1+Assumptions!F$14)),-2)</f>
        <v>0</v>
      </c>
      <c r="J2015" s="288">
        <f>ROUND(IF($A2015="E",I2015*(1+Assumptions!G$15),I2015*(1+Assumptions!G$14)),-2)</f>
        <v>0</v>
      </c>
      <c r="K2015" s="288">
        <f>ROUND(IF($A2015="E",J2015*(1+Assumptions!H$15),J2015*(1+Assumptions!H$14)),-2)</f>
        <v>0</v>
      </c>
      <c r="L2015" s="288">
        <f>ROUND(IF($A2015="E",K2015*(1+Assumptions!I$15),K2015*(1+Assumptions!I$14)),-2)</f>
        <v>0</v>
      </c>
      <c r="M2015" s="288">
        <f>ROUND(IF($A2015="E",L2015*(1+Assumptions!J$15),L2015*(1+Assumptions!J$14)),-2)</f>
        <v>0</v>
      </c>
      <c r="N2015" s="288">
        <f>ROUND(IF($A2015="E",M2015*(1+Assumptions!K$15),M2015*(1+Assumptions!K$14)),-2)</f>
        <v>0</v>
      </c>
    </row>
    <row r="2016" spans="2:14" x14ac:dyDescent="0.25">
      <c r="B2016" s="16" t="s">
        <v>43</v>
      </c>
      <c r="C2016" s="16" t="s">
        <v>3140</v>
      </c>
      <c r="D2016" s="16" t="s">
        <v>3141</v>
      </c>
      <c r="E2016" s="288">
        <v>0</v>
      </c>
      <c r="F2016" s="288">
        <f>ROUND(IF($A2016="E",E2016*(1+Assumptions!C$15),E2016*(1+Assumptions!C$14)),-2)</f>
        <v>0</v>
      </c>
      <c r="G2016" s="288">
        <f>ROUND(IF($A2016="E",F2016*(1+Assumptions!D$15),F2016*(1+Assumptions!D$14)),-2)</f>
        <v>0</v>
      </c>
      <c r="H2016" s="288">
        <f>ROUND(IF($A2016="E",G2016*(1+Assumptions!E$15),G2016*(1+Assumptions!E$14)),-2)</f>
        <v>0</v>
      </c>
      <c r="I2016" s="288">
        <f>ROUND(IF($A2016="E",H2016*(1+Assumptions!F$15),H2016*(1+Assumptions!F$14)),-2)</f>
        <v>0</v>
      </c>
      <c r="J2016" s="288">
        <f>ROUND(IF($A2016="E",I2016*(1+Assumptions!G$15),I2016*(1+Assumptions!G$14)),-2)</f>
        <v>0</v>
      </c>
      <c r="K2016" s="288">
        <f>ROUND(IF($A2016="E",J2016*(1+Assumptions!H$15),J2016*(1+Assumptions!H$14)),-2)</f>
        <v>0</v>
      </c>
      <c r="L2016" s="288">
        <f>ROUND(IF($A2016="E",K2016*(1+Assumptions!I$15),K2016*(1+Assumptions!I$14)),-2)</f>
        <v>0</v>
      </c>
      <c r="M2016" s="288">
        <f>ROUND(IF($A2016="E",L2016*(1+Assumptions!J$15),L2016*(1+Assumptions!J$14)),-2)</f>
        <v>0</v>
      </c>
      <c r="N2016" s="288">
        <f>ROUND(IF($A2016="E",M2016*(1+Assumptions!K$15),M2016*(1+Assumptions!K$14)),-2)</f>
        <v>0</v>
      </c>
    </row>
    <row r="2017" spans="2:14" x14ac:dyDescent="0.25">
      <c r="B2017" s="16" t="s">
        <v>43</v>
      </c>
      <c r="C2017" s="16" t="s">
        <v>3142</v>
      </c>
      <c r="D2017" s="16" t="s">
        <v>2464</v>
      </c>
      <c r="E2017" s="289"/>
      <c r="F2017" s="289"/>
      <c r="G2017" s="289"/>
      <c r="H2017" s="289"/>
      <c r="I2017" s="289"/>
      <c r="J2017" s="289"/>
      <c r="K2017" s="289"/>
      <c r="L2017" s="289"/>
      <c r="M2017" s="289"/>
      <c r="N2017" s="289"/>
    </row>
    <row r="2018" spans="2:14" x14ac:dyDescent="0.25">
      <c r="B2018" s="16" t="s">
        <v>43</v>
      </c>
      <c r="C2018" s="16" t="s">
        <v>3143</v>
      </c>
      <c r="D2018" s="16" t="s">
        <v>3144</v>
      </c>
      <c r="E2018" s="288">
        <v>10100</v>
      </c>
      <c r="F2018" s="288">
        <f>ROUND(IF($A2018="E",E2018*(1+Assumptions!C$15),E2018*(1+Assumptions!C$14)),-2)</f>
        <v>10300</v>
      </c>
      <c r="G2018" s="288">
        <f>ROUND(IF($A2018="E",F2018*(1+Assumptions!D$15),F2018*(1+Assumptions!D$14)),-2)</f>
        <v>10500</v>
      </c>
      <c r="H2018" s="288">
        <f>ROUND(IF($A2018="E",G2018*(1+Assumptions!E$15),G2018*(1+Assumptions!E$14)),-2)</f>
        <v>10700</v>
      </c>
      <c r="I2018" s="288">
        <f>ROUND(IF($A2018="E",H2018*(1+Assumptions!F$15),H2018*(1+Assumptions!F$14)),-2)</f>
        <v>10900</v>
      </c>
      <c r="J2018" s="288">
        <f>ROUND(IF($A2018="E",I2018*(1+Assumptions!G$15),I2018*(1+Assumptions!G$14)),-2)</f>
        <v>11100</v>
      </c>
      <c r="K2018" s="288">
        <f>ROUND(IF($A2018="E",J2018*(1+Assumptions!H$15),J2018*(1+Assumptions!H$14)),-2)</f>
        <v>11300</v>
      </c>
      <c r="L2018" s="288">
        <f>ROUND(IF($A2018="E",K2018*(1+Assumptions!I$15),K2018*(1+Assumptions!I$14)),-2)</f>
        <v>11600</v>
      </c>
      <c r="M2018" s="288">
        <f>ROUND(IF($A2018="E",L2018*(1+Assumptions!J$15),L2018*(1+Assumptions!J$14)),-2)</f>
        <v>11900</v>
      </c>
      <c r="N2018" s="288">
        <f>ROUND(IF($A2018="E",M2018*(1+Assumptions!K$15),M2018*(1+Assumptions!K$14)),-2)</f>
        <v>12200</v>
      </c>
    </row>
    <row r="2019" spans="2:14" x14ac:dyDescent="0.25">
      <c r="B2019" s="16" t="s">
        <v>43</v>
      </c>
      <c r="C2019" s="16" t="s">
        <v>3145</v>
      </c>
      <c r="D2019" s="16" t="s">
        <v>3146</v>
      </c>
      <c r="E2019" s="288">
        <v>230700</v>
      </c>
      <c r="F2019" s="288">
        <f>ROUND(IF($A2019="E",E2019*(1+Assumptions!C$15),E2019*(1+Assumptions!C$14)),-2)</f>
        <v>234200</v>
      </c>
      <c r="G2019" s="288">
        <f>ROUND(IF($A2019="E",F2019*(1+Assumptions!D$15),F2019*(1+Assumptions!D$14)),-2)</f>
        <v>238900</v>
      </c>
      <c r="H2019" s="288">
        <f>ROUND(IF($A2019="E",G2019*(1+Assumptions!E$15),G2019*(1+Assumptions!E$14)),-2)</f>
        <v>243700</v>
      </c>
      <c r="I2019" s="288">
        <f>ROUND(IF($A2019="E",H2019*(1+Assumptions!F$15),H2019*(1+Assumptions!F$14)),-2)</f>
        <v>248600</v>
      </c>
      <c r="J2019" s="288">
        <f>ROUND(IF($A2019="E",I2019*(1+Assumptions!G$15),I2019*(1+Assumptions!G$14)),-2)</f>
        <v>253600</v>
      </c>
      <c r="K2019" s="288">
        <f>ROUND(IF($A2019="E",J2019*(1+Assumptions!H$15),J2019*(1+Assumptions!H$14)),-2)</f>
        <v>258700</v>
      </c>
      <c r="L2019" s="288">
        <f>ROUND(IF($A2019="E",K2019*(1+Assumptions!I$15),K2019*(1+Assumptions!I$14)),-2)</f>
        <v>265200</v>
      </c>
      <c r="M2019" s="288">
        <f>ROUND(IF($A2019="E",L2019*(1+Assumptions!J$15),L2019*(1+Assumptions!J$14)),-2)</f>
        <v>271800</v>
      </c>
      <c r="N2019" s="288">
        <f>ROUND(IF($A2019="E",M2019*(1+Assumptions!K$15),M2019*(1+Assumptions!K$14)),-2)</f>
        <v>278600</v>
      </c>
    </row>
    <row r="2020" spans="2:14" x14ac:dyDescent="0.25">
      <c r="B2020" s="16" t="s">
        <v>43</v>
      </c>
      <c r="C2020" s="16" t="s">
        <v>3147</v>
      </c>
      <c r="D2020" s="16" t="s">
        <v>3148</v>
      </c>
      <c r="E2020" s="288">
        <v>312600</v>
      </c>
      <c r="F2020" s="288">
        <f>ROUND(IF($A2020="E",E2020*(1+Assumptions!C$15),E2020*(1+Assumptions!C$14)),-2)</f>
        <v>317300</v>
      </c>
      <c r="G2020" s="288">
        <f>ROUND(IF($A2020="E",F2020*(1+Assumptions!D$15),F2020*(1+Assumptions!D$14)),-2)</f>
        <v>323600</v>
      </c>
      <c r="H2020" s="288">
        <f>ROUND(IF($A2020="E",G2020*(1+Assumptions!E$15),G2020*(1+Assumptions!E$14)),-2)</f>
        <v>330100</v>
      </c>
      <c r="I2020" s="288">
        <f>ROUND(IF($A2020="E",H2020*(1+Assumptions!F$15),H2020*(1+Assumptions!F$14)),-2)</f>
        <v>336700</v>
      </c>
      <c r="J2020" s="288">
        <f>ROUND(IF($A2020="E",I2020*(1+Assumptions!G$15),I2020*(1+Assumptions!G$14)),-2)</f>
        <v>343400</v>
      </c>
      <c r="K2020" s="288">
        <f>ROUND(IF($A2020="E",J2020*(1+Assumptions!H$15),J2020*(1+Assumptions!H$14)),-2)</f>
        <v>350300</v>
      </c>
      <c r="L2020" s="288">
        <f>ROUND(IF($A2020="E",K2020*(1+Assumptions!I$15),K2020*(1+Assumptions!I$14)),-2)</f>
        <v>359100</v>
      </c>
      <c r="M2020" s="288">
        <f>ROUND(IF($A2020="E",L2020*(1+Assumptions!J$15),L2020*(1+Assumptions!J$14)),-2)</f>
        <v>368100</v>
      </c>
      <c r="N2020" s="288">
        <f>ROUND(IF($A2020="E",M2020*(1+Assumptions!K$15),M2020*(1+Assumptions!K$14)),-2)</f>
        <v>377300</v>
      </c>
    </row>
    <row r="2021" spans="2:14" x14ac:dyDescent="0.25">
      <c r="B2021" s="16" t="s">
        <v>43</v>
      </c>
      <c r="C2021" s="16" t="s">
        <v>3149</v>
      </c>
      <c r="D2021" s="16" t="s">
        <v>3150</v>
      </c>
      <c r="E2021" s="288">
        <v>16600</v>
      </c>
      <c r="F2021" s="288">
        <f>ROUND(IF($A2021="E",E2021*(1+Assumptions!C$15),E2021*(1+Assumptions!C$14)),-2)</f>
        <v>16800</v>
      </c>
      <c r="G2021" s="288">
        <f>ROUND(IF($A2021="E",F2021*(1+Assumptions!D$15),F2021*(1+Assumptions!D$14)),-2)</f>
        <v>17100</v>
      </c>
      <c r="H2021" s="288">
        <f>ROUND(IF($A2021="E",G2021*(1+Assumptions!E$15),G2021*(1+Assumptions!E$14)),-2)</f>
        <v>17400</v>
      </c>
      <c r="I2021" s="288">
        <f>ROUND(IF($A2021="E",H2021*(1+Assumptions!F$15),H2021*(1+Assumptions!F$14)),-2)</f>
        <v>17700</v>
      </c>
      <c r="J2021" s="288">
        <f>ROUND(IF($A2021="E",I2021*(1+Assumptions!G$15),I2021*(1+Assumptions!G$14)),-2)</f>
        <v>18100</v>
      </c>
      <c r="K2021" s="288">
        <f>ROUND(IF($A2021="E",J2021*(1+Assumptions!H$15),J2021*(1+Assumptions!H$14)),-2)</f>
        <v>18500</v>
      </c>
      <c r="L2021" s="288">
        <f>ROUND(IF($A2021="E",K2021*(1+Assumptions!I$15),K2021*(1+Assumptions!I$14)),-2)</f>
        <v>19000</v>
      </c>
      <c r="M2021" s="288">
        <f>ROUND(IF($A2021="E",L2021*(1+Assumptions!J$15),L2021*(1+Assumptions!J$14)),-2)</f>
        <v>19500</v>
      </c>
      <c r="N2021" s="288">
        <f>ROUND(IF($A2021="E",M2021*(1+Assumptions!K$15),M2021*(1+Assumptions!K$14)),-2)</f>
        <v>20000</v>
      </c>
    </row>
    <row r="2022" spans="2:14" x14ac:dyDescent="0.25">
      <c r="B2022" s="16" t="s">
        <v>43</v>
      </c>
      <c r="C2022" s="16" t="s">
        <v>3151</v>
      </c>
      <c r="D2022" s="16" t="s">
        <v>3152</v>
      </c>
      <c r="E2022" s="288">
        <v>402100</v>
      </c>
      <c r="F2022" s="288">
        <f>ROUND(IF($A2022="E",E2022*(1+Assumptions!C$15),E2022*(1+Assumptions!C$14)),-2)</f>
        <v>408100</v>
      </c>
      <c r="G2022" s="288">
        <f>ROUND(IF($A2022="E",F2022*(1+Assumptions!D$15),F2022*(1+Assumptions!D$14)),-2)</f>
        <v>416300</v>
      </c>
      <c r="H2022" s="288">
        <f>ROUND(IF($A2022="E",G2022*(1+Assumptions!E$15),G2022*(1+Assumptions!E$14)),-2)</f>
        <v>424600</v>
      </c>
      <c r="I2022" s="288">
        <f>ROUND(IF($A2022="E",H2022*(1+Assumptions!F$15),H2022*(1+Assumptions!F$14)),-2)</f>
        <v>433100</v>
      </c>
      <c r="J2022" s="288">
        <f>ROUND(IF($A2022="E",I2022*(1+Assumptions!G$15),I2022*(1+Assumptions!G$14)),-2)</f>
        <v>441800</v>
      </c>
      <c r="K2022" s="288">
        <f>ROUND(IF($A2022="E",J2022*(1+Assumptions!H$15),J2022*(1+Assumptions!H$14)),-2)</f>
        <v>450600</v>
      </c>
      <c r="L2022" s="288">
        <f>ROUND(IF($A2022="E",K2022*(1+Assumptions!I$15),K2022*(1+Assumptions!I$14)),-2)</f>
        <v>461900</v>
      </c>
      <c r="M2022" s="288">
        <f>ROUND(IF($A2022="E",L2022*(1+Assumptions!J$15),L2022*(1+Assumptions!J$14)),-2)</f>
        <v>473400</v>
      </c>
      <c r="N2022" s="288">
        <f>ROUND(IF($A2022="E",M2022*(1+Assumptions!K$15),M2022*(1+Assumptions!K$14)),-2)</f>
        <v>485200</v>
      </c>
    </row>
    <row r="2023" spans="2:14" x14ac:dyDescent="0.25">
      <c r="B2023" s="16" t="s">
        <v>43</v>
      </c>
      <c r="C2023" s="16" t="s">
        <v>3153</v>
      </c>
      <c r="D2023" s="16" t="s">
        <v>3154</v>
      </c>
      <c r="E2023" s="288">
        <v>447700</v>
      </c>
      <c r="F2023" s="288">
        <f>ROUND(IF($A2023="E",E2023*(1+Assumptions!C$15),E2023*(1+Assumptions!C$14)),-2)</f>
        <v>454400</v>
      </c>
      <c r="G2023" s="288">
        <f>ROUND(IF($A2023="E",F2023*(1+Assumptions!D$15),F2023*(1+Assumptions!D$14)),-2)</f>
        <v>463500</v>
      </c>
      <c r="H2023" s="288">
        <f>ROUND(IF($A2023="E",G2023*(1+Assumptions!E$15),G2023*(1+Assumptions!E$14)),-2)</f>
        <v>472800</v>
      </c>
      <c r="I2023" s="288">
        <f>ROUND(IF($A2023="E",H2023*(1+Assumptions!F$15),H2023*(1+Assumptions!F$14)),-2)</f>
        <v>482300</v>
      </c>
      <c r="J2023" s="288">
        <f>ROUND(IF($A2023="E",I2023*(1+Assumptions!G$15),I2023*(1+Assumptions!G$14)),-2)</f>
        <v>491900</v>
      </c>
      <c r="K2023" s="288">
        <f>ROUND(IF($A2023="E",J2023*(1+Assumptions!H$15),J2023*(1+Assumptions!H$14)),-2)</f>
        <v>501700</v>
      </c>
      <c r="L2023" s="288">
        <f>ROUND(IF($A2023="E",K2023*(1+Assumptions!I$15),K2023*(1+Assumptions!I$14)),-2)</f>
        <v>514200</v>
      </c>
      <c r="M2023" s="288">
        <f>ROUND(IF($A2023="E",L2023*(1+Assumptions!J$15),L2023*(1+Assumptions!J$14)),-2)</f>
        <v>527100</v>
      </c>
      <c r="N2023" s="288">
        <f>ROUND(IF($A2023="E",M2023*(1+Assumptions!K$15),M2023*(1+Assumptions!K$14)),-2)</f>
        <v>540300</v>
      </c>
    </row>
    <row r="2024" spans="2:14" x14ac:dyDescent="0.25">
      <c r="B2024" s="16" t="s">
        <v>43</v>
      </c>
      <c r="C2024" s="16" t="s">
        <v>3155</v>
      </c>
      <c r="D2024" s="16" t="s">
        <v>3156</v>
      </c>
      <c r="E2024" s="288">
        <v>317200</v>
      </c>
      <c r="F2024" s="288">
        <f>ROUND(IF($A2024="E",E2024*(1+Assumptions!C$15),E2024*(1+Assumptions!C$14)),-2)</f>
        <v>322000</v>
      </c>
      <c r="G2024" s="288">
        <f>ROUND(IF($A2024="E",F2024*(1+Assumptions!D$15),F2024*(1+Assumptions!D$14)),-2)</f>
        <v>328400</v>
      </c>
      <c r="H2024" s="288">
        <f>ROUND(IF($A2024="E",G2024*(1+Assumptions!E$15),G2024*(1+Assumptions!E$14)),-2)</f>
        <v>335000</v>
      </c>
      <c r="I2024" s="288">
        <f>ROUND(IF($A2024="E",H2024*(1+Assumptions!F$15),H2024*(1+Assumptions!F$14)),-2)</f>
        <v>341700</v>
      </c>
      <c r="J2024" s="288">
        <f>ROUND(IF($A2024="E",I2024*(1+Assumptions!G$15),I2024*(1+Assumptions!G$14)),-2)</f>
        <v>348500</v>
      </c>
      <c r="K2024" s="288">
        <f>ROUND(IF($A2024="E",J2024*(1+Assumptions!H$15),J2024*(1+Assumptions!H$14)),-2)</f>
        <v>355500</v>
      </c>
      <c r="L2024" s="288">
        <f>ROUND(IF($A2024="E",K2024*(1+Assumptions!I$15),K2024*(1+Assumptions!I$14)),-2)</f>
        <v>364400</v>
      </c>
      <c r="M2024" s="288">
        <f>ROUND(IF($A2024="E",L2024*(1+Assumptions!J$15),L2024*(1+Assumptions!J$14)),-2)</f>
        <v>373500</v>
      </c>
      <c r="N2024" s="288">
        <f>ROUND(IF($A2024="E",M2024*(1+Assumptions!K$15),M2024*(1+Assumptions!K$14)),-2)</f>
        <v>382800</v>
      </c>
    </row>
    <row r="2025" spans="2:14" x14ac:dyDescent="0.25">
      <c r="B2025" s="16" t="s">
        <v>43</v>
      </c>
      <c r="C2025" s="16" t="s">
        <v>3157</v>
      </c>
      <c r="D2025" s="16" t="s">
        <v>3158</v>
      </c>
      <c r="E2025" s="288">
        <v>1085800</v>
      </c>
      <c r="F2025" s="288">
        <f>ROUND(IF($A2025="E",E2025*(1+Assumptions!C$15),E2025*(1+Assumptions!C$14)),-2)</f>
        <v>1102100</v>
      </c>
      <c r="G2025" s="288">
        <f>ROUND(IF($A2025="E",F2025*(1+Assumptions!D$15),F2025*(1+Assumptions!D$14)),-2)</f>
        <v>1124100</v>
      </c>
      <c r="H2025" s="288">
        <f>ROUND(IF($A2025="E",G2025*(1+Assumptions!E$15),G2025*(1+Assumptions!E$14)),-2)</f>
        <v>1146600</v>
      </c>
      <c r="I2025" s="288">
        <f>ROUND(IF($A2025="E",H2025*(1+Assumptions!F$15),H2025*(1+Assumptions!F$14)),-2)</f>
        <v>1169500</v>
      </c>
      <c r="J2025" s="288">
        <f>ROUND(IF($A2025="E",I2025*(1+Assumptions!G$15),I2025*(1+Assumptions!G$14)),-2)</f>
        <v>1192900</v>
      </c>
      <c r="K2025" s="288">
        <f>ROUND(IF($A2025="E",J2025*(1+Assumptions!H$15),J2025*(1+Assumptions!H$14)),-2)</f>
        <v>1216800</v>
      </c>
      <c r="L2025" s="288">
        <f>ROUND(IF($A2025="E",K2025*(1+Assumptions!I$15),K2025*(1+Assumptions!I$14)),-2)</f>
        <v>1247200</v>
      </c>
      <c r="M2025" s="288">
        <f>ROUND(IF($A2025="E",L2025*(1+Assumptions!J$15),L2025*(1+Assumptions!J$14)),-2)</f>
        <v>1278400</v>
      </c>
      <c r="N2025" s="288">
        <f>ROUND(IF($A2025="E",M2025*(1+Assumptions!K$15),M2025*(1+Assumptions!K$14)),-2)</f>
        <v>1310400</v>
      </c>
    </row>
    <row r="2026" spans="2:14" x14ac:dyDescent="0.25">
      <c r="B2026" s="16" t="s">
        <v>43</v>
      </c>
      <c r="C2026" s="16" t="s">
        <v>3159</v>
      </c>
      <c r="D2026" s="16" t="s">
        <v>3160</v>
      </c>
      <c r="E2026" s="288">
        <v>424100</v>
      </c>
      <c r="F2026" s="288">
        <f>ROUND(IF($A2026="E",E2026*(1+Assumptions!C$15),E2026*(1+Assumptions!C$14)),-2)</f>
        <v>430500</v>
      </c>
      <c r="G2026" s="288">
        <f>ROUND(IF($A2026="E",F2026*(1+Assumptions!D$15),F2026*(1+Assumptions!D$14)),-2)</f>
        <v>439100</v>
      </c>
      <c r="H2026" s="288">
        <f>ROUND(IF($A2026="E",G2026*(1+Assumptions!E$15),G2026*(1+Assumptions!E$14)),-2)</f>
        <v>447900</v>
      </c>
      <c r="I2026" s="288">
        <f>ROUND(IF($A2026="E",H2026*(1+Assumptions!F$15),H2026*(1+Assumptions!F$14)),-2)</f>
        <v>456900</v>
      </c>
      <c r="J2026" s="288">
        <f>ROUND(IF($A2026="E",I2026*(1+Assumptions!G$15),I2026*(1+Assumptions!G$14)),-2)</f>
        <v>466000</v>
      </c>
      <c r="K2026" s="288">
        <f>ROUND(IF($A2026="E",J2026*(1+Assumptions!H$15),J2026*(1+Assumptions!H$14)),-2)</f>
        <v>475300</v>
      </c>
      <c r="L2026" s="288">
        <f>ROUND(IF($A2026="E",K2026*(1+Assumptions!I$15),K2026*(1+Assumptions!I$14)),-2)</f>
        <v>487200</v>
      </c>
      <c r="M2026" s="288">
        <f>ROUND(IF($A2026="E",L2026*(1+Assumptions!J$15),L2026*(1+Assumptions!J$14)),-2)</f>
        <v>499400</v>
      </c>
      <c r="N2026" s="288">
        <f>ROUND(IF($A2026="E",M2026*(1+Assumptions!K$15),M2026*(1+Assumptions!K$14)),-2)</f>
        <v>511900</v>
      </c>
    </row>
    <row r="2027" spans="2:14" x14ac:dyDescent="0.25">
      <c r="B2027" s="16" t="s">
        <v>43</v>
      </c>
      <c r="C2027" s="16" t="s">
        <v>3161</v>
      </c>
      <c r="D2027" s="16" t="s">
        <v>3162</v>
      </c>
      <c r="E2027" s="288">
        <v>511500</v>
      </c>
      <c r="F2027" s="288">
        <f>ROUND(IF($A2027="E",E2027*(1+Assumptions!C$15),E2027*(1+Assumptions!C$14)),-2)</f>
        <v>519200</v>
      </c>
      <c r="G2027" s="288">
        <f>ROUND(IF($A2027="E",F2027*(1+Assumptions!D$15),F2027*(1+Assumptions!D$14)),-2)</f>
        <v>529600</v>
      </c>
      <c r="H2027" s="288">
        <f>ROUND(IF($A2027="E",G2027*(1+Assumptions!E$15),G2027*(1+Assumptions!E$14)),-2)</f>
        <v>540200</v>
      </c>
      <c r="I2027" s="288">
        <f>ROUND(IF($A2027="E",H2027*(1+Assumptions!F$15),H2027*(1+Assumptions!F$14)),-2)</f>
        <v>551000</v>
      </c>
      <c r="J2027" s="288">
        <f>ROUND(IF($A2027="E",I2027*(1+Assumptions!G$15),I2027*(1+Assumptions!G$14)),-2)</f>
        <v>562000</v>
      </c>
      <c r="K2027" s="288">
        <f>ROUND(IF($A2027="E",J2027*(1+Assumptions!H$15),J2027*(1+Assumptions!H$14)),-2)</f>
        <v>573200</v>
      </c>
      <c r="L2027" s="288">
        <f>ROUND(IF($A2027="E",K2027*(1+Assumptions!I$15),K2027*(1+Assumptions!I$14)),-2)</f>
        <v>587500</v>
      </c>
      <c r="M2027" s="288">
        <f>ROUND(IF($A2027="E",L2027*(1+Assumptions!J$15),L2027*(1+Assumptions!J$14)),-2)</f>
        <v>602200</v>
      </c>
      <c r="N2027" s="288">
        <f>ROUND(IF($A2027="E",M2027*(1+Assumptions!K$15),M2027*(1+Assumptions!K$14)),-2)</f>
        <v>617300</v>
      </c>
    </row>
    <row r="2028" spans="2:14" x14ac:dyDescent="0.25">
      <c r="B2028" s="16" t="s">
        <v>43</v>
      </c>
      <c r="C2028" s="16" t="s">
        <v>3163</v>
      </c>
      <c r="D2028" s="16" t="s">
        <v>3164</v>
      </c>
      <c r="E2028" s="288">
        <v>313300</v>
      </c>
      <c r="F2028" s="288">
        <f>ROUND(IF($A2028="E",E2028*(1+Assumptions!C$15),E2028*(1+Assumptions!C$14)),-2)</f>
        <v>318000</v>
      </c>
      <c r="G2028" s="288">
        <f>ROUND(IF($A2028="E",F2028*(1+Assumptions!D$15),F2028*(1+Assumptions!D$14)),-2)</f>
        <v>324400</v>
      </c>
      <c r="H2028" s="288">
        <f>ROUND(IF($A2028="E",G2028*(1+Assumptions!E$15),G2028*(1+Assumptions!E$14)),-2)</f>
        <v>330900</v>
      </c>
      <c r="I2028" s="288">
        <f>ROUND(IF($A2028="E",H2028*(1+Assumptions!F$15),H2028*(1+Assumptions!F$14)),-2)</f>
        <v>337500</v>
      </c>
      <c r="J2028" s="288">
        <f>ROUND(IF($A2028="E",I2028*(1+Assumptions!G$15),I2028*(1+Assumptions!G$14)),-2)</f>
        <v>344300</v>
      </c>
      <c r="K2028" s="288">
        <f>ROUND(IF($A2028="E",J2028*(1+Assumptions!H$15),J2028*(1+Assumptions!H$14)),-2)</f>
        <v>351200</v>
      </c>
      <c r="L2028" s="288">
        <f>ROUND(IF($A2028="E",K2028*(1+Assumptions!I$15),K2028*(1+Assumptions!I$14)),-2)</f>
        <v>360000</v>
      </c>
      <c r="M2028" s="288">
        <f>ROUND(IF($A2028="E",L2028*(1+Assumptions!J$15),L2028*(1+Assumptions!J$14)),-2)</f>
        <v>369000</v>
      </c>
      <c r="N2028" s="288">
        <f>ROUND(IF($A2028="E",M2028*(1+Assumptions!K$15),M2028*(1+Assumptions!K$14)),-2)</f>
        <v>378200</v>
      </c>
    </row>
    <row r="2029" spans="2:14" x14ac:dyDescent="0.25">
      <c r="B2029" s="16" t="s">
        <v>43</v>
      </c>
      <c r="C2029" s="16" t="s">
        <v>3165</v>
      </c>
      <c r="D2029" s="16" t="s">
        <v>3166</v>
      </c>
      <c r="E2029" s="288">
        <v>184700</v>
      </c>
      <c r="F2029" s="288">
        <f>ROUND(IF($A2029="E",E2029*(1+Assumptions!C$15),E2029*(1+Assumptions!C$14)),-2)</f>
        <v>187500</v>
      </c>
      <c r="G2029" s="288">
        <f>ROUND(IF($A2029="E",F2029*(1+Assumptions!D$15),F2029*(1+Assumptions!D$14)),-2)</f>
        <v>191300</v>
      </c>
      <c r="H2029" s="288">
        <f>ROUND(IF($A2029="E",G2029*(1+Assumptions!E$15),G2029*(1+Assumptions!E$14)),-2)</f>
        <v>195100</v>
      </c>
      <c r="I2029" s="288">
        <f>ROUND(IF($A2029="E",H2029*(1+Assumptions!F$15),H2029*(1+Assumptions!F$14)),-2)</f>
        <v>199000</v>
      </c>
      <c r="J2029" s="288">
        <f>ROUND(IF($A2029="E",I2029*(1+Assumptions!G$15),I2029*(1+Assumptions!G$14)),-2)</f>
        <v>203000</v>
      </c>
      <c r="K2029" s="288">
        <f>ROUND(IF($A2029="E",J2029*(1+Assumptions!H$15),J2029*(1+Assumptions!H$14)),-2)</f>
        <v>207100</v>
      </c>
      <c r="L2029" s="288">
        <f>ROUND(IF($A2029="E",K2029*(1+Assumptions!I$15),K2029*(1+Assumptions!I$14)),-2)</f>
        <v>212300</v>
      </c>
      <c r="M2029" s="288">
        <f>ROUND(IF($A2029="E",L2029*(1+Assumptions!J$15),L2029*(1+Assumptions!J$14)),-2)</f>
        <v>217600</v>
      </c>
      <c r="N2029" s="288">
        <f>ROUND(IF($A2029="E",M2029*(1+Assumptions!K$15),M2029*(1+Assumptions!K$14)),-2)</f>
        <v>223000</v>
      </c>
    </row>
    <row r="2030" spans="2:14" x14ac:dyDescent="0.25">
      <c r="B2030" s="16" t="s">
        <v>43</v>
      </c>
      <c r="C2030" s="16" t="s">
        <v>3167</v>
      </c>
      <c r="D2030" s="16" t="s">
        <v>3168</v>
      </c>
      <c r="E2030" s="288">
        <v>571700</v>
      </c>
      <c r="F2030" s="288">
        <f>ROUND(IF($A2030="E",E2030*(1+Assumptions!C$15),E2030*(1+Assumptions!C$14)),-2)</f>
        <v>580300</v>
      </c>
      <c r="G2030" s="288">
        <f>ROUND(IF($A2030="E",F2030*(1+Assumptions!D$15),F2030*(1+Assumptions!D$14)),-2)</f>
        <v>591900</v>
      </c>
      <c r="H2030" s="288">
        <f>ROUND(IF($A2030="E",G2030*(1+Assumptions!E$15),G2030*(1+Assumptions!E$14)),-2)</f>
        <v>603700</v>
      </c>
      <c r="I2030" s="288">
        <f>ROUND(IF($A2030="E",H2030*(1+Assumptions!F$15),H2030*(1+Assumptions!F$14)),-2)</f>
        <v>615800</v>
      </c>
      <c r="J2030" s="288">
        <f>ROUND(IF($A2030="E",I2030*(1+Assumptions!G$15),I2030*(1+Assumptions!G$14)),-2)</f>
        <v>628100</v>
      </c>
      <c r="K2030" s="288">
        <f>ROUND(IF($A2030="E",J2030*(1+Assumptions!H$15),J2030*(1+Assumptions!H$14)),-2)</f>
        <v>640700</v>
      </c>
      <c r="L2030" s="288">
        <f>ROUND(IF($A2030="E",K2030*(1+Assumptions!I$15),K2030*(1+Assumptions!I$14)),-2)</f>
        <v>656700</v>
      </c>
      <c r="M2030" s="288">
        <f>ROUND(IF($A2030="E",L2030*(1+Assumptions!J$15),L2030*(1+Assumptions!J$14)),-2)</f>
        <v>673100</v>
      </c>
      <c r="N2030" s="288">
        <f>ROUND(IF($A2030="E",M2030*(1+Assumptions!K$15),M2030*(1+Assumptions!K$14)),-2)</f>
        <v>689900</v>
      </c>
    </row>
    <row r="2031" spans="2:14" x14ac:dyDescent="0.25">
      <c r="B2031" s="16" t="s">
        <v>43</v>
      </c>
      <c r="C2031" s="16" t="s">
        <v>3169</v>
      </c>
      <c r="D2031" s="16" t="s">
        <v>3170</v>
      </c>
      <c r="E2031" s="288">
        <v>559500</v>
      </c>
      <c r="F2031" s="288">
        <f>ROUND(IF($A2031="E",E2031*(1+Assumptions!C$15),E2031*(1+Assumptions!C$14)),-2)</f>
        <v>567900</v>
      </c>
      <c r="G2031" s="288">
        <f>ROUND(IF($A2031="E",F2031*(1+Assumptions!D$15),F2031*(1+Assumptions!D$14)),-2)</f>
        <v>579300</v>
      </c>
      <c r="H2031" s="288">
        <f>ROUND(IF($A2031="E",G2031*(1+Assumptions!E$15),G2031*(1+Assumptions!E$14)),-2)</f>
        <v>590900</v>
      </c>
      <c r="I2031" s="288">
        <f>ROUND(IF($A2031="E",H2031*(1+Assumptions!F$15),H2031*(1+Assumptions!F$14)),-2)</f>
        <v>602700</v>
      </c>
      <c r="J2031" s="288">
        <f>ROUND(IF($A2031="E",I2031*(1+Assumptions!G$15),I2031*(1+Assumptions!G$14)),-2)</f>
        <v>614800</v>
      </c>
      <c r="K2031" s="288">
        <f>ROUND(IF($A2031="E",J2031*(1+Assumptions!H$15),J2031*(1+Assumptions!H$14)),-2)</f>
        <v>627100</v>
      </c>
      <c r="L2031" s="288">
        <f>ROUND(IF($A2031="E",K2031*(1+Assumptions!I$15),K2031*(1+Assumptions!I$14)),-2)</f>
        <v>642800</v>
      </c>
      <c r="M2031" s="288">
        <f>ROUND(IF($A2031="E",L2031*(1+Assumptions!J$15),L2031*(1+Assumptions!J$14)),-2)</f>
        <v>658900</v>
      </c>
      <c r="N2031" s="288">
        <f>ROUND(IF($A2031="E",M2031*(1+Assumptions!K$15),M2031*(1+Assumptions!K$14)),-2)</f>
        <v>675400</v>
      </c>
    </row>
    <row r="2032" spans="2:14" x14ac:dyDescent="0.25">
      <c r="B2032" s="16" t="s">
        <v>43</v>
      </c>
      <c r="C2032" s="16" t="s">
        <v>3171</v>
      </c>
      <c r="D2032" s="16" t="s">
        <v>3009</v>
      </c>
      <c r="E2032" s="288">
        <v>71300</v>
      </c>
      <c r="F2032" s="288">
        <f>ROUND(IF($A2032="E",E2032*(1+Assumptions!C$15),E2032*(1+Assumptions!C$14)),-2)</f>
        <v>72400</v>
      </c>
      <c r="G2032" s="288">
        <f>ROUND(IF($A2032="E",F2032*(1+Assumptions!D$15),F2032*(1+Assumptions!D$14)),-2)</f>
        <v>73800</v>
      </c>
      <c r="H2032" s="288">
        <f>ROUND(IF($A2032="E",G2032*(1+Assumptions!E$15),G2032*(1+Assumptions!E$14)),-2)</f>
        <v>75300</v>
      </c>
      <c r="I2032" s="288">
        <f>ROUND(IF($A2032="E",H2032*(1+Assumptions!F$15),H2032*(1+Assumptions!F$14)),-2)</f>
        <v>76800</v>
      </c>
      <c r="J2032" s="288">
        <f>ROUND(IF($A2032="E",I2032*(1+Assumptions!G$15),I2032*(1+Assumptions!G$14)),-2)</f>
        <v>78300</v>
      </c>
      <c r="K2032" s="288">
        <f>ROUND(IF($A2032="E",J2032*(1+Assumptions!H$15),J2032*(1+Assumptions!H$14)),-2)</f>
        <v>79900</v>
      </c>
      <c r="L2032" s="288">
        <f>ROUND(IF($A2032="E",K2032*(1+Assumptions!I$15),K2032*(1+Assumptions!I$14)),-2)</f>
        <v>81900</v>
      </c>
      <c r="M2032" s="288">
        <f>ROUND(IF($A2032="E",L2032*(1+Assumptions!J$15),L2032*(1+Assumptions!J$14)),-2)</f>
        <v>83900</v>
      </c>
      <c r="N2032" s="288">
        <f>ROUND(IF($A2032="E",M2032*(1+Assumptions!K$15),M2032*(1+Assumptions!K$14)),-2)</f>
        <v>86000</v>
      </c>
    </row>
    <row r="2033" spans="1:14" ht="12.75" customHeight="1" x14ac:dyDescent="0.25">
      <c r="B2033" s="16" t="s">
        <v>43</v>
      </c>
      <c r="C2033" s="16" t="s">
        <v>3172</v>
      </c>
      <c r="D2033" s="16" t="s">
        <v>3173</v>
      </c>
      <c r="E2033" s="289"/>
      <c r="F2033" s="289"/>
      <c r="G2033" s="289"/>
      <c r="H2033" s="289"/>
      <c r="I2033" s="289"/>
      <c r="J2033" s="289"/>
      <c r="K2033" s="289"/>
      <c r="L2033" s="289"/>
      <c r="M2033" s="289"/>
      <c r="N2033" s="289"/>
    </row>
    <row r="2034" spans="1:14" ht="12.75" customHeight="1" x14ac:dyDescent="0.25">
      <c r="B2034" s="16" t="s">
        <v>43</v>
      </c>
      <c r="C2034" s="16" t="s">
        <v>3174</v>
      </c>
      <c r="D2034" s="16" t="s">
        <v>3175</v>
      </c>
      <c r="E2034" s="288">
        <v>0</v>
      </c>
      <c r="F2034" s="288">
        <f>ROUND(IF($A2034="E",E2034*(1+Assumptions!C$15),E2034*(1+Assumptions!C$14)),-2)</f>
        <v>0</v>
      </c>
      <c r="G2034" s="288">
        <f>ROUND(IF($A2034="E",F2034*(1+Assumptions!D$15),F2034*(1+Assumptions!D$14)),-2)</f>
        <v>0</v>
      </c>
      <c r="H2034" s="288">
        <f>ROUND(IF($A2034="E",G2034*(1+Assumptions!E$15),G2034*(1+Assumptions!E$14)),-2)</f>
        <v>0</v>
      </c>
      <c r="I2034" s="288">
        <f>ROUND(IF($A2034="E",H2034*(1+Assumptions!F$15),H2034*(1+Assumptions!F$14)),-2)</f>
        <v>0</v>
      </c>
      <c r="J2034" s="288">
        <f>ROUND(IF($A2034="E",I2034*(1+Assumptions!G$15),I2034*(1+Assumptions!G$14)),-2)</f>
        <v>0</v>
      </c>
      <c r="K2034" s="288">
        <f>ROUND(IF($A2034="E",J2034*(1+Assumptions!H$15),J2034*(1+Assumptions!H$14)),-2)</f>
        <v>0</v>
      </c>
      <c r="L2034" s="288">
        <f>ROUND(IF($A2034="E",K2034*(1+Assumptions!I$15),K2034*(1+Assumptions!I$14)),-2)</f>
        <v>0</v>
      </c>
      <c r="M2034" s="288">
        <f>ROUND(IF($A2034="E",L2034*(1+Assumptions!J$15),L2034*(1+Assumptions!J$14)),-2)</f>
        <v>0</v>
      </c>
      <c r="N2034" s="288">
        <f>ROUND(IF($A2034="E",M2034*(1+Assumptions!K$15),M2034*(1+Assumptions!K$14)),-2)</f>
        <v>0</v>
      </c>
    </row>
    <row r="2035" spans="1:14" ht="12.75" customHeight="1" x14ac:dyDescent="0.25">
      <c r="A2035" s="16" t="s">
        <v>4591</v>
      </c>
      <c r="B2035" s="397" t="s">
        <v>3231</v>
      </c>
      <c r="C2035" s="43" t="s">
        <v>3298</v>
      </c>
      <c r="D2035" s="16" t="s">
        <v>3297</v>
      </c>
      <c r="E2035" s="288">
        <v>3051900</v>
      </c>
      <c r="F2035" s="288">
        <f>ROUND(IF($A2035="E",E2035*(1+Assumptions!C$15),E2035*(1+Assumptions!C$17)),-2)</f>
        <v>3082400</v>
      </c>
      <c r="G2035" s="288">
        <f>ROUND(IF($A2035="E",F2035*(1+Assumptions!D$15),F2035*(1+Assumptions!D$17)),-2)</f>
        <v>3113200</v>
      </c>
      <c r="H2035" s="288">
        <f>ROUND(IF($A2035="E",G2035*(1+Assumptions!E$15),G2035*(1+Assumptions!E$17)),-2)</f>
        <v>3144300</v>
      </c>
      <c r="I2035" s="288">
        <f>ROUND(IF($A2035="E",H2035*(1+Assumptions!F$15),H2035*(1+Assumptions!F$17)),-2)</f>
        <v>3175700</v>
      </c>
      <c r="J2035" s="288">
        <f>ROUND(IF($A2035="E",I2035*(1+Assumptions!G$15),I2035*(1+Assumptions!G$17)),-2)</f>
        <v>3207500</v>
      </c>
      <c r="K2035" s="288">
        <f>ROUND(IF($A2035="E",J2035*(1+Assumptions!H$15),J2035*(1+Assumptions!H$17)),-2)</f>
        <v>3239600</v>
      </c>
      <c r="L2035" s="288">
        <f>ROUND(IF($A2035="E",K2035*(1+Assumptions!I$15),K2035*(1+Assumptions!I$17)),-2)</f>
        <v>3272000</v>
      </c>
      <c r="M2035" s="288">
        <f>ROUND(IF($A2035="E",L2035*(1+Assumptions!J$15),L2035*(1+Assumptions!J$17)),-2)</f>
        <v>3304700</v>
      </c>
      <c r="N2035" s="288">
        <f>ROUND(IF($A2035="E",M2035*(1+Assumptions!K$15),M2035*(1+Assumptions!K$17)),-2)</f>
        <v>3337700</v>
      </c>
    </row>
    <row r="2036" spans="1:14" ht="12.75" customHeight="1" x14ac:dyDescent="0.25">
      <c r="C2036" s="43"/>
      <c r="E2036" s="288"/>
      <c r="F2036" s="288"/>
      <c r="G2036" s="288"/>
      <c r="H2036" s="288"/>
      <c r="I2036" s="288"/>
      <c r="J2036" s="288"/>
      <c r="K2036" s="288"/>
      <c r="L2036" s="288"/>
      <c r="M2036" s="288"/>
      <c r="N2036" s="288"/>
    </row>
    <row r="2037" spans="1:14" x14ac:dyDescent="0.25">
      <c r="D2037" s="19" t="s">
        <v>3234</v>
      </c>
      <c r="E2037" s="291">
        <f>SUM(E1968:E2036)</f>
        <v>14112500</v>
      </c>
      <c r="F2037" s="291">
        <f t="shared" ref="F2037:N2037" si="68">SUM(F1968:F2036)</f>
        <v>14091100</v>
      </c>
      <c r="G2037" s="291">
        <f t="shared" si="68"/>
        <v>14162500</v>
      </c>
      <c r="H2037" s="291">
        <f t="shared" si="68"/>
        <v>14239800</v>
      </c>
      <c r="I2037" s="291">
        <f t="shared" si="68"/>
        <v>14269000</v>
      </c>
      <c r="J2037" s="291">
        <f t="shared" si="68"/>
        <v>14345700</v>
      </c>
      <c r="K2037" s="291">
        <f t="shared" si="68"/>
        <v>14387700</v>
      </c>
      <c r="L2037" s="291">
        <f t="shared" si="68"/>
        <v>14468300</v>
      </c>
      <c r="M2037" s="291">
        <f t="shared" si="68"/>
        <v>14519200</v>
      </c>
      <c r="N2037" s="291">
        <f t="shared" si="68"/>
        <v>14610600</v>
      </c>
    </row>
    <row r="2038" spans="1:14" x14ac:dyDescent="0.25">
      <c r="E2038" s="288"/>
      <c r="F2038" s="288"/>
      <c r="G2038" s="288"/>
      <c r="H2038" s="288"/>
      <c r="I2038" s="288"/>
      <c r="J2038" s="288"/>
      <c r="K2038" s="288"/>
      <c r="L2038" s="288"/>
      <c r="M2038" s="288"/>
      <c r="N2038" s="288"/>
    </row>
    <row r="2039" spans="1:14" x14ac:dyDescent="0.25">
      <c r="C2039" s="16" t="s">
        <v>315</v>
      </c>
      <c r="E2039" s="288"/>
      <c r="F2039" s="288"/>
      <c r="G2039" s="288"/>
      <c r="H2039" s="288"/>
      <c r="I2039" s="288"/>
      <c r="J2039" s="288"/>
      <c r="K2039" s="288"/>
      <c r="L2039" s="288"/>
      <c r="M2039" s="288"/>
      <c r="N2039" s="288"/>
    </row>
    <row r="2040" spans="1:14" x14ac:dyDescent="0.25">
      <c r="B2040" s="16" t="s">
        <v>3229</v>
      </c>
      <c r="C2040" s="16" t="s">
        <v>3176</v>
      </c>
      <c r="D2040" s="16" t="s">
        <v>1230</v>
      </c>
      <c r="E2040" s="289"/>
      <c r="F2040" s="289"/>
      <c r="G2040" s="289"/>
      <c r="H2040" s="289"/>
      <c r="I2040" s="289"/>
      <c r="J2040" s="289"/>
      <c r="K2040" s="289"/>
      <c r="L2040" s="289"/>
      <c r="M2040" s="289"/>
      <c r="N2040" s="289"/>
    </row>
    <row r="2041" spans="1:14" x14ac:dyDescent="0.25">
      <c r="B2041" s="16" t="s">
        <v>3229</v>
      </c>
      <c r="C2041" s="16" t="s">
        <v>3177</v>
      </c>
      <c r="D2041" s="16" t="s">
        <v>3021</v>
      </c>
      <c r="E2041" s="288">
        <v>-100700</v>
      </c>
      <c r="F2041" s="288">
        <f>ROUND(E2041+(E2041*Assumptions!C$13),-2)</f>
        <v>-102700</v>
      </c>
      <c r="G2041" s="288">
        <f>ROUND(F2041+(F2041*Assumptions!D$13),-2)</f>
        <v>-105300</v>
      </c>
      <c r="H2041" s="288">
        <f>ROUND(G2041+(G2041*Assumptions!E$13),-2)</f>
        <v>-107900</v>
      </c>
      <c r="I2041" s="288">
        <f>ROUND(H2041+(H2041*Assumptions!F$13),-2)</f>
        <v>-110600</v>
      </c>
      <c r="J2041" s="288">
        <f>ROUND(I2041+(I2041*Assumptions!G$13),-2)</f>
        <v>-113400</v>
      </c>
      <c r="K2041" s="288">
        <f>ROUND(J2041+(J2041*Assumptions!H$13),-2)</f>
        <v>-116200</v>
      </c>
      <c r="L2041" s="288">
        <f>ROUND(K2041+(K2041*Assumptions!I$13),-2)</f>
        <v>-119100</v>
      </c>
      <c r="M2041" s="288">
        <f>ROUND(L2041+(L2041*Assumptions!J$13),-2)</f>
        <v>-122100</v>
      </c>
      <c r="N2041" s="288">
        <f>ROUND(M2041+(M2041*Assumptions!K$13),-2)</f>
        <v>-125200</v>
      </c>
    </row>
    <row r="2042" spans="1:14" x14ac:dyDescent="0.25">
      <c r="B2042" s="16" t="s">
        <v>3227</v>
      </c>
      <c r="C2042" s="16" t="s">
        <v>3178</v>
      </c>
      <c r="D2042" s="16" t="s">
        <v>3179</v>
      </c>
      <c r="E2042" s="289"/>
      <c r="F2042" s="289"/>
      <c r="G2042" s="289"/>
      <c r="H2042" s="289"/>
      <c r="I2042" s="289"/>
      <c r="J2042" s="289"/>
      <c r="K2042" s="289"/>
      <c r="L2042" s="289"/>
      <c r="M2042" s="289"/>
      <c r="N2042" s="289"/>
    </row>
    <row r="2043" spans="1:14" x14ac:dyDescent="0.25">
      <c r="B2043" s="16" t="s">
        <v>3227</v>
      </c>
      <c r="C2043" s="16" t="s">
        <v>3180</v>
      </c>
      <c r="D2043" s="27" t="s">
        <v>3025</v>
      </c>
      <c r="E2043" s="288">
        <v>-8150200</v>
      </c>
      <c r="F2043" s="288">
        <f>E2043</f>
        <v>-8150200</v>
      </c>
      <c r="G2043" s="288">
        <f t="shared" ref="G2043:N2043" si="69">F2043</f>
        <v>-8150200</v>
      </c>
      <c r="H2043" s="288">
        <f t="shared" si="69"/>
        <v>-8150200</v>
      </c>
      <c r="I2043" s="288">
        <f t="shared" si="69"/>
        <v>-8150200</v>
      </c>
      <c r="J2043" s="288">
        <f t="shared" si="69"/>
        <v>-8150200</v>
      </c>
      <c r="K2043" s="288">
        <f t="shared" si="69"/>
        <v>-8150200</v>
      </c>
      <c r="L2043" s="288">
        <f t="shared" si="69"/>
        <v>-8150200</v>
      </c>
      <c r="M2043" s="288">
        <f t="shared" si="69"/>
        <v>-8150200</v>
      </c>
      <c r="N2043" s="288">
        <f t="shared" si="69"/>
        <v>-8150200</v>
      </c>
    </row>
    <row r="2044" spans="1:14" x14ac:dyDescent="0.25">
      <c r="B2044" s="16" t="s">
        <v>3227</v>
      </c>
      <c r="C2044" s="16" t="s">
        <v>3181</v>
      </c>
      <c r="D2044" s="27" t="s">
        <v>3182</v>
      </c>
      <c r="E2044" s="288">
        <v>-1985300</v>
      </c>
      <c r="F2044" s="288">
        <f>E2044</f>
        <v>-1985300</v>
      </c>
      <c r="G2044" s="288">
        <f t="shared" ref="G2044:N2044" si="70">F2044</f>
        <v>-1985300</v>
      </c>
      <c r="H2044" s="288">
        <f t="shared" si="70"/>
        <v>-1985300</v>
      </c>
      <c r="I2044" s="288">
        <f t="shared" si="70"/>
        <v>-1985300</v>
      </c>
      <c r="J2044" s="288">
        <f t="shared" si="70"/>
        <v>-1985300</v>
      </c>
      <c r="K2044" s="288">
        <f t="shared" si="70"/>
        <v>-1985300</v>
      </c>
      <c r="L2044" s="288">
        <f t="shared" si="70"/>
        <v>-1985300</v>
      </c>
      <c r="M2044" s="288">
        <f t="shared" si="70"/>
        <v>-1985300</v>
      </c>
      <c r="N2044" s="288">
        <f t="shared" si="70"/>
        <v>-1985300</v>
      </c>
    </row>
    <row r="2045" spans="1:14" x14ac:dyDescent="0.25">
      <c r="B2045" s="16" t="s">
        <v>3227</v>
      </c>
      <c r="C2045" s="16" t="s">
        <v>3183</v>
      </c>
      <c r="D2045" s="27" t="s">
        <v>3184</v>
      </c>
      <c r="E2045" s="288">
        <v>-62800</v>
      </c>
      <c r="F2045" s="288">
        <f>ROUND(E2045+(E2045*Assumptions!C$13),-2)</f>
        <v>-64100</v>
      </c>
      <c r="G2045" s="288">
        <f>ROUND(F2045+(F2045*Assumptions!D$13),-2)</f>
        <v>-65700</v>
      </c>
      <c r="H2045" s="288">
        <f>ROUND(G2045+(G2045*Assumptions!E$13),-2)</f>
        <v>-67300</v>
      </c>
      <c r="I2045" s="288">
        <f>ROUND(H2045+(H2045*Assumptions!F$13),-2)</f>
        <v>-69000</v>
      </c>
      <c r="J2045" s="288">
        <f>ROUND(I2045+(I2045*Assumptions!G$13),-2)</f>
        <v>-70700</v>
      </c>
      <c r="K2045" s="288">
        <f>ROUND(J2045+(J2045*Assumptions!H$13),-2)</f>
        <v>-72500</v>
      </c>
      <c r="L2045" s="288">
        <f>ROUND(K2045+(K2045*Assumptions!I$13),-2)</f>
        <v>-74300</v>
      </c>
      <c r="M2045" s="288">
        <f>ROUND(L2045+(L2045*Assumptions!J$13),-2)</f>
        <v>-76200</v>
      </c>
      <c r="N2045" s="288">
        <f>ROUND(M2045+(M2045*Assumptions!K$13),-2)</f>
        <v>-78100</v>
      </c>
    </row>
    <row r="2046" spans="1:14" x14ac:dyDescent="0.25">
      <c r="B2046" s="16" t="s">
        <v>3227</v>
      </c>
      <c r="C2046" s="16" t="s">
        <v>3185</v>
      </c>
      <c r="D2046" s="27" t="s">
        <v>329</v>
      </c>
      <c r="E2046" s="288">
        <v>147600</v>
      </c>
      <c r="F2046" s="288">
        <f>ROUND(E2046+(E2046*Assumptions!C$13),-2)</f>
        <v>150600</v>
      </c>
      <c r="G2046" s="288">
        <f>ROUND(F2046+(F2046*Assumptions!D$13),-2)</f>
        <v>154400</v>
      </c>
      <c r="H2046" s="288">
        <f>ROUND(G2046+(G2046*Assumptions!E$13),-2)</f>
        <v>158300</v>
      </c>
      <c r="I2046" s="288">
        <f>ROUND(H2046+(H2046*Assumptions!F$13),-2)</f>
        <v>162300</v>
      </c>
      <c r="J2046" s="288">
        <f>ROUND(I2046+(I2046*Assumptions!G$13),-2)</f>
        <v>166400</v>
      </c>
      <c r="K2046" s="288">
        <f>ROUND(J2046+(J2046*Assumptions!H$13),-2)</f>
        <v>170600</v>
      </c>
      <c r="L2046" s="288">
        <f>ROUND(K2046+(K2046*Assumptions!I$13),-2)</f>
        <v>174900</v>
      </c>
      <c r="M2046" s="288">
        <f>ROUND(L2046+(L2046*Assumptions!J$13),-2)</f>
        <v>179300</v>
      </c>
      <c r="N2046" s="288">
        <f>ROUND(M2046+(M2046*Assumptions!K$13),-2)</f>
        <v>183800</v>
      </c>
    </row>
    <row r="2047" spans="1:14" x14ac:dyDescent="0.25">
      <c r="B2047" s="16" t="s">
        <v>3228</v>
      </c>
      <c r="C2047" s="16" t="s">
        <v>3186</v>
      </c>
      <c r="D2047" s="27" t="s">
        <v>1873</v>
      </c>
      <c r="E2047" s="289"/>
      <c r="F2047" s="289"/>
      <c r="G2047" s="289"/>
      <c r="H2047" s="289"/>
      <c r="I2047" s="289"/>
      <c r="J2047" s="289"/>
      <c r="K2047" s="289"/>
      <c r="L2047" s="289"/>
      <c r="M2047" s="289"/>
      <c r="N2047" s="289"/>
    </row>
    <row r="2048" spans="1:14" x14ac:dyDescent="0.25">
      <c r="B2048" s="16" t="s">
        <v>3228</v>
      </c>
      <c r="C2048" s="16" t="s">
        <v>3187</v>
      </c>
      <c r="D2048" s="27" t="s">
        <v>3025</v>
      </c>
      <c r="E2048" s="288">
        <v>-3094500</v>
      </c>
      <c r="F2048" s="288">
        <f>ROUND(E2048+(E2048*Assumptions!C$6),-2)</f>
        <v>-2816000</v>
      </c>
      <c r="G2048" s="288">
        <f>ROUND(F2048+(F2048*Assumptions!D$6),-2)</f>
        <v>-2816000</v>
      </c>
      <c r="H2048" s="288">
        <f>ROUND(G2048+(G2048*Assumptions!E$6),-2)</f>
        <v>-2816000</v>
      </c>
      <c r="I2048" s="288">
        <f>ROUND(H2048+(H2048*Assumptions!F$6),-2)</f>
        <v>-2816000</v>
      </c>
      <c r="J2048" s="288">
        <f>ROUND(I2048+(I2048*Assumptions!G$6),-2)</f>
        <v>-2816000</v>
      </c>
      <c r="K2048" s="288">
        <f>ROUND(J2048+(J2048*Assumptions!H$6),-2)</f>
        <v>-2816000</v>
      </c>
      <c r="L2048" s="288">
        <f>ROUND(K2048+(K2048*Assumptions!I$6),-2)</f>
        <v>-2816000</v>
      </c>
      <c r="M2048" s="288">
        <f>ROUND(L2048+(L2048*Assumptions!J$6),-2)</f>
        <v>-2816000</v>
      </c>
      <c r="N2048" s="288">
        <f>ROUND(M2048+(M2048*Assumptions!K$6),-2)</f>
        <v>-2816000</v>
      </c>
    </row>
    <row r="2049" spans="2:14" x14ac:dyDescent="0.25">
      <c r="B2049" s="16" t="s">
        <v>3228</v>
      </c>
      <c r="C2049" s="16" t="s">
        <v>3188</v>
      </c>
      <c r="D2049" s="27" t="s">
        <v>3182</v>
      </c>
      <c r="E2049" s="288">
        <v>-1484400</v>
      </c>
      <c r="F2049" s="288">
        <f>ROUND(E2049+(E2049*Assumptions!C$6),-2)</f>
        <v>-1350800</v>
      </c>
      <c r="G2049" s="288">
        <f>ROUND(F2049+(F2049*Assumptions!D$6),-2)</f>
        <v>-1350800</v>
      </c>
      <c r="H2049" s="288">
        <f>ROUND(G2049+(G2049*Assumptions!E$6),-2)</f>
        <v>-1350800</v>
      </c>
      <c r="I2049" s="288">
        <f>ROUND(H2049+(H2049*Assumptions!F$6),-2)</f>
        <v>-1350800</v>
      </c>
      <c r="J2049" s="288">
        <f>ROUND(I2049+(I2049*Assumptions!G$6),-2)</f>
        <v>-1350800</v>
      </c>
      <c r="K2049" s="288">
        <f>ROUND(J2049+(J2049*Assumptions!H$6),-2)</f>
        <v>-1350800</v>
      </c>
      <c r="L2049" s="288">
        <f>ROUND(K2049+(K2049*Assumptions!I$6),-2)</f>
        <v>-1350800</v>
      </c>
      <c r="M2049" s="288">
        <f>ROUND(L2049+(L2049*Assumptions!J$6),-2)</f>
        <v>-1350800</v>
      </c>
      <c r="N2049" s="288">
        <f>ROUND(M2049+(M2049*Assumptions!K$6),-2)</f>
        <v>-1350800</v>
      </c>
    </row>
    <row r="2050" spans="2:14" x14ac:dyDescent="0.25">
      <c r="B2050" s="16" t="s">
        <v>3228</v>
      </c>
      <c r="C2050" s="16" t="s">
        <v>3189</v>
      </c>
      <c r="D2050" s="27" t="s">
        <v>3184</v>
      </c>
      <c r="E2050" s="288">
        <v>-266000</v>
      </c>
      <c r="F2050" s="288">
        <f>ROUND(E2050+(E2050*Assumptions!C$6),-2)</f>
        <v>-242100</v>
      </c>
      <c r="G2050" s="288">
        <f>ROUND(F2050+(F2050*Assumptions!D$6),-2)</f>
        <v>-242100</v>
      </c>
      <c r="H2050" s="288">
        <f>ROUND(G2050+(G2050*Assumptions!E$6),-2)</f>
        <v>-242100</v>
      </c>
      <c r="I2050" s="288">
        <f>ROUND(H2050+(H2050*Assumptions!F$6),-2)</f>
        <v>-242100</v>
      </c>
      <c r="J2050" s="288">
        <f>ROUND(I2050+(I2050*Assumptions!G$6),-2)</f>
        <v>-242100</v>
      </c>
      <c r="K2050" s="288">
        <f>ROUND(J2050+(J2050*Assumptions!H$6),-2)</f>
        <v>-242100</v>
      </c>
      <c r="L2050" s="288">
        <f>ROUND(K2050+(K2050*Assumptions!I$6),-2)</f>
        <v>-242100</v>
      </c>
      <c r="M2050" s="288">
        <f>ROUND(L2050+(L2050*Assumptions!J$6),-2)</f>
        <v>-242100</v>
      </c>
      <c r="N2050" s="288">
        <f>ROUND(M2050+(M2050*Assumptions!K$6),-2)</f>
        <v>-242100</v>
      </c>
    </row>
    <row r="2051" spans="2:14" x14ac:dyDescent="0.25">
      <c r="B2051" s="16" t="s">
        <v>3228</v>
      </c>
      <c r="C2051" s="16" t="s">
        <v>3190</v>
      </c>
      <c r="D2051" s="16" t="s">
        <v>3035</v>
      </c>
      <c r="E2051" s="289"/>
      <c r="F2051" s="289"/>
      <c r="G2051" s="289"/>
      <c r="H2051" s="289"/>
      <c r="I2051" s="289"/>
      <c r="J2051" s="289"/>
      <c r="K2051" s="289"/>
      <c r="L2051" s="289"/>
      <c r="M2051" s="289"/>
      <c r="N2051" s="289"/>
    </row>
    <row r="2052" spans="2:14" x14ac:dyDescent="0.25">
      <c r="B2052" s="16" t="s">
        <v>3228</v>
      </c>
      <c r="C2052" s="16" t="s">
        <v>3191</v>
      </c>
      <c r="D2052" s="16" t="s">
        <v>3192</v>
      </c>
      <c r="E2052" s="288">
        <v>-1200</v>
      </c>
      <c r="F2052" s="288">
        <f>ROUND(E2052+(E2052*Assumptions!C$13),-2)</f>
        <v>-1200</v>
      </c>
      <c r="G2052" s="288">
        <f>ROUND(F2052+(F2052*Assumptions!D$13),-2)</f>
        <v>-1200</v>
      </c>
      <c r="H2052" s="288">
        <f>ROUND(G2052+(G2052*Assumptions!E$13),-2)</f>
        <v>-1200</v>
      </c>
      <c r="I2052" s="288">
        <f>ROUND(H2052+(H2052*Assumptions!F$13),-2)</f>
        <v>-1200</v>
      </c>
      <c r="J2052" s="288">
        <f>ROUND(I2052+(I2052*Assumptions!G$13),-2)</f>
        <v>-1200</v>
      </c>
      <c r="K2052" s="288">
        <f>ROUND(J2052+(J2052*Assumptions!H$13),-2)</f>
        <v>-1200</v>
      </c>
      <c r="L2052" s="288">
        <f>ROUND(K2052+(K2052*Assumptions!I$13),-2)</f>
        <v>-1200</v>
      </c>
      <c r="M2052" s="288">
        <f>ROUND(L2052+(L2052*Assumptions!J$13),-2)</f>
        <v>-1200</v>
      </c>
      <c r="N2052" s="288">
        <f>ROUND(M2052+(M2052*Assumptions!K$13),-2)</f>
        <v>-1200</v>
      </c>
    </row>
    <row r="2053" spans="2:14" x14ac:dyDescent="0.25">
      <c r="B2053" s="16" t="s">
        <v>3228</v>
      </c>
      <c r="C2053" s="16" t="s">
        <v>3193</v>
      </c>
      <c r="D2053" s="16" t="s">
        <v>3194</v>
      </c>
      <c r="E2053" s="288">
        <v>-2400</v>
      </c>
      <c r="F2053" s="288">
        <f>ROUND(E2053+(E2053*Assumptions!C$13),-2)</f>
        <v>-2400</v>
      </c>
      <c r="G2053" s="288">
        <f>ROUND(F2053+(F2053*Assumptions!D$13),-2)</f>
        <v>-2500</v>
      </c>
      <c r="H2053" s="288">
        <f>ROUND(G2053+(G2053*Assumptions!E$13),-2)</f>
        <v>-2600</v>
      </c>
      <c r="I2053" s="288">
        <f>ROUND(H2053+(H2053*Assumptions!F$13),-2)</f>
        <v>-2700</v>
      </c>
      <c r="J2053" s="288">
        <f>ROUND(I2053+(I2053*Assumptions!G$13),-2)</f>
        <v>-2800</v>
      </c>
      <c r="K2053" s="288">
        <f>ROUND(J2053+(J2053*Assumptions!H$13),-2)</f>
        <v>-2900</v>
      </c>
      <c r="L2053" s="288">
        <f>ROUND(K2053+(K2053*Assumptions!I$13),-2)</f>
        <v>-3000</v>
      </c>
      <c r="M2053" s="288">
        <f>ROUND(L2053+(L2053*Assumptions!J$13),-2)</f>
        <v>-3100</v>
      </c>
      <c r="N2053" s="288">
        <f>ROUND(M2053+(M2053*Assumptions!K$13),-2)</f>
        <v>-3200</v>
      </c>
    </row>
    <row r="2054" spans="2:14" x14ac:dyDescent="0.25">
      <c r="B2054" s="16" t="s">
        <v>3228</v>
      </c>
      <c r="C2054" s="16" t="s">
        <v>3195</v>
      </c>
      <c r="D2054" s="16" t="s">
        <v>3196</v>
      </c>
      <c r="E2054" s="288">
        <v>-45100</v>
      </c>
      <c r="F2054" s="288">
        <f>ROUND(E2054+(E2054*Assumptions!C$13),-2)</f>
        <v>-46000</v>
      </c>
      <c r="G2054" s="288">
        <f>ROUND(F2054+(F2054*Assumptions!D$13),-2)</f>
        <v>-47200</v>
      </c>
      <c r="H2054" s="288">
        <f>ROUND(G2054+(G2054*Assumptions!E$13),-2)</f>
        <v>-48400</v>
      </c>
      <c r="I2054" s="288">
        <f>ROUND(H2054+(H2054*Assumptions!F$13),-2)</f>
        <v>-49600</v>
      </c>
      <c r="J2054" s="288">
        <f>ROUND(I2054+(I2054*Assumptions!G$13),-2)</f>
        <v>-50800</v>
      </c>
      <c r="K2054" s="288">
        <f>ROUND(J2054+(J2054*Assumptions!H$13),-2)</f>
        <v>-52100</v>
      </c>
      <c r="L2054" s="288">
        <f>ROUND(K2054+(K2054*Assumptions!I$13),-2)</f>
        <v>-53400</v>
      </c>
      <c r="M2054" s="288">
        <f>ROUND(L2054+(L2054*Assumptions!J$13),-2)</f>
        <v>-54700</v>
      </c>
      <c r="N2054" s="288">
        <f>ROUND(M2054+(M2054*Assumptions!K$13),-2)</f>
        <v>-56100</v>
      </c>
    </row>
    <row r="2055" spans="2:14" x14ac:dyDescent="0.25">
      <c r="B2055" s="16" t="s">
        <v>3228</v>
      </c>
      <c r="C2055" s="16" t="s">
        <v>3197</v>
      </c>
      <c r="D2055" s="16" t="s">
        <v>3198</v>
      </c>
      <c r="E2055" s="288">
        <v>-179300</v>
      </c>
      <c r="F2055" s="288">
        <f>ROUND(E2055+(E2055*Assumptions!C$13),-2)</f>
        <v>-182900</v>
      </c>
      <c r="G2055" s="288">
        <f>ROUND(F2055+(F2055*Assumptions!D$13),-2)</f>
        <v>-187500</v>
      </c>
      <c r="H2055" s="288">
        <f>ROUND(G2055+(G2055*Assumptions!E$13),-2)</f>
        <v>-192200</v>
      </c>
      <c r="I2055" s="288">
        <f>ROUND(H2055+(H2055*Assumptions!F$13),-2)</f>
        <v>-197000</v>
      </c>
      <c r="J2055" s="288">
        <f>ROUND(I2055+(I2055*Assumptions!G$13),-2)</f>
        <v>-201900</v>
      </c>
      <c r="K2055" s="288">
        <f>ROUND(J2055+(J2055*Assumptions!H$13),-2)</f>
        <v>-206900</v>
      </c>
      <c r="L2055" s="288">
        <f>ROUND(K2055+(K2055*Assumptions!I$13),-2)</f>
        <v>-212100</v>
      </c>
      <c r="M2055" s="288">
        <f>ROUND(L2055+(L2055*Assumptions!J$13),-2)</f>
        <v>-217400</v>
      </c>
      <c r="N2055" s="288">
        <f>ROUND(M2055+(M2055*Assumptions!K$13),-2)</f>
        <v>-222800</v>
      </c>
    </row>
    <row r="2056" spans="2:14" x14ac:dyDescent="0.25">
      <c r="B2056" s="16" t="s">
        <v>3228</v>
      </c>
      <c r="C2056" s="16" t="s">
        <v>3199</v>
      </c>
      <c r="D2056" s="16" t="s">
        <v>3200</v>
      </c>
      <c r="E2056" s="288">
        <v>-33900</v>
      </c>
      <c r="F2056" s="288">
        <f>ROUND(E2056+(E2056*Assumptions!C$13),-2)</f>
        <v>-34600</v>
      </c>
      <c r="G2056" s="288">
        <f>ROUND(F2056+(F2056*Assumptions!D$13),-2)</f>
        <v>-35500</v>
      </c>
      <c r="H2056" s="288">
        <f>ROUND(G2056+(G2056*Assumptions!E$13),-2)</f>
        <v>-36400</v>
      </c>
      <c r="I2056" s="288">
        <f>ROUND(H2056+(H2056*Assumptions!F$13),-2)</f>
        <v>-37300</v>
      </c>
      <c r="J2056" s="288">
        <f>ROUND(I2056+(I2056*Assumptions!G$13),-2)</f>
        <v>-38200</v>
      </c>
      <c r="K2056" s="288">
        <f>ROUND(J2056+(J2056*Assumptions!H$13),-2)</f>
        <v>-39200</v>
      </c>
      <c r="L2056" s="288">
        <f>ROUND(K2056+(K2056*Assumptions!I$13),-2)</f>
        <v>-40200</v>
      </c>
      <c r="M2056" s="288">
        <f>ROUND(L2056+(L2056*Assumptions!J$13),-2)</f>
        <v>-41200</v>
      </c>
      <c r="N2056" s="288">
        <f>ROUND(M2056+(M2056*Assumptions!K$13),-2)</f>
        <v>-42200</v>
      </c>
    </row>
    <row r="2057" spans="2:14" x14ac:dyDescent="0.25">
      <c r="B2057" s="16" t="s">
        <v>3228</v>
      </c>
      <c r="C2057" s="16" t="s">
        <v>3201</v>
      </c>
      <c r="D2057" s="16" t="s">
        <v>3202</v>
      </c>
      <c r="E2057" s="288">
        <v>-2700</v>
      </c>
      <c r="F2057" s="288">
        <f>ROUND(E2057+(E2057*Assumptions!C$13),-2)</f>
        <v>-2800</v>
      </c>
      <c r="G2057" s="288">
        <f>ROUND(F2057+(F2057*Assumptions!D$13),-2)</f>
        <v>-2900</v>
      </c>
      <c r="H2057" s="288">
        <f>ROUND(G2057+(G2057*Assumptions!E$13),-2)</f>
        <v>-3000</v>
      </c>
      <c r="I2057" s="288">
        <f>ROUND(H2057+(H2057*Assumptions!F$13),-2)</f>
        <v>-3100</v>
      </c>
      <c r="J2057" s="288">
        <f>ROUND(I2057+(I2057*Assumptions!G$13),-2)</f>
        <v>-3200</v>
      </c>
      <c r="K2057" s="288">
        <f>ROUND(J2057+(J2057*Assumptions!H$13),-2)</f>
        <v>-3300</v>
      </c>
      <c r="L2057" s="288">
        <f>ROUND(K2057+(K2057*Assumptions!I$13),-2)</f>
        <v>-3400</v>
      </c>
      <c r="M2057" s="288">
        <f>ROUND(L2057+(L2057*Assumptions!J$13),-2)</f>
        <v>-3500</v>
      </c>
      <c r="N2057" s="288">
        <f>ROUND(M2057+(M2057*Assumptions!K$13),-2)</f>
        <v>-3600</v>
      </c>
    </row>
    <row r="2058" spans="2:14" x14ac:dyDescent="0.25">
      <c r="B2058" s="16" t="s">
        <v>3228</v>
      </c>
      <c r="C2058" s="16" t="s">
        <v>3203</v>
      </c>
      <c r="D2058" s="16" t="s">
        <v>3204</v>
      </c>
      <c r="E2058" s="288">
        <v>0</v>
      </c>
      <c r="F2058" s="288">
        <f>ROUND(E2058+(E2058*Assumptions!C$13),-2)</f>
        <v>0</v>
      </c>
      <c r="G2058" s="288">
        <f>ROUND(F2058+(F2058*Assumptions!D$13),-2)</f>
        <v>0</v>
      </c>
      <c r="H2058" s="288">
        <f>ROUND(G2058+(G2058*Assumptions!E$13),-2)</f>
        <v>0</v>
      </c>
      <c r="I2058" s="288">
        <f>ROUND(H2058+(H2058*Assumptions!F$13),-2)</f>
        <v>0</v>
      </c>
      <c r="J2058" s="288">
        <f>ROUND(I2058+(I2058*Assumptions!G$13),-2)</f>
        <v>0</v>
      </c>
      <c r="K2058" s="288">
        <f>ROUND(J2058+(J2058*Assumptions!H$13),-2)</f>
        <v>0</v>
      </c>
      <c r="L2058" s="288">
        <f>ROUND(K2058+(K2058*Assumptions!I$13),-2)</f>
        <v>0</v>
      </c>
      <c r="M2058" s="288">
        <f>ROUND(L2058+(L2058*Assumptions!J$13),-2)</f>
        <v>0</v>
      </c>
      <c r="N2058" s="288">
        <f>ROUND(M2058+(M2058*Assumptions!K$13),-2)</f>
        <v>0</v>
      </c>
    </row>
    <row r="2059" spans="2:14" x14ac:dyDescent="0.25">
      <c r="B2059" s="16" t="s">
        <v>3228</v>
      </c>
      <c r="C2059" s="16" t="s">
        <v>3205</v>
      </c>
      <c r="D2059" s="16" t="s">
        <v>3206</v>
      </c>
      <c r="E2059" s="288">
        <v>0</v>
      </c>
      <c r="F2059" s="288">
        <f>ROUND(E2059+(E2059*Assumptions!C$13),-2)</f>
        <v>0</v>
      </c>
      <c r="G2059" s="288">
        <f>ROUND(F2059+(F2059*Assumptions!D$13),-2)</f>
        <v>0</v>
      </c>
      <c r="H2059" s="288">
        <f>ROUND(G2059+(G2059*Assumptions!E$13),-2)</f>
        <v>0</v>
      </c>
      <c r="I2059" s="288">
        <f>ROUND(H2059+(H2059*Assumptions!F$13),-2)</f>
        <v>0</v>
      </c>
      <c r="J2059" s="288">
        <f>ROUND(I2059+(I2059*Assumptions!G$13),-2)</f>
        <v>0</v>
      </c>
      <c r="K2059" s="288">
        <f>ROUND(J2059+(J2059*Assumptions!H$13),-2)</f>
        <v>0</v>
      </c>
      <c r="L2059" s="288">
        <f>ROUND(K2059+(K2059*Assumptions!I$13),-2)</f>
        <v>0</v>
      </c>
      <c r="M2059" s="288">
        <f>ROUND(L2059+(L2059*Assumptions!J$13),-2)</f>
        <v>0</v>
      </c>
      <c r="N2059" s="288">
        <f>ROUND(M2059+(M2059*Assumptions!K$13),-2)</f>
        <v>0</v>
      </c>
    </row>
    <row r="2060" spans="2:14" x14ac:dyDescent="0.25">
      <c r="B2060" s="16" t="s">
        <v>3228</v>
      </c>
      <c r="C2060" s="16" t="s">
        <v>3207</v>
      </c>
      <c r="D2060" s="16" t="s">
        <v>3208</v>
      </c>
      <c r="E2060" s="288">
        <v>0</v>
      </c>
      <c r="F2060" s="288">
        <f>ROUND(E2060+(E2060*Assumptions!C$13),-2)</f>
        <v>0</v>
      </c>
      <c r="G2060" s="288">
        <f>ROUND(F2060+(F2060*Assumptions!D$13),-2)</f>
        <v>0</v>
      </c>
      <c r="H2060" s="288">
        <f>ROUND(G2060+(G2060*Assumptions!E$13),-2)</f>
        <v>0</v>
      </c>
      <c r="I2060" s="288">
        <f>ROUND(H2060+(H2060*Assumptions!F$13),-2)</f>
        <v>0</v>
      </c>
      <c r="J2060" s="288">
        <f>ROUND(I2060+(I2060*Assumptions!G$13),-2)</f>
        <v>0</v>
      </c>
      <c r="K2060" s="288">
        <f>ROUND(J2060+(J2060*Assumptions!H$13),-2)</f>
        <v>0</v>
      </c>
      <c r="L2060" s="288">
        <f>ROUND(K2060+(K2060*Assumptions!I$13),-2)</f>
        <v>0</v>
      </c>
      <c r="M2060" s="288">
        <f>ROUND(L2060+(L2060*Assumptions!J$13),-2)</f>
        <v>0</v>
      </c>
      <c r="N2060" s="288">
        <f>ROUND(M2060+(M2060*Assumptions!K$13),-2)</f>
        <v>0</v>
      </c>
    </row>
    <row r="2061" spans="2:14" x14ac:dyDescent="0.25">
      <c r="B2061" s="16" t="s">
        <v>3228</v>
      </c>
      <c r="C2061" s="16" t="s">
        <v>3209</v>
      </c>
      <c r="D2061" s="16" t="s">
        <v>3210</v>
      </c>
      <c r="E2061" s="288">
        <v>-20700</v>
      </c>
      <c r="F2061" s="288">
        <f>ROUND(E2061+(E2061*Assumptions!C$13),-2)</f>
        <v>-21100</v>
      </c>
      <c r="G2061" s="288">
        <f>ROUND(F2061+(F2061*Assumptions!D$13),-2)</f>
        <v>-21600</v>
      </c>
      <c r="H2061" s="288">
        <f>ROUND(G2061+(G2061*Assumptions!E$13),-2)</f>
        <v>-22100</v>
      </c>
      <c r="I2061" s="288">
        <f>ROUND(H2061+(H2061*Assumptions!F$13),-2)</f>
        <v>-22700</v>
      </c>
      <c r="J2061" s="288">
        <f>ROUND(I2061+(I2061*Assumptions!G$13),-2)</f>
        <v>-23300</v>
      </c>
      <c r="K2061" s="288">
        <f>ROUND(J2061+(J2061*Assumptions!H$13),-2)</f>
        <v>-23900</v>
      </c>
      <c r="L2061" s="288">
        <f>ROUND(K2061+(K2061*Assumptions!I$13),-2)</f>
        <v>-24500</v>
      </c>
      <c r="M2061" s="288">
        <f>ROUND(L2061+(L2061*Assumptions!J$13),-2)</f>
        <v>-25100</v>
      </c>
      <c r="N2061" s="288">
        <f>ROUND(M2061+(M2061*Assumptions!K$13),-2)</f>
        <v>-25700</v>
      </c>
    </row>
    <row r="2062" spans="2:14" x14ac:dyDescent="0.25">
      <c r="B2062" s="16" t="s">
        <v>35</v>
      </c>
      <c r="C2062" s="16" t="s">
        <v>3211</v>
      </c>
      <c r="D2062" s="16" t="s">
        <v>3062</v>
      </c>
      <c r="E2062" s="289"/>
      <c r="F2062" s="289"/>
      <c r="G2062" s="289"/>
      <c r="H2062" s="289"/>
      <c r="I2062" s="289"/>
      <c r="J2062" s="289"/>
      <c r="K2062" s="289"/>
      <c r="L2062" s="289"/>
      <c r="M2062" s="289"/>
      <c r="N2062" s="289"/>
    </row>
    <row r="2063" spans="2:14" x14ac:dyDescent="0.25">
      <c r="B2063" s="16" t="s">
        <v>35</v>
      </c>
      <c r="C2063" s="16" t="s">
        <v>3212</v>
      </c>
      <c r="D2063" s="16" t="s">
        <v>3064</v>
      </c>
      <c r="E2063" s="288">
        <v>-27400</v>
      </c>
      <c r="F2063" s="288">
        <f>ROUND(E2063+(E2063*Assumptions!C$13),-2)</f>
        <v>-27900</v>
      </c>
      <c r="G2063" s="288">
        <f>ROUND(F2063+(F2063*Assumptions!D$13),-2)</f>
        <v>-28600</v>
      </c>
      <c r="H2063" s="288">
        <f>ROUND(G2063+(G2063*Assumptions!E$13),-2)</f>
        <v>-29300</v>
      </c>
      <c r="I2063" s="288">
        <f>ROUND(H2063+(H2063*Assumptions!F$13),-2)</f>
        <v>-30000</v>
      </c>
      <c r="J2063" s="288">
        <f>ROUND(I2063+(I2063*Assumptions!G$13),-2)</f>
        <v>-30800</v>
      </c>
      <c r="K2063" s="288">
        <f>ROUND(J2063+(J2063*Assumptions!H$13),-2)</f>
        <v>-31600</v>
      </c>
      <c r="L2063" s="288">
        <f>ROUND(K2063+(K2063*Assumptions!I$13),-2)</f>
        <v>-32400</v>
      </c>
      <c r="M2063" s="288">
        <f>ROUND(L2063+(L2063*Assumptions!J$13),-2)</f>
        <v>-33200</v>
      </c>
      <c r="N2063" s="288">
        <f>ROUND(M2063+(M2063*Assumptions!K$13),-2)</f>
        <v>-34000</v>
      </c>
    </row>
    <row r="2064" spans="2:14" x14ac:dyDescent="0.25">
      <c r="B2064" s="16" t="s">
        <v>35</v>
      </c>
      <c r="C2064" s="16" t="s">
        <v>3213</v>
      </c>
      <c r="D2064" s="16" t="s">
        <v>3214</v>
      </c>
      <c r="E2064" s="288">
        <v>-2300</v>
      </c>
      <c r="F2064" s="288">
        <f>ROUND(E2064+(E2064*Assumptions!C$13),-2)</f>
        <v>-2300</v>
      </c>
      <c r="G2064" s="288">
        <f>ROUND(F2064+(F2064*Assumptions!D$13),-2)</f>
        <v>-2400</v>
      </c>
      <c r="H2064" s="288">
        <f>ROUND(G2064+(G2064*Assumptions!E$13),-2)</f>
        <v>-2500</v>
      </c>
      <c r="I2064" s="288">
        <f>ROUND(H2064+(H2064*Assumptions!F$13),-2)</f>
        <v>-2600</v>
      </c>
      <c r="J2064" s="288">
        <f>ROUND(I2064+(I2064*Assumptions!G$13),-2)</f>
        <v>-2700</v>
      </c>
      <c r="K2064" s="288">
        <f>ROUND(J2064+(J2064*Assumptions!H$13),-2)</f>
        <v>-2800</v>
      </c>
      <c r="L2064" s="288">
        <f>ROUND(K2064+(K2064*Assumptions!I$13),-2)</f>
        <v>-2900</v>
      </c>
      <c r="M2064" s="288">
        <f>ROUND(L2064+(L2064*Assumptions!J$13),-2)</f>
        <v>-3000</v>
      </c>
      <c r="N2064" s="288">
        <f>ROUND(M2064+(M2064*Assumptions!K$13),-2)</f>
        <v>-3100</v>
      </c>
    </row>
    <row r="2065" spans="2:14" x14ac:dyDescent="0.25">
      <c r="B2065" s="16" t="s">
        <v>35</v>
      </c>
      <c r="C2065" s="16" t="s">
        <v>3215</v>
      </c>
      <c r="D2065" s="16" t="s">
        <v>3216</v>
      </c>
      <c r="E2065" s="288">
        <v>-300</v>
      </c>
      <c r="F2065" s="288">
        <f>ROUND(E2065+(E2065*Assumptions!C$13),-2)</f>
        <v>-300</v>
      </c>
      <c r="G2065" s="288">
        <f>ROUND(F2065+(F2065*Assumptions!D$13),-2)</f>
        <v>-300</v>
      </c>
      <c r="H2065" s="288">
        <f>ROUND(G2065+(G2065*Assumptions!E$13),-2)</f>
        <v>-300</v>
      </c>
      <c r="I2065" s="288">
        <f>ROUND(H2065+(H2065*Assumptions!F$13),-2)</f>
        <v>-300</v>
      </c>
      <c r="J2065" s="288">
        <f>ROUND(I2065+(I2065*Assumptions!G$13),-2)</f>
        <v>-300</v>
      </c>
      <c r="K2065" s="288">
        <f>ROUND(J2065+(J2065*Assumptions!H$13),-2)</f>
        <v>-300</v>
      </c>
      <c r="L2065" s="288">
        <f>ROUND(K2065+(K2065*Assumptions!I$13),-2)</f>
        <v>-300</v>
      </c>
      <c r="M2065" s="288">
        <f>ROUND(L2065+(L2065*Assumptions!J$13),-2)</f>
        <v>-300</v>
      </c>
      <c r="N2065" s="288">
        <f>ROUND(M2065+(M2065*Assumptions!K$13),-2)</f>
        <v>-300</v>
      </c>
    </row>
    <row r="2066" spans="2:14" x14ac:dyDescent="0.25">
      <c r="B2066" s="16" t="s">
        <v>35</v>
      </c>
      <c r="C2066" s="16" t="s">
        <v>3217</v>
      </c>
      <c r="D2066" s="16" t="s">
        <v>3218</v>
      </c>
      <c r="E2066" s="288">
        <v>-700</v>
      </c>
      <c r="F2066" s="288">
        <f>ROUND(E2066+(E2066*Assumptions!C$13),-2)</f>
        <v>-700</v>
      </c>
      <c r="G2066" s="288">
        <f>ROUND(F2066+(F2066*Assumptions!D$13),-2)</f>
        <v>-700</v>
      </c>
      <c r="H2066" s="288">
        <f>ROUND(G2066+(G2066*Assumptions!E$13),-2)</f>
        <v>-700</v>
      </c>
      <c r="I2066" s="288">
        <f>ROUND(H2066+(H2066*Assumptions!F$13),-2)</f>
        <v>-700</v>
      </c>
      <c r="J2066" s="288">
        <f>ROUND(I2066+(I2066*Assumptions!G$13),-2)</f>
        <v>-700</v>
      </c>
      <c r="K2066" s="288">
        <f>ROUND(J2066+(J2066*Assumptions!H$13),-2)</f>
        <v>-700</v>
      </c>
      <c r="L2066" s="288">
        <f>ROUND(K2066+(K2066*Assumptions!I$13),-2)</f>
        <v>-700</v>
      </c>
      <c r="M2066" s="288">
        <f>ROUND(L2066+(L2066*Assumptions!J$13),-2)</f>
        <v>-700</v>
      </c>
      <c r="N2066" s="288">
        <f>ROUND(M2066+(M2066*Assumptions!K$13),-2)</f>
        <v>-700</v>
      </c>
    </row>
    <row r="2067" spans="2:14" x14ac:dyDescent="0.25">
      <c r="B2067" s="16" t="s">
        <v>35</v>
      </c>
      <c r="C2067" s="16" t="s">
        <v>3219</v>
      </c>
      <c r="D2067" s="16" t="s">
        <v>3068</v>
      </c>
      <c r="E2067" s="289"/>
      <c r="F2067" s="289"/>
      <c r="G2067" s="289"/>
      <c r="H2067" s="289"/>
      <c r="I2067" s="289"/>
      <c r="J2067" s="289"/>
      <c r="K2067" s="289"/>
      <c r="L2067" s="289"/>
      <c r="M2067" s="289"/>
      <c r="N2067" s="289"/>
    </row>
    <row r="2068" spans="2:14" x14ac:dyDescent="0.25">
      <c r="B2068" s="16" t="s">
        <v>35</v>
      </c>
      <c r="C2068" s="16" t="s">
        <v>3220</v>
      </c>
      <c r="D2068" s="27" t="s">
        <v>3070</v>
      </c>
      <c r="E2068" s="288">
        <v>-162200</v>
      </c>
      <c r="F2068" s="288">
        <f>-interest!D29-interest!D30</f>
        <v>-410500</v>
      </c>
      <c r="G2068" s="288">
        <f>-interest!E29-interest!E30</f>
        <v>-427800</v>
      </c>
      <c r="H2068" s="288">
        <f>-interest!F29-interest!F30</f>
        <v>-253500</v>
      </c>
      <c r="I2068" s="288">
        <f>-interest!G29-interest!G30</f>
        <v>-283800</v>
      </c>
      <c r="J2068" s="288">
        <f>-interest!H29-interest!H30</f>
        <v>-307900</v>
      </c>
      <c r="K2068" s="288">
        <f>-interest!I29-interest!I30</f>
        <v>-355400</v>
      </c>
      <c r="L2068" s="288">
        <f>-interest!J29-interest!J30</f>
        <v>-371100</v>
      </c>
      <c r="M2068" s="288">
        <f>-interest!K29-interest!K30</f>
        <v>-369700</v>
      </c>
      <c r="N2068" s="288">
        <f>-interest!L29-interest!L30</f>
        <v>-159600</v>
      </c>
    </row>
    <row r="2069" spans="2:14" x14ac:dyDescent="0.25">
      <c r="B2069" s="16" t="s">
        <v>35</v>
      </c>
      <c r="C2069" s="16" t="s">
        <v>3221</v>
      </c>
      <c r="D2069" s="27" t="s">
        <v>3072</v>
      </c>
      <c r="E2069" s="288">
        <v>0</v>
      </c>
      <c r="F2069" s="288">
        <f>ROUND(E2069+(E2069*Assumptions!C$13),-2)</f>
        <v>0</v>
      </c>
      <c r="G2069" s="288">
        <f>ROUND(F2069+(F2069*Assumptions!D$13),-2)</f>
        <v>0</v>
      </c>
      <c r="H2069" s="288">
        <f>ROUND(G2069+(G2069*Assumptions!E$13),-2)</f>
        <v>0</v>
      </c>
      <c r="I2069" s="288">
        <f>ROUND(H2069+(H2069*Assumptions!F$13),-2)</f>
        <v>0</v>
      </c>
      <c r="J2069" s="288">
        <f>ROUND(I2069+(I2069*Assumptions!G$13),-2)</f>
        <v>0</v>
      </c>
      <c r="K2069" s="288">
        <f>ROUND(J2069+(J2069*Assumptions!H$13),-2)</f>
        <v>0</v>
      </c>
      <c r="L2069" s="288">
        <f>ROUND(K2069+(K2069*Assumptions!I$13),-2)</f>
        <v>0</v>
      </c>
      <c r="M2069" s="288">
        <f>ROUND(L2069+(L2069*Assumptions!J$13),-2)</f>
        <v>0</v>
      </c>
      <c r="N2069" s="288">
        <f>ROUND(M2069+(M2069*Assumptions!K$13),-2)</f>
        <v>0</v>
      </c>
    </row>
    <row r="2070" spans="2:14" x14ac:dyDescent="0.25">
      <c r="D2070" s="27"/>
      <c r="E2070" s="288"/>
      <c r="F2070" s="288"/>
      <c r="G2070" s="288"/>
      <c r="H2070" s="288"/>
      <c r="I2070" s="288"/>
      <c r="J2070" s="288"/>
      <c r="K2070" s="288"/>
      <c r="L2070" s="288"/>
      <c r="M2070" s="288"/>
      <c r="N2070" s="288"/>
    </row>
    <row r="2071" spans="2:14" x14ac:dyDescent="0.25">
      <c r="D2071" s="19" t="s">
        <v>3234</v>
      </c>
      <c r="E2071" s="291">
        <f>SUM(E2040:E2070)</f>
        <v>-15474500</v>
      </c>
      <c r="F2071" s="291">
        <f t="shared" ref="F2071:N2071" si="71">SUM(F2040:F2070)</f>
        <v>-15293300</v>
      </c>
      <c r="G2071" s="291">
        <f t="shared" si="71"/>
        <v>-15319200</v>
      </c>
      <c r="H2071" s="291">
        <f t="shared" si="71"/>
        <v>-15153500</v>
      </c>
      <c r="I2071" s="291">
        <f t="shared" si="71"/>
        <v>-15192700</v>
      </c>
      <c r="J2071" s="291">
        <f t="shared" si="71"/>
        <v>-15225900</v>
      </c>
      <c r="K2071" s="291">
        <f t="shared" si="71"/>
        <v>-15282800</v>
      </c>
      <c r="L2071" s="291">
        <f t="shared" si="71"/>
        <v>-15308100</v>
      </c>
      <c r="M2071" s="291">
        <f t="shared" si="71"/>
        <v>-15316500</v>
      </c>
      <c r="N2071" s="291">
        <f t="shared" si="71"/>
        <v>-15116400</v>
      </c>
    </row>
    <row r="2072" spans="2:14" x14ac:dyDescent="0.25">
      <c r="E2072" s="288"/>
      <c r="F2072" s="288"/>
      <c r="G2072" s="288"/>
      <c r="H2072" s="288"/>
      <c r="I2072" s="288"/>
      <c r="J2072" s="288"/>
      <c r="K2072" s="288"/>
      <c r="L2072" s="288"/>
      <c r="M2072" s="288"/>
      <c r="N2072" s="288"/>
    </row>
    <row r="2073" spans="2:14" x14ac:dyDescent="0.25">
      <c r="D2073" s="19" t="s">
        <v>3233</v>
      </c>
      <c r="E2073" s="288"/>
      <c r="F2073" s="288"/>
      <c r="G2073" s="288"/>
      <c r="H2073" s="288"/>
      <c r="I2073" s="288"/>
      <c r="J2073" s="288"/>
      <c r="K2073" s="288"/>
      <c r="L2073" s="288"/>
      <c r="M2073" s="288"/>
      <c r="N2073" s="288"/>
    </row>
    <row r="2074" spans="2:14" x14ac:dyDescent="0.25">
      <c r="D2074" s="16" t="s">
        <v>3227</v>
      </c>
      <c r="E2074" s="288">
        <f t="shared" ref="E2074:N2074" si="72">-SUMIF($B$5:$B$2070,$D$2074,E5:E2070)</f>
        <v>37240000</v>
      </c>
      <c r="F2074" s="288">
        <f t="shared" si="72"/>
        <v>38701100</v>
      </c>
      <c r="G2074" s="288">
        <f t="shared" si="72"/>
        <v>40387000</v>
      </c>
      <c r="H2074" s="288">
        <f t="shared" si="72"/>
        <v>42192800</v>
      </c>
      <c r="I2074" s="288">
        <f t="shared" si="72"/>
        <v>44127300</v>
      </c>
      <c r="J2074" s="288">
        <f t="shared" si="72"/>
        <v>44910200</v>
      </c>
      <c r="K2074" s="288">
        <f t="shared" si="72"/>
        <v>45713200</v>
      </c>
      <c r="L2074" s="288">
        <f t="shared" si="72"/>
        <v>46536200</v>
      </c>
      <c r="M2074" s="288">
        <f t="shared" si="72"/>
        <v>47380000</v>
      </c>
      <c r="N2074" s="288">
        <f t="shared" si="72"/>
        <v>48244700</v>
      </c>
    </row>
    <row r="2075" spans="2:14" x14ac:dyDescent="0.25">
      <c r="D2075" s="16" t="s">
        <v>3228</v>
      </c>
      <c r="E2075" s="288">
        <f t="shared" ref="E2075:N2075" si="73">-SUMIF($B$5:$B$2070,$D$2075,E5:E2070)</f>
        <v>27229200</v>
      </c>
      <c r="F2075" s="288">
        <f t="shared" si="73"/>
        <v>27150300</v>
      </c>
      <c r="G2075" s="288">
        <f t="shared" si="73"/>
        <v>27434700</v>
      </c>
      <c r="H2075" s="288">
        <f t="shared" si="73"/>
        <v>27725900</v>
      </c>
      <c r="I2075" s="288">
        <f t="shared" si="73"/>
        <v>28124100</v>
      </c>
      <c r="J2075" s="288">
        <f t="shared" si="73"/>
        <v>28429400</v>
      </c>
      <c r="K2075" s="288">
        <f t="shared" si="73"/>
        <v>28742200</v>
      </c>
      <c r="L2075" s="288">
        <f t="shared" si="73"/>
        <v>29063100</v>
      </c>
      <c r="M2075" s="288">
        <f t="shared" si="73"/>
        <v>29391300</v>
      </c>
      <c r="N2075" s="288">
        <f t="shared" si="73"/>
        <v>29727800</v>
      </c>
    </row>
    <row r="2076" spans="2:14" x14ac:dyDescent="0.25">
      <c r="D2076" s="16" t="s">
        <v>35</v>
      </c>
      <c r="E2076" s="288">
        <f t="shared" ref="E2076:N2076" si="74">-SUMIF($B$5:$B$2070,$D$2076,E5:E2070)</f>
        <v>1697400</v>
      </c>
      <c r="F2076" s="288">
        <f t="shared" si="74"/>
        <v>1817100</v>
      </c>
      <c r="G2076" s="288">
        <f t="shared" si="74"/>
        <v>1799400</v>
      </c>
      <c r="H2076" s="288">
        <f t="shared" si="74"/>
        <v>1794200</v>
      </c>
      <c r="I2076" s="288">
        <f t="shared" si="74"/>
        <v>1874400</v>
      </c>
      <c r="J2076" s="288">
        <f t="shared" si="74"/>
        <v>2001000</v>
      </c>
      <c r="K2076" s="288">
        <f t="shared" si="74"/>
        <v>2192400</v>
      </c>
      <c r="L2076" s="288">
        <f t="shared" si="74"/>
        <v>2399800</v>
      </c>
      <c r="M2076" s="288">
        <f t="shared" si="74"/>
        <v>2620100</v>
      </c>
      <c r="N2076" s="288">
        <f t="shared" si="74"/>
        <v>2806400</v>
      </c>
    </row>
    <row r="2077" spans="2:14" x14ac:dyDescent="0.25">
      <c r="D2077" s="16" t="s">
        <v>66</v>
      </c>
      <c r="E2077" s="288">
        <f t="shared" ref="E2077:N2077" si="75">-SUMIF($B$5:$B$2070,$D$2077,E5:E2070)</f>
        <v>1312800</v>
      </c>
      <c r="F2077" s="288">
        <f t="shared" si="75"/>
        <v>1320300</v>
      </c>
      <c r="G2077" s="288">
        <f t="shared" si="75"/>
        <v>1300000</v>
      </c>
      <c r="H2077" s="288">
        <f t="shared" si="75"/>
        <v>1300000</v>
      </c>
      <c r="I2077" s="288">
        <f t="shared" si="75"/>
        <v>1300000</v>
      </c>
      <c r="J2077" s="288">
        <f t="shared" si="75"/>
        <v>1300000</v>
      </c>
      <c r="K2077" s="288">
        <f t="shared" si="75"/>
        <v>1300000</v>
      </c>
      <c r="L2077" s="288">
        <f t="shared" si="75"/>
        <v>1300000</v>
      </c>
      <c r="M2077" s="288">
        <f t="shared" si="75"/>
        <v>1300000</v>
      </c>
      <c r="N2077" s="288">
        <f t="shared" si="75"/>
        <v>1300000</v>
      </c>
    </row>
    <row r="2078" spans="2:14" x14ac:dyDescent="0.25">
      <c r="D2078" s="16" t="s">
        <v>3229</v>
      </c>
      <c r="E2078" s="288">
        <f t="shared" ref="E2078:N2078" si="76">-SUMIF($B$5:$B$2070,$D$2078,E5:E2070)</f>
        <v>6014400</v>
      </c>
      <c r="F2078" s="288">
        <f t="shared" si="76"/>
        <v>6515000</v>
      </c>
      <c r="G2078" s="288">
        <f t="shared" si="76"/>
        <v>5374700</v>
      </c>
      <c r="H2078" s="288">
        <f t="shared" si="76"/>
        <v>5998200</v>
      </c>
      <c r="I2078" s="288">
        <f t="shared" si="76"/>
        <v>5845200</v>
      </c>
      <c r="J2078" s="288">
        <f t="shared" si="76"/>
        <v>6091100</v>
      </c>
      <c r="K2078" s="288">
        <f t="shared" si="76"/>
        <v>5859600</v>
      </c>
      <c r="L2078" s="288">
        <f t="shared" si="76"/>
        <v>5980600</v>
      </c>
      <c r="M2078" s="288">
        <f t="shared" si="76"/>
        <v>6104300</v>
      </c>
      <c r="N2078" s="288">
        <f t="shared" si="76"/>
        <v>6231000</v>
      </c>
    </row>
    <row r="2079" spans="2:14" x14ac:dyDescent="0.25">
      <c r="D2079" s="16" t="s">
        <v>3230</v>
      </c>
      <c r="E2079" s="288">
        <f t="shared" ref="E2079:N2079" si="77">-SUMIF($B$5:$B$2070,$D$2079,E5:E2070)</f>
        <v>0</v>
      </c>
      <c r="F2079" s="288">
        <f t="shared" si="77"/>
        <v>0</v>
      </c>
      <c r="G2079" s="288">
        <f t="shared" si="77"/>
        <v>0</v>
      </c>
      <c r="H2079" s="288">
        <f t="shared" si="77"/>
        <v>0</v>
      </c>
      <c r="I2079" s="288">
        <f t="shared" si="77"/>
        <v>0</v>
      </c>
      <c r="J2079" s="288">
        <f t="shared" si="77"/>
        <v>0</v>
      </c>
      <c r="K2079" s="288">
        <f t="shared" si="77"/>
        <v>0</v>
      </c>
      <c r="L2079" s="288">
        <f t="shared" si="77"/>
        <v>0</v>
      </c>
      <c r="M2079" s="288">
        <f t="shared" si="77"/>
        <v>0</v>
      </c>
      <c r="N2079" s="288">
        <f t="shared" si="77"/>
        <v>0</v>
      </c>
    </row>
    <row r="2080" spans="2:14" x14ac:dyDescent="0.25">
      <c r="D2080" s="19" t="s">
        <v>3234</v>
      </c>
      <c r="E2080" s="291">
        <f t="shared" ref="E2080" si="78">SUM(E2074:E2079)</f>
        <v>73493800</v>
      </c>
      <c r="F2080" s="291">
        <f t="shared" ref="F2080" si="79">SUM(F2074:F2079)</f>
        <v>75503800</v>
      </c>
      <c r="G2080" s="291">
        <f t="shared" ref="G2080" si="80">SUM(G2074:G2079)</f>
        <v>76295800</v>
      </c>
      <c r="H2080" s="291">
        <f t="shared" ref="H2080" si="81">SUM(H2074:H2079)</f>
        <v>79011100</v>
      </c>
      <c r="I2080" s="291">
        <f t="shared" ref="I2080" si="82">SUM(I2074:I2079)</f>
        <v>81271000</v>
      </c>
      <c r="J2080" s="291">
        <f t="shared" ref="J2080" si="83">SUM(J2074:J2079)</f>
        <v>82731700</v>
      </c>
      <c r="K2080" s="291">
        <f t="shared" ref="K2080" si="84">SUM(K2074:K2079)</f>
        <v>83807400</v>
      </c>
      <c r="L2080" s="291">
        <f t="shared" ref="L2080" si="85">SUM(L2074:L2079)</f>
        <v>85279700</v>
      </c>
      <c r="M2080" s="291">
        <f t="shared" ref="M2080" si="86">SUM(M2074:M2079)</f>
        <v>86795700</v>
      </c>
      <c r="N2080" s="291">
        <f t="shared" ref="N2080" si="87">SUM(N2074:N2079)</f>
        <v>88309900</v>
      </c>
    </row>
    <row r="2081" spans="3:14" x14ac:dyDescent="0.25">
      <c r="E2081" s="288"/>
      <c r="F2081" s="288"/>
      <c r="G2081" s="288"/>
      <c r="H2081" s="288"/>
      <c r="I2081" s="288"/>
      <c r="J2081" s="288"/>
      <c r="K2081" s="288"/>
      <c r="L2081" s="288"/>
      <c r="M2081" s="288"/>
      <c r="N2081" s="288"/>
    </row>
    <row r="2082" spans="3:14" x14ac:dyDescent="0.25">
      <c r="D2082" s="16" t="s">
        <v>41</v>
      </c>
      <c r="E2082" s="288">
        <f t="shared" ref="E2082:N2082" si="88">SUMIF($B$5:$B$2070,$D$2082,E5:E2070)</f>
        <v>16093200</v>
      </c>
      <c r="F2082" s="288">
        <f t="shared" si="88"/>
        <v>16338000</v>
      </c>
      <c r="G2082" s="288">
        <f t="shared" si="88"/>
        <v>16664500</v>
      </c>
      <c r="H2082" s="288">
        <f t="shared" si="88"/>
        <v>16997500</v>
      </c>
      <c r="I2082" s="288">
        <f t="shared" si="88"/>
        <v>17337100</v>
      </c>
      <c r="J2082" s="288">
        <f t="shared" si="88"/>
        <v>17683600</v>
      </c>
      <c r="K2082" s="288">
        <f t="shared" si="88"/>
        <v>18036900</v>
      </c>
      <c r="L2082" s="288">
        <f t="shared" si="88"/>
        <v>18484200</v>
      </c>
      <c r="M2082" s="288">
        <f t="shared" si="88"/>
        <v>18942700</v>
      </c>
      <c r="N2082" s="288">
        <f t="shared" si="88"/>
        <v>19412500</v>
      </c>
    </row>
    <row r="2083" spans="3:14" x14ac:dyDescent="0.25">
      <c r="D2083" s="16" t="s">
        <v>42</v>
      </c>
      <c r="E2083" s="288">
        <f t="shared" ref="E2083:N2083" si="89">SUMIF($B$5:$B$2070,$D$2083,E5:E2070)</f>
        <v>4571900</v>
      </c>
      <c r="F2083" s="288">
        <f t="shared" si="89"/>
        <v>4439300</v>
      </c>
      <c r="G2083" s="288">
        <f t="shared" si="89"/>
        <v>4364200</v>
      </c>
      <c r="H2083" s="288">
        <f t="shared" si="89"/>
        <v>4289700</v>
      </c>
      <c r="I2083" s="288">
        <f t="shared" si="89"/>
        <v>4064500</v>
      </c>
      <c r="J2083" s="288">
        <f t="shared" si="89"/>
        <v>3879600</v>
      </c>
      <c r="K2083" s="288">
        <f t="shared" si="89"/>
        <v>3556900</v>
      </c>
      <c r="L2083" s="288">
        <f t="shared" si="89"/>
        <v>3329600</v>
      </c>
      <c r="M2083" s="288">
        <f t="shared" si="89"/>
        <v>3072600</v>
      </c>
      <c r="N2083" s="288">
        <f t="shared" si="89"/>
        <v>2853800</v>
      </c>
    </row>
    <row r="2084" spans="3:14" x14ac:dyDescent="0.25">
      <c r="D2084" s="16" t="s">
        <v>43</v>
      </c>
      <c r="E2084" s="288">
        <f t="shared" ref="E2084:N2084" si="90">SUMIF($B$5:$B$2070,$D$2084,E5:E2070)</f>
        <v>34607500</v>
      </c>
      <c r="F2084" s="288">
        <f t="shared" si="90"/>
        <v>34488700</v>
      </c>
      <c r="G2084" s="288">
        <f t="shared" si="90"/>
        <v>35357300</v>
      </c>
      <c r="H2084" s="288">
        <f t="shared" si="90"/>
        <v>36292700</v>
      </c>
      <c r="I2084" s="288">
        <f t="shared" si="90"/>
        <v>37417400</v>
      </c>
      <c r="J2084" s="288">
        <f t="shared" si="90"/>
        <v>38178800</v>
      </c>
      <c r="K2084" s="288">
        <f t="shared" si="90"/>
        <v>38956000</v>
      </c>
      <c r="L2084" s="288">
        <f t="shared" si="90"/>
        <v>39939200</v>
      </c>
      <c r="M2084" s="288">
        <f t="shared" si="90"/>
        <v>40948600</v>
      </c>
      <c r="N2084" s="288">
        <f t="shared" si="90"/>
        <v>41979000</v>
      </c>
    </row>
    <row r="2085" spans="3:14" x14ac:dyDescent="0.25">
      <c r="D2085" s="16" t="s">
        <v>3231</v>
      </c>
      <c r="E2085" s="288">
        <f t="shared" ref="E2085:N2085" si="91">SUMIF($B$5:$B$2070,$D$2085,E5:E2070)</f>
        <v>12515100</v>
      </c>
      <c r="F2085" s="288">
        <f t="shared" si="91"/>
        <v>12640200</v>
      </c>
      <c r="G2085" s="288">
        <f t="shared" si="91"/>
        <v>12766800</v>
      </c>
      <c r="H2085" s="288">
        <f t="shared" si="91"/>
        <v>12894600</v>
      </c>
      <c r="I2085" s="288">
        <f t="shared" si="91"/>
        <v>13023500</v>
      </c>
      <c r="J2085" s="288">
        <f t="shared" si="91"/>
        <v>13153500</v>
      </c>
      <c r="K2085" s="288">
        <f t="shared" si="91"/>
        <v>13284900</v>
      </c>
      <c r="L2085" s="288">
        <f t="shared" si="91"/>
        <v>13417600</v>
      </c>
      <c r="M2085" s="288">
        <f t="shared" si="91"/>
        <v>13551200</v>
      </c>
      <c r="N2085" s="288">
        <f t="shared" si="91"/>
        <v>13686700</v>
      </c>
    </row>
    <row r="2086" spans="3:14" x14ac:dyDescent="0.25">
      <c r="D2086" s="16" t="s">
        <v>45</v>
      </c>
      <c r="E2086" s="288">
        <f t="shared" ref="E2086:N2086" si="92">SUMIF($B$5:$B$2070,$D$2086,E5:E2070)</f>
        <v>4925100</v>
      </c>
      <c r="F2086" s="288">
        <f t="shared" si="92"/>
        <v>4781100</v>
      </c>
      <c r="G2086" s="288">
        <f t="shared" si="92"/>
        <v>4876000</v>
      </c>
      <c r="H2086" s="288">
        <f t="shared" si="92"/>
        <v>5223100</v>
      </c>
      <c r="I2086" s="288">
        <f t="shared" si="92"/>
        <v>5072000</v>
      </c>
      <c r="J2086" s="288">
        <f t="shared" si="92"/>
        <v>5172400</v>
      </c>
      <c r="K2086" s="288">
        <f t="shared" si="92"/>
        <v>5274800</v>
      </c>
      <c r="L2086" s="288">
        <f t="shared" si="92"/>
        <v>5706500</v>
      </c>
      <c r="M2086" s="288">
        <f t="shared" si="92"/>
        <v>5541500</v>
      </c>
      <c r="N2086" s="288">
        <f t="shared" si="92"/>
        <v>5679700</v>
      </c>
    </row>
    <row r="2087" spans="3:14" x14ac:dyDescent="0.25">
      <c r="D2087" s="19" t="s">
        <v>3234</v>
      </c>
      <c r="E2087" s="291">
        <f t="shared" ref="E2087" si="93">SUM(E2082:E2086)</f>
        <v>72712800</v>
      </c>
      <c r="F2087" s="291">
        <f t="shared" ref="F2087" si="94">SUM(F2082:F2086)</f>
        <v>72687300</v>
      </c>
      <c r="G2087" s="291">
        <f t="shared" ref="G2087" si="95">SUM(G2082:G2086)</f>
        <v>74028800</v>
      </c>
      <c r="H2087" s="291">
        <f t="shared" ref="H2087" si="96">SUM(H2082:H2086)</f>
        <v>75697600</v>
      </c>
      <c r="I2087" s="291">
        <f t="shared" ref="I2087" si="97">SUM(I2082:I2086)</f>
        <v>76914500</v>
      </c>
      <c r="J2087" s="291">
        <f t="shared" ref="J2087" si="98">SUM(J2082:J2086)</f>
        <v>78067900</v>
      </c>
      <c r="K2087" s="291">
        <f t="shared" ref="K2087" si="99">SUM(K2082:K2086)</f>
        <v>79109500</v>
      </c>
      <c r="L2087" s="291">
        <f t="shared" ref="L2087" si="100">SUM(L2082:L2086)</f>
        <v>80877100</v>
      </c>
      <c r="M2087" s="291">
        <f t="shared" ref="M2087" si="101">SUM(M2082:M2086)</f>
        <v>82056600</v>
      </c>
      <c r="N2087" s="291">
        <f t="shared" ref="N2087" si="102">SUM(N2082:N2086)</f>
        <v>83611700</v>
      </c>
    </row>
    <row r="2088" spans="3:14" x14ac:dyDescent="0.25">
      <c r="C2088" s="24"/>
      <c r="E2088" s="288"/>
      <c r="F2088" s="288"/>
      <c r="G2088" s="288"/>
      <c r="H2088" s="288"/>
      <c r="I2088" s="288"/>
      <c r="J2088" s="288"/>
      <c r="K2088" s="288"/>
      <c r="L2088" s="288"/>
      <c r="M2088" s="288"/>
      <c r="N2088" s="288"/>
    </row>
    <row r="2089" spans="3:14" x14ac:dyDescent="0.25">
      <c r="D2089" s="19" t="s">
        <v>3224</v>
      </c>
      <c r="E2089" s="288"/>
      <c r="F2089" s="288"/>
      <c r="G2089" s="288"/>
      <c r="H2089" s="288"/>
      <c r="I2089" s="288"/>
      <c r="J2089" s="288"/>
      <c r="K2089" s="288"/>
      <c r="L2089" s="288"/>
      <c r="M2089" s="288"/>
      <c r="N2089" s="288"/>
    </row>
    <row r="2090" spans="3:14" x14ac:dyDescent="0.25">
      <c r="D2090" s="16" t="s">
        <v>3227</v>
      </c>
      <c r="E2090" s="288">
        <f>-SUMIF($B$1931:$B$1963,$D$2090,E1931:E1963)</f>
        <v>2245100</v>
      </c>
      <c r="F2090" s="288">
        <f t="shared" ref="F2090:N2090" si="103">-SUMIF($B$1931:$B$1963,$D$2090,F1931:F1963)</f>
        <v>2242700</v>
      </c>
      <c r="G2090" s="288">
        <f t="shared" si="103"/>
        <v>2239600</v>
      </c>
      <c r="H2090" s="288">
        <f t="shared" si="103"/>
        <v>2236400</v>
      </c>
      <c r="I2090" s="288">
        <f t="shared" si="103"/>
        <v>2233100</v>
      </c>
      <c r="J2090" s="288">
        <f t="shared" si="103"/>
        <v>2229700</v>
      </c>
      <c r="K2090" s="288">
        <f t="shared" si="103"/>
        <v>2226300</v>
      </c>
      <c r="L2090" s="288">
        <f t="shared" si="103"/>
        <v>2222800</v>
      </c>
      <c r="M2090" s="288">
        <f t="shared" si="103"/>
        <v>2219200</v>
      </c>
      <c r="N2090" s="288">
        <f t="shared" si="103"/>
        <v>2215500</v>
      </c>
    </row>
    <row r="2091" spans="3:14" x14ac:dyDescent="0.25">
      <c r="D2091" s="16" t="s">
        <v>3228</v>
      </c>
      <c r="E2091" s="288">
        <f>-SUMIF($B$1931:$B$1963,$D$2091,E1931:E1963)</f>
        <v>6596800</v>
      </c>
      <c r="F2091" s="288">
        <f t="shared" ref="F2091:N2091" si="104">-SUMIF($B$1931:$B$1963,$D$2091,F1931:F1963)</f>
        <v>6496000</v>
      </c>
      <c r="G2091" s="288">
        <f t="shared" si="104"/>
        <v>6499300</v>
      </c>
      <c r="H2091" s="288">
        <f t="shared" si="104"/>
        <v>6502800</v>
      </c>
      <c r="I2091" s="288">
        <f t="shared" si="104"/>
        <v>6506400</v>
      </c>
      <c r="J2091" s="288">
        <f t="shared" si="104"/>
        <v>6510000</v>
      </c>
      <c r="K2091" s="288">
        <f t="shared" si="104"/>
        <v>6513700</v>
      </c>
      <c r="L2091" s="288">
        <f t="shared" si="104"/>
        <v>6517500</v>
      </c>
      <c r="M2091" s="288">
        <f t="shared" si="104"/>
        <v>6521300</v>
      </c>
      <c r="N2091" s="288">
        <f t="shared" si="104"/>
        <v>6525200</v>
      </c>
    </row>
    <row r="2092" spans="3:14" x14ac:dyDescent="0.25">
      <c r="D2092" s="16" t="s">
        <v>35</v>
      </c>
      <c r="E2092" s="288">
        <f>-SUMIF($B$1931:$B$1963,$D$2092,E1931:E1963)</f>
        <v>131000</v>
      </c>
      <c r="F2092" s="288">
        <f t="shared" ref="F2092:N2092" si="105">-SUMIF($B$1931:$B$1963,$D$2092,F1931:F1963)</f>
        <v>158500</v>
      </c>
      <c r="G2092" s="288">
        <f t="shared" si="105"/>
        <v>142000</v>
      </c>
      <c r="H2092" s="288">
        <f t="shared" si="105"/>
        <v>187500</v>
      </c>
      <c r="I2092" s="288">
        <f t="shared" si="105"/>
        <v>194600</v>
      </c>
      <c r="J2092" s="288">
        <f t="shared" si="105"/>
        <v>209100</v>
      </c>
      <c r="K2092" s="288">
        <f t="shared" si="105"/>
        <v>211200</v>
      </c>
      <c r="L2092" s="288">
        <f t="shared" si="105"/>
        <v>244000</v>
      </c>
      <c r="M2092" s="288">
        <f t="shared" si="105"/>
        <v>278000</v>
      </c>
      <c r="N2092" s="288">
        <f t="shared" si="105"/>
        <v>333600</v>
      </c>
    </row>
    <row r="2093" spans="3:14" x14ac:dyDescent="0.25">
      <c r="D2093" s="16" t="s">
        <v>66</v>
      </c>
      <c r="E2093" s="288">
        <f>-SUMIF($B$1931:$B$1963,$D$2093,E1931:E1963)</f>
        <v>0</v>
      </c>
      <c r="F2093" s="288">
        <f t="shared" ref="F2093:N2093" si="106">-SUMIF($B$1931:$B$1963,$D$2093,F1931:F1963)</f>
        <v>0</v>
      </c>
      <c r="G2093" s="288">
        <f t="shared" si="106"/>
        <v>0</v>
      </c>
      <c r="H2093" s="288">
        <f t="shared" si="106"/>
        <v>0</v>
      </c>
      <c r="I2093" s="288">
        <f t="shared" si="106"/>
        <v>0</v>
      </c>
      <c r="J2093" s="288">
        <f t="shared" si="106"/>
        <v>0</v>
      </c>
      <c r="K2093" s="288">
        <f t="shared" si="106"/>
        <v>0</v>
      </c>
      <c r="L2093" s="288">
        <f t="shared" si="106"/>
        <v>0</v>
      </c>
      <c r="M2093" s="288">
        <f t="shared" si="106"/>
        <v>0</v>
      </c>
      <c r="N2093" s="288">
        <f t="shared" si="106"/>
        <v>0</v>
      </c>
    </row>
    <row r="2094" spans="3:14" x14ac:dyDescent="0.25">
      <c r="D2094" s="16" t="s">
        <v>3229</v>
      </c>
      <c r="E2094" s="288">
        <f>-SUMIF($B$1931:$B$1963,$D$2094,E1931:E1963)</f>
        <v>102500</v>
      </c>
      <c r="F2094" s="288">
        <f t="shared" ref="F2094:N2094" si="107">-SUMIF($B$1931:$B$1963,$D$2094,F1931:F1963)</f>
        <v>104600</v>
      </c>
      <c r="G2094" s="288">
        <f t="shared" si="107"/>
        <v>107200</v>
      </c>
      <c r="H2094" s="288">
        <f t="shared" si="107"/>
        <v>109900</v>
      </c>
      <c r="I2094" s="288">
        <f t="shared" si="107"/>
        <v>112600</v>
      </c>
      <c r="J2094" s="288">
        <f t="shared" si="107"/>
        <v>115400</v>
      </c>
      <c r="K2094" s="288">
        <f t="shared" si="107"/>
        <v>118300</v>
      </c>
      <c r="L2094" s="288">
        <f t="shared" si="107"/>
        <v>121300</v>
      </c>
      <c r="M2094" s="288">
        <f t="shared" si="107"/>
        <v>124300</v>
      </c>
      <c r="N2094" s="288">
        <f t="shared" si="107"/>
        <v>127400</v>
      </c>
    </row>
    <row r="2095" spans="3:14" x14ac:dyDescent="0.25">
      <c r="D2095" s="16" t="s">
        <v>3230</v>
      </c>
      <c r="E2095" s="288">
        <f>-SUMIF($B$1931:$B$1963,$D$2095,E1931:E1963)</f>
        <v>0</v>
      </c>
      <c r="F2095" s="288">
        <f t="shared" ref="F2095:N2095" si="108">-SUMIF($B$1931:$B$1963,$D$2095,F1931:F1963)</f>
        <v>0</v>
      </c>
      <c r="G2095" s="288">
        <f t="shared" si="108"/>
        <v>0</v>
      </c>
      <c r="H2095" s="288">
        <f t="shared" si="108"/>
        <v>0</v>
      </c>
      <c r="I2095" s="288">
        <f t="shared" si="108"/>
        <v>0</v>
      </c>
      <c r="J2095" s="288">
        <f t="shared" si="108"/>
        <v>0</v>
      </c>
      <c r="K2095" s="288">
        <f t="shared" si="108"/>
        <v>0</v>
      </c>
      <c r="L2095" s="288">
        <f t="shared" si="108"/>
        <v>0</v>
      </c>
      <c r="M2095" s="288">
        <f t="shared" si="108"/>
        <v>0</v>
      </c>
      <c r="N2095" s="288">
        <f t="shared" si="108"/>
        <v>0</v>
      </c>
    </row>
    <row r="2096" spans="3:14" x14ac:dyDescent="0.25">
      <c r="D2096" s="19" t="s">
        <v>3234</v>
      </c>
      <c r="E2096" s="291">
        <f t="shared" ref="E2096" si="109">SUM(E2090:E2095)</f>
        <v>9075400</v>
      </c>
      <c r="F2096" s="291">
        <f t="shared" ref="F2096" si="110">SUM(F2090:F2095)</f>
        <v>9001800</v>
      </c>
      <c r="G2096" s="291">
        <f t="shared" ref="G2096" si="111">SUM(G2090:G2095)</f>
        <v>8988100</v>
      </c>
      <c r="H2096" s="291">
        <f t="shared" ref="H2096" si="112">SUM(H2090:H2095)</f>
        <v>9036600</v>
      </c>
      <c r="I2096" s="291">
        <f t="shared" ref="I2096" si="113">SUM(I2090:I2095)</f>
        <v>9046700</v>
      </c>
      <c r="J2096" s="291">
        <f t="shared" ref="J2096" si="114">SUM(J2090:J2095)</f>
        <v>9064200</v>
      </c>
      <c r="K2096" s="291">
        <f t="shared" ref="K2096" si="115">SUM(K2090:K2095)</f>
        <v>9069500</v>
      </c>
      <c r="L2096" s="291">
        <f t="shared" ref="L2096" si="116">SUM(L2090:L2095)</f>
        <v>9105600</v>
      </c>
      <c r="M2096" s="291">
        <f t="shared" ref="M2096" si="117">SUM(M2090:M2095)</f>
        <v>9142800</v>
      </c>
      <c r="N2096" s="291">
        <f t="shared" ref="N2096" si="118">SUM(N2090:N2095)</f>
        <v>9201700</v>
      </c>
    </row>
    <row r="2097" spans="4:14" x14ac:dyDescent="0.25">
      <c r="E2097" s="288"/>
      <c r="F2097" s="288"/>
      <c r="G2097" s="288"/>
      <c r="H2097" s="288"/>
      <c r="I2097" s="288"/>
      <c r="J2097" s="288"/>
      <c r="K2097" s="288"/>
      <c r="L2097" s="288"/>
      <c r="M2097" s="288"/>
      <c r="N2097" s="288"/>
    </row>
    <row r="2098" spans="4:14" x14ac:dyDescent="0.25">
      <c r="D2098" s="16" t="s">
        <v>41</v>
      </c>
      <c r="E2098" s="288">
        <f t="shared" ref="E2098:N2098" si="119">SUMIF($B$1875:$B$1963,$D$2098,E1875:E1963)</f>
        <v>380600</v>
      </c>
      <c r="F2098" s="288">
        <f t="shared" si="119"/>
        <v>386300</v>
      </c>
      <c r="G2098" s="288">
        <f t="shared" si="119"/>
        <v>394100</v>
      </c>
      <c r="H2098" s="288">
        <f t="shared" si="119"/>
        <v>401900</v>
      </c>
      <c r="I2098" s="288">
        <f t="shared" si="119"/>
        <v>409900</v>
      </c>
      <c r="J2098" s="288">
        <f t="shared" si="119"/>
        <v>418100</v>
      </c>
      <c r="K2098" s="288">
        <f t="shared" si="119"/>
        <v>426500</v>
      </c>
      <c r="L2098" s="288">
        <f t="shared" si="119"/>
        <v>437200</v>
      </c>
      <c r="M2098" s="288">
        <f t="shared" si="119"/>
        <v>448100</v>
      </c>
      <c r="N2098" s="288">
        <f t="shared" si="119"/>
        <v>459400</v>
      </c>
    </row>
    <row r="2099" spans="4:14" x14ac:dyDescent="0.25">
      <c r="D2099" s="16" t="s">
        <v>42</v>
      </c>
      <c r="E2099" s="288">
        <f t="shared" ref="E2099:N2099" si="120">SUMIF($B$1875:$B$1963,$D$2099,E1875:E1963)</f>
        <v>0</v>
      </c>
      <c r="F2099" s="288">
        <f t="shared" si="120"/>
        <v>0</v>
      </c>
      <c r="G2099" s="288">
        <f t="shared" si="120"/>
        <v>0</v>
      </c>
      <c r="H2099" s="288">
        <f t="shared" si="120"/>
        <v>0</v>
      </c>
      <c r="I2099" s="288">
        <f t="shared" si="120"/>
        <v>0</v>
      </c>
      <c r="J2099" s="288">
        <f t="shared" si="120"/>
        <v>0</v>
      </c>
      <c r="K2099" s="288">
        <f t="shared" si="120"/>
        <v>0</v>
      </c>
      <c r="L2099" s="288">
        <f t="shared" si="120"/>
        <v>0</v>
      </c>
      <c r="M2099" s="288">
        <f t="shared" si="120"/>
        <v>0</v>
      </c>
      <c r="N2099" s="288">
        <f t="shared" si="120"/>
        <v>0</v>
      </c>
    </row>
    <row r="2100" spans="4:14" x14ac:dyDescent="0.25">
      <c r="D2100" s="16" t="s">
        <v>43</v>
      </c>
      <c r="E2100" s="288">
        <f t="shared" ref="E2100:N2100" si="121">SUMIF($B$1875:$B$1963,$D$2100,E1875:E1963)</f>
        <v>6800300</v>
      </c>
      <c r="F2100" s="288">
        <f t="shared" si="121"/>
        <v>6902200</v>
      </c>
      <c r="G2100" s="288">
        <f t="shared" si="121"/>
        <v>7040200</v>
      </c>
      <c r="H2100" s="288">
        <f t="shared" si="121"/>
        <v>7181000</v>
      </c>
      <c r="I2100" s="288">
        <f t="shared" si="121"/>
        <v>7324400</v>
      </c>
      <c r="J2100" s="288">
        <f t="shared" si="121"/>
        <v>7470800</v>
      </c>
      <c r="K2100" s="288">
        <f t="shared" si="121"/>
        <v>7620200</v>
      </c>
      <c r="L2100" s="288">
        <f t="shared" si="121"/>
        <v>7810800</v>
      </c>
      <c r="M2100" s="288">
        <f t="shared" si="121"/>
        <v>8006200</v>
      </c>
      <c r="N2100" s="288">
        <f t="shared" si="121"/>
        <v>8206400</v>
      </c>
    </row>
    <row r="2101" spans="4:14" x14ac:dyDescent="0.25">
      <c r="D2101" s="16" t="s">
        <v>3231</v>
      </c>
      <c r="E2101" s="288">
        <f t="shared" ref="E2101:N2101" si="122">SUMIF($B$1875:$B$1963,$D$2101,E1875:E1963)</f>
        <v>1169600</v>
      </c>
      <c r="F2101" s="288">
        <f t="shared" si="122"/>
        <v>1181300</v>
      </c>
      <c r="G2101" s="288">
        <f t="shared" si="122"/>
        <v>1193100</v>
      </c>
      <c r="H2101" s="288">
        <f t="shared" si="122"/>
        <v>1205000</v>
      </c>
      <c r="I2101" s="288">
        <f t="shared" si="122"/>
        <v>1217100</v>
      </c>
      <c r="J2101" s="288">
        <f t="shared" si="122"/>
        <v>1229300</v>
      </c>
      <c r="K2101" s="288">
        <f t="shared" si="122"/>
        <v>1241600</v>
      </c>
      <c r="L2101" s="288">
        <f t="shared" si="122"/>
        <v>1254000</v>
      </c>
      <c r="M2101" s="288">
        <f t="shared" si="122"/>
        <v>1266500</v>
      </c>
      <c r="N2101" s="288">
        <f t="shared" si="122"/>
        <v>1279200</v>
      </c>
    </row>
    <row r="2102" spans="4:14" x14ac:dyDescent="0.25">
      <c r="D2102" s="16" t="s">
        <v>45</v>
      </c>
      <c r="E2102" s="288">
        <f t="shared" ref="E2102:N2102" si="123">SUMIF($B$1875:$B$1963,$D$2102,E1875:E1963)</f>
        <v>10600</v>
      </c>
      <c r="F2102" s="288">
        <f t="shared" si="123"/>
        <v>10800</v>
      </c>
      <c r="G2102" s="288">
        <f t="shared" si="123"/>
        <v>11000</v>
      </c>
      <c r="H2102" s="288">
        <f t="shared" si="123"/>
        <v>11200</v>
      </c>
      <c r="I2102" s="288">
        <f t="shared" si="123"/>
        <v>11400</v>
      </c>
      <c r="J2102" s="288">
        <f t="shared" si="123"/>
        <v>11600</v>
      </c>
      <c r="K2102" s="288">
        <f t="shared" si="123"/>
        <v>11800</v>
      </c>
      <c r="L2102" s="288">
        <f t="shared" si="123"/>
        <v>12000</v>
      </c>
      <c r="M2102" s="288">
        <f t="shared" si="123"/>
        <v>12400</v>
      </c>
      <c r="N2102" s="288">
        <f t="shared" si="123"/>
        <v>12800</v>
      </c>
    </row>
    <row r="2103" spans="4:14" x14ac:dyDescent="0.25">
      <c r="D2103" s="19" t="s">
        <v>3234</v>
      </c>
      <c r="E2103" s="291">
        <f t="shared" ref="E2103" si="124">SUM(E2098:E2102)</f>
        <v>8361100</v>
      </c>
      <c r="F2103" s="291">
        <f t="shared" ref="F2103" si="125">SUM(F2098:F2102)</f>
        <v>8480600</v>
      </c>
      <c r="G2103" s="291">
        <f t="shared" ref="G2103" si="126">SUM(G2098:G2102)</f>
        <v>8638400</v>
      </c>
      <c r="H2103" s="291">
        <f t="shared" ref="H2103" si="127">SUM(H2098:H2102)</f>
        <v>8799100</v>
      </c>
      <c r="I2103" s="291">
        <f t="shared" ref="I2103" si="128">SUM(I2098:I2102)</f>
        <v>8962800</v>
      </c>
      <c r="J2103" s="291">
        <f t="shared" ref="J2103" si="129">SUM(J2098:J2102)</f>
        <v>9129800</v>
      </c>
      <c r="K2103" s="291">
        <f t="shared" ref="K2103" si="130">SUM(K2098:K2102)</f>
        <v>9300100</v>
      </c>
      <c r="L2103" s="291">
        <f t="shared" ref="L2103" si="131">SUM(L2098:L2102)</f>
        <v>9514000</v>
      </c>
      <c r="M2103" s="291">
        <f t="shared" ref="M2103" si="132">SUM(M2098:M2102)</f>
        <v>9733200</v>
      </c>
      <c r="N2103" s="291">
        <f t="shared" ref="N2103" si="133">SUM(N2098:N2102)</f>
        <v>9957800</v>
      </c>
    </row>
    <row r="2104" spans="4:14" x14ac:dyDescent="0.25">
      <c r="E2104" s="288"/>
      <c r="F2104" s="288"/>
      <c r="G2104" s="288"/>
      <c r="H2104" s="288"/>
      <c r="I2104" s="288"/>
      <c r="J2104" s="288"/>
      <c r="K2104" s="288"/>
      <c r="L2104" s="288"/>
      <c r="M2104" s="288"/>
      <c r="N2104" s="288"/>
    </row>
    <row r="2105" spans="4:14" x14ac:dyDescent="0.25">
      <c r="D2105" s="19" t="s">
        <v>3225</v>
      </c>
      <c r="E2105" s="288"/>
      <c r="F2105" s="288"/>
      <c r="G2105" s="288"/>
      <c r="H2105" s="288"/>
      <c r="I2105" s="288"/>
      <c r="J2105" s="288"/>
      <c r="K2105" s="288"/>
      <c r="L2105" s="288"/>
      <c r="M2105" s="288"/>
      <c r="N2105" s="288"/>
    </row>
    <row r="2106" spans="4:14" x14ac:dyDescent="0.25">
      <c r="D2106" s="16" t="s">
        <v>3227</v>
      </c>
      <c r="E2106" s="288">
        <f>-SUMIF($B$2040:$B$2070,$D$2106,E2040:E2070)</f>
        <v>10050700</v>
      </c>
      <c r="F2106" s="288">
        <f t="shared" ref="F2106:N2106" si="134">-SUMIF($B$2040:$B$2070,$D$2106,F2040:F2070)</f>
        <v>10049000</v>
      </c>
      <c r="G2106" s="288">
        <f t="shared" si="134"/>
        <v>10046800</v>
      </c>
      <c r="H2106" s="288">
        <f t="shared" si="134"/>
        <v>10044500</v>
      </c>
      <c r="I2106" s="288">
        <f t="shared" si="134"/>
        <v>10042200</v>
      </c>
      <c r="J2106" s="288">
        <f t="shared" si="134"/>
        <v>10039800</v>
      </c>
      <c r="K2106" s="288">
        <f t="shared" si="134"/>
        <v>10037400</v>
      </c>
      <c r="L2106" s="288">
        <f t="shared" si="134"/>
        <v>10034900</v>
      </c>
      <c r="M2106" s="288">
        <f t="shared" si="134"/>
        <v>10032400</v>
      </c>
      <c r="N2106" s="288">
        <f t="shared" si="134"/>
        <v>10029800</v>
      </c>
    </row>
    <row r="2107" spans="4:14" x14ac:dyDescent="0.25">
      <c r="D2107" s="16" t="s">
        <v>3228</v>
      </c>
      <c r="E2107" s="288">
        <f>-SUMIF($B$2040:$B$2070,$D$2107,E2040:E2070)</f>
        <v>5130200</v>
      </c>
      <c r="F2107" s="288">
        <f t="shared" ref="F2107:N2107" si="135">-SUMIF($B$2040:$B$2070,$D$2107,F2040:F2070)</f>
        <v>4699900</v>
      </c>
      <c r="G2107" s="288">
        <f t="shared" si="135"/>
        <v>4707300</v>
      </c>
      <c r="H2107" s="288">
        <f t="shared" si="135"/>
        <v>4714800</v>
      </c>
      <c r="I2107" s="288">
        <f t="shared" si="135"/>
        <v>4722500</v>
      </c>
      <c r="J2107" s="288">
        <f t="shared" si="135"/>
        <v>4730300</v>
      </c>
      <c r="K2107" s="288">
        <f t="shared" si="135"/>
        <v>4738400</v>
      </c>
      <c r="L2107" s="288">
        <f t="shared" si="135"/>
        <v>4746700</v>
      </c>
      <c r="M2107" s="288">
        <f t="shared" si="135"/>
        <v>4755100</v>
      </c>
      <c r="N2107" s="288">
        <f t="shared" si="135"/>
        <v>4763700</v>
      </c>
    </row>
    <row r="2108" spans="4:14" x14ac:dyDescent="0.25">
      <c r="D2108" s="16" t="s">
        <v>35</v>
      </c>
      <c r="E2108" s="288">
        <f>-SUMIF($B$2040:$B$2070,$D$2108,E2040:E2070)</f>
        <v>192900</v>
      </c>
      <c r="F2108" s="288">
        <f t="shared" ref="F2108:N2108" si="136">-SUMIF($B$2040:$B$2070,$D$2108,F2040:F2070)</f>
        <v>441700</v>
      </c>
      <c r="G2108" s="288">
        <f t="shared" si="136"/>
        <v>459800</v>
      </c>
      <c r="H2108" s="288">
        <f t="shared" si="136"/>
        <v>286300</v>
      </c>
      <c r="I2108" s="288">
        <f t="shared" si="136"/>
        <v>317400</v>
      </c>
      <c r="J2108" s="288">
        <f t="shared" si="136"/>
        <v>342400</v>
      </c>
      <c r="K2108" s="288">
        <f t="shared" si="136"/>
        <v>390800</v>
      </c>
      <c r="L2108" s="288">
        <f t="shared" si="136"/>
        <v>407400</v>
      </c>
      <c r="M2108" s="288">
        <f t="shared" si="136"/>
        <v>406900</v>
      </c>
      <c r="N2108" s="288">
        <f t="shared" si="136"/>
        <v>197700</v>
      </c>
    </row>
    <row r="2109" spans="4:14" x14ac:dyDescent="0.25">
      <c r="D2109" s="16" t="s">
        <v>66</v>
      </c>
      <c r="E2109" s="288">
        <f>-SUMIF($B$2040:$B$2070,$D$2109,E2040:E2070)</f>
        <v>0</v>
      </c>
      <c r="F2109" s="288">
        <f t="shared" ref="F2109:N2109" si="137">-SUMIF($B$2040:$B$2070,$D$2109,F2040:F2070)</f>
        <v>0</v>
      </c>
      <c r="G2109" s="288">
        <f t="shared" si="137"/>
        <v>0</v>
      </c>
      <c r="H2109" s="288">
        <f t="shared" si="137"/>
        <v>0</v>
      </c>
      <c r="I2109" s="288">
        <f t="shared" si="137"/>
        <v>0</v>
      </c>
      <c r="J2109" s="288">
        <f t="shared" si="137"/>
        <v>0</v>
      </c>
      <c r="K2109" s="288">
        <f t="shared" si="137"/>
        <v>0</v>
      </c>
      <c r="L2109" s="288">
        <f t="shared" si="137"/>
        <v>0</v>
      </c>
      <c r="M2109" s="288">
        <f t="shared" si="137"/>
        <v>0</v>
      </c>
      <c r="N2109" s="288">
        <f t="shared" si="137"/>
        <v>0</v>
      </c>
    </row>
    <row r="2110" spans="4:14" x14ac:dyDescent="0.25">
      <c r="D2110" s="16" t="s">
        <v>3229</v>
      </c>
      <c r="E2110" s="288">
        <f>-SUMIF($B$2040:$B$2070,$D$2110,E2040:E2070)</f>
        <v>100700</v>
      </c>
      <c r="F2110" s="288">
        <f t="shared" ref="F2110:N2110" si="138">-SUMIF($B$2040:$B$2070,$D$2110,F2040:F2070)</f>
        <v>102700</v>
      </c>
      <c r="G2110" s="288">
        <f t="shared" si="138"/>
        <v>105300</v>
      </c>
      <c r="H2110" s="288">
        <f t="shared" si="138"/>
        <v>107900</v>
      </c>
      <c r="I2110" s="288">
        <f t="shared" si="138"/>
        <v>110600</v>
      </c>
      <c r="J2110" s="288">
        <f t="shared" si="138"/>
        <v>113400</v>
      </c>
      <c r="K2110" s="288">
        <f t="shared" si="138"/>
        <v>116200</v>
      </c>
      <c r="L2110" s="288">
        <f t="shared" si="138"/>
        <v>119100</v>
      </c>
      <c r="M2110" s="288">
        <f t="shared" si="138"/>
        <v>122100</v>
      </c>
      <c r="N2110" s="288">
        <f t="shared" si="138"/>
        <v>125200</v>
      </c>
    </row>
    <row r="2111" spans="4:14" x14ac:dyDescent="0.25">
      <c r="D2111" s="16" t="s">
        <v>3230</v>
      </c>
      <c r="E2111" s="288">
        <f>-SUMIF($B$2040:$B$2070,$D$2111,E2040:E2070)</f>
        <v>0</v>
      </c>
      <c r="F2111" s="288">
        <f t="shared" ref="F2111:N2111" si="139">-SUMIF($B$2040:$B$2070,$D$2111,F2040:F2070)</f>
        <v>0</v>
      </c>
      <c r="G2111" s="288">
        <f t="shared" si="139"/>
        <v>0</v>
      </c>
      <c r="H2111" s="288">
        <f t="shared" si="139"/>
        <v>0</v>
      </c>
      <c r="I2111" s="288">
        <f t="shared" si="139"/>
        <v>0</v>
      </c>
      <c r="J2111" s="288">
        <f t="shared" si="139"/>
        <v>0</v>
      </c>
      <c r="K2111" s="288">
        <f t="shared" si="139"/>
        <v>0</v>
      </c>
      <c r="L2111" s="288">
        <f t="shared" si="139"/>
        <v>0</v>
      </c>
      <c r="M2111" s="288">
        <f t="shared" si="139"/>
        <v>0</v>
      </c>
      <c r="N2111" s="288">
        <f t="shared" si="139"/>
        <v>0</v>
      </c>
    </row>
    <row r="2112" spans="4:14" x14ac:dyDescent="0.25">
      <c r="D2112" s="19" t="s">
        <v>3234</v>
      </c>
      <c r="E2112" s="291">
        <f>SUM(E2106:E2111)</f>
        <v>15474500</v>
      </c>
      <c r="F2112" s="291">
        <f t="shared" ref="F2112:N2112" si="140">SUM(F2106:F2111)</f>
        <v>15293300</v>
      </c>
      <c r="G2112" s="291">
        <f t="shared" si="140"/>
        <v>15319200</v>
      </c>
      <c r="H2112" s="291">
        <f t="shared" si="140"/>
        <v>15153500</v>
      </c>
      <c r="I2112" s="291">
        <f t="shared" si="140"/>
        <v>15192700</v>
      </c>
      <c r="J2112" s="291">
        <f t="shared" si="140"/>
        <v>15225900</v>
      </c>
      <c r="K2112" s="291">
        <f t="shared" si="140"/>
        <v>15282800</v>
      </c>
      <c r="L2112" s="291">
        <f t="shared" si="140"/>
        <v>15308100</v>
      </c>
      <c r="M2112" s="291">
        <f t="shared" si="140"/>
        <v>15316500</v>
      </c>
      <c r="N2112" s="291">
        <f t="shared" si="140"/>
        <v>15116400</v>
      </c>
    </row>
    <row r="2113" spans="4:14" x14ac:dyDescent="0.25">
      <c r="E2113" s="288"/>
      <c r="F2113" s="288"/>
      <c r="G2113" s="288"/>
      <c r="H2113" s="288"/>
      <c r="I2113" s="288"/>
      <c r="J2113" s="288"/>
      <c r="K2113" s="288"/>
      <c r="L2113" s="288"/>
      <c r="M2113" s="288"/>
      <c r="N2113" s="288"/>
    </row>
    <row r="2114" spans="4:14" x14ac:dyDescent="0.25">
      <c r="D2114" s="16" t="s">
        <v>41</v>
      </c>
      <c r="E2114" s="288">
        <f>SUMIF($B$1968:$B$2070,$D$2114,E1968:E2070)</f>
        <v>397700</v>
      </c>
      <c r="F2114" s="288">
        <f t="shared" ref="F2114:N2114" si="141">SUMIF($B$1968:$B$2070,$D$2114,F1968:F2070)</f>
        <v>403600</v>
      </c>
      <c r="G2114" s="288">
        <f t="shared" si="141"/>
        <v>411800</v>
      </c>
      <c r="H2114" s="288">
        <f t="shared" si="141"/>
        <v>420000</v>
      </c>
      <c r="I2114" s="288">
        <f t="shared" si="141"/>
        <v>428400</v>
      </c>
      <c r="J2114" s="288">
        <f t="shared" si="141"/>
        <v>437000</v>
      </c>
      <c r="K2114" s="288">
        <f t="shared" si="141"/>
        <v>445800</v>
      </c>
      <c r="L2114" s="288">
        <f t="shared" si="141"/>
        <v>457000</v>
      </c>
      <c r="M2114" s="288">
        <f t="shared" si="141"/>
        <v>468400</v>
      </c>
      <c r="N2114" s="288">
        <f t="shared" si="141"/>
        <v>480200</v>
      </c>
    </row>
    <row r="2115" spans="4:14" x14ac:dyDescent="0.25">
      <c r="D2115" s="16" t="s">
        <v>42</v>
      </c>
      <c r="E2115" s="288">
        <f>SUMIF($B$1968:$B$2070,$D$2115,E1968:E2070)</f>
        <v>3530100</v>
      </c>
      <c r="F2115" s="288">
        <f t="shared" ref="F2115:N2115" si="142">SUMIF($B$1968:$B$2070,$D$2115,F1968:F2070)</f>
        <v>3365300</v>
      </c>
      <c r="G2115" s="288">
        <f t="shared" si="142"/>
        <v>3253100</v>
      </c>
      <c r="H2115" s="288">
        <f t="shared" si="142"/>
        <v>3143400</v>
      </c>
      <c r="I2115" s="288">
        <f t="shared" si="142"/>
        <v>2982300</v>
      </c>
      <c r="J2115" s="288">
        <f t="shared" si="142"/>
        <v>2865000</v>
      </c>
      <c r="K2115" s="288">
        <f t="shared" si="142"/>
        <v>2709200</v>
      </c>
      <c r="L2115" s="288">
        <f t="shared" si="142"/>
        <v>2546200</v>
      </c>
      <c r="M2115" s="288">
        <f t="shared" si="142"/>
        <v>2348100</v>
      </c>
      <c r="N2115" s="288">
        <f t="shared" si="142"/>
        <v>2184600</v>
      </c>
    </row>
    <row r="2116" spans="4:14" x14ac:dyDescent="0.25">
      <c r="D2116" s="16" t="s">
        <v>43</v>
      </c>
      <c r="E2116" s="288">
        <f>SUMIF($B$1968:$B$2070,$D$2116,E1968:E2070)</f>
        <v>7132800</v>
      </c>
      <c r="F2116" s="288">
        <f t="shared" ref="F2116:N2116" si="143">SUMIF($B$1968:$B$2070,$D$2116,F1968:F2070)</f>
        <v>7239800</v>
      </c>
      <c r="G2116" s="288">
        <f t="shared" si="143"/>
        <v>7384400</v>
      </c>
      <c r="H2116" s="288">
        <f t="shared" si="143"/>
        <v>7532100</v>
      </c>
      <c r="I2116" s="288">
        <f t="shared" si="143"/>
        <v>7682600</v>
      </c>
      <c r="J2116" s="288">
        <f t="shared" si="143"/>
        <v>7836200</v>
      </c>
      <c r="K2116" s="288">
        <f t="shared" si="143"/>
        <v>7993100</v>
      </c>
      <c r="L2116" s="288">
        <f t="shared" si="143"/>
        <v>8193100</v>
      </c>
      <c r="M2116" s="288">
        <f t="shared" si="143"/>
        <v>8398000</v>
      </c>
      <c r="N2116" s="288">
        <f t="shared" si="143"/>
        <v>8608100</v>
      </c>
    </row>
    <row r="2117" spans="4:14" x14ac:dyDescent="0.25">
      <c r="D2117" s="16" t="s">
        <v>3231</v>
      </c>
      <c r="E2117" s="288">
        <f>SUMIF($B$1968:$B$2070,$D$2117,E1968:E2070)</f>
        <v>3051900</v>
      </c>
      <c r="F2117" s="288">
        <f t="shared" ref="F2117:N2117" si="144">SUMIF($B$1968:$B$2070,$D$2117,F1968:F2070)</f>
        <v>3082400</v>
      </c>
      <c r="G2117" s="288">
        <f t="shared" si="144"/>
        <v>3113200</v>
      </c>
      <c r="H2117" s="288">
        <f t="shared" si="144"/>
        <v>3144300</v>
      </c>
      <c r="I2117" s="288">
        <f t="shared" si="144"/>
        <v>3175700</v>
      </c>
      <c r="J2117" s="288">
        <f t="shared" si="144"/>
        <v>3207500</v>
      </c>
      <c r="K2117" s="288">
        <f t="shared" si="144"/>
        <v>3239600</v>
      </c>
      <c r="L2117" s="288">
        <f t="shared" si="144"/>
        <v>3272000</v>
      </c>
      <c r="M2117" s="288">
        <f t="shared" si="144"/>
        <v>3304700</v>
      </c>
      <c r="N2117" s="288">
        <f t="shared" si="144"/>
        <v>3337700</v>
      </c>
    </row>
    <row r="2118" spans="4:14" x14ac:dyDescent="0.25">
      <c r="D2118" s="16" t="s">
        <v>45</v>
      </c>
      <c r="E2118" s="288">
        <f ca="1">SUMIF($B$2040:$B$2070,$D$2118,E2044:E2070)</f>
        <v>0</v>
      </c>
      <c r="F2118" s="288">
        <f t="shared" ref="F2118:N2118" ca="1" si="145">SUMIF($B$2040:$B$2070,$D$2118,F2044:F2070)</f>
        <v>0</v>
      </c>
      <c r="G2118" s="288">
        <f t="shared" ca="1" si="145"/>
        <v>0</v>
      </c>
      <c r="H2118" s="288">
        <f t="shared" ca="1" si="145"/>
        <v>0</v>
      </c>
      <c r="I2118" s="288">
        <f t="shared" ca="1" si="145"/>
        <v>0</v>
      </c>
      <c r="J2118" s="288">
        <f t="shared" ca="1" si="145"/>
        <v>0</v>
      </c>
      <c r="K2118" s="288">
        <f t="shared" ca="1" si="145"/>
        <v>0</v>
      </c>
      <c r="L2118" s="288">
        <f t="shared" ca="1" si="145"/>
        <v>0</v>
      </c>
      <c r="M2118" s="288">
        <f t="shared" ca="1" si="145"/>
        <v>0</v>
      </c>
      <c r="N2118" s="288">
        <f t="shared" ca="1" si="145"/>
        <v>0</v>
      </c>
    </row>
    <row r="2119" spans="4:14" x14ac:dyDescent="0.25">
      <c r="D2119" s="19" t="s">
        <v>3234</v>
      </c>
      <c r="E2119" s="291">
        <f t="shared" ref="E2119" ca="1" si="146">SUM(E2114:E2118)</f>
        <v>14112500</v>
      </c>
      <c r="F2119" s="291">
        <f t="shared" ref="F2119" ca="1" si="147">SUM(F2114:F2118)</f>
        <v>14091100</v>
      </c>
      <c r="G2119" s="291">
        <f t="shared" ref="G2119" ca="1" si="148">SUM(G2114:G2118)</f>
        <v>14162500</v>
      </c>
      <c r="H2119" s="291">
        <f t="shared" ref="H2119" ca="1" si="149">SUM(H2114:H2118)</f>
        <v>14239800</v>
      </c>
      <c r="I2119" s="291">
        <f t="shared" ref="I2119" ca="1" si="150">SUM(I2114:I2118)</f>
        <v>14269000</v>
      </c>
      <c r="J2119" s="291">
        <f t="shared" ref="J2119" ca="1" si="151">SUM(J2114:J2118)</f>
        <v>14345700</v>
      </c>
      <c r="K2119" s="291">
        <f t="shared" ref="K2119" ca="1" si="152">SUM(K2114:K2118)</f>
        <v>14387700</v>
      </c>
      <c r="L2119" s="291">
        <f t="shared" ref="L2119" ca="1" si="153">SUM(L2114:L2118)</f>
        <v>14468300</v>
      </c>
      <c r="M2119" s="291">
        <f t="shared" ref="M2119" ca="1" si="154">SUM(M2114:M2118)</f>
        <v>14519200</v>
      </c>
      <c r="N2119" s="291">
        <f t="shared" ref="N2119" ca="1" si="155">SUM(N2114:N2118)</f>
        <v>14610600</v>
      </c>
    </row>
    <row r="2120" spans="4:14" x14ac:dyDescent="0.25">
      <c r="E2120" s="288"/>
      <c r="F2120" s="288"/>
      <c r="G2120" s="288"/>
      <c r="H2120" s="288"/>
      <c r="I2120" s="288"/>
      <c r="J2120" s="288"/>
      <c r="K2120" s="288"/>
      <c r="L2120" s="288"/>
      <c r="M2120" s="288"/>
      <c r="N2120" s="288"/>
    </row>
    <row r="2121" spans="4:14" x14ac:dyDescent="0.25">
      <c r="D2121" s="19" t="s">
        <v>3232</v>
      </c>
      <c r="E2121" s="288"/>
      <c r="F2121" s="288"/>
      <c r="G2121" s="288"/>
      <c r="H2121" s="288"/>
      <c r="I2121" s="288"/>
      <c r="J2121" s="288"/>
      <c r="K2121" s="288"/>
      <c r="L2121" s="288"/>
      <c r="M2121" s="288"/>
      <c r="N2121" s="288"/>
    </row>
    <row r="2122" spans="4:14" x14ac:dyDescent="0.25">
      <c r="D2122" s="16" t="s">
        <v>3227</v>
      </c>
      <c r="E2122" s="288">
        <f>E2074-E2090-E2106</f>
        <v>24944200</v>
      </c>
      <c r="F2122" s="288">
        <f t="shared" ref="F2122:N2122" si="156">F2074-F2090-F2106</f>
        <v>26409400</v>
      </c>
      <c r="G2122" s="288">
        <f t="shared" si="156"/>
        <v>28100600</v>
      </c>
      <c r="H2122" s="288">
        <f t="shared" si="156"/>
        <v>29911900</v>
      </c>
      <c r="I2122" s="288">
        <f t="shared" si="156"/>
        <v>31852000</v>
      </c>
      <c r="J2122" s="288">
        <f t="shared" si="156"/>
        <v>32640700</v>
      </c>
      <c r="K2122" s="288">
        <f t="shared" si="156"/>
        <v>33449500</v>
      </c>
      <c r="L2122" s="288">
        <f t="shared" si="156"/>
        <v>34278500</v>
      </c>
      <c r="M2122" s="288">
        <f t="shared" si="156"/>
        <v>35128400</v>
      </c>
      <c r="N2122" s="288">
        <f t="shared" si="156"/>
        <v>35999400</v>
      </c>
    </row>
    <row r="2123" spans="4:14" x14ac:dyDescent="0.25">
      <c r="D2123" s="16" t="s">
        <v>3228</v>
      </c>
      <c r="E2123" s="288">
        <f t="shared" ref="E2123" si="157">E2075-E2091-E2107</f>
        <v>15502200</v>
      </c>
      <c r="F2123" s="288">
        <f t="shared" ref="F2123:N2123" si="158">F2075-F2091-F2107</f>
        <v>15954400</v>
      </c>
      <c r="G2123" s="288">
        <f t="shared" si="158"/>
        <v>16228100</v>
      </c>
      <c r="H2123" s="288">
        <f t="shared" si="158"/>
        <v>16508300</v>
      </c>
      <c r="I2123" s="288">
        <f t="shared" si="158"/>
        <v>16895200</v>
      </c>
      <c r="J2123" s="288">
        <f t="shared" si="158"/>
        <v>17189100</v>
      </c>
      <c r="K2123" s="288">
        <f t="shared" si="158"/>
        <v>17490100</v>
      </c>
      <c r="L2123" s="288">
        <f t="shared" si="158"/>
        <v>17798900</v>
      </c>
      <c r="M2123" s="288">
        <f t="shared" si="158"/>
        <v>18114900</v>
      </c>
      <c r="N2123" s="288">
        <f t="shared" si="158"/>
        <v>18438900</v>
      </c>
    </row>
    <row r="2124" spans="4:14" x14ac:dyDescent="0.25">
      <c r="D2124" s="16" t="s">
        <v>35</v>
      </c>
      <c r="E2124" s="288">
        <f t="shared" ref="E2124" si="159">E2076-E2092-E2108</f>
        <v>1373500</v>
      </c>
      <c r="F2124" s="288">
        <f t="shared" ref="F2124:N2124" si="160">F2076-F2092-F2108</f>
        <v>1216900</v>
      </c>
      <c r="G2124" s="288">
        <f t="shared" si="160"/>
        <v>1197600</v>
      </c>
      <c r="H2124" s="288">
        <f t="shared" si="160"/>
        <v>1320400</v>
      </c>
      <c r="I2124" s="288">
        <f t="shared" si="160"/>
        <v>1362400</v>
      </c>
      <c r="J2124" s="288">
        <f t="shared" si="160"/>
        <v>1449500</v>
      </c>
      <c r="K2124" s="288">
        <f t="shared" si="160"/>
        <v>1590400</v>
      </c>
      <c r="L2124" s="288">
        <f t="shared" si="160"/>
        <v>1748400</v>
      </c>
      <c r="M2124" s="288">
        <f t="shared" si="160"/>
        <v>1935200</v>
      </c>
      <c r="N2124" s="288">
        <f t="shared" si="160"/>
        <v>2275100</v>
      </c>
    </row>
    <row r="2125" spans="4:14" x14ac:dyDescent="0.25">
      <c r="D2125" s="16" t="s">
        <v>66</v>
      </c>
      <c r="E2125" s="288">
        <f t="shared" ref="E2125" si="161">E2077-E2093-E2109</f>
        <v>1312800</v>
      </c>
      <c r="F2125" s="288">
        <f t="shared" ref="F2125:N2125" si="162">F2077-F2093-F2109</f>
        <v>1320300</v>
      </c>
      <c r="G2125" s="288">
        <f t="shared" si="162"/>
        <v>1300000</v>
      </c>
      <c r="H2125" s="288">
        <f t="shared" si="162"/>
        <v>1300000</v>
      </c>
      <c r="I2125" s="288">
        <f t="shared" si="162"/>
        <v>1300000</v>
      </c>
      <c r="J2125" s="288">
        <f t="shared" si="162"/>
        <v>1300000</v>
      </c>
      <c r="K2125" s="288">
        <f t="shared" si="162"/>
        <v>1300000</v>
      </c>
      <c r="L2125" s="288">
        <f t="shared" si="162"/>
        <v>1300000</v>
      </c>
      <c r="M2125" s="288">
        <f t="shared" si="162"/>
        <v>1300000</v>
      </c>
      <c r="N2125" s="288">
        <f t="shared" si="162"/>
        <v>1300000</v>
      </c>
    </row>
    <row r="2126" spans="4:14" x14ac:dyDescent="0.25">
      <c r="D2126" s="16" t="s">
        <v>3229</v>
      </c>
      <c r="E2126" s="288">
        <f t="shared" ref="E2126" si="163">E2078-E2094-E2110</f>
        <v>5811200</v>
      </c>
      <c r="F2126" s="288">
        <f t="shared" ref="F2126:N2126" si="164">F2078-F2094-F2110</f>
        <v>6307700</v>
      </c>
      <c r="G2126" s="288">
        <f t="shared" si="164"/>
        <v>5162200</v>
      </c>
      <c r="H2126" s="288">
        <f t="shared" si="164"/>
        <v>5780400</v>
      </c>
      <c r="I2126" s="288">
        <f t="shared" si="164"/>
        <v>5622000</v>
      </c>
      <c r="J2126" s="288">
        <f t="shared" si="164"/>
        <v>5862300</v>
      </c>
      <c r="K2126" s="288">
        <f t="shared" si="164"/>
        <v>5625100</v>
      </c>
      <c r="L2126" s="288">
        <f t="shared" si="164"/>
        <v>5740200</v>
      </c>
      <c r="M2126" s="288">
        <f t="shared" si="164"/>
        <v>5857900</v>
      </c>
      <c r="N2126" s="288">
        <f t="shared" si="164"/>
        <v>5978400</v>
      </c>
    </row>
    <row r="2127" spans="4:14" x14ac:dyDescent="0.25">
      <c r="D2127" s="16" t="s">
        <v>3230</v>
      </c>
      <c r="E2127" s="288">
        <f t="shared" ref="E2127" si="165">E2079-E2095-E2111</f>
        <v>0</v>
      </c>
      <c r="F2127" s="288">
        <f t="shared" ref="F2127:N2127" si="166">F2079-F2095-F2111</f>
        <v>0</v>
      </c>
      <c r="G2127" s="288">
        <f t="shared" si="166"/>
        <v>0</v>
      </c>
      <c r="H2127" s="288">
        <f t="shared" si="166"/>
        <v>0</v>
      </c>
      <c r="I2127" s="288">
        <f t="shared" si="166"/>
        <v>0</v>
      </c>
      <c r="J2127" s="288">
        <f t="shared" si="166"/>
        <v>0</v>
      </c>
      <c r="K2127" s="288">
        <f t="shared" si="166"/>
        <v>0</v>
      </c>
      <c r="L2127" s="288">
        <f t="shared" si="166"/>
        <v>0</v>
      </c>
      <c r="M2127" s="288">
        <f t="shared" si="166"/>
        <v>0</v>
      </c>
      <c r="N2127" s="288">
        <f t="shared" si="166"/>
        <v>0</v>
      </c>
    </row>
    <row r="2128" spans="4:14" x14ac:dyDescent="0.25">
      <c r="D2128" s="19" t="s">
        <v>3234</v>
      </c>
      <c r="E2128" s="291">
        <f t="shared" ref="E2128" si="167">SUM(E2122:E2127)</f>
        <v>48943900</v>
      </c>
      <c r="F2128" s="291">
        <f t="shared" ref="F2128" si="168">SUM(F2122:F2127)</f>
        <v>51208700</v>
      </c>
      <c r="G2128" s="291">
        <f t="shared" ref="G2128" si="169">SUM(G2122:G2127)</f>
        <v>51988500</v>
      </c>
      <c r="H2128" s="291">
        <f t="shared" ref="H2128" si="170">SUM(H2122:H2127)</f>
        <v>54821000</v>
      </c>
      <c r="I2128" s="291">
        <f t="shared" ref="I2128" si="171">SUM(I2122:I2127)</f>
        <v>57031600</v>
      </c>
      <c r="J2128" s="291">
        <f t="shared" ref="J2128" si="172">SUM(J2122:J2127)</f>
        <v>58441600</v>
      </c>
      <c r="K2128" s="291">
        <f t="shared" ref="K2128" si="173">SUM(K2122:K2127)</f>
        <v>59455100</v>
      </c>
      <c r="L2128" s="291">
        <f t="shared" ref="L2128" si="174">SUM(L2122:L2127)</f>
        <v>60866000</v>
      </c>
      <c r="M2128" s="291">
        <f t="shared" ref="M2128" si="175">SUM(M2122:M2127)</f>
        <v>62336400</v>
      </c>
      <c r="N2128" s="291">
        <f t="shared" ref="N2128" si="176">SUM(N2122:N2127)</f>
        <v>63991800</v>
      </c>
    </row>
    <row r="2129" spans="4:14" x14ac:dyDescent="0.25">
      <c r="E2129" s="288"/>
      <c r="F2129" s="288"/>
      <c r="G2129" s="288"/>
      <c r="H2129" s="288"/>
      <c r="I2129" s="288"/>
      <c r="J2129" s="288"/>
      <c r="K2129" s="288"/>
      <c r="L2129" s="288"/>
      <c r="M2129" s="288"/>
      <c r="N2129" s="288"/>
    </row>
    <row r="2130" spans="4:14" x14ac:dyDescent="0.25">
      <c r="D2130" s="16" t="s">
        <v>41</v>
      </c>
      <c r="E2130" s="288">
        <f t="shared" ref="E2130" si="177">E2082-E2098-E2114</f>
        <v>15314900</v>
      </c>
      <c r="F2130" s="288">
        <f t="shared" ref="F2130:N2130" si="178">F2082-F2098-F2114</f>
        <v>15548100</v>
      </c>
      <c r="G2130" s="288">
        <f t="shared" si="178"/>
        <v>15858600</v>
      </c>
      <c r="H2130" s="288">
        <f t="shared" si="178"/>
        <v>16175600</v>
      </c>
      <c r="I2130" s="288">
        <f t="shared" si="178"/>
        <v>16498800</v>
      </c>
      <c r="J2130" s="288">
        <f t="shared" si="178"/>
        <v>16828500</v>
      </c>
      <c r="K2130" s="288">
        <f t="shared" si="178"/>
        <v>17164600</v>
      </c>
      <c r="L2130" s="288">
        <f t="shared" si="178"/>
        <v>17590000</v>
      </c>
      <c r="M2130" s="288">
        <f t="shared" si="178"/>
        <v>18026200</v>
      </c>
      <c r="N2130" s="288">
        <f t="shared" si="178"/>
        <v>18472900</v>
      </c>
    </row>
    <row r="2131" spans="4:14" x14ac:dyDescent="0.25">
      <c r="D2131" s="16" t="s">
        <v>42</v>
      </c>
      <c r="E2131" s="288">
        <f t="shared" ref="E2131" si="179">E2083-E2099-E2115</f>
        <v>1041800</v>
      </c>
      <c r="F2131" s="288">
        <f t="shared" ref="F2131:N2131" si="180">F2083-F2099-F2115</f>
        <v>1074000</v>
      </c>
      <c r="G2131" s="288">
        <f t="shared" si="180"/>
        <v>1111100</v>
      </c>
      <c r="H2131" s="288">
        <f t="shared" si="180"/>
        <v>1146300</v>
      </c>
      <c r="I2131" s="288">
        <f t="shared" si="180"/>
        <v>1082200</v>
      </c>
      <c r="J2131" s="288">
        <f t="shared" si="180"/>
        <v>1014600</v>
      </c>
      <c r="K2131" s="288">
        <f t="shared" si="180"/>
        <v>847700</v>
      </c>
      <c r="L2131" s="288">
        <f t="shared" si="180"/>
        <v>783400</v>
      </c>
      <c r="M2131" s="288">
        <f t="shared" si="180"/>
        <v>724500</v>
      </c>
      <c r="N2131" s="288">
        <f t="shared" si="180"/>
        <v>669200</v>
      </c>
    </row>
    <row r="2132" spans="4:14" x14ac:dyDescent="0.25">
      <c r="D2132" s="16" t="s">
        <v>43</v>
      </c>
      <c r="E2132" s="288">
        <f t="shared" ref="E2132" si="181">E2084-E2100-E2116</f>
        <v>20674400</v>
      </c>
      <c r="F2132" s="288">
        <f t="shared" ref="F2132:N2132" si="182">F2084-F2100-F2116</f>
        <v>20346700</v>
      </c>
      <c r="G2132" s="288">
        <f t="shared" si="182"/>
        <v>20932700</v>
      </c>
      <c r="H2132" s="288">
        <f t="shared" si="182"/>
        <v>21579600</v>
      </c>
      <c r="I2132" s="288">
        <f t="shared" si="182"/>
        <v>22410400</v>
      </c>
      <c r="J2132" s="288">
        <f t="shared" si="182"/>
        <v>22871800</v>
      </c>
      <c r="K2132" s="288">
        <f t="shared" si="182"/>
        <v>23342700</v>
      </c>
      <c r="L2132" s="288">
        <f t="shared" si="182"/>
        <v>23935300</v>
      </c>
      <c r="M2132" s="288">
        <f t="shared" si="182"/>
        <v>24544400</v>
      </c>
      <c r="N2132" s="288">
        <f t="shared" si="182"/>
        <v>25164500</v>
      </c>
    </row>
    <row r="2133" spans="4:14" x14ac:dyDescent="0.25">
      <c r="D2133" s="16" t="s">
        <v>3231</v>
      </c>
      <c r="E2133" s="288">
        <f t="shared" ref="E2133" si="183">E2085-E2101-E2117</f>
        <v>8293600</v>
      </c>
      <c r="F2133" s="288">
        <f t="shared" ref="F2133:N2133" si="184">F2085-F2101-F2117</f>
        <v>8376500</v>
      </c>
      <c r="G2133" s="288">
        <f t="shared" si="184"/>
        <v>8460500</v>
      </c>
      <c r="H2133" s="288">
        <f t="shared" si="184"/>
        <v>8545300</v>
      </c>
      <c r="I2133" s="288">
        <f t="shared" si="184"/>
        <v>8630700</v>
      </c>
      <c r="J2133" s="288">
        <f t="shared" si="184"/>
        <v>8716700</v>
      </c>
      <c r="K2133" s="288">
        <f t="shared" si="184"/>
        <v>8803700</v>
      </c>
      <c r="L2133" s="288">
        <f t="shared" si="184"/>
        <v>8891600</v>
      </c>
      <c r="M2133" s="288">
        <f t="shared" si="184"/>
        <v>8980000</v>
      </c>
      <c r="N2133" s="288">
        <f t="shared" si="184"/>
        <v>9069800</v>
      </c>
    </row>
    <row r="2134" spans="4:14" x14ac:dyDescent="0.25">
      <c r="D2134" s="16" t="s">
        <v>45</v>
      </c>
      <c r="E2134" s="288">
        <f t="shared" ref="E2134" ca="1" si="185">E2086-E2102-E2118</f>
        <v>4914500</v>
      </c>
      <c r="F2134" s="288">
        <f t="shared" ref="F2134:N2134" ca="1" si="186">F2086-F2102-F2118</f>
        <v>4770300</v>
      </c>
      <c r="G2134" s="288">
        <f t="shared" ca="1" si="186"/>
        <v>4865000</v>
      </c>
      <c r="H2134" s="288">
        <f t="shared" ca="1" si="186"/>
        <v>5211900</v>
      </c>
      <c r="I2134" s="288">
        <f t="shared" ca="1" si="186"/>
        <v>5060600</v>
      </c>
      <c r="J2134" s="288">
        <f t="shared" ca="1" si="186"/>
        <v>5160800</v>
      </c>
      <c r="K2134" s="288">
        <f t="shared" ca="1" si="186"/>
        <v>5263000</v>
      </c>
      <c r="L2134" s="288">
        <f t="shared" ca="1" si="186"/>
        <v>5694500</v>
      </c>
      <c r="M2134" s="288">
        <f t="shared" ca="1" si="186"/>
        <v>5529100</v>
      </c>
      <c r="N2134" s="288">
        <f t="shared" ca="1" si="186"/>
        <v>5666900</v>
      </c>
    </row>
    <row r="2135" spans="4:14" x14ac:dyDescent="0.25">
      <c r="D2135" s="19" t="s">
        <v>3234</v>
      </c>
      <c r="E2135" s="291">
        <f t="shared" ref="E2135" ca="1" si="187">SUM(E2130:E2134)</f>
        <v>50239200</v>
      </c>
      <c r="F2135" s="291">
        <f t="shared" ref="F2135" ca="1" si="188">SUM(F2130:F2134)</f>
        <v>50115600</v>
      </c>
      <c r="G2135" s="291">
        <f t="shared" ref="G2135" ca="1" si="189">SUM(G2130:G2134)</f>
        <v>51227900</v>
      </c>
      <c r="H2135" s="291">
        <f t="shared" ref="H2135" ca="1" si="190">SUM(H2130:H2134)</f>
        <v>52658700</v>
      </c>
      <c r="I2135" s="291">
        <f t="shared" ref="I2135" ca="1" si="191">SUM(I2130:I2134)</f>
        <v>53682700</v>
      </c>
      <c r="J2135" s="291">
        <f t="shared" ref="J2135" ca="1" si="192">SUM(J2130:J2134)</f>
        <v>54592400</v>
      </c>
      <c r="K2135" s="291">
        <f t="shared" ref="K2135" ca="1" si="193">SUM(K2130:K2134)</f>
        <v>55421700</v>
      </c>
      <c r="L2135" s="291">
        <f t="shared" ref="L2135" ca="1" si="194">SUM(L2130:L2134)</f>
        <v>56894800</v>
      </c>
      <c r="M2135" s="291">
        <f t="shared" ref="M2135" ca="1" si="195">SUM(M2130:M2134)</f>
        <v>57804200</v>
      </c>
      <c r="N2135" s="291">
        <f t="shared" ref="N2135" ca="1" si="196">SUM(N2130:N2134)</f>
        <v>59043300</v>
      </c>
    </row>
    <row r="2136" spans="4:14" x14ac:dyDescent="0.25">
      <c r="E2136" s="288"/>
      <c r="F2136" s="288"/>
      <c r="G2136" s="288"/>
      <c r="H2136" s="288"/>
      <c r="I2136" s="288"/>
      <c r="J2136" s="288"/>
      <c r="K2136" s="288"/>
      <c r="L2136" s="288"/>
      <c r="M2136" s="288"/>
      <c r="N2136" s="288"/>
    </row>
    <row r="2137" spans="4:14" x14ac:dyDescent="0.25">
      <c r="E2137" s="288"/>
      <c r="F2137" s="288"/>
      <c r="G2137" s="288"/>
      <c r="H2137" s="288"/>
      <c r="I2137" s="288"/>
      <c r="J2137" s="288"/>
      <c r="K2137" s="288"/>
      <c r="L2137" s="288"/>
      <c r="M2137" s="288"/>
      <c r="N2137" s="288"/>
    </row>
    <row r="2138" spans="4:14" x14ac:dyDescent="0.25">
      <c r="E2138" s="288"/>
      <c r="F2138" s="288"/>
      <c r="G2138" s="288"/>
      <c r="H2138" s="288"/>
      <c r="I2138" s="288"/>
      <c r="J2138" s="288"/>
      <c r="K2138" s="288"/>
      <c r="L2138" s="288"/>
      <c r="M2138" s="288"/>
      <c r="N2138" s="288"/>
    </row>
    <row r="2139" spans="4:14" x14ac:dyDescent="0.25">
      <c r="E2139" s="288"/>
      <c r="F2139" s="288"/>
      <c r="G2139" s="288"/>
      <c r="H2139" s="288"/>
      <c r="I2139" s="288"/>
      <c r="J2139" s="288"/>
      <c r="K2139" s="288"/>
      <c r="L2139" s="288"/>
      <c r="M2139" s="288"/>
      <c r="N2139" s="288"/>
    </row>
    <row r="2140" spans="4:14" x14ac:dyDescent="0.25">
      <c r="E2140" s="288"/>
      <c r="F2140" s="288"/>
      <c r="G2140" s="288"/>
      <c r="H2140" s="288"/>
      <c r="I2140" s="288"/>
      <c r="J2140" s="288"/>
      <c r="K2140" s="288"/>
      <c r="L2140" s="288"/>
      <c r="M2140" s="288"/>
      <c r="N2140" s="288"/>
    </row>
    <row r="2141" spans="4:14" x14ac:dyDescent="0.25">
      <c r="E2141" s="288"/>
      <c r="F2141" s="288"/>
      <c r="G2141" s="288"/>
      <c r="H2141" s="288"/>
      <c r="I2141" s="288"/>
      <c r="J2141" s="288"/>
      <c r="K2141" s="288"/>
      <c r="L2141" s="288"/>
      <c r="M2141" s="288"/>
      <c r="N2141" s="288"/>
    </row>
    <row r="2142" spans="4:14" x14ac:dyDescent="0.25">
      <c r="E2142" s="288"/>
      <c r="F2142" s="288"/>
      <c r="G2142" s="288"/>
      <c r="H2142" s="288"/>
      <c r="I2142" s="288"/>
      <c r="J2142" s="288"/>
      <c r="K2142" s="288"/>
      <c r="L2142" s="288"/>
      <c r="M2142" s="288"/>
      <c r="N2142" s="288"/>
    </row>
    <row r="2143" spans="4:14" x14ac:dyDescent="0.25">
      <c r="E2143" s="288"/>
      <c r="F2143" s="288"/>
      <c r="G2143" s="288"/>
      <c r="H2143" s="288"/>
      <c r="I2143" s="288"/>
      <c r="J2143" s="288"/>
      <c r="K2143" s="288"/>
      <c r="L2143" s="288"/>
      <c r="M2143" s="288"/>
      <c r="N2143" s="288"/>
    </row>
    <row r="2144" spans="4:14" x14ac:dyDescent="0.25">
      <c r="E2144" s="288"/>
      <c r="F2144" s="288"/>
      <c r="G2144" s="288"/>
      <c r="H2144" s="288"/>
      <c r="I2144" s="288"/>
      <c r="J2144" s="288"/>
      <c r="K2144" s="288"/>
      <c r="L2144" s="288"/>
      <c r="M2144" s="288"/>
      <c r="N2144" s="288"/>
    </row>
    <row r="2145" spans="5:14" x14ac:dyDescent="0.25">
      <c r="E2145" s="288"/>
      <c r="F2145" s="288"/>
      <c r="G2145" s="288"/>
      <c r="H2145" s="288"/>
      <c r="I2145" s="288"/>
      <c r="J2145" s="288"/>
      <c r="K2145" s="288"/>
      <c r="L2145" s="288"/>
      <c r="M2145" s="288"/>
      <c r="N2145" s="288"/>
    </row>
    <row r="2146" spans="5:14" x14ac:dyDescent="0.25">
      <c r="E2146" s="288"/>
      <c r="F2146" s="288"/>
      <c r="G2146" s="288"/>
      <c r="H2146" s="288"/>
      <c r="I2146" s="288"/>
      <c r="J2146" s="288"/>
      <c r="K2146" s="288"/>
      <c r="L2146" s="288"/>
      <c r="M2146" s="288"/>
      <c r="N2146" s="288"/>
    </row>
    <row r="2147" spans="5:14" x14ac:dyDescent="0.25">
      <c r="E2147" s="288"/>
      <c r="F2147" s="288"/>
      <c r="G2147" s="288"/>
      <c r="H2147" s="288"/>
      <c r="I2147" s="288"/>
      <c r="J2147" s="288"/>
      <c r="K2147" s="288"/>
      <c r="L2147" s="288"/>
      <c r="M2147" s="288"/>
      <c r="N2147" s="288"/>
    </row>
    <row r="2148" spans="5:14" x14ac:dyDescent="0.25">
      <c r="E2148" s="288"/>
      <c r="F2148" s="288"/>
      <c r="G2148" s="288"/>
      <c r="H2148" s="288"/>
      <c r="I2148" s="288"/>
      <c r="J2148" s="288"/>
      <c r="K2148" s="288"/>
      <c r="L2148" s="288"/>
      <c r="M2148" s="288"/>
      <c r="N2148" s="288"/>
    </row>
    <row r="2149" spans="5:14" x14ac:dyDescent="0.25">
      <c r="E2149" s="288"/>
      <c r="F2149" s="288"/>
      <c r="G2149" s="288"/>
      <c r="H2149" s="288"/>
      <c r="I2149" s="288"/>
      <c r="J2149" s="288"/>
      <c r="K2149" s="288"/>
      <c r="L2149" s="288"/>
      <c r="M2149" s="288"/>
      <c r="N2149" s="288"/>
    </row>
    <row r="2150" spans="5:14" x14ac:dyDescent="0.25">
      <c r="E2150" s="288"/>
      <c r="F2150" s="288"/>
      <c r="G2150" s="288"/>
      <c r="H2150" s="288"/>
      <c r="I2150" s="288"/>
      <c r="J2150" s="288"/>
      <c r="K2150" s="288"/>
      <c r="L2150" s="288"/>
      <c r="M2150" s="288"/>
      <c r="N2150" s="288"/>
    </row>
    <row r="2151" spans="5:14" x14ac:dyDescent="0.25">
      <c r="E2151" s="288"/>
      <c r="F2151" s="288"/>
      <c r="G2151" s="288"/>
      <c r="H2151" s="288"/>
      <c r="I2151" s="288"/>
      <c r="J2151" s="288"/>
      <c r="K2151" s="288"/>
      <c r="L2151" s="288"/>
      <c r="M2151" s="288"/>
      <c r="N2151" s="288"/>
    </row>
    <row r="2152" spans="5:14" x14ac:dyDescent="0.25">
      <c r="E2152" s="288"/>
      <c r="F2152" s="288"/>
      <c r="G2152" s="288"/>
      <c r="H2152" s="288"/>
      <c r="I2152" s="288"/>
      <c r="J2152" s="288"/>
      <c r="K2152" s="288"/>
      <c r="L2152" s="288"/>
      <c r="M2152" s="288"/>
      <c r="N2152" s="288"/>
    </row>
    <row r="2153" spans="5:14" x14ac:dyDescent="0.25">
      <c r="E2153" s="288"/>
      <c r="F2153" s="288"/>
      <c r="G2153" s="288"/>
      <c r="H2153" s="288"/>
      <c r="I2153" s="288"/>
      <c r="J2153" s="288"/>
      <c r="K2153" s="288"/>
      <c r="L2153" s="288"/>
      <c r="M2153" s="288"/>
      <c r="N2153" s="288"/>
    </row>
    <row r="2154" spans="5:14" x14ac:dyDescent="0.25">
      <c r="E2154" s="288"/>
      <c r="F2154" s="288"/>
      <c r="G2154" s="288"/>
      <c r="H2154" s="288"/>
      <c r="I2154" s="288"/>
      <c r="J2154" s="288"/>
      <c r="K2154" s="288"/>
      <c r="L2154" s="288"/>
      <c r="M2154" s="288"/>
      <c r="N2154" s="288"/>
    </row>
    <row r="2155" spans="5:14" x14ac:dyDescent="0.25">
      <c r="E2155" s="288"/>
      <c r="F2155" s="288"/>
      <c r="G2155" s="288"/>
      <c r="H2155" s="288"/>
      <c r="I2155" s="288"/>
      <c r="J2155" s="288"/>
      <c r="K2155" s="288"/>
      <c r="L2155" s="288"/>
      <c r="M2155" s="288"/>
      <c r="N2155" s="288"/>
    </row>
    <row r="2156" spans="5:14" x14ac:dyDescent="0.25">
      <c r="E2156" s="288"/>
      <c r="F2156" s="288"/>
      <c r="G2156" s="288"/>
      <c r="H2156" s="288"/>
      <c r="I2156" s="288"/>
      <c r="J2156" s="288"/>
      <c r="K2156" s="288"/>
      <c r="L2156" s="288"/>
      <c r="M2156" s="288"/>
      <c r="N2156" s="288"/>
    </row>
    <row r="2157" spans="5:14" x14ac:dyDescent="0.25">
      <c r="E2157" s="288"/>
      <c r="F2157" s="288"/>
      <c r="G2157" s="288"/>
      <c r="H2157" s="288"/>
      <c r="I2157" s="288"/>
      <c r="J2157" s="288"/>
      <c r="K2157" s="288"/>
      <c r="L2157" s="288"/>
      <c r="M2157" s="288"/>
      <c r="N2157" s="288"/>
    </row>
    <row r="2158" spans="5:14" x14ac:dyDescent="0.25">
      <c r="E2158" s="288"/>
      <c r="F2158" s="288"/>
      <c r="G2158" s="288"/>
      <c r="H2158" s="288"/>
      <c r="I2158" s="288"/>
      <c r="J2158" s="288"/>
      <c r="K2158" s="288"/>
      <c r="L2158" s="288"/>
      <c r="M2158" s="288"/>
      <c r="N2158" s="288"/>
    </row>
    <row r="2159" spans="5:14" x14ac:dyDescent="0.25">
      <c r="E2159" s="288"/>
      <c r="F2159" s="288"/>
      <c r="G2159" s="288"/>
      <c r="H2159" s="288"/>
      <c r="I2159" s="288"/>
      <c r="J2159" s="288"/>
      <c r="K2159" s="288"/>
      <c r="L2159" s="288"/>
      <c r="M2159" s="288"/>
      <c r="N2159" s="288"/>
    </row>
    <row r="2160" spans="5:14" x14ac:dyDescent="0.25">
      <c r="E2160" s="288"/>
      <c r="F2160" s="288"/>
      <c r="G2160" s="288"/>
      <c r="H2160" s="288"/>
      <c r="I2160" s="288"/>
      <c r="J2160" s="288"/>
      <c r="K2160" s="288"/>
      <c r="L2160" s="288"/>
      <c r="M2160" s="288"/>
      <c r="N2160" s="288"/>
    </row>
    <row r="2161" spans="5:14" x14ac:dyDescent="0.25">
      <c r="E2161" s="288"/>
      <c r="F2161" s="288"/>
      <c r="G2161" s="288"/>
      <c r="H2161" s="288"/>
      <c r="I2161" s="288"/>
      <c r="J2161" s="288"/>
      <c r="K2161" s="288"/>
      <c r="L2161" s="288"/>
      <c r="M2161" s="288"/>
      <c r="N2161" s="288"/>
    </row>
    <row r="2162" spans="5:14" x14ac:dyDescent="0.25">
      <c r="E2162" s="288"/>
      <c r="F2162" s="288"/>
      <c r="G2162" s="288"/>
      <c r="H2162" s="288"/>
      <c r="I2162" s="288"/>
      <c r="J2162" s="288"/>
      <c r="K2162" s="288"/>
      <c r="L2162" s="288"/>
      <c r="M2162" s="288"/>
      <c r="N2162" s="288"/>
    </row>
    <row r="2163" spans="5:14" x14ac:dyDescent="0.25">
      <c r="E2163" s="288"/>
      <c r="F2163" s="288"/>
      <c r="G2163" s="288"/>
      <c r="H2163" s="288"/>
      <c r="I2163" s="288"/>
      <c r="J2163" s="288"/>
      <c r="K2163" s="288"/>
      <c r="L2163" s="288"/>
      <c r="M2163" s="288"/>
      <c r="N2163" s="288"/>
    </row>
    <row r="2164" spans="5:14" x14ac:dyDescent="0.25">
      <c r="E2164" s="288"/>
      <c r="F2164" s="288"/>
      <c r="G2164" s="288"/>
      <c r="H2164" s="288"/>
      <c r="I2164" s="288"/>
      <c r="J2164" s="288"/>
      <c r="K2164" s="288"/>
      <c r="L2164" s="288"/>
      <c r="M2164" s="288"/>
      <c r="N2164" s="288"/>
    </row>
    <row r="2165" spans="5:14" x14ac:dyDescent="0.25">
      <c r="E2165" s="288"/>
      <c r="F2165" s="288"/>
      <c r="G2165" s="288"/>
      <c r="H2165" s="288"/>
      <c r="I2165" s="288"/>
      <c r="J2165" s="288"/>
      <c r="K2165" s="288"/>
      <c r="L2165" s="288"/>
      <c r="M2165" s="288"/>
      <c r="N2165" s="288"/>
    </row>
    <row r="2166" spans="5:14" x14ac:dyDescent="0.25">
      <c r="E2166" s="288"/>
      <c r="F2166" s="288"/>
      <c r="G2166" s="288"/>
      <c r="H2166" s="288"/>
      <c r="I2166" s="288"/>
      <c r="J2166" s="288"/>
      <c r="K2166" s="288"/>
      <c r="L2166" s="288"/>
      <c r="M2166" s="288"/>
      <c r="N2166" s="288"/>
    </row>
    <row r="2167" spans="5:14" x14ac:dyDescent="0.25">
      <c r="E2167" s="288"/>
      <c r="F2167" s="288"/>
      <c r="G2167" s="288"/>
      <c r="H2167" s="288"/>
      <c r="I2167" s="288"/>
      <c r="J2167" s="288"/>
      <c r="K2167" s="288"/>
      <c r="L2167" s="288"/>
      <c r="M2167" s="288"/>
      <c r="N2167" s="288"/>
    </row>
    <row r="2168" spans="5:14" x14ac:dyDescent="0.25">
      <c r="E2168" s="288"/>
      <c r="F2168" s="288"/>
      <c r="G2168" s="288"/>
      <c r="H2168" s="288"/>
      <c r="I2168" s="288"/>
      <c r="J2168" s="288"/>
      <c r="K2168" s="288"/>
      <c r="L2168" s="288"/>
      <c r="M2168" s="288"/>
      <c r="N2168" s="288"/>
    </row>
    <row r="2169" spans="5:14" x14ac:dyDescent="0.25">
      <c r="E2169" s="288"/>
      <c r="F2169" s="288"/>
      <c r="G2169" s="288"/>
      <c r="H2169" s="288"/>
      <c r="I2169" s="288"/>
      <c r="J2169" s="288"/>
      <c r="K2169" s="288"/>
      <c r="L2169" s="288"/>
      <c r="M2169" s="288"/>
      <c r="N2169" s="288"/>
    </row>
    <row r="2170" spans="5:14" x14ac:dyDescent="0.25">
      <c r="E2170" s="288"/>
      <c r="F2170" s="288"/>
      <c r="G2170" s="288"/>
      <c r="H2170" s="288"/>
      <c r="I2170" s="288"/>
      <c r="J2170" s="288"/>
      <c r="K2170" s="288"/>
      <c r="L2170" s="288"/>
      <c r="M2170" s="288"/>
      <c r="N2170" s="288"/>
    </row>
    <row r="2171" spans="5:14" x14ac:dyDescent="0.25">
      <c r="E2171" s="288"/>
      <c r="F2171" s="288"/>
      <c r="G2171" s="288"/>
      <c r="H2171" s="288"/>
      <c r="I2171" s="288"/>
      <c r="J2171" s="288"/>
      <c r="K2171" s="288"/>
      <c r="L2171" s="288"/>
      <c r="M2171" s="288"/>
      <c r="N2171" s="288"/>
    </row>
    <row r="2172" spans="5:14" x14ac:dyDescent="0.25">
      <c r="E2172" s="288"/>
      <c r="F2172" s="288"/>
      <c r="G2172" s="288"/>
      <c r="H2172" s="288"/>
      <c r="I2172" s="288"/>
      <c r="J2172" s="288"/>
      <c r="K2172" s="288"/>
      <c r="L2172" s="288"/>
      <c r="M2172" s="288"/>
      <c r="N2172" s="288"/>
    </row>
    <row r="2173" spans="5:14" x14ac:dyDescent="0.25">
      <c r="E2173" s="288"/>
      <c r="F2173" s="288"/>
      <c r="G2173" s="288"/>
      <c r="H2173" s="288"/>
      <c r="I2173" s="288"/>
      <c r="J2173" s="288"/>
      <c r="K2173" s="288"/>
      <c r="L2173" s="288"/>
      <c r="M2173" s="288"/>
      <c r="N2173" s="288"/>
    </row>
    <row r="2174" spans="5:14" x14ac:dyDescent="0.25">
      <c r="E2174" s="288"/>
      <c r="F2174" s="288"/>
      <c r="G2174" s="288"/>
      <c r="H2174" s="288"/>
      <c r="I2174" s="288"/>
      <c r="J2174" s="288"/>
      <c r="K2174" s="288"/>
      <c r="L2174" s="288"/>
      <c r="M2174" s="288"/>
      <c r="N2174" s="288"/>
    </row>
    <row r="2175" spans="5:14" x14ac:dyDescent="0.25">
      <c r="E2175" s="288"/>
      <c r="F2175" s="288"/>
      <c r="G2175" s="288"/>
      <c r="H2175" s="288"/>
      <c r="I2175" s="288"/>
      <c r="J2175" s="288"/>
      <c r="K2175" s="288"/>
      <c r="L2175" s="288"/>
      <c r="M2175" s="288"/>
      <c r="N2175" s="288"/>
    </row>
    <row r="2176" spans="5:14" x14ac:dyDescent="0.25">
      <c r="E2176" s="288"/>
      <c r="F2176" s="288"/>
      <c r="G2176" s="288"/>
      <c r="H2176" s="288"/>
      <c r="I2176" s="288"/>
      <c r="J2176" s="288"/>
      <c r="K2176" s="288"/>
      <c r="L2176" s="288"/>
      <c r="M2176" s="288"/>
      <c r="N2176" s="288"/>
    </row>
    <row r="2177" spans="5:14" x14ac:dyDescent="0.25">
      <c r="E2177" s="288"/>
      <c r="F2177" s="288"/>
      <c r="G2177" s="288"/>
      <c r="H2177" s="288"/>
      <c r="I2177" s="288"/>
      <c r="J2177" s="288"/>
      <c r="K2177" s="288"/>
      <c r="L2177" s="288"/>
      <c r="M2177" s="288"/>
      <c r="N2177" s="288"/>
    </row>
    <row r="2178" spans="5:14" x14ac:dyDescent="0.25">
      <c r="E2178" s="288"/>
      <c r="F2178" s="288"/>
      <c r="G2178" s="288"/>
      <c r="H2178" s="288"/>
      <c r="I2178" s="288"/>
      <c r="J2178" s="288"/>
      <c r="K2178" s="288"/>
      <c r="L2178" s="288"/>
      <c r="M2178" s="288"/>
      <c r="N2178" s="288"/>
    </row>
    <row r="2179" spans="5:14" x14ac:dyDescent="0.25">
      <c r="E2179" s="288"/>
      <c r="F2179" s="288"/>
      <c r="G2179" s="288"/>
      <c r="H2179" s="288"/>
      <c r="I2179" s="288"/>
      <c r="J2179" s="288"/>
      <c r="K2179" s="288"/>
      <c r="L2179" s="288"/>
      <c r="M2179" s="288"/>
      <c r="N2179" s="288"/>
    </row>
    <row r="2180" spans="5:14" x14ac:dyDescent="0.25">
      <c r="E2180" s="288"/>
      <c r="F2180" s="288"/>
      <c r="G2180" s="288"/>
      <c r="H2180" s="288"/>
      <c r="I2180" s="288"/>
      <c r="J2180" s="288"/>
      <c r="K2180" s="288"/>
      <c r="L2180" s="288"/>
      <c r="M2180" s="288"/>
      <c r="N2180" s="288"/>
    </row>
    <row r="2181" spans="5:14" x14ac:dyDescent="0.25">
      <c r="E2181" s="288"/>
      <c r="F2181" s="288"/>
      <c r="G2181" s="288"/>
      <c r="H2181" s="288"/>
      <c r="I2181" s="288"/>
      <c r="J2181" s="288"/>
      <c r="K2181" s="288"/>
      <c r="L2181" s="288"/>
      <c r="M2181" s="288"/>
      <c r="N2181" s="288"/>
    </row>
    <row r="2182" spans="5:14" x14ac:dyDescent="0.25">
      <c r="E2182" s="288"/>
      <c r="F2182" s="288"/>
      <c r="G2182" s="288"/>
      <c r="H2182" s="288"/>
      <c r="I2182" s="288"/>
      <c r="J2182" s="288"/>
      <c r="K2182" s="288"/>
      <c r="L2182" s="288"/>
      <c r="M2182" s="288"/>
      <c r="N2182" s="288"/>
    </row>
    <row r="2183" spans="5:14" x14ac:dyDescent="0.25">
      <c r="E2183" s="288"/>
      <c r="F2183" s="288"/>
      <c r="G2183" s="288"/>
      <c r="H2183" s="288"/>
      <c r="I2183" s="288"/>
      <c r="J2183" s="288"/>
      <c r="K2183" s="288"/>
      <c r="L2183" s="288"/>
      <c r="M2183" s="288"/>
      <c r="N2183" s="288"/>
    </row>
    <row r="2184" spans="5:14" x14ac:dyDescent="0.25">
      <c r="E2184" s="288"/>
      <c r="F2184" s="288"/>
      <c r="G2184" s="288"/>
      <c r="H2184" s="288"/>
      <c r="I2184" s="288"/>
      <c r="J2184" s="288"/>
      <c r="K2184" s="288"/>
      <c r="L2184" s="288"/>
      <c r="M2184" s="288"/>
      <c r="N2184" s="288"/>
    </row>
    <row r="2185" spans="5:14" x14ac:dyDescent="0.25">
      <c r="E2185" s="288"/>
      <c r="F2185" s="288"/>
      <c r="G2185" s="288"/>
      <c r="H2185" s="288"/>
      <c r="I2185" s="288"/>
      <c r="J2185" s="288"/>
      <c r="K2185" s="288"/>
      <c r="L2185" s="288"/>
      <c r="M2185" s="288"/>
      <c r="N2185" s="288"/>
    </row>
    <row r="2186" spans="5:14" x14ac:dyDescent="0.25">
      <c r="E2186" s="288"/>
      <c r="F2186" s="288"/>
      <c r="G2186" s="288"/>
      <c r="H2186" s="288"/>
      <c r="I2186" s="288"/>
      <c r="J2186" s="288"/>
      <c r="K2186" s="288"/>
      <c r="L2186" s="288"/>
      <c r="M2186" s="288"/>
      <c r="N2186" s="288"/>
    </row>
    <row r="2187" spans="5:14" x14ac:dyDescent="0.25">
      <c r="E2187" s="288"/>
      <c r="F2187" s="288"/>
      <c r="G2187" s="288"/>
      <c r="H2187" s="288"/>
      <c r="I2187" s="288"/>
      <c r="J2187" s="288"/>
      <c r="K2187" s="288"/>
      <c r="L2187" s="288"/>
      <c r="M2187" s="288"/>
      <c r="N2187" s="288"/>
    </row>
    <row r="2188" spans="5:14" x14ac:dyDescent="0.25">
      <c r="E2188" s="288"/>
      <c r="F2188" s="288"/>
      <c r="G2188" s="288"/>
      <c r="H2188" s="288"/>
      <c r="I2188" s="288"/>
      <c r="J2188" s="288"/>
      <c r="K2188" s="288"/>
      <c r="L2188" s="288"/>
      <c r="M2188" s="288"/>
      <c r="N2188" s="288"/>
    </row>
    <row r="2189" spans="5:14" x14ac:dyDescent="0.25">
      <c r="E2189" s="288"/>
      <c r="F2189" s="288"/>
      <c r="G2189" s="288"/>
      <c r="H2189" s="288"/>
      <c r="I2189" s="288"/>
      <c r="J2189" s="288"/>
      <c r="K2189" s="288"/>
      <c r="L2189" s="288"/>
      <c r="M2189" s="288"/>
      <c r="N2189" s="288"/>
    </row>
    <row r="2190" spans="5:14" x14ac:dyDescent="0.25">
      <c r="E2190" s="288"/>
      <c r="F2190" s="288"/>
      <c r="G2190" s="288"/>
      <c r="H2190" s="288"/>
      <c r="I2190" s="288"/>
      <c r="J2190" s="288"/>
      <c r="K2190" s="288"/>
      <c r="L2190" s="288"/>
      <c r="M2190" s="288"/>
      <c r="N2190" s="288"/>
    </row>
    <row r="2191" spans="5:14" x14ac:dyDescent="0.25">
      <c r="E2191" s="288"/>
      <c r="F2191" s="288"/>
      <c r="G2191" s="288"/>
      <c r="H2191" s="288"/>
      <c r="I2191" s="288"/>
      <c r="J2191" s="288"/>
      <c r="K2191" s="288"/>
      <c r="L2191" s="288"/>
      <c r="M2191" s="288"/>
      <c r="N2191" s="288"/>
    </row>
    <row r="2192" spans="5:14" x14ac:dyDescent="0.25">
      <c r="E2192" s="288"/>
      <c r="F2192" s="288"/>
      <c r="G2192" s="288"/>
      <c r="H2192" s="288"/>
      <c r="I2192" s="288"/>
      <c r="J2192" s="288"/>
      <c r="K2192" s="288"/>
      <c r="L2192" s="288"/>
      <c r="M2192" s="288"/>
      <c r="N2192" s="288"/>
    </row>
    <row r="2193" spans="5:14" x14ac:dyDescent="0.25">
      <c r="E2193" s="288"/>
      <c r="F2193" s="288"/>
      <c r="G2193" s="288"/>
      <c r="H2193" s="288"/>
      <c r="I2193" s="288"/>
      <c r="J2193" s="288"/>
      <c r="K2193" s="288"/>
      <c r="L2193" s="288"/>
      <c r="M2193" s="288"/>
      <c r="N2193" s="288"/>
    </row>
    <row r="2194" spans="5:14" x14ac:dyDescent="0.25">
      <c r="E2194" s="288"/>
      <c r="F2194" s="288"/>
      <c r="G2194" s="288"/>
      <c r="H2194" s="288"/>
      <c r="I2194" s="288"/>
      <c r="J2194" s="288"/>
      <c r="K2194" s="288"/>
      <c r="L2194" s="288"/>
      <c r="M2194" s="288"/>
      <c r="N2194" s="288"/>
    </row>
    <row r="2195" spans="5:14" x14ac:dyDescent="0.25">
      <c r="E2195" s="288"/>
      <c r="F2195" s="288"/>
      <c r="G2195" s="288"/>
      <c r="H2195" s="288"/>
      <c r="I2195" s="288"/>
      <c r="J2195" s="288"/>
      <c r="K2195" s="288"/>
      <c r="L2195" s="288"/>
      <c r="M2195" s="288"/>
      <c r="N2195" s="288"/>
    </row>
    <row r="2196" spans="5:14" x14ac:dyDescent="0.25">
      <c r="E2196" s="288"/>
      <c r="F2196" s="288"/>
      <c r="G2196" s="288"/>
      <c r="H2196" s="288"/>
      <c r="I2196" s="288"/>
      <c r="J2196" s="288"/>
      <c r="K2196" s="288"/>
      <c r="L2196" s="288"/>
      <c r="M2196" s="288"/>
      <c r="N2196" s="288"/>
    </row>
    <row r="2197" spans="5:14" x14ac:dyDescent="0.25">
      <c r="E2197" s="288"/>
      <c r="F2197" s="288"/>
      <c r="G2197" s="288"/>
      <c r="H2197" s="288"/>
      <c r="I2197" s="288"/>
      <c r="J2197" s="288"/>
      <c r="K2197" s="288"/>
      <c r="L2197" s="288"/>
      <c r="M2197" s="288"/>
      <c r="N2197" s="288"/>
    </row>
    <row r="2198" spans="5:14" x14ac:dyDescent="0.25">
      <c r="E2198" s="288"/>
      <c r="F2198" s="288"/>
      <c r="G2198" s="288"/>
      <c r="H2198" s="288"/>
      <c r="I2198" s="288"/>
      <c r="J2198" s="288"/>
      <c r="K2198" s="288"/>
      <c r="L2198" s="288"/>
      <c r="M2198" s="288"/>
      <c r="N2198" s="288"/>
    </row>
    <row r="2199" spans="5:14" x14ac:dyDescent="0.25">
      <c r="E2199" s="288"/>
      <c r="F2199" s="288"/>
      <c r="G2199" s="288"/>
      <c r="H2199" s="288"/>
      <c r="I2199" s="288"/>
      <c r="J2199" s="288"/>
      <c r="K2199" s="288"/>
      <c r="L2199" s="288"/>
      <c r="M2199" s="288"/>
      <c r="N2199" s="288"/>
    </row>
    <row r="2200" spans="5:14" x14ac:dyDescent="0.25">
      <c r="E2200" s="288"/>
      <c r="F2200" s="288"/>
      <c r="G2200" s="288"/>
      <c r="H2200" s="288"/>
      <c r="I2200" s="288"/>
      <c r="J2200" s="288"/>
      <c r="K2200" s="288"/>
      <c r="L2200" s="288"/>
      <c r="M2200" s="288"/>
      <c r="N2200" s="288"/>
    </row>
    <row r="2201" spans="5:14" x14ac:dyDescent="0.25">
      <c r="E2201" s="288"/>
      <c r="F2201" s="288"/>
      <c r="G2201" s="288"/>
      <c r="H2201" s="288"/>
      <c r="I2201" s="288"/>
      <c r="J2201" s="288"/>
      <c r="K2201" s="288"/>
      <c r="L2201" s="288"/>
      <c r="M2201" s="288"/>
      <c r="N2201" s="288"/>
    </row>
    <row r="2202" spans="5:14" x14ac:dyDescent="0.25">
      <c r="E2202" s="288"/>
      <c r="F2202" s="288"/>
      <c r="G2202" s="288"/>
      <c r="H2202" s="288"/>
      <c r="I2202" s="288"/>
      <c r="J2202" s="288"/>
      <c r="K2202" s="288"/>
      <c r="L2202" s="288"/>
      <c r="M2202" s="288"/>
      <c r="N2202" s="288"/>
    </row>
    <row r="2203" spans="5:14" x14ac:dyDescent="0.25">
      <c r="E2203" s="288"/>
      <c r="F2203" s="288"/>
      <c r="G2203" s="288"/>
      <c r="H2203" s="288"/>
      <c r="I2203" s="288"/>
      <c r="J2203" s="288"/>
      <c r="K2203" s="288"/>
      <c r="L2203" s="288"/>
      <c r="M2203" s="288"/>
      <c r="N2203" s="288"/>
    </row>
    <row r="2204" spans="5:14" x14ac:dyDescent="0.25">
      <c r="E2204" s="288"/>
      <c r="F2204" s="288"/>
      <c r="G2204" s="288"/>
      <c r="H2204" s="288"/>
      <c r="I2204" s="288"/>
      <c r="J2204" s="288"/>
      <c r="K2204" s="288"/>
      <c r="L2204" s="288"/>
      <c r="M2204" s="288"/>
      <c r="N2204" s="288"/>
    </row>
    <row r="2205" spans="5:14" x14ac:dyDescent="0.25">
      <c r="E2205" s="288"/>
      <c r="F2205" s="288"/>
      <c r="G2205" s="288"/>
      <c r="H2205" s="288"/>
      <c r="I2205" s="288"/>
      <c r="J2205" s="288"/>
      <c r="K2205" s="288"/>
      <c r="L2205" s="288"/>
      <c r="M2205" s="288"/>
      <c r="N2205" s="288"/>
    </row>
    <row r="2206" spans="5:14" x14ac:dyDescent="0.25">
      <c r="E2206" s="288"/>
      <c r="F2206" s="288"/>
      <c r="G2206" s="288"/>
      <c r="H2206" s="288"/>
      <c r="I2206" s="288"/>
      <c r="J2206" s="288"/>
      <c r="K2206" s="288"/>
      <c r="L2206" s="288"/>
      <c r="M2206" s="288"/>
      <c r="N2206" s="288"/>
    </row>
    <row r="2207" spans="5:14" x14ac:dyDescent="0.25">
      <c r="E2207" s="288"/>
      <c r="F2207" s="288"/>
      <c r="G2207" s="288"/>
      <c r="H2207" s="288"/>
      <c r="I2207" s="288"/>
      <c r="J2207" s="288"/>
      <c r="K2207" s="288"/>
      <c r="L2207" s="288"/>
      <c r="M2207" s="288"/>
      <c r="N2207" s="288"/>
    </row>
    <row r="2208" spans="5:14" x14ac:dyDescent="0.25">
      <c r="E2208" s="288"/>
      <c r="F2208" s="288"/>
      <c r="G2208" s="288"/>
      <c r="H2208" s="288"/>
      <c r="I2208" s="288"/>
      <c r="J2208" s="288"/>
      <c r="K2208" s="288"/>
      <c r="L2208" s="288"/>
      <c r="M2208" s="288"/>
      <c r="N2208" s="288"/>
    </row>
    <row r="2209" spans="5:14" x14ac:dyDescent="0.25">
      <c r="E2209" s="288"/>
      <c r="F2209" s="288"/>
      <c r="G2209" s="288"/>
      <c r="H2209" s="288"/>
      <c r="I2209" s="288"/>
      <c r="J2209" s="288"/>
      <c r="K2209" s="288"/>
      <c r="L2209" s="288"/>
      <c r="M2209" s="288"/>
      <c r="N2209" s="288"/>
    </row>
    <row r="2210" spans="5:14" x14ac:dyDescent="0.25">
      <c r="E2210" s="288"/>
      <c r="F2210" s="288"/>
      <c r="G2210" s="288"/>
      <c r="H2210" s="288"/>
      <c r="I2210" s="288"/>
      <c r="J2210" s="288"/>
      <c r="K2210" s="288"/>
      <c r="L2210" s="288"/>
      <c r="M2210" s="288"/>
      <c r="N2210" s="288"/>
    </row>
    <row r="2211" spans="5:14" x14ac:dyDescent="0.25">
      <c r="E2211" s="288"/>
      <c r="F2211" s="288"/>
      <c r="G2211" s="288"/>
      <c r="H2211" s="288"/>
      <c r="I2211" s="288"/>
      <c r="J2211" s="288"/>
      <c r="K2211" s="288"/>
      <c r="L2211" s="288"/>
      <c r="M2211" s="288"/>
      <c r="N2211" s="288"/>
    </row>
    <row r="2212" spans="5:14" x14ac:dyDescent="0.25">
      <c r="E2212" s="288"/>
      <c r="F2212" s="288"/>
      <c r="G2212" s="288"/>
      <c r="H2212" s="288"/>
      <c r="I2212" s="288"/>
      <c r="J2212" s="288"/>
      <c r="K2212" s="288"/>
      <c r="L2212" s="288"/>
      <c r="M2212" s="288"/>
      <c r="N2212" s="288"/>
    </row>
    <row r="2213" spans="5:14" x14ac:dyDescent="0.25">
      <c r="E2213" s="288"/>
      <c r="F2213" s="288"/>
      <c r="G2213" s="288"/>
      <c r="H2213" s="288"/>
      <c r="I2213" s="288"/>
      <c r="J2213" s="288"/>
      <c r="K2213" s="288"/>
      <c r="L2213" s="288"/>
      <c r="M2213" s="288"/>
      <c r="N2213" s="288"/>
    </row>
    <row r="2214" spans="5:14" x14ac:dyDescent="0.25">
      <c r="E2214" s="288"/>
      <c r="F2214" s="288"/>
      <c r="G2214" s="288"/>
      <c r="H2214" s="288"/>
      <c r="I2214" s="288"/>
      <c r="J2214" s="288"/>
      <c r="K2214" s="288"/>
      <c r="L2214" s="288"/>
      <c r="M2214" s="288"/>
      <c r="N2214" s="288"/>
    </row>
    <row r="2215" spans="5:14" x14ac:dyDescent="0.25">
      <c r="E2215" s="288"/>
      <c r="F2215" s="288"/>
      <c r="G2215" s="288"/>
      <c r="H2215" s="288"/>
      <c r="I2215" s="288"/>
      <c r="J2215" s="288"/>
      <c r="K2215" s="288"/>
      <c r="L2215" s="288"/>
      <c r="M2215" s="288"/>
      <c r="N2215" s="288"/>
    </row>
    <row r="2216" spans="5:14" x14ac:dyDescent="0.25">
      <c r="E2216" s="288"/>
      <c r="F2216" s="288"/>
      <c r="G2216" s="288"/>
      <c r="H2216" s="288"/>
      <c r="I2216" s="288"/>
      <c r="J2216" s="288"/>
      <c r="K2216" s="288"/>
      <c r="L2216" s="288"/>
      <c r="M2216" s="288"/>
      <c r="N2216" s="288"/>
    </row>
    <row r="2217" spans="5:14" x14ac:dyDescent="0.25">
      <c r="E2217" s="288"/>
      <c r="F2217" s="288"/>
      <c r="G2217" s="288"/>
      <c r="H2217" s="288"/>
      <c r="I2217" s="288"/>
      <c r="J2217" s="288"/>
      <c r="K2217" s="288"/>
      <c r="L2217" s="288"/>
      <c r="M2217" s="288"/>
      <c r="N2217" s="288"/>
    </row>
    <row r="2218" spans="5:14" x14ac:dyDescent="0.25">
      <c r="E2218" s="288"/>
      <c r="F2218" s="288"/>
      <c r="G2218" s="288"/>
      <c r="H2218" s="288"/>
      <c r="I2218" s="288"/>
      <c r="J2218" s="288"/>
      <c r="K2218" s="288"/>
      <c r="L2218" s="288"/>
      <c r="M2218" s="288"/>
      <c r="N2218" s="288"/>
    </row>
    <row r="2219" spans="5:14" x14ac:dyDescent="0.25">
      <c r="E2219" s="288"/>
      <c r="F2219" s="288"/>
      <c r="G2219" s="288"/>
      <c r="H2219" s="288"/>
      <c r="I2219" s="288"/>
      <c r="J2219" s="288"/>
      <c r="K2219" s="288"/>
      <c r="L2219" s="288"/>
      <c r="M2219" s="288"/>
      <c r="N2219" s="288"/>
    </row>
    <row r="2220" spans="5:14" x14ac:dyDescent="0.25">
      <c r="E2220" s="288"/>
      <c r="F2220" s="288"/>
      <c r="G2220" s="288"/>
      <c r="H2220" s="288"/>
      <c r="I2220" s="288"/>
      <c r="J2220" s="288"/>
      <c r="K2220" s="288"/>
      <c r="L2220" s="288"/>
      <c r="M2220" s="288"/>
      <c r="N2220" s="288"/>
    </row>
    <row r="2221" spans="5:14" x14ac:dyDescent="0.25">
      <c r="E2221" s="288"/>
      <c r="F2221" s="288"/>
      <c r="G2221" s="288"/>
      <c r="H2221" s="288"/>
      <c r="I2221" s="288"/>
      <c r="J2221" s="288"/>
      <c r="K2221" s="288"/>
      <c r="L2221" s="288"/>
      <c r="M2221" s="288"/>
      <c r="N2221" s="288"/>
    </row>
    <row r="2222" spans="5:14" x14ac:dyDescent="0.25">
      <c r="E2222" s="288"/>
      <c r="F2222" s="288"/>
      <c r="G2222" s="288"/>
      <c r="H2222" s="288"/>
      <c r="I2222" s="288"/>
      <c r="J2222" s="288"/>
      <c r="K2222" s="288"/>
      <c r="L2222" s="288"/>
      <c r="M2222" s="288"/>
      <c r="N2222" s="288"/>
    </row>
    <row r="2223" spans="5:14" x14ac:dyDescent="0.25">
      <c r="E2223" s="288"/>
      <c r="F2223" s="288"/>
      <c r="G2223" s="288"/>
      <c r="H2223" s="288"/>
      <c r="I2223" s="288"/>
      <c r="J2223" s="288"/>
      <c r="K2223" s="288"/>
      <c r="L2223" s="288"/>
      <c r="M2223" s="288"/>
      <c r="N2223" s="288"/>
    </row>
    <row r="2224" spans="5:14" x14ac:dyDescent="0.25">
      <c r="E2224" s="288"/>
      <c r="F2224" s="288"/>
      <c r="G2224" s="288"/>
      <c r="H2224" s="288"/>
      <c r="I2224" s="288"/>
      <c r="J2224" s="288"/>
      <c r="K2224" s="288"/>
      <c r="L2224" s="288"/>
      <c r="M2224" s="288"/>
      <c r="N2224" s="288"/>
    </row>
    <row r="2225" spans="5:14" x14ac:dyDescent="0.25">
      <c r="E2225" s="288"/>
      <c r="F2225" s="288"/>
      <c r="G2225" s="288"/>
      <c r="H2225" s="288"/>
      <c r="I2225" s="288"/>
      <c r="J2225" s="288"/>
      <c r="K2225" s="288"/>
      <c r="L2225" s="288"/>
      <c r="M2225" s="288"/>
      <c r="N2225" s="288"/>
    </row>
    <row r="2226" spans="5:14" x14ac:dyDescent="0.25">
      <c r="E2226" s="288"/>
      <c r="F2226" s="288"/>
      <c r="G2226" s="288"/>
      <c r="H2226" s="288"/>
      <c r="I2226" s="288"/>
      <c r="J2226" s="288"/>
      <c r="K2226" s="288"/>
      <c r="L2226" s="288"/>
      <c r="M2226" s="288"/>
      <c r="N2226" s="288"/>
    </row>
    <row r="2227" spans="5:14" x14ac:dyDescent="0.25">
      <c r="E2227" s="288"/>
      <c r="F2227" s="288"/>
      <c r="G2227" s="288"/>
      <c r="H2227" s="288"/>
      <c r="I2227" s="288"/>
      <c r="J2227" s="288"/>
      <c r="K2227" s="288"/>
      <c r="L2227" s="288"/>
      <c r="M2227" s="288"/>
      <c r="N2227" s="288"/>
    </row>
    <row r="2228" spans="5:14" x14ac:dyDescent="0.25">
      <c r="E2228" s="288"/>
      <c r="F2228" s="288"/>
      <c r="G2228" s="288"/>
      <c r="H2228" s="288"/>
      <c r="I2228" s="288"/>
      <c r="J2228" s="288"/>
      <c r="K2228" s="288"/>
      <c r="L2228" s="288"/>
      <c r="M2228" s="288"/>
      <c r="N2228" s="288"/>
    </row>
    <row r="2229" spans="5:14" x14ac:dyDescent="0.25">
      <c r="E2229" s="288"/>
      <c r="F2229" s="288"/>
      <c r="G2229" s="288"/>
      <c r="H2229" s="288"/>
      <c r="I2229" s="288"/>
      <c r="J2229" s="288"/>
      <c r="K2229" s="288"/>
      <c r="L2229" s="288"/>
      <c r="M2229" s="288"/>
      <c r="N2229" s="288"/>
    </row>
    <row r="2230" spans="5:14" x14ac:dyDescent="0.25">
      <c r="E2230" s="288"/>
      <c r="F2230" s="288"/>
      <c r="G2230" s="288"/>
      <c r="H2230" s="288"/>
      <c r="I2230" s="288"/>
      <c r="J2230" s="288"/>
      <c r="K2230" s="288"/>
      <c r="L2230" s="288"/>
      <c r="M2230" s="288"/>
      <c r="N2230" s="288"/>
    </row>
    <row r="2231" spans="5:14" x14ac:dyDescent="0.25">
      <c r="E2231" s="288"/>
      <c r="F2231" s="288"/>
      <c r="G2231" s="288"/>
      <c r="H2231" s="288"/>
      <c r="I2231" s="288"/>
      <c r="J2231" s="288"/>
      <c r="K2231" s="288"/>
      <c r="L2231" s="288"/>
      <c r="M2231" s="288"/>
      <c r="N2231" s="288"/>
    </row>
    <row r="2232" spans="5:14" x14ac:dyDescent="0.25">
      <c r="E2232" s="288"/>
      <c r="F2232" s="288"/>
      <c r="G2232" s="288"/>
      <c r="H2232" s="288"/>
      <c r="I2232" s="288"/>
      <c r="J2232" s="288"/>
      <c r="K2232" s="288"/>
      <c r="L2232" s="288"/>
      <c r="M2232" s="288"/>
      <c r="N2232" s="288"/>
    </row>
    <row r="2233" spans="5:14" x14ac:dyDescent="0.25">
      <c r="E2233" s="288"/>
      <c r="F2233" s="288"/>
      <c r="G2233" s="288"/>
      <c r="H2233" s="288"/>
      <c r="I2233" s="288"/>
      <c r="J2233" s="288"/>
      <c r="K2233" s="288"/>
      <c r="L2233" s="288"/>
      <c r="M2233" s="288"/>
      <c r="N2233" s="288"/>
    </row>
    <row r="2234" spans="5:14" x14ac:dyDescent="0.25">
      <c r="E2234" s="288"/>
      <c r="F2234" s="288"/>
      <c r="G2234" s="288"/>
      <c r="H2234" s="288"/>
      <c r="I2234" s="288"/>
      <c r="J2234" s="288"/>
      <c r="K2234" s="288"/>
      <c r="L2234" s="288"/>
      <c r="M2234" s="288"/>
      <c r="N2234" s="288"/>
    </row>
    <row r="2235" spans="5:14" x14ac:dyDescent="0.25">
      <c r="E2235" s="288"/>
      <c r="F2235" s="288"/>
      <c r="G2235" s="288"/>
      <c r="H2235" s="288"/>
      <c r="I2235" s="288"/>
      <c r="J2235" s="288"/>
      <c r="K2235" s="288"/>
      <c r="L2235" s="288"/>
      <c r="M2235" s="288"/>
      <c r="N2235" s="288"/>
    </row>
    <row r="2236" spans="5:14" x14ac:dyDescent="0.25">
      <c r="E2236" s="288"/>
      <c r="F2236" s="288"/>
      <c r="G2236" s="288"/>
      <c r="H2236" s="288"/>
      <c r="I2236" s="288"/>
      <c r="J2236" s="288"/>
      <c r="K2236" s="288"/>
      <c r="L2236" s="288"/>
      <c r="M2236" s="288"/>
      <c r="N2236" s="288"/>
    </row>
    <row r="2237" spans="5:14" x14ac:dyDescent="0.25">
      <c r="E2237" s="288"/>
      <c r="F2237" s="288"/>
      <c r="G2237" s="288"/>
      <c r="H2237" s="288"/>
      <c r="I2237" s="288"/>
      <c r="J2237" s="288"/>
      <c r="K2237" s="288"/>
      <c r="L2237" s="288"/>
      <c r="M2237" s="288"/>
      <c r="N2237" s="288"/>
    </row>
    <row r="2238" spans="5:14" x14ac:dyDescent="0.25">
      <c r="E2238" s="288"/>
      <c r="F2238" s="288"/>
      <c r="G2238" s="288"/>
      <c r="H2238" s="288"/>
      <c r="I2238" s="288"/>
      <c r="J2238" s="288"/>
      <c r="K2238" s="288"/>
      <c r="L2238" s="288"/>
      <c r="M2238" s="288"/>
      <c r="N2238" s="288"/>
    </row>
    <row r="2239" spans="5:14" x14ac:dyDescent="0.25">
      <c r="E2239" s="288"/>
      <c r="F2239" s="288"/>
      <c r="G2239" s="288"/>
      <c r="H2239" s="288"/>
      <c r="I2239" s="288"/>
      <c r="J2239" s="288"/>
      <c r="K2239" s="288"/>
      <c r="L2239" s="288"/>
      <c r="M2239" s="288"/>
      <c r="N2239" s="288"/>
    </row>
    <row r="2240" spans="5:14" x14ac:dyDescent="0.25">
      <c r="E2240" s="288"/>
      <c r="F2240" s="288"/>
      <c r="G2240" s="288"/>
      <c r="H2240" s="288"/>
      <c r="I2240" s="288"/>
      <c r="J2240" s="288"/>
      <c r="K2240" s="288"/>
      <c r="L2240" s="288"/>
      <c r="M2240" s="288"/>
      <c r="N2240" s="288"/>
    </row>
    <row r="2241" spans="5:14" x14ac:dyDescent="0.25">
      <c r="E2241" s="288"/>
      <c r="F2241" s="288"/>
      <c r="G2241" s="288"/>
      <c r="H2241" s="288"/>
      <c r="I2241" s="288"/>
      <c r="J2241" s="288"/>
      <c r="K2241" s="288"/>
      <c r="L2241" s="288"/>
      <c r="M2241" s="288"/>
      <c r="N2241" s="288"/>
    </row>
    <row r="2242" spans="5:14" x14ac:dyDescent="0.25">
      <c r="E2242" s="288"/>
      <c r="F2242" s="288"/>
      <c r="G2242" s="288"/>
      <c r="H2242" s="288"/>
      <c r="I2242" s="288"/>
      <c r="J2242" s="288"/>
      <c r="K2242" s="288"/>
      <c r="L2242" s="288"/>
      <c r="M2242" s="288"/>
      <c r="N2242" s="288"/>
    </row>
    <row r="2243" spans="5:14" x14ac:dyDescent="0.25">
      <c r="E2243" s="288"/>
      <c r="F2243" s="288"/>
      <c r="G2243" s="288"/>
      <c r="H2243" s="288"/>
      <c r="I2243" s="288"/>
      <c r="J2243" s="288"/>
      <c r="K2243" s="288"/>
      <c r="L2243" s="288"/>
      <c r="M2243" s="288"/>
      <c r="N2243" s="288"/>
    </row>
    <row r="2244" spans="5:14" x14ac:dyDescent="0.25">
      <c r="E2244" s="288"/>
      <c r="F2244" s="288"/>
      <c r="G2244" s="288"/>
      <c r="H2244" s="288"/>
      <c r="I2244" s="288"/>
      <c r="J2244" s="288"/>
      <c r="K2244" s="288"/>
      <c r="L2244" s="288"/>
      <c r="M2244" s="288"/>
      <c r="N2244" s="288"/>
    </row>
    <row r="2245" spans="5:14" x14ac:dyDescent="0.25">
      <c r="E2245" s="288"/>
      <c r="F2245" s="288"/>
      <c r="G2245" s="288"/>
      <c r="H2245" s="288"/>
      <c r="I2245" s="288"/>
      <c r="J2245" s="288"/>
      <c r="K2245" s="288"/>
      <c r="L2245" s="288"/>
      <c r="M2245" s="288"/>
      <c r="N2245" s="288"/>
    </row>
    <row r="2246" spans="5:14" x14ac:dyDescent="0.25">
      <c r="E2246" s="288"/>
      <c r="F2246" s="288"/>
      <c r="G2246" s="288"/>
      <c r="H2246" s="288"/>
      <c r="I2246" s="288"/>
      <c r="J2246" s="288"/>
      <c r="K2246" s="288"/>
      <c r="L2246" s="288"/>
      <c r="M2246" s="288"/>
      <c r="N2246" s="288"/>
    </row>
    <row r="2247" spans="5:14" x14ac:dyDescent="0.25">
      <c r="E2247" s="288"/>
      <c r="F2247" s="288"/>
      <c r="G2247" s="288"/>
      <c r="H2247" s="288"/>
      <c r="I2247" s="288"/>
      <c r="J2247" s="288"/>
      <c r="K2247" s="288"/>
      <c r="L2247" s="288"/>
      <c r="M2247" s="288"/>
      <c r="N2247" s="288"/>
    </row>
    <row r="2248" spans="5:14" x14ac:dyDescent="0.25">
      <c r="E2248" s="288"/>
      <c r="F2248" s="288"/>
      <c r="G2248" s="288"/>
      <c r="H2248" s="288"/>
      <c r="I2248" s="288"/>
      <c r="J2248" s="288"/>
      <c r="K2248" s="288"/>
      <c r="L2248" s="288"/>
      <c r="M2248" s="288"/>
      <c r="N2248" s="288"/>
    </row>
    <row r="2249" spans="5:14" x14ac:dyDescent="0.25">
      <c r="E2249" s="288"/>
      <c r="F2249" s="288"/>
      <c r="G2249" s="288"/>
      <c r="H2249" s="288"/>
      <c r="I2249" s="288"/>
      <c r="J2249" s="288"/>
      <c r="K2249" s="288"/>
      <c r="L2249" s="288"/>
      <c r="M2249" s="288"/>
      <c r="N2249" s="288"/>
    </row>
    <row r="2250" spans="5:14" x14ac:dyDescent="0.25">
      <c r="E2250" s="288"/>
      <c r="F2250" s="288"/>
      <c r="G2250" s="288"/>
      <c r="H2250" s="288"/>
      <c r="I2250" s="288"/>
      <c r="J2250" s="288"/>
      <c r="K2250" s="288"/>
      <c r="L2250" s="288"/>
      <c r="M2250" s="288"/>
      <c r="N2250" s="288"/>
    </row>
    <row r="2251" spans="5:14" x14ac:dyDescent="0.25">
      <c r="E2251" s="288"/>
      <c r="F2251" s="288"/>
      <c r="G2251" s="288"/>
      <c r="H2251" s="288"/>
      <c r="I2251" s="288"/>
      <c r="J2251" s="288"/>
      <c r="K2251" s="288"/>
      <c r="L2251" s="288"/>
      <c r="M2251" s="288"/>
      <c r="N2251" s="288"/>
    </row>
    <row r="2252" spans="5:14" x14ac:dyDescent="0.25">
      <c r="E2252" s="288"/>
      <c r="F2252" s="288"/>
      <c r="G2252" s="288"/>
      <c r="H2252" s="288"/>
      <c r="I2252" s="288"/>
      <c r="J2252" s="288"/>
      <c r="K2252" s="288"/>
      <c r="L2252" s="288"/>
      <c r="M2252" s="288"/>
      <c r="N2252" s="288"/>
    </row>
    <row r="2253" spans="5:14" x14ac:dyDescent="0.25">
      <c r="E2253" s="288"/>
      <c r="F2253" s="288"/>
      <c r="G2253" s="288"/>
      <c r="H2253" s="288"/>
      <c r="I2253" s="288"/>
      <c r="J2253" s="288"/>
      <c r="K2253" s="288"/>
      <c r="L2253" s="288"/>
      <c r="M2253" s="288"/>
      <c r="N2253" s="288"/>
    </row>
    <row r="2254" spans="5:14" x14ac:dyDescent="0.25">
      <c r="E2254" s="288"/>
      <c r="F2254" s="288"/>
      <c r="G2254" s="288"/>
      <c r="H2254" s="288"/>
      <c r="I2254" s="288"/>
      <c r="J2254" s="288"/>
      <c r="K2254" s="288"/>
      <c r="L2254" s="288"/>
      <c r="M2254" s="288"/>
      <c r="N2254" s="288"/>
    </row>
    <row r="2255" spans="5:14" x14ac:dyDescent="0.25">
      <c r="E2255" s="288"/>
      <c r="F2255" s="288"/>
      <c r="G2255" s="288"/>
      <c r="H2255" s="288"/>
      <c r="I2255" s="288"/>
      <c r="J2255" s="288"/>
      <c r="K2255" s="288"/>
      <c r="L2255" s="288"/>
      <c r="M2255" s="288"/>
      <c r="N2255" s="288"/>
    </row>
    <row r="2256" spans="5:14" x14ac:dyDescent="0.25">
      <c r="E2256" s="288"/>
      <c r="F2256" s="288"/>
      <c r="G2256" s="288"/>
      <c r="H2256" s="288"/>
      <c r="I2256" s="288"/>
      <c r="J2256" s="288"/>
      <c r="K2256" s="288"/>
      <c r="L2256" s="288"/>
      <c r="M2256" s="288"/>
      <c r="N2256" s="288"/>
    </row>
    <row r="2257" spans="5:14" x14ac:dyDescent="0.25">
      <c r="E2257" s="288"/>
      <c r="F2257" s="288"/>
      <c r="G2257" s="288"/>
      <c r="H2257" s="288"/>
      <c r="I2257" s="288"/>
      <c r="J2257" s="288"/>
      <c r="K2257" s="288"/>
      <c r="L2257" s="288"/>
      <c r="M2257" s="288"/>
      <c r="N2257" s="288"/>
    </row>
    <row r="2258" spans="5:14" x14ac:dyDescent="0.25">
      <c r="E2258" s="288"/>
      <c r="F2258" s="288"/>
      <c r="G2258" s="288"/>
      <c r="H2258" s="288"/>
      <c r="I2258" s="288"/>
      <c r="J2258" s="288"/>
      <c r="K2258" s="288"/>
      <c r="L2258" s="288"/>
      <c r="M2258" s="288"/>
      <c r="N2258" s="288"/>
    </row>
    <row r="2259" spans="5:14" x14ac:dyDescent="0.25">
      <c r="E2259" s="288"/>
      <c r="F2259" s="288"/>
      <c r="G2259" s="288"/>
      <c r="H2259" s="288"/>
      <c r="I2259" s="288"/>
      <c r="J2259" s="288"/>
      <c r="K2259" s="288"/>
      <c r="L2259" s="288"/>
      <c r="M2259" s="288"/>
      <c r="N2259" s="288"/>
    </row>
    <row r="2260" spans="5:14" x14ac:dyDescent="0.25">
      <c r="E2260" s="288"/>
      <c r="F2260" s="288"/>
      <c r="G2260" s="288"/>
      <c r="H2260" s="288"/>
      <c r="I2260" s="288"/>
      <c r="J2260" s="288"/>
      <c r="K2260" s="288"/>
      <c r="L2260" s="288"/>
      <c r="M2260" s="288"/>
      <c r="N2260" s="288"/>
    </row>
    <row r="2261" spans="5:14" x14ac:dyDescent="0.25">
      <c r="E2261" s="288"/>
      <c r="F2261" s="288"/>
      <c r="G2261" s="288"/>
      <c r="H2261" s="288"/>
      <c r="I2261" s="288"/>
      <c r="J2261" s="288"/>
      <c r="K2261" s="288"/>
      <c r="L2261" s="288"/>
      <c r="M2261" s="288"/>
      <c r="N2261" s="288"/>
    </row>
    <row r="2262" spans="5:14" x14ac:dyDescent="0.25">
      <c r="E2262" s="288"/>
      <c r="F2262" s="288"/>
      <c r="G2262" s="288"/>
      <c r="H2262" s="288"/>
      <c r="I2262" s="288"/>
      <c r="J2262" s="288"/>
      <c r="K2262" s="288"/>
      <c r="L2262" s="288"/>
      <c r="M2262" s="288"/>
      <c r="N2262" s="288"/>
    </row>
    <row r="2263" spans="5:14" x14ac:dyDescent="0.25">
      <c r="E2263" s="288"/>
      <c r="F2263" s="288"/>
      <c r="G2263" s="288"/>
      <c r="H2263" s="288"/>
      <c r="I2263" s="288"/>
      <c r="J2263" s="288"/>
      <c r="K2263" s="288"/>
      <c r="L2263" s="288"/>
      <c r="M2263" s="288"/>
      <c r="N2263" s="288"/>
    </row>
    <row r="2264" spans="5:14" x14ac:dyDescent="0.25">
      <c r="E2264" s="288"/>
      <c r="F2264" s="288"/>
      <c r="G2264" s="288"/>
      <c r="H2264" s="288"/>
      <c r="I2264" s="288"/>
      <c r="J2264" s="288"/>
      <c r="K2264" s="288"/>
      <c r="L2264" s="288"/>
      <c r="M2264" s="288"/>
      <c r="N2264" s="288"/>
    </row>
    <row r="2265" spans="5:14" x14ac:dyDescent="0.25">
      <c r="E2265" s="288"/>
      <c r="F2265" s="288"/>
      <c r="G2265" s="288"/>
      <c r="H2265" s="288"/>
      <c r="I2265" s="288"/>
      <c r="J2265" s="288"/>
      <c r="K2265" s="288"/>
      <c r="L2265" s="288"/>
      <c r="M2265" s="288"/>
      <c r="N2265" s="288"/>
    </row>
    <row r="2266" spans="5:14" x14ac:dyDescent="0.25">
      <c r="E2266" s="288"/>
      <c r="F2266" s="288"/>
      <c r="G2266" s="288"/>
      <c r="H2266" s="288"/>
      <c r="I2266" s="288"/>
      <c r="J2266" s="288"/>
      <c r="K2266" s="288"/>
      <c r="L2266" s="288"/>
      <c r="M2266" s="288"/>
      <c r="N2266" s="288"/>
    </row>
    <row r="2267" spans="5:14" x14ac:dyDescent="0.25">
      <c r="E2267" s="288"/>
      <c r="F2267" s="288"/>
      <c r="G2267" s="288"/>
      <c r="H2267" s="288"/>
      <c r="I2267" s="288"/>
      <c r="J2267" s="288"/>
      <c r="K2267" s="288"/>
      <c r="L2267" s="288"/>
      <c r="M2267" s="288"/>
      <c r="N2267" s="288"/>
    </row>
    <row r="2268" spans="5:14" x14ac:dyDescent="0.25">
      <c r="E2268" s="288"/>
      <c r="F2268" s="288"/>
      <c r="G2268" s="288"/>
      <c r="H2268" s="288"/>
      <c r="I2268" s="288"/>
      <c r="J2268" s="288"/>
      <c r="K2268" s="288"/>
      <c r="L2268" s="288"/>
      <c r="M2268" s="288"/>
      <c r="N2268" s="288"/>
    </row>
    <row r="2269" spans="5:14" x14ac:dyDescent="0.25">
      <c r="E2269" s="288"/>
      <c r="F2269" s="288"/>
      <c r="G2269" s="288"/>
      <c r="H2269" s="288"/>
      <c r="I2269" s="288"/>
      <c r="J2269" s="288"/>
      <c r="K2269" s="288"/>
      <c r="L2269" s="288"/>
      <c r="M2269" s="288"/>
      <c r="N2269" s="288"/>
    </row>
    <row r="2270" spans="5:14" x14ac:dyDescent="0.25">
      <c r="E2270" s="288"/>
      <c r="F2270" s="288"/>
      <c r="G2270" s="288"/>
      <c r="H2270" s="288"/>
      <c r="I2270" s="288"/>
      <c r="J2270" s="288"/>
      <c r="K2270" s="288"/>
      <c r="L2270" s="288"/>
      <c r="M2270" s="288"/>
      <c r="N2270" s="288"/>
    </row>
    <row r="2271" spans="5:14" x14ac:dyDescent="0.25">
      <c r="E2271" s="288"/>
      <c r="F2271" s="288"/>
      <c r="G2271" s="288"/>
      <c r="H2271" s="288"/>
      <c r="I2271" s="288"/>
      <c r="J2271" s="288"/>
      <c r="K2271" s="288"/>
      <c r="L2271" s="288"/>
      <c r="M2271" s="288"/>
      <c r="N2271" s="288"/>
    </row>
    <row r="2272" spans="5:14" x14ac:dyDescent="0.25">
      <c r="E2272" s="288"/>
      <c r="F2272" s="288"/>
      <c r="G2272" s="288"/>
      <c r="H2272" s="288"/>
      <c r="I2272" s="288"/>
      <c r="J2272" s="288"/>
      <c r="K2272" s="288"/>
      <c r="L2272" s="288"/>
      <c r="M2272" s="288"/>
      <c r="N2272" s="288"/>
    </row>
    <row r="2273" spans="5:14" x14ac:dyDescent="0.25">
      <c r="E2273" s="288"/>
      <c r="F2273" s="288"/>
      <c r="G2273" s="288"/>
      <c r="H2273" s="288"/>
      <c r="I2273" s="288"/>
      <c r="J2273" s="288"/>
      <c r="K2273" s="288"/>
      <c r="L2273" s="288"/>
      <c r="M2273" s="288"/>
      <c r="N2273" s="288"/>
    </row>
    <row r="2274" spans="5:14" x14ac:dyDescent="0.25">
      <c r="E2274" s="288"/>
      <c r="F2274" s="288"/>
      <c r="G2274" s="288"/>
      <c r="H2274" s="288"/>
      <c r="I2274" s="288"/>
      <c r="J2274" s="288"/>
      <c r="K2274" s="288"/>
      <c r="L2274" s="288"/>
      <c r="M2274" s="288"/>
      <c r="N2274" s="288"/>
    </row>
    <row r="2275" spans="5:14" x14ac:dyDescent="0.25">
      <c r="E2275" s="288"/>
      <c r="F2275" s="288"/>
      <c r="G2275" s="288"/>
      <c r="H2275" s="288"/>
      <c r="I2275" s="288"/>
      <c r="J2275" s="288"/>
      <c r="K2275" s="288"/>
      <c r="L2275" s="288"/>
      <c r="M2275" s="288"/>
      <c r="N2275" s="288"/>
    </row>
    <row r="2276" spans="5:14" x14ac:dyDescent="0.25">
      <c r="E2276" s="288"/>
      <c r="F2276" s="288"/>
      <c r="G2276" s="288"/>
      <c r="H2276" s="288"/>
      <c r="I2276" s="288"/>
      <c r="J2276" s="288"/>
      <c r="K2276" s="288"/>
      <c r="L2276" s="288"/>
      <c r="M2276" s="288"/>
      <c r="N2276" s="288"/>
    </row>
    <row r="2277" spans="5:14" x14ac:dyDescent="0.25">
      <c r="E2277" s="288"/>
      <c r="F2277" s="288"/>
      <c r="G2277" s="288"/>
      <c r="H2277" s="288"/>
      <c r="I2277" s="288"/>
      <c r="J2277" s="288"/>
      <c r="K2277" s="288"/>
      <c r="L2277" s="288"/>
      <c r="M2277" s="288"/>
      <c r="N2277" s="288"/>
    </row>
    <row r="2278" spans="5:14" x14ac:dyDescent="0.25">
      <c r="E2278" s="288"/>
      <c r="F2278" s="288"/>
      <c r="G2278" s="288"/>
      <c r="H2278" s="288"/>
      <c r="I2278" s="288"/>
      <c r="J2278" s="288"/>
      <c r="K2278" s="288"/>
      <c r="L2278" s="288"/>
      <c r="M2278" s="288"/>
      <c r="N2278" s="288"/>
    </row>
    <row r="2279" spans="5:14" x14ac:dyDescent="0.25">
      <c r="E2279" s="288"/>
      <c r="F2279" s="288"/>
      <c r="G2279" s="288"/>
      <c r="H2279" s="288"/>
      <c r="I2279" s="288"/>
      <c r="J2279" s="288"/>
      <c r="K2279" s="288"/>
      <c r="L2279" s="288"/>
      <c r="M2279" s="288"/>
      <c r="N2279" s="288"/>
    </row>
    <row r="2280" spans="5:14" x14ac:dyDescent="0.25">
      <c r="E2280" s="288"/>
      <c r="F2280" s="288"/>
      <c r="G2280" s="288"/>
      <c r="H2280" s="288"/>
      <c r="I2280" s="288"/>
      <c r="J2280" s="288"/>
      <c r="K2280" s="288"/>
      <c r="L2280" s="288"/>
      <c r="M2280" s="288"/>
      <c r="N2280" s="288"/>
    </row>
    <row r="2281" spans="5:14" x14ac:dyDescent="0.25">
      <c r="E2281" s="288"/>
      <c r="F2281" s="288"/>
      <c r="G2281" s="288"/>
      <c r="H2281" s="288"/>
      <c r="I2281" s="288"/>
      <c r="J2281" s="288"/>
      <c r="K2281" s="288"/>
      <c r="L2281" s="288"/>
      <c r="M2281" s="288"/>
      <c r="N2281" s="288"/>
    </row>
    <row r="2282" spans="5:14" x14ac:dyDescent="0.25">
      <c r="E2282" s="288"/>
      <c r="F2282" s="288"/>
      <c r="G2282" s="288"/>
      <c r="H2282" s="288"/>
      <c r="I2282" s="288"/>
      <c r="J2282" s="288"/>
      <c r="K2282" s="288"/>
      <c r="L2282" s="288"/>
      <c r="M2282" s="288"/>
      <c r="N2282" s="288"/>
    </row>
    <row r="2283" spans="5:14" x14ac:dyDescent="0.25">
      <c r="E2283" s="288"/>
      <c r="F2283" s="288"/>
      <c r="G2283" s="288"/>
      <c r="H2283" s="288"/>
      <c r="I2283" s="288"/>
      <c r="J2283" s="288"/>
      <c r="K2283" s="288"/>
      <c r="L2283" s="288"/>
      <c r="M2283" s="288"/>
      <c r="N2283" s="288"/>
    </row>
    <row r="2284" spans="5:14" x14ac:dyDescent="0.25">
      <c r="E2284" s="288"/>
      <c r="F2284" s="288"/>
      <c r="G2284" s="288"/>
      <c r="H2284" s="288"/>
      <c r="I2284" s="288"/>
      <c r="J2284" s="288"/>
      <c r="K2284" s="288"/>
      <c r="L2284" s="288"/>
      <c r="M2284" s="288"/>
      <c r="N2284" s="288"/>
    </row>
    <row r="2285" spans="5:14" x14ac:dyDescent="0.25">
      <c r="E2285" s="288"/>
      <c r="F2285" s="288"/>
      <c r="G2285" s="288"/>
      <c r="H2285" s="288"/>
      <c r="I2285" s="288"/>
      <c r="J2285" s="288"/>
      <c r="K2285" s="288"/>
      <c r="L2285" s="288"/>
      <c r="M2285" s="288"/>
      <c r="N2285" s="288"/>
    </row>
    <row r="2286" spans="5:14" x14ac:dyDescent="0.25">
      <c r="E2286" s="288"/>
      <c r="F2286" s="288"/>
      <c r="G2286" s="288"/>
      <c r="H2286" s="288"/>
      <c r="I2286" s="288"/>
      <c r="J2286" s="288"/>
      <c r="K2286" s="288"/>
      <c r="L2286" s="288"/>
      <c r="M2286" s="288"/>
      <c r="N2286" s="288"/>
    </row>
    <row r="2287" spans="5:14" x14ac:dyDescent="0.25">
      <c r="E2287" s="288"/>
      <c r="F2287" s="288"/>
      <c r="G2287" s="288"/>
      <c r="H2287" s="288"/>
      <c r="I2287" s="288"/>
      <c r="J2287" s="288"/>
      <c r="K2287" s="288"/>
      <c r="L2287" s="288"/>
      <c r="M2287" s="288"/>
      <c r="N2287" s="288"/>
    </row>
    <row r="2288" spans="5:14" x14ac:dyDescent="0.25">
      <c r="E2288" s="288"/>
      <c r="F2288" s="288"/>
      <c r="G2288" s="288"/>
      <c r="H2288" s="288"/>
      <c r="I2288" s="288"/>
      <c r="J2288" s="288"/>
      <c r="K2288" s="288"/>
      <c r="L2288" s="288"/>
      <c r="M2288" s="288"/>
      <c r="N2288" s="288"/>
    </row>
    <row r="2289" spans="5:14" x14ac:dyDescent="0.25">
      <c r="E2289" s="288"/>
      <c r="F2289" s="288"/>
      <c r="G2289" s="288"/>
      <c r="H2289" s="288"/>
      <c r="I2289" s="288"/>
      <c r="J2289" s="288"/>
      <c r="K2289" s="288"/>
      <c r="L2289" s="288"/>
      <c r="M2289" s="288"/>
      <c r="N2289" s="288"/>
    </row>
    <row r="2290" spans="5:14" x14ac:dyDescent="0.25">
      <c r="E2290" s="288"/>
      <c r="F2290" s="288"/>
      <c r="G2290" s="288"/>
      <c r="H2290" s="288"/>
      <c r="I2290" s="288"/>
      <c r="J2290" s="288"/>
      <c r="K2290" s="288"/>
      <c r="L2290" s="288"/>
      <c r="M2290" s="288"/>
      <c r="N2290" s="288"/>
    </row>
    <row r="2291" spans="5:14" x14ac:dyDescent="0.25">
      <c r="E2291" s="288"/>
      <c r="F2291" s="288"/>
      <c r="G2291" s="288"/>
      <c r="H2291" s="288"/>
      <c r="I2291" s="288"/>
      <c r="J2291" s="288"/>
      <c r="K2291" s="288"/>
      <c r="L2291" s="288"/>
      <c r="M2291" s="288"/>
      <c r="N2291" s="288"/>
    </row>
    <row r="2292" spans="5:14" x14ac:dyDescent="0.25">
      <c r="E2292" s="288"/>
      <c r="F2292" s="288"/>
      <c r="G2292" s="288"/>
      <c r="H2292" s="288"/>
      <c r="I2292" s="288"/>
      <c r="J2292" s="288"/>
      <c r="K2292" s="288"/>
      <c r="L2292" s="288"/>
      <c r="M2292" s="288"/>
      <c r="N2292" s="288"/>
    </row>
    <row r="2293" spans="5:14" x14ac:dyDescent="0.25">
      <c r="E2293" s="288"/>
      <c r="F2293" s="288"/>
      <c r="G2293" s="288"/>
      <c r="H2293" s="288"/>
      <c r="I2293" s="288"/>
      <c r="J2293" s="288"/>
      <c r="K2293" s="288"/>
      <c r="L2293" s="288"/>
      <c r="M2293" s="288"/>
      <c r="N2293" s="288"/>
    </row>
    <row r="2294" spans="5:14" x14ac:dyDescent="0.25">
      <c r="E2294" s="288"/>
      <c r="F2294" s="288"/>
      <c r="G2294" s="288"/>
      <c r="H2294" s="288"/>
      <c r="I2294" s="288"/>
      <c r="J2294" s="288"/>
      <c r="K2294" s="288"/>
      <c r="L2294" s="288"/>
      <c r="M2294" s="288"/>
      <c r="N2294" s="288"/>
    </row>
    <row r="2295" spans="5:14" x14ac:dyDescent="0.25">
      <c r="E2295" s="288"/>
      <c r="F2295" s="288"/>
      <c r="G2295" s="288"/>
      <c r="H2295" s="288"/>
      <c r="I2295" s="288"/>
      <c r="J2295" s="288"/>
      <c r="K2295" s="288"/>
      <c r="L2295" s="288"/>
      <c r="M2295" s="288"/>
      <c r="N2295" s="288"/>
    </row>
    <row r="2296" spans="5:14" x14ac:dyDescent="0.25">
      <c r="E2296" s="288"/>
      <c r="F2296" s="288"/>
      <c r="G2296" s="288"/>
      <c r="H2296" s="288"/>
      <c r="I2296" s="288"/>
      <c r="J2296" s="288"/>
      <c r="K2296" s="288"/>
      <c r="L2296" s="288"/>
      <c r="M2296" s="288"/>
      <c r="N2296" s="288"/>
    </row>
    <row r="2297" spans="5:14" x14ac:dyDescent="0.25">
      <c r="E2297" s="288"/>
      <c r="F2297" s="288"/>
      <c r="G2297" s="288"/>
      <c r="H2297" s="288"/>
      <c r="I2297" s="288"/>
      <c r="J2297" s="288"/>
      <c r="K2297" s="288"/>
      <c r="L2297" s="288"/>
      <c r="M2297" s="288"/>
      <c r="N2297" s="288"/>
    </row>
    <row r="2298" spans="5:14" x14ac:dyDescent="0.25">
      <c r="E2298" s="288"/>
      <c r="F2298" s="288"/>
      <c r="G2298" s="288"/>
      <c r="H2298" s="288"/>
      <c r="I2298" s="288"/>
      <c r="J2298" s="288"/>
      <c r="K2298" s="288"/>
      <c r="L2298" s="288"/>
      <c r="M2298" s="288"/>
      <c r="N2298" s="288"/>
    </row>
    <row r="2299" spans="5:14" x14ac:dyDescent="0.25">
      <c r="E2299" s="288"/>
      <c r="F2299" s="288"/>
      <c r="G2299" s="288"/>
      <c r="H2299" s="288"/>
      <c r="I2299" s="288"/>
      <c r="J2299" s="288"/>
      <c r="K2299" s="288"/>
      <c r="L2299" s="288"/>
      <c r="M2299" s="288"/>
      <c r="N2299" s="288"/>
    </row>
    <row r="2300" spans="5:14" x14ac:dyDescent="0.25">
      <c r="E2300" s="288"/>
      <c r="F2300" s="288"/>
      <c r="G2300" s="288"/>
      <c r="H2300" s="288"/>
      <c r="I2300" s="288"/>
      <c r="J2300" s="288"/>
      <c r="K2300" s="288"/>
      <c r="L2300" s="288"/>
      <c r="M2300" s="288"/>
      <c r="N2300" s="288"/>
    </row>
    <row r="2301" spans="5:14" x14ac:dyDescent="0.25">
      <c r="E2301" s="288"/>
      <c r="F2301" s="288"/>
      <c r="G2301" s="288"/>
      <c r="H2301" s="288"/>
      <c r="I2301" s="288"/>
      <c r="J2301" s="288"/>
      <c r="K2301" s="288"/>
      <c r="L2301" s="288"/>
      <c r="M2301" s="288"/>
      <c r="N2301" s="288"/>
    </row>
    <row r="2302" spans="5:14" x14ac:dyDescent="0.25">
      <c r="E2302" s="288"/>
      <c r="F2302" s="288"/>
      <c r="G2302" s="288"/>
      <c r="H2302" s="288"/>
      <c r="I2302" s="288"/>
      <c r="J2302" s="288"/>
      <c r="K2302" s="288"/>
      <c r="L2302" s="288"/>
      <c r="M2302" s="288"/>
      <c r="N2302" s="288"/>
    </row>
    <row r="2303" spans="5:14" x14ac:dyDescent="0.25">
      <c r="E2303" s="288"/>
      <c r="F2303" s="288"/>
      <c r="G2303" s="288"/>
      <c r="H2303" s="288"/>
      <c r="I2303" s="288"/>
      <c r="J2303" s="288"/>
      <c r="K2303" s="288"/>
      <c r="L2303" s="288"/>
      <c r="M2303" s="288"/>
      <c r="N2303" s="288"/>
    </row>
    <row r="2304" spans="5:14" x14ac:dyDescent="0.25">
      <c r="E2304" s="288"/>
      <c r="F2304" s="288"/>
      <c r="G2304" s="288"/>
      <c r="H2304" s="288"/>
      <c r="I2304" s="288"/>
      <c r="J2304" s="288"/>
      <c r="K2304" s="288"/>
      <c r="L2304" s="288"/>
      <c r="M2304" s="288"/>
      <c r="N2304" s="288"/>
    </row>
    <row r="2305" spans="5:14" x14ac:dyDescent="0.25">
      <c r="E2305" s="288"/>
      <c r="F2305" s="288"/>
      <c r="G2305" s="288"/>
      <c r="H2305" s="288"/>
      <c r="I2305" s="288"/>
      <c r="J2305" s="288"/>
      <c r="K2305" s="288"/>
      <c r="L2305" s="288"/>
      <c r="M2305" s="288"/>
      <c r="N2305" s="288"/>
    </row>
    <row r="2306" spans="5:14" x14ac:dyDescent="0.25">
      <c r="E2306" s="288"/>
      <c r="F2306" s="288"/>
      <c r="G2306" s="288"/>
      <c r="H2306" s="288"/>
      <c r="I2306" s="288"/>
      <c r="J2306" s="288"/>
      <c r="K2306" s="288"/>
      <c r="L2306" s="288"/>
      <c r="M2306" s="288"/>
      <c r="N2306" s="288"/>
    </row>
    <row r="2307" spans="5:14" x14ac:dyDescent="0.25">
      <c r="E2307" s="288"/>
      <c r="F2307" s="288"/>
      <c r="G2307" s="288"/>
      <c r="H2307" s="288"/>
      <c r="I2307" s="288"/>
      <c r="J2307" s="288"/>
      <c r="K2307" s="288"/>
      <c r="L2307" s="288"/>
      <c r="M2307" s="288"/>
      <c r="N2307" s="288"/>
    </row>
    <row r="2308" spans="5:14" x14ac:dyDescent="0.25">
      <c r="E2308" s="288"/>
      <c r="F2308" s="288"/>
      <c r="G2308" s="288"/>
      <c r="H2308" s="288"/>
      <c r="I2308" s="288"/>
      <c r="J2308" s="288"/>
      <c r="K2308" s="288"/>
      <c r="L2308" s="288"/>
      <c r="M2308" s="288"/>
      <c r="N2308" s="288"/>
    </row>
    <row r="2309" spans="5:14" x14ac:dyDescent="0.25">
      <c r="E2309" s="288"/>
      <c r="F2309" s="288"/>
      <c r="G2309" s="288"/>
      <c r="H2309" s="288"/>
      <c r="I2309" s="288"/>
      <c r="J2309" s="288"/>
      <c r="K2309" s="288"/>
      <c r="L2309" s="288"/>
      <c r="M2309" s="288"/>
      <c r="N2309" s="288"/>
    </row>
    <row r="2310" spans="5:14" x14ac:dyDescent="0.25">
      <c r="E2310" s="288"/>
      <c r="F2310" s="288"/>
      <c r="G2310" s="288"/>
      <c r="H2310" s="288"/>
      <c r="I2310" s="288"/>
      <c r="J2310" s="288"/>
      <c r="K2310" s="288"/>
      <c r="L2310" s="288"/>
      <c r="M2310" s="288"/>
      <c r="N2310" s="288"/>
    </row>
    <row r="2311" spans="5:14" x14ac:dyDescent="0.25">
      <c r="E2311" s="288"/>
      <c r="F2311" s="288"/>
      <c r="G2311" s="288"/>
      <c r="H2311" s="288"/>
      <c r="I2311" s="288"/>
      <c r="J2311" s="288"/>
      <c r="K2311" s="288"/>
      <c r="L2311" s="288"/>
      <c r="M2311" s="288"/>
      <c r="N2311" s="288"/>
    </row>
    <row r="2312" spans="5:14" x14ac:dyDescent="0.25">
      <c r="E2312" s="288"/>
      <c r="F2312" s="288"/>
      <c r="G2312" s="288"/>
      <c r="H2312" s="288"/>
      <c r="I2312" s="288"/>
      <c r="J2312" s="288"/>
      <c r="K2312" s="288"/>
      <c r="L2312" s="288"/>
      <c r="M2312" s="288"/>
      <c r="N2312" s="288"/>
    </row>
    <row r="2313" spans="5:14" x14ac:dyDescent="0.25">
      <c r="E2313" s="288"/>
      <c r="F2313" s="288"/>
      <c r="G2313" s="288"/>
      <c r="H2313" s="288"/>
      <c r="I2313" s="288"/>
      <c r="J2313" s="288"/>
      <c r="K2313" s="288"/>
      <c r="L2313" s="288"/>
      <c r="M2313" s="288"/>
      <c r="N2313" s="288"/>
    </row>
    <row r="2314" spans="5:14" x14ac:dyDescent="0.25">
      <c r="E2314" s="288"/>
      <c r="F2314" s="288"/>
      <c r="G2314" s="288"/>
      <c r="H2314" s="288"/>
      <c r="I2314" s="288"/>
      <c r="J2314" s="288"/>
      <c r="K2314" s="288"/>
      <c r="L2314" s="288"/>
      <c r="M2314" s="288"/>
      <c r="N2314" s="288"/>
    </row>
    <row r="2315" spans="5:14" x14ac:dyDescent="0.25">
      <c r="E2315" s="288"/>
      <c r="F2315" s="288"/>
      <c r="G2315" s="288"/>
      <c r="H2315" s="288"/>
      <c r="I2315" s="288"/>
      <c r="J2315" s="288"/>
      <c r="K2315" s="288"/>
      <c r="L2315" s="288"/>
      <c r="M2315" s="288"/>
      <c r="N2315" s="288"/>
    </row>
    <row r="2316" spans="5:14" x14ac:dyDescent="0.25">
      <c r="E2316" s="288"/>
      <c r="F2316" s="288"/>
      <c r="G2316" s="288"/>
      <c r="H2316" s="288"/>
      <c r="I2316" s="288"/>
      <c r="J2316" s="288"/>
      <c r="K2316" s="288"/>
      <c r="L2316" s="288"/>
      <c r="M2316" s="288"/>
      <c r="N2316" s="288"/>
    </row>
    <row r="2317" spans="5:14" x14ac:dyDescent="0.25">
      <c r="E2317" s="288"/>
      <c r="F2317" s="288"/>
      <c r="G2317" s="288"/>
      <c r="H2317" s="288"/>
      <c r="I2317" s="288"/>
      <c r="J2317" s="288"/>
      <c r="K2317" s="288"/>
      <c r="L2317" s="288"/>
      <c r="M2317" s="288"/>
      <c r="N2317" s="288"/>
    </row>
    <row r="2318" spans="5:14" x14ac:dyDescent="0.25">
      <c r="E2318" s="288"/>
      <c r="F2318" s="288"/>
      <c r="G2318" s="288"/>
      <c r="H2318" s="288"/>
      <c r="I2318" s="288"/>
      <c r="J2318" s="288"/>
      <c r="K2318" s="288"/>
      <c r="L2318" s="288"/>
      <c r="M2318" s="288"/>
      <c r="N2318" s="288"/>
    </row>
    <row r="2319" spans="5:14" x14ac:dyDescent="0.25">
      <c r="E2319" s="288"/>
      <c r="F2319" s="288"/>
      <c r="G2319" s="288"/>
      <c r="H2319" s="288"/>
      <c r="I2319" s="288"/>
      <c r="J2319" s="288"/>
      <c r="K2319" s="288"/>
      <c r="L2319" s="288"/>
      <c r="M2319" s="288"/>
      <c r="N2319" s="288"/>
    </row>
    <row r="2320" spans="5:14" x14ac:dyDescent="0.25">
      <c r="E2320" s="288"/>
      <c r="F2320" s="288"/>
      <c r="G2320" s="288"/>
      <c r="H2320" s="288"/>
      <c r="I2320" s="288"/>
      <c r="J2320" s="288"/>
      <c r="K2320" s="288"/>
      <c r="L2320" s="288"/>
      <c r="M2320" s="288"/>
      <c r="N2320" s="288"/>
    </row>
    <row r="2321" spans="5:14" x14ac:dyDescent="0.25">
      <c r="E2321" s="288"/>
      <c r="F2321" s="288"/>
      <c r="G2321" s="288"/>
      <c r="H2321" s="288"/>
      <c r="I2321" s="288"/>
      <c r="J2321" s="288"/>
      <c r="K2321" s="288"/>
      <c r="L2321" s="288"/>
      <c r="M2321" s="288"/>
      <c r="N2321" s="288"/>
    </row>
    <row r="2322" spans="5:14" x14ac:dyDescent="0.25">
      <c r="E2322" s="288"/>
      <c r="F2322" s="288"/>
      <c r="G2322" s="288"/>
      <c r="H2322" s="288"/>
      <c r="I2322" s="288"/>
      <c r="J2322" s="288"/>
      <c r="K2322" s="288"/>
      <c r="L2322" s="288"/>
      <c r="M2322" s="288"/>
      <c r="N2322" s="288"/>
    </row>
    <row r="2323" spans="5:14" x14ac:dyDescent="0.25">
      <c r="E2323" s="288"/>
      <c r="F2323" s="288"/>
      <c r="G2323" s="288"/>
      <c r="H2323" s="288"/>
      <c r="I2323" s="288"/>
      <c r="J2323" s="288"/>
      <c r="K2323" s="288"/>
      <c r="L2323" s="288"/>
      <c r="M2323" s="288"/>
      <c r="N2323" s="288"/>
    </row>
    <row r="2324" spans="5:14" x14ac:dyDescent="0.25">
      <c r="E2324" s="288"/>
      <c r="F2324" s="288"/>
      <c r="G2324" s="288"/>
      <c r="H2324" s="288"/>
      <c r="I2324" s="288"/>
      <c r="J2324" s="288"/>
      <c r="K2324" s="288"/>
      <c r="L2324" s="288"/>
      <c r="M2324" s="288"/>
      <c r="N2324" s="288"/>
    </row>
    <row r="2325" spans="5:14" x14ac:dyDescent="0.25">
      <c r="E2325" s="288"/>
      <c r="F2325" s="288"/>
      <c r="G2325" s="288"/>
      <c r="H2325" s="288"/>
      <c r="I2325" s="288"/>
      <c r="J2325" s="288"/>
      <c r="K2325" s="288"/>
      <c r="L2325" s="288"/>
      <c r="M2325" s="288"/>
      <c r="N2325" s="288"/>
    </row>
    <row r="2326" spans="5:14" x14ac:dyDescent="0.25">
      <c r="E2326" s="288"/>
      <c r="F2326" s="288"/>
      <c r="G2326" s="288"/>
      <c r="H2326" s="288"/>
      <c r="I2326" s="288"/>
      <c r="J2326" s="288"/>
      <c r="K2326" s="288"/>
      <c r="L2326" s="288"/>
      <c r="M2326" s="288"/>
      <c r="N2326" s="288"/>
    </row>
    <row r="2327" spans="5:14" x14ac:dyDescent="0.25">
      <c r="E2327" s="288"/>
      <c r="F2327" s="288"/>
      <c r="G2327" s="288"/>
      <c r="H2327" s="288"/>
      <c r="I2327" s="288"/>
      <c r="J2327" s="288"/>
      <c r="K2327" s="288"/>
      <c r="L2327" s="288"/>
      <c r="M2327" s="288"/>
      <c r="N2327" s="288"/>
    </row>
    <row r="2328" spans="5:14" x14ac:dyDescent="0.25">
      <c r="E2328" s="288"/>
      <c r="F2328" s="288"/>
      <c r="G2328" s="288"/>
      <c r="H2328" s="288"/>
      <c r="I2328" s="288"/>
      <c r="J2328" s="288"/>
      <c r="K2328" s="288"/>
      <c r="L2328" s="288"/>
      <c r="M2328" s="288"/>
      <c r="N2328" s="288"/>
    </row>
    <row r="2329" spans="5:14" x14ac:dyDescent="0.25">
      <c r="E2329" s="288"/>
      <c r="F2329" s="288"/>
      <c r="G2329" s="288"/>
      <c r="H2329" s="288"/>
      <c r="I2329" s="288"/>
      <c r="J2329" s="288"/>
      <c r="K2329" s="288"/>
      <c r="L2329" s="288"/>
      <c r="M2329" s="288"/>
      <c r="N2329" s="288"/>
    </row>
    <row r="2330" spans="5:14" x14ac:dyDescent="0.25">
      <c r="E2330" s="288"/>
      <c r="F2330" s="288"/>
      <c r="G2330" s="288"/>
      <c r="H2330" s="288"/>
      <c r="I2330" s="288"/>
      <c r="J2330" s="288"/>
      <c r="K2330" s="288"/>
      <c r="L2330" s="288"/>
      <c r="M2330" s="288"/>
      <c r="N2330" s="288"/>
    </row>
    <row r="2331" spans="5:14" x14ac:dyDescent="0.25">
      <c r="E2331" s="288"/>
      <c r="F2331" s="288"/>
      <c r="G2331" s="288"/>
      <c r="H2331" s="288"/>
      <c r="I2331" s="288"/>
      <c r="J2331" s="288"/>
      <c r="K2331" s="288"/>
      <c r="L2331" s="288"/>
      <c r="M2331" s="288"/>
      <c r="N2331" s="288"/>
    </row>
    <row r="2332" spans="5:14" x14ac:dyDescent="0.25">
      <c r="E2332" s="288"/>
      <c r="F2332" s="288"/>
      <c r="G2332" s="288"/>
      <c r="H2332" s="288"/>
      <c r="I2332" s="288"/>
      <c r="J2332" s="288"/>
      <c r="K2332" s="288"/>
      <c r="L2332" s="288"/>
      <c r="M2332" s="288"/>
      <c r="N2332" s="288"/>
    </row>
    <row r="2333" spans="5:14" x14ac:dyDescent="0.25">
      <c r="E2333" s="288"/>
      <c r="F2333" s="288"/>
      <c r="G2333" s="288"/>
      <c r="H2333" s="288"/>
      <c r="I2333" s="288"/>
      <c r="J2333" s="288"/>
      <c r="K2333" s="288"/>
      <c r="L2333" s="288"/>
      <c r="M2333" s="288"/>
      <c r="N2333" s="288"/>
    </row>
    <row r="2334" spans="5:14" x14ac:dyDescent="0.25">
      <c r="E2334" s="288"/>
      <c r="F2334" s="288"/>
      <c r="G2334" s="288"/>
      <c r="H2334" s="288"/>
      <c r="I2334" s="288"/>
      <c r="J2334" s="288"/>
      <c r="K2334" s="288"/>
      <c r="L2334" s="288"/>
      <c r="M2334" s="288"/>
      <c r="N2334" s="288"/>
    </row>
    <row r="2335" spans="5:14" x14ac:dyDescent="0.25">
      <c r="E2335" s="288"/>
      <c r="F2335" s="288"/>
      <c r="G2335" s="288"/>
      <c r="H2335" s="288"/>
      <c r="I2335" s="288"/>
      <c r="J2335" s="288"/>
      <c r="K2335" s="288"/>
      <c r="L2335" s="288"/>
      <c r="M2335" s="288"/>
      <c r="N2335" s="288"/>
    </row>
    <row r="2336" spans="5:14" x14ac:dyDescent="0.25">
      <c r="E2336" s="288"/>
      <c r="F2336" s="288"/>
      <c r="G2336" s="288"/>
      <c r="H2336" s="288"/>
      <c r="I2336" s="288"/>
      <c r="J2336" s="288"/>
      <c r="K2336" s="288"/>
      <c r="L2336" s="288"/>
      <c r="M2336" s="288"/>
      <c r="N2336" s="288"/>
    </row>
    <row r="2337" spans="5:14" x14ac:dyDescent="0.25">
      <c r="E2337" s="288"/>
      <c r="F2337" s="288"/>
      <c r="G2337" s="288"/>
      <c r="H2337" s="288"/>
      <c r="I2337" s="288"/>
      <c r="J2337" s="288"/>
      <c r="K2337" s="288"/>
      <c r="L2337" s="288"/>
      <c r="M2337" s="288"/>
      <c r="N2337" s="288"/>
    </row>
    <row r="2338" spans="5:14" x14ac:dyDescent="0.25">
      <c r="E2338" s="288"/>
      <c r="F2338" s="288"/>
      <c r="G2338" s="288"/>
      <c r="H2338" s="288"/>
      <c r="I2338" s="288"/>
      <c r="J2338" s="288"/>
      <c r="K2338" s="288"/>
      <c r="L2338" s="288"/>
      <c r="M2338" s="288"/>
      <c r="N2338" s="288"/>
    </row>
    <row r="2339" spans="5:14" x14ac:dyDescent="0.25">
      <c r="E2339" s="288"/>
      <c r="F2339" s="288"/>
      <c r="G2339" s="288"/>
      <c r="H2339" s="288"/>
      <c r="I2339" s="288"/>
      <c r="J2339" s="288"/>
      <c r="K2339" s="288"/>
      <c r="L2339" s="288"/>
      <c r="M2339" s="288"/>
      <c r="N2339" s="288"/>
    </row>
    <row r="2340" spans="5:14" x14ac:dyDescent="0.25">
      <c r="E2340" s="288"/>
      <c r="F2340" s="288"/>
      <c r="G2340" s="288"/>
      <c r="H2340" s="288"/>
      <c r="I2340" s="288"/>
      <c r="J2340" s="288"/>
      <c r="K2340" s="288"/>
      <c r="L2340" s="288"/>
      <c r="M2340" s="288"/>
      <c r="N2340" s="288"/>
    </row>
    <row r="2341" spans="5:14" x14ac:dyDescent="0.25">
      <c r="E2341" s="288"/>
      <c r="F2341" s="288"/>
      <c r="G2341" s="288"/>
      <c r="H2341" s="288"/>
      <c r="I2341" s="288"/>
      <c r="J2341" s="288"/>
      <c r="K2341" s="288"/>
      <c r="L2341" s="288"/>
      <c r="M2341" s="288"/>
      <c r="N2341" s="288"/>
    </row>
    <row r="2342" spans="5:14" x14ac:dyDescent="0.25">
      <c r="E2342" s="288"/>
      <c r="F2342" s="288"/>
      <c r="G2342" s="288"/>
      <c r="H2342" s="288"/>
      <c r="I2342" s="288"/>
      <c r="J2342" s="288"/>
      <c r="K2342" s="288"/>
      <c r="L2342" s="288"/>
      <c r="M2342" s="288"/>
      <c r="N2342" s="288"/>
    </row>
    <row r="2343" spans="5:14" x14ac:dyDescent="0.25">
      <c r="E2343" s="288"/>
      <c r="F2343" s="288"/>
      <c r="G2343" s="288"/>
      <c r="H2343" s="288"/>
      <c r="I2343" s="288"/>
      <c r="J2343" s="288"/>
      <c r="K2343" s="288"/>
      <c r="L2343" s="288"/>
      <c r="M2343" s="288"/>
      <c r="N2343" s="288"/>
    </row>
    <row r="2344" spans="5:14" x14ac:dyDescent="0.25">
      <c r="E2344" s="288"/>
      <c r="F2344" s="288"/>
      <c r="G2344" s="288"/>
      <c r="H2344" s="288"/>
      <c r="I2344" s="288"/>
      <c r="J2344" s="288"/>
      <c r="K2344" s="288"/>
      <c r="L2344" s="288"/>
      <c r="M2344" s="288"/>
      <c r="N2344" s="288"/>
    </row>
    <row r="2345" spans="5:14" x14ac:dyDescent="0.25">
      <c r="E2345" s="288"/>
      <c r="F2345" s="288"/>
      <c r="G2345" s="288"/>
      <c r="H2345" s="288"/>
      <c r="I2345" s="288"/>
      <c r="J2345" s="288"/>
      <c r="K2345" s="288"/>
      <c r="L2345" s="288"/>
      <c r="M2345" s="288"/>
      <c r="N2345" s="288"/>
    </row>
    <row r="2346" spans="5:14" x14ac:dyDescent="0.25">
      <c r="E2346" s="288"/>
      <c r="F2346" s="288"/>
      <c r="G2346" s="288"/>
      <c r="H2346" s="288"/>
      <c r="I2346" s="288"/>
      <c r="J2346" s="288"/>
      <c r="K2346" s="288"/>
      <c r="L2346" s="288"/>
      <c r="M2346" s="288"/>
      <c r="N2346" s="288"/>
    </row>
    <row r="2347" spans="5:14" x14ac:dyDescent="0.25">
      <c r="E2347" s="288"/>
      <c r="F2347" s="288"/>
      <c r="G2347" s="288"/>
      <c r="H2347" s="288"/>
      <c r="I2347" s="288"/>
      <c r="J2347" s="288"/>
      <c r="K2347" s="288"/>
      <c r="L2347" s="288"/>
      <c r="M2347" s="288"/>
      <c r="N2347" s="288"/>
    </row>
    <row r="2348" spans="5:14" x14ac:dyDescent="0.25">
      <c r="E2348" s="288"/>
      <c r="F2348" s="288"/>
      <c r="G2348" s="288"/>
      <c r="H2348" s="288"/>
      <c r="I2348" s="288"/>
      <c r="J2348" s="288"/>
      <c r="K2348" s="288"/>
      <c r="L2348" s="288"/>
      <c r="M2348" s="288"/>
      <c r="N2348" s="288"/>
    </row>
    <row r="2349" spans="5:14" x14ac:dyDescent="0.25">
      <c r="E2349" s="288"/>
      <c r="F2349" s="288"/>
      <c r="G2349" s="288"/>
      <c r="H2349" s="288"/>
      <c r="I2349" s="288"/>
      <c r="J2349" s="288"/>
      <c r="K2349" s="288"/>
      <c r="L2349" s="288"/>
      <c r="M2349" s="288"/>
      <c r="N2349" s="288"/>
    </row>
    <row r="2350" spans="5:14" x14ac:dyDescent="0.25">
      <c r="E2350" s="288"/>
      <c r="F2350" s="288"/>
      <c r="G2350" s="288"/>
      <c r="H2350" s="288"/>
      <c r="I2350" s="288"/>
      <c r="J2350" s="288"/>
      <c r="K2350" s="288"/>
      <c r="L2350" s="288"/>
      <c r="M2350" s="288"/>
      <c r="N2350" s="288"/>
    </row>
    <row r="2351" spans="5:14" x14ac:dyDescent="0.25">
      <c r="E2351" s="288"/>
      <c r="F2351" s="288"/>
      <c r="G2351" s="288"/>
      <c r="H2351" s="288"/>
      <c r="I2351" s="288"/>
      <c r="J2351" s="288"/>
      <c r="K2351" s="288"/>
      <c r="L2351" s="288"/>
      <c r="M2351" s="288"/>
      <c r="N2351" s="288"/>
    </row>
    <row r="2352" spans="5:14" x14ac:dyDescent="0.25">
      <c r="E2352" s="288"/>
      <c r="F2352" s="288"/>
      <c r="G2352" s="288"/>
      <c r="H2352" s="288"/>
      <c r="I2352" s="288"/>
      <c r="J2352" s="288"/>
      <c r="K2352" s="288"/>
      <c r="L2352" s="288"/>
      <c r="M2352" s="288"/>
      <c r="N2352" s="288"/>
    </row>
    <row r="2353" spans="5:14" x14ac:dyDescent="0.25">
      <c r="E2353" s="288"/>
      <c r="F2353" s="288"/>
      <c r="G2353" s="288"/>
      <c r="H2353" s="288"/>
      <c r="I2353" s="288"/>
      <c r="J2353" s="288"/>
      <c r="K2353" s="288"/>
      <c r="L2353" s="288"/>
      <c r="M2353" s="288"/>
      <c r="N2353" s="288"/>
    </row>
  </sheetData>
  <mergeCells count="1">
    <mergeCell ref="F3:N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5"/>
  <sheetViews>
    <sheetView zoomScaleNormal="100" workbookViewId="0">
      <pane xSplit="2" ySplit="4" topLeftCell="C209" activePane="bottomRight" state="frozen"/>
      <selection pane="topRight" activeCell="C1" sqref="C1"/>
      <selection pane="bottomLeft" activeCell="A5" sqref="A5"/>
      <selection pane="bottomRight" activeCell="A3" sqref="A3"/>
    </sheetView>
  </sheetViews>
  <sheetFormatPr defaultRowHeight="15" x14ac:dyDescent="0.25"/>
  <cols>
    <col min="1" max="1" width="25.28515625" customWidth="1"/>
    <col min="2" max="2" width="17" bestFit="1" customWidth="1"/>
    <col min="3" max="3" width="14.85546875" style="368" customWidth="1"/>
    <col min="4" max="4" width="46.7109375" style="368" customWidth="1"/>
    <col min="5" max="5" width="12.7109375" style="369" customWidth="1"/>
    <col min="6" max="14" width="12.7109375" style="370" customWidth="1"/>
    <col min="15" max="15" width="9.140625" style="333"/>
  </cols>
  <sheetData>
    <row r="1" spans="1:15" ht="15.75" x14ac:dyDescent="0.25">
      <c r="A1" s="48" t="s">
        <v>0</v>
      </c>
    </row>
    <row r="2" spans="1:15" ht="15.75" x14ac:dyDescent="0.25">
      <c r="A2" s="48" t="s">
        <v>4627</v>
      </c>
    </row>
    <row r="3" spans="1:15" x14ac:dyDescent="0.25">
      <c r="A3" s="23"/>
      <c r="B3" s="17"/>
      <c r="C3" s="17"/>
      <c r="D3" s="17"/>
      <c r="E3" s="286" t="s">
        <v>29</v>
      </c>
      <c r="F3" s="480" t="s">
        <v>30</v>
      </c>
      <c r="G3" s="480"/>
      <c r="H3" s="480"/>
      <c r="I3" s="480"/>
      <c r="J3" s="480"/>
      <c r="K3" s="480"/>
      <c r="L3" s="480"/>
      <c r="M3" s="480"/>
      <c r="N3" s="480"/>
    </row>
    <row r="4" spans="1:15" x14ac:dyDescent="0.25">
      <c r="A4" s="18" t="s">
        <v>3226</v>
      </c>
      <c r="B4" s="18" t="s">
        <v>3223</v>
      </c>
      <c r="C4" s="18" t="s">
        <v>3222</v>
      </c>
      <c r="D4" s="18" t="s">
        <v>85</v>
      </c>
      <c r="E4" s="287" t="s">
        <v>4411</v>
      </c>
      <c r="F4" s="26">
        <v>2018</v>
      </c>
      <c r="G4" s="26">
        <v>2019</v>
      </c>
      <c r="H4" s="26">
        <v>2020</v>
      </c>
      <c r="I4" s="26">
        <v>2021</v>
      </c>
      <c r="J4" s="26">
        <v>2022</v>
      </c>
      <c r="K4" s="26">
        <v>2023</v>
      </c>
      <c r="L4" s="26">
        <v>2024</v>
      </c>
      <c r="M4" s="26">
        <v>2025</v>
      </c>
      <c r="N4" s="26">
        <v>2026</v>
      </c>
    </row>
    <row r="5" spans="1:15" x14ac:dyDescent="0.25">
      <c r="A5" s="16"/>
      <c r="B5" s="16"/>
      <c r="C5" s="19" t="s">
        <v>3232</v>
      </c>
      <c r="D5" s="371"/>
      <c r="E5" s="372"/>
      <c r="F5" s="372"/>
      <c r="G5" s="372"/>
      <c r="H5" s="372"/>
      <c r="I5" s="372"/>
      <c r="J5" s="372"/>
      <c r="K5" s="372"/>
      <c r="L5" s="372"/>
      <c r="M5" s="372"/>
      <c r="N5" s="372"/>
    </row>
    <row r="6" spans="1:15" x14ac:dyDescent="0.25">
      <c r="A6" s="16"/>
      <c r="B6" s="16"/>
      <c r="C6" s="19" t="s">
        <v>3319</v>
      </c>
      <c r="D6" s="371"/>
      <c r="E6" s="372"/>
      <c r="F6" s="372">
        <v>1500000</v>
      </c>
      <c r="G6" s="372">
        <v>1200000</v>
      </c>
      <c r="H6" s="372">
        <v>1000000</v>
      </c>
      <c r="I6" s="372">
        <v>1000000</v>
      </c>
      <c r="J6" s="372">
        <v>1000000</v>
      </c>
      <c r="K6" s="372">
        <v>800000</v>
      </c>
      <c r="L6" s="372">
        <v>800000</v>
      </c>
      <c r="M6" s="372">
        <v>800000</v>
      </c>
      <c r="N6" s="372">
        <v>800000</v>
      </c>
    </row>
    <row r="7" spans="1:15" x14ac:dyDescent="0.25">
      <c r="A7" s="16"/>
      <c r="B7" s="16"/>
      <c r="C7" s="373" t="s">
        <v>3320</v>
      </c>
      <c r="D7" s="373" t="s">
        <v>3321</v>
      </c>
      <c r="E7" s="374"/>
      <c r="F7" s="374"/>
      <c r="G7" s="374"/>
      <c r="H7" s="374"/>
      <c r="I7" s="374"/>
      <c r="J7" s="374"/>
      <c r="K7" s="374"/>
      <c r="L7" s="374"/>
      <c r="M7" s="374"/>
      <c r="N7" s="374"/>
    </row>
    <row r="8" spans="1:15" x14ac:dyDescent="0.25">
      <c r="A8" s="16"/>
      <c r="B8" s="16"/>
      <c r="C8" s="373" t="s">
        <v>3322</v>
      </c>
      <c r="D8" s="373" t="s">
        <v>3522</v>
      </c>
      <c r="E8" s="372">
        <v>39800</v>
      </c>
      <c r="F8" s="376">
        <f>ROUND($F$6*$O8,-2)</f>
        <v>33200</v>
      </c>
      <c r="G8" s="376">
        <f>ROUND($G$6*$O8,-2)</f>
        <v>26500</v>
      </c>
      <c r="H8" s="376">
        <f>ROUND($H$6*$O8,-2)</f>
        <v>22100</v>
      </c>
      <c r="I8" s="376">
        <f>ROUND($I$6*$O8,-2)</f>
        <v>22100</v>
      </c>
      <c r="J8" s="376">
        <f>ROUND($J$6*$O8,-2)</f>
        <v>22100</v>
      </c>
      <c r="K8" s="376">
        <f>ROUND($K$6*$O8,-2)</f>
        <v>17700</v>
      </c>
      <c r="L8" s="376">
        <f>ROUND($L$6*$O8,-2)</f>
        <v>17700</v>
      </c>
      <c r="M8" s="376">
        <f>ROUND($M$6*$O8,-2)</f>
        <v>17700</v>
      </c>
      <c r="N8" s="376">
        <f>ROUND($N$6*$O8,-2)</f>
        <v>17700</v>
      </c>
      <c r="O8" s="333">
        <f>E8/$E$75</f>
        <v>2.2111111111111113E-2</v>
      </c>
    </row>
    <row r="9" spans="1:15" x14ac:dyDescent="0.25">
      <c r="A9" s="16"/>
      <c r="B9" s="16"/>
      <c r="C9" s="373" t="s">
        <v>3324</v>
      </c>
      <c r="D9" s="373" t="s">
        <v>962</v>
      </c>
      <c r="E9" s="372">
        <v>10500</v>
      </c>
      <c r="F9" s="376">
        <f t="shared" ref="F9:F72" si="0">ROUND($F$6*$O9,-2)</f>
        <v>8800</v>
      </c>
      <c r="G9" s="376">
        <f t="shared" ref="G9:G72" si="1">ROUND($G$6*$O9,-2)</f>
        <v>7000</v>
      </c>
      <c r="H9" s="376">
        <f t="shared" ref="H9:H72" si="2">ROUND($H$6*$O9,-2)</f>
        <v>5800</v>
      </c>
      <c r="I9" s="376">
        <f t="shared" ref="I9:I72" si="3">ROUND($I$6*$O9,-2)</f>
        <v>5800</v>
      </c>
      <c r="J9" s="376">
        <f t="shared" ref="J9:J72" si="4">ROUND($J$6*$O9,-2)</f>
        <v>5800</v>
      </c>
      <c r="K9" s="376">
        <f t="shared" ref="K9:K72" si="5">ROUND($K$6*$O9,-2)</f>
        <v>4700</v>
      </c>
      <c r="L9" s="376">
        <f t="shared" ref="L9:L72" si="6">ROUND($L$6*$O9,-2)</f>
        <v>4700</v>
      </c>
      <c r="M9" s="376">
        <f t="shared" ref="M9:M72" si="7">ROUND($M$6*$O9,-2)</f>
        <v>4700</v>
      </c>
      <c r="N9" s="376">
        <f t="shared" ref="N9:N72" si="8">ROUND($N$6*$O9,-2)</f>
        <v>4700</v>
      </c>
      <c r="O9" s="333">
        <f t="shared" ref="O9:O72" si="9">E9/$E$75</f>
        <v>5.8333333333333336E-3</v>
      </c>
    </row>
    <row r="10" spans="1:15" x14ac:dyDescent="0.25">
      <c r="A10" s="16"/>
      <c r="B10" s="16"/>
      <c r="C10" s="373"/>
      <c r="D10" s="373" t="s">
        <v>3519</v>
      </c>
      <c r="E10" s="372">
        <v>14400</v>
      </c>
      <c r="F10" s="376">
        <f t="shared" si="0"/>
        <v>12000</v>
      </c>
      <c r="G10" s="376">
        <f t="shared" si="1"/>
        <v>9600</v>
      </c>
      <c r="H10" s="376">
        <f t="shared" si="2"/>
        <v>8000</v>
      </c>
      <c r="I10" s="376">
        <f t="shared" si="3"/>
        <v>8000</v>
      </c>
      <c r="J10" s="376">
        <f t="shared" si="4"/>
        <v>8000</v>
      </c>
      <c r="K10" s="376">
        <f t="shared" si="5"/>
        <v>6400</v>
      </c>
      <c r="L10" s="376">
        <f t="shared" si="6"/>
        <v>6400</v>
      </c>
      <c r="M10" s="376">
        <f t="shared" si="7"/>
        <v>6400</v>
      </c>
      <c r="N10" s="376">
        <f t="shared" si="8"/>
        <v>6400</v>
      </c>
      <c r="O10" s="333">
        <f t="shared" si="9"/>
        <v>8.0000000000000002E-3</v>
      </c>
    </row>
    <row r="11" spans="1:15" x14ac:dyDescent="0.25">
      <c r="A11" s="16"/>
      <c r="B11" s="16"/>
      <c r="C11" s="373"/>
      <c r="D11" s="373" t="s">
        <v>3520</v>
      </c>
      <c r="E11" s="372">
        <v>200</v>
      </c>
      <c r="F11" s="376">
        <f t="shared" si="0"/>
        <v>200</v>
      </c>
      <c r="G11" s="376">
        <f t="shared" si="1"/>
        <v>100</v>
      </c>
      <c r="H11" s="376">
        <f t="shared" si="2"/>
        <v>100</v>
      </c>
      <c r="I11" s="376">
        <f t="shared" si="3"/>
        <v>100</v>
      </c>
      <c r="J11" s="376">
        <f t="shared" si="4"/>
        <v>100</v>
      </c>
      <c r="K11" s="376">
        <f t="shared" si="5"/>
        <v>100</v>
      </c>
      <c r="L11" s="376">
        <f t="shared" si="6"/>
        <v>100</v>
      </c>
      <c r="M11" s="376">
        <f t="shared" si="7"/>
        <v>100</v>
      </c>
      <c r="N11" s="376">
        <f t="shared" si="8"/>
        <v>100</v>
      </c>
      <c r="O11" s="333">
        <f t="shared" si="9"/>
        <v>1.1111111111111112E-4</v>
      </c>
    </row>
    <row r="12" spans="1:15" x14ac:dyDescent="0.25">
      <c r="A12" s="16"/>
      <c r="B12" s="16"/>
      <c r="C12" s="373" t="s">
        <v>3325</v>
      </c>
      <c r="D12" s="373" t="s">
        <v>3326</v>
      </c>
      <c r="E12" s="372">
        <v>15300</v>
      </c>
      <c r="F12" s="376">
        <f t="shared" si="0"/>
        <v>12800</v>
      </c>
      <c r="G12" s="376">
        <f t="shared" si="1"/>
        <v>10200</v>
      </c>
      <c r="H12" s="376">
        <f t="shared" si="2"/>
        <v>8500</v>
      </c>
      <c r="I12" s="376">
        <f t="shared" si="3"/>
        <v>8500</v>
      </c>
      <c r="J12" s="376">
        <f t="shared" si="4"/>
        <v>8500</v>
      </c>
      <c r="K12" s="376">
        <f t="shared" si="5"/>
        <v>6800</v>
      </c>
      <c r="L12" s="376">
        <f t="shared" si="6"/>
        <v>6800</v>
      </c>
      <c r="M12" s="376">
        <f t="shared" si="7"/>
        <v>6800</v>
      </c>
      <c r="N12" s="376">
        <f t="shared" si="8"/>
        <v>6800</v>
      </c>
      <c r="O12" s="333">
        <f t="shared" si="9"/>
        <v>8.5000000000000006E-3</v>
      </c>
    </row>
    <row r="13" spans="1:15" x14ac:dyDescent="0.25">
      <c r="A13" s="16"/>
      <c r="B13" s="16"/>
      <c r="C13" s="373" t="s">
        <v>3327</v>
      </c>
      <c r="D13" s="373" t="s">
        <v>3328</v>
      </c>
      <c r="E13" s="372">
        <v>60500</v>
      </c>
      <c r="F13" s="376">
        <f t="shared" si="0"/>
        <v>50400</v>
      </c>
      <c r="G13" s="376">
        <f t="shared" si="1"/>
        <v>40300</v>
      </c>
      <c r="H13" s="376">
        <f t="shared" si="2"/>
        <v>33600</v>
      </c>
      <c r="I13" s="376">
        <f t="shared" si="3"/>
        <v>33600</v>
      </c>
      <c r="J13" s="376">
        <f t="shared" si="4"/>
        <v>33600</v>
      </c>
      <c r="K13" s="376">
        <f t="shared" si="5"/>
        <v>26900</v>
      </c>
      <c r="L13" s="376">
        <f t="shared" si="6"/>
        <v>26900</v>
      </c>
      <c r="M13" s="376">
        <f t="shared" si="7"/>
        <v>26900</v>
      </c>
      <c r="N13" s="376">
        <f t="shared" si="8"/>
        <v>26900</v>
      </c>
      <c r="O13" s="333">
        <f t="shared" si="9"/>
        <v>3.3611111111111112E-2</v>
      </c>
    </row>
    <row r="14" spans="1:15" x14ac:dyDescent="0.25">
      <c r="A14" s="16"/>
      <c r="B14" s="16"/>
      <c r="C14" s="373"/>
      <c r="D14" s="373" t="s">
        <v>3521</v>
      </c>
      <c r="E14" s="372">
        <v>800</v>
      </c>
      <c r="F14" s="376">
        <f t="shared" si="0"/>
        <v>700</v>
      </c>
      <c r="G14" s="376">
        <f t="shared" si="1"/>
        <v>500</v>
      </c>
      <c r="H14" s="376">
        <f t="shared" si="2"/>
        <v>400</v>
      </c>
      <c r="I14" s="376">
        <f t="shared" si="3"/>
        <v>400</v>
      </c>
      <c r="J14" s="376">
        <f t="shared" si="4"/>
        <v>400</v>
      </c>
      <c r="K14" s="376">
        <f t="shared" si="5"/>
        <v>400</v>
      </c>
      <c r="L14" s="376">
        <f t="shared" si="6"/>
        <v>400</v>
      </c>
      <c r="M14" s="376">
        <f t="shared" si="7"/>
        <v>400</v>
      </c>
      <c r="N14" s="376">
        <f t="shared" si="8"/>
        <v>400</v>
      </c>
      <c r="O14" s="333">
        <f t="shared" si="9"/>
        <v>4.4444444444444447E-4</v>
      </c>
    </row>
    <row r="15" spans="1:15" x14ac:dyDescent="0.25">
      <c r="A15" s="16"/>
      <c r="B15" s="16"/>
      <c r="C15" s="373"/>
      <c r="D15" s="373" t="s">
        <v>3346</v>
      </c>
      <c r="E15" s="372">
        <v>8400</v>
      </c>
      <c r="F15" s="376">
        <f t="shared" si="0"/>
        <v>7000</v>
      </c>
      <c r="G15" s="376">
        <f t="shared" si="1"/>
        <v>5600</v>
      </c>
      <c r="H15" s="376">
        <f t="shared" si="2"/>
        <v>4700</v>
      </c>
      <c r="I15" s="376">
        <f t="shared" si="3"/>
        <v>4700</v>
      </c>
      <c r="J15" s="376">
        <f t="shared" si="4"/>
        <v>4700</v>
      </c>
      <c r="K15" s="376">
        <f t="shared" si="5"/>
        <v>3700</v>
      </c>
      <c r="L15" s="376">
        <f t="shared" si="6"/>
        <v>3700</v>
      </c>
      <c r="M15" s="376">
        <f t="shared" si="7"/>
        <v>3700</v>
      </c>
      <c r="N15" s="376">
        <f t="shared" si="8"/>
        <v>3700</v>
      </c>
      <c r="O15" s="333">
        <f t="shared" si="9"/>
        <v>4.6666666666666671E-3</v>
      </c>
    </row>
    <row r="16" spans="1:15" x14ac:dyDescent="0.25">
      <c r="A16" s="16"/>
      <c r="B16" s="16"/>
      <c r="C16" s="373" t="s">
        <v>3329</v>
      </c>
      <c r="D16" s="373" t="s">
        <v>3330</v>
      </c>
      <c r="E16" s="374"/>
      <c r="F16" s="374"/>
      <c r="G16" s="374"/>
      <c r="H16" s="374"/>
      <c r="I16" s="374"/>
      <c r="J16" s="374"/>
      <c r="K16" s="374"/>
      <c r="L16" s="374"/>
      <c r="M16" s="374"/>
      <c r="N16" s="374"/>
      <c r="O16" s="333">
        <f t="shared" si="9"/>
        <v>0</v>
      </c>
    </row>
    <row r="17" spans="1:15" x14ac:dyDescent="0.25">
      <c r="A17" s="16"/>
      <c r="B17" s="16"/>
      <c r="C17" s="373" t="s">
        <v>3331</v>
      </c>
      <c r="D17" s="373" t="s">
        <v>3323</v>
      </c>
      <c r="E17" s="372">
        <v>163700</v>
      </c>
      <c r="F17" s="376">
        <f t="shared" si="0"/>
        <v>136400</v>
      </c>
      <c r="G17" s="376">
        <f t="shared" si="1"/>
        <v>109100</v>
      </c>
      <c r="H17" s="376">
        <f t="shared" si="2"/>
        <v>90900</v>
      </c>
      <c r="I17" s="376">
        <f t="shared" si="3"/>
        <v>90900</v>
      </c>
      <c r="J17" s="376">
        <f t="shared" si="4"/>
        <v>90900</v>
      </c>
      <c r="K17" s="376">
        <f t="shared" si="5"/>
        <v>72800</v>
      </c>
      <c r="L17" s="376">
        <f t="shared" si="6"/>
        <v>72800</v>
      </c>
      <c r="M17" s="376">
        <f t="shared" si="7"/>
        <v>72800</v>
      </c>
      <c r="N17" s="376">
        <f t="shared" si="8"/>
        <v>72800</v>
      </c>
      <c r="O17" s="333">
        <f t="shared" si="9"/>
        <v>9.0944444444444439E-2</v>
      </c>
    </row>
    <row r="18" spans="1:15" x14ac:dyDescent="0.25">
      <c r="A18" s="16"/>
      <c r="B18" s="16"/>
      <c r="C18" s="373" t="s">
        <v>3332</v>
      </c>
      <c r="D18" s="373" t="s">
        <v>962</v>
      </c>
      <c r="E18" s="372">
        <v>14000</v>
      </c>
      <c r="F18" s="376">
        <f t="shared" si="0"/>
        <v>11700</v>
      </c>
      <c r="G18" s="376">
        <f t="shared" si="1"/>
        <v>9300</v>
      </c>
      <c r="H18" s="376">
        <f t="shared" si="2"/>
        <v>7800</v>
      </c>
      <c r="I18" s="376">
        <f t="shared" si="3"/>
        <v>7800</v>
      </c>
      <c r="J18" s="376">
        <f t="shared" si="4"/>
        <v>7800</v>
      </c>
      <c r="K18" s="376">
        <f t="shared" si="5"/>
        <v>6200</v>
      </c>
      <c r="L18" s="376">
        <f t="shared" si="6"/>
        <v>6200</v>
      </c>
      <c r="M18" s="376">
        <f t="shared" si="7"/>
        <v>6200</v>
      </c>
      <c r="N18" s="376">
        <f t="shared" si="8"/>
        <v>6200</v>
      </c>
      <c r="O18" s="333">
        <f t="shared" si="9"/>
        <v>7.7777777777777776E-3</v>
      </c>
    </row>
    <row r="19" spans="1:15" x14ac:dyDescent="0.25">
      <c r="A19" s="16"/>
      <c r="B19" s="16"/>
      <c r="C19" s="373"/>
      <c r="D19" s="373" t="s">
        <v>3518</v>
      </c>
      <c r="E19" s="372">
        <v>68000</v>
      </c>
      <c r="F19" s="376">
        <f t="shared" si="0"/>
        <v>56700</v>
      </c>
      <c r="G19" s="376">
        <f t="shared" si="1"/>
        <v>45300</v>
      </c>
      <c r="H19" s="376">
        <f t="shared" si="2"/>
        <v>37800</v>
      </c>
      <c r="I19" s="376">
        <f t="shared" si="3"/>
        <v>37800</v>
      </c>
      <c r="J19" s="376">
        <f t="shared" si="4"/>
        <v>37800</v>
      </c>
      <c r="K19" s="376">
        <f t="shared" si="5"/>
        <v>30200</v>
      </c>
      <c r="L19" s="376">
        <f t="shared" si="6"/>
        <v>30200</v>
      </c>
      <c r="M19" s="376">
        <f t="shared" si="7"/>
        <v>30200</v>
      </c>
      <c r="N19" s="376">
        <f t="shared" si="8"/>
        <v>30200</v>
      </c>
      <c r="O19" s="333">
        <f t="shared" si="9"/>
        <v>3.7777777777777778E-2</v>
      </c>
    </row>
    <row r="20" spans="1:15" x14ac:dyDescent="0.25">
      <c r="A20" s="16"/>
      <c r="B20" s="16"/>
      <c r="C20" s="373"/>
      <c r="D20" s="373" t="s">
        <v>3519</v>
      </c>
      <c r="E20" s="372">
        <v>36600</v>
      </c>
      <c r="F20" s="376">
        <f t="shared" si="0"/>
        <v>30500</v>
      </c>
      <c r="G20" s="376">
        <f t="shared" si="1"/>
        <v>24400</v>
      </c>
      <c r="H20" s="376">
        <f t="shared" si="2"/>
        <v>20300</v>
      </c>
      <c r="I20" s="376">
        <f t="shared" si="3"/>
        <v>20300</v>
      </c>
      <c r="J20" s="376">
        <f t="shared" si="4"/>
        <v>20300</v>
      </c>
      <c r="K20" s="376">
        <f t="shared" si="5"/>
        <v>16300</v>
      </c>
      <c r="L20" s="376">
        <f t="shared" si="6"/>
        <v>16300</v>
      </c>
      <c r="M20" s="376">
        <f t="shared" si="7"/>
        <v>16300</v>
      </c>
      <c r="N20" s="376">
        <f t="shared" si="8"/>
        <v>16300</v>
      </c>
      <c r="O20" s="333">
        <f t="shared" si="9"/>
        <v>2.0333333333333332E-2</v>
      </c>
    </row>
    <row r="21" spans="1:15" x14ac:dyDescent="0.25">
      <c r="A21" s="16"/>
      <c r="B21" s="16"/>
      <c r="C21" s="373"/>
      <c r="D21" s="373" t="s">
        <v>3520</v>
      </c>
      <c r="E21" s="372">
        <v>100</v>
      </c>
      <c r="F21" s="376">
        <f t="shared" si="0"/>
        <v>100</v>
      </c>
      <c r="G21" s="376">
        <f t="shared" si="1"/>
        <v>100</v>
      </c>
      <c r="H21" s="376">
        <f t="shared" si="2"/>
        <v>100</v>
      </c>
      <c r="I21" s="376">
        <f t="shared" si="3"/>
        <v>100</v>
      </c>
      <c r="J21" s="376">
        <f t="shared" si="4"/>
        <v>100</v>
      </c>
      <c r="K21" s="376">
        <f t="shared" si="5"/>
        <v>0</v>
      </c>
      <c r="L21" s="376">
        <f t="shared" si="6"/>
        <v>0</v>
      </c>
      <c r="M21" s="376">
        <f t="shared" si="7"/>
        <v>0</v>
      </c>
      <c r="N21" s="376">
        <f t="shared" si="8"/>
        <v>0</v>
      </c>
      <c r="O21" s="333">
        <f t="shared" si="9"/>
        <v>5.5555555555555558E-5</v>
      </c>
    </row>
    <row r="22" spans="1:15" x14ac:dyDescent="0.25">
      <c r="A22" s="16"/>
      <c r="B22" s="16"/>
      <c r="C22" s="373" t="s">
        <v>3333</v>
      </c>
      <c r="D22" s="373" t="s">
        <v>3326</v>
      </c>
      <c r="E22" s="372">
        <v>65900</v>
      </c>
      <c r="F22" s="376">
        <f t="shared" si="0"/>
        <v>54900</v>
      </c>
      <c r="G22" s="376">
        <f t="shared" si="1"/>
        <v>43900</v>
      </c>
      <c r="H22" s="376">
        <f t="shared" si="2"/>
        <v>36600</v>
      </c>
      <c r="I22" s="376">
        <f t="shared" si="3"/>
        <v>36600</v>
      </c>
      <c r="J22" s="376">
        <f t="shared" si="4"/>
        <v>36600</v>
      </c>
      <c r="K22" s="376">
        <f t="shared" si="5"/>
        <v>29300</v>
      </c>
      <c r="L22" s="376">
        <f t="shared" si="6"/>
        <v>29300</v>
      </c>
      <c r="M22" s="376">
        <f t="shared" si="7"/>
        <v>29300</v>
      </c>
      <c r="N22" s="376">
        <f t="shared" si="8"/>
        <v>29300</v>
      </c>
      <c r="O22" s="333">
        <f t="shared" si="9"/>
        <v>3.6611111111111108E-2</v>
      </c>
    </row>
    <row r="23" spans="1:15" x14ac:dyDescent="0.25">
      <c r="A23" s="16"/>
      <c r="B23" s="16"/>
      <c r="C23" s="373" t="s">
        <v>3334</v>
      </c>
      <c r="D23" s="373" t="s">
        <v>3328</v>
      </c>
      <c r="E23" s="372">
        <v>210000</v>
      </c>
      <c r="F23" s="376">
        <f t="shared" si="0"/>
        <v>175000</v>
      </c>
      <c r="G23" s="376">
        <f t="shared" si="1"/>
        <v>140000</v>
      </c>
      <c r="H23" s="376">
        <f t="shared" si="2"/>
        <v>116700</v>
      </c>
      <c r="I23" s="376">
        <f t="shared" si="3"/>
        <v>116700</v>
      </c>
      <c r="J23" s="376">
        <f t="shared" si="4"/>
        <v>116700</v>
      </c>
      <c r="K23" s="376">
        <f t="shared" si="5"/>
        <v>93300</v>
      </c>
      <c r="L23" s="376">
        <f t="shared" si="6"/>
        <v>93300</v>
      </c>
      <c r="M23" s="376">
        <f t="shared" si="7"/>
        <v>93300</v>
      </c>
      <c r="N23" s="376">
        <f t="shared" si="8"/>
        <v>93300</v>
      </c>
      <c r="O23" s="333">
        <f t="shared" si="9"/>
        <v>0.11666666666666667</v>
      </c>
    </row>
    <row r="24" spans="1:15" x14ac:dyDescent="0.25">
      <c r="A24" s="16"/>
      <c r="B24" s="16"/>
      <c r="C24" s="373"/>
      <c r="D24" s="373" t="s">
        <v>3521</v>
      </c>
      <c r="E24" s="372">
        <v>900</v>
      </c>
      <c r="F24" s="376">
        <f t="shared" si="0"/>
        <v>800</v>
      </c>
      <c r="G24" s="376">
        <f t="shared" si="1"/>
        <v>600</v>
      </c>
      <c r="H24" s="376">
        <f t="shared" si="2"/>
        <v>500</v>
      </c>
      <c r="I24" s="376">
        <f t="shared" si="3"/>
        <v>500</v>
      </c>
      <c r="J24" s="376">
        <f t="shared" si="4"/>
        <v>500</v>
      </c>
      <c r="K24" s="376">
        <f t="shared" si="5"/>
        <v>400</v>
      </c>
      <c r="L24" s="376">
        <f t="shared" si="6"/>
        <v>400</v>
      </c>
      <c r="M24" s="376">
        <f t="shared" si="7"/>
        <v>400</v>
      </c>
      <c r="N24" s="376">
        <f t="shared" si="8"/>
        <v>400</v>
      </c>
      <c r="O24" s="333">
        <f t="shared" si="9"/>
        <v>5.0000000000000001E-4</v>
      </c>
    </row>
    <row r="25" spans="1:15" x14ac:dyDescent="0.25">
      <c r="A25" s="16"/>
      <c r="B25" s="16"/>
      <c r="C25" s="373"/>
      <c r="D25" s="373" t="s">
        <v>3346</v>
      </c>
      <c r="E25" s="372">
        <v>7000</v>
      </c>
      <c r="F25" s="376">
        <f t="shared" si="0"/>
        <v>5800</v>
      </c>
      <c r="G25" s="376">
        <f t="shared" si="1"/>
        <v>4700</v>
      </c>
      <c r="H25" s="376">
        <f t="shared" si="2"/>
        <v>3900</v>
      </c>
      <c r="I25" s="376">
        <f t="shared" si="3"/>
        <v>3900</v>
      </c>
      <c r="J25" s="376">
        <f t="shared" si="4"/>
        <v>3900</v>
      </c>
      <c r="K25" s="376">
        <f t="shared" si="5"/>
        <v>3100</v>
      </c>
      <c r="L25" s="376">
        <f t="shared" si="6"/>
        <v>3100</v>
      </c>
      <c r="M25" s="376">
        <f t="shared" si="7"/>
        <v>3100</v>
      </c>
      <c r="N25" s="376">
        <f t="shared" si="8"/>
        <v>3100</v>
      </c>
      <c r="O25" s="333">
        <f t="shared" si="9"/>
        <v>3.8888888888888888E-3</v>
      </c>
    </row>
    <row r="26" spans="1:15" x14ac:dyDescent="0.25">
      <c r="A26" s="16"/>
      <c r="B26" s="16"/>
      <c r="C26" s="373" t="s">
        <v>3335</v>
      </c>
      <c r="D26" s="373" t="s">
        <v>3336</v>
      </c>
      <c r="E26" s="374"/>
      <c r="F26" s="374"/>
      <c r="G26" s="374"/>
      <c r="H26" s="374"/>
      <c r="I26" s="374"/>
      <c r="J26" s="374"/>
      <c r="K26" s="374"/>
      <c r="L26" s="374"/>
      <c r="M26" s="374"/>
      <c r="N26" s="374"/>
      <c r="O26" s="333">
        <f t="shared" si="9"/>
        <v>0</v>
      </c>
    </row>
    <row r="27" spans="1:15" x14ac:dyDescent="0.25">
      <c r="A27" s="16"/>
      <c r="B27" s="16"/>
      <c r="C27" s="373" t="s">
        <v>3337</v>
      </c>
      <c r="D27" s="373" t="s">
        <v>3323</v>
      </c>
      <c r="E27" s="372">
        <v>36100</v>
      </c>
      <c r="F27" s="376">
        <f t="shared" si="0"/>
        <v>30100</v>
      </c>
      <c r="G27" s="376">
        <f t="shared" si="1"/>
        <v>24100</v>
      </c>
      <c r="H27" s="376">
        <f t="shared" si="2"/>
        <v>20100</v>
      </c>
      <c r="I27" s="376">
        <f t="shared" si="3"/>
        <v>20100</v>
      </c>
      <c r="J27" s="376">
        <f t="shared" si="4"/>
        <v>20100</v>
      </c>
      <c r="K27" s="376">
        <f t="shared" si="5"/>
        <v>16000</v>
      </c>
      <c r="L27" s="376">
        <f t="shared" si="6"/>
        <v>16000</v>
      </c>
      <c r="M27" s="376">
        <f t="shared" si="7"/>
        <v>16000</v>
      </c>
      <c r="N27" s="376">
        <f t="shared" si="8"/>
        <v>16000</v>
      </c>
      <c r="O27" s="333">
        <f t="shared" si="9"/>
        <v>2.0055555555555556E-2</v>
      </c>
    </row>
    <row r="28" spans="1:15" x14ac:dyDescent="0.25">
      <c r="A28" s="16"/>
      <c r="B28" s="16"/>
      <c r="C28" s="373" t="s">
        <v>3338</v>
      </c>
      <c r="D28" s="373" t="s">
        <v>962</v>
      </c>
      <c r="E28" s="372">
        <v>14800</v>
      </c>
      <c r="F28" s="376">
        <f t="shared" si="0"/>
        <v>12300</v>
      </c>
      <c r="G28" s="376">
        <f t="shared" si="1"/>
        <v>9900</v>
      </c>
      <c r="H28" s="376">
        <f t="shared" si="2"/>
        <v>8200</v>
      </c>
      <c r="I28" s="376">
        <f t="shared" si="3"/>
        <v>8200</v>
      </c>
      <c r="J28" s="376">
        <f t="shared" si="4"/>
        <v>8200</v>
      </c>
      <c r="K28" s="376">
        <f t="shared" si="5"/>
        <v>6600</v>
      </c>
      <c r="L28" s="376">
        <f t="shared" si="6"/>
        <v>6600</v>
      </c>
      <c r="M28" s="376">
        <f t="shared" si="7"/>
        <v>6600</v>
      </c>
      <c r="N28" s="376">
        <f t="shared" si="8"/>
        <v>6600</v>
      </c>
      <c r="O28" s="333">
        <f t="shared" si="9"/>
        <v>8.2222222222222228E-3</v>
      </c>
    </row>
    <row r="29" spans="1:15" x14ac:dyDescent="0.25">
      <c r="A29" s="16"/>
      <c r="B29" s="16"/>
      <c r="C29" s="373"/>
      <c r="D29" s="373" t="s">
        <v>3519</v>
      </c>
      <c r="E29" s="372">
        <v>5200</v>
      </c>
      <c r="F29" s="376">
        <f t="shared" si="0"/>
        <v>4300</v>
      </c>
      <c r="G29" s="376">
        <f t="shared" si="1"/>
        <v>3500</v>
      </c>
      <c r="H29" s="376">
        <f t="shared" si="2"/>
        <v>2900</v>
      </c>
      <c r="I29" s="376">
        <f t="shared" si="3"/>
        <v>2900</v>
      </c>
      <c r="J29" s="376">
        <f t="shared" si="4"/>
        <v>2900</v>
      </c>
      <c r="K29" s="376">
        <f t="shared" si="5"/>
        <v>2300</v>
      </c>
      <c r="L29" s="376">
        <f t="shared" si="6"/>
        <v>2300</v>
      </c>
      <c r="M29" s="376">
        <f t="shared" si="7"/>
        <v>2300</v>
      </c>
      <c r="N29" s="376">
        <f t="shared" si="8"/>
        <v>2300</v>
      </c>
      <c r="O29" s="333">
        <f t="shared" si="9"/>
        <v>2.8888888888888888E-3</v>
      </c>
    </row>
    <row r="30" spans="1:15" x14ac:dyDescent="0.25">
      <c r="A30" s="16"/>
      <c r="B30" s="16"/>
      <c r="C30" s="373"/>
      <c r="D30" s="373" t="s">
        <v>3520</v>
      </c>
      <c r="E30" s="372">
        <v>400</v>
      </c>
      <c r="F30" s="376">
        <f t="shared" si="0"/>
        <v>300</v>
      </c>
      <c r="G30" s="376">
        <f t="shared" si="1"/>
        <v>300</v>
      </c>
      <c r="H30" s="376">
        <f t="shared" si="2"/>
        <v>200</v>
      </c>
      <c r="I30" s="376">
        <f t="shared" si="3"/>
        <v>200</v>
      </c>
      <c r="J30" s="376">
        <f t="shared" si="4"/>
        <v>200</v>
      </c>
      <c r="K30" s="376">
        <f t="shared" si="5"/>
        <v>200</v>
      </c>
      <c r="L30" s="376">
        <f t="shared" si="6"/>
        <v>200</v>
      </c>
      <c r="M30" s="376">
        <f t="shared" si="7"/>
        <v>200</v>
      </c>
      <c r="N30" s="376">
        <f t="shared" si="8"/>
        <v>200</v>
      </c>
      <c r="O30" s="333">
        <f t="shared" si="9"/>
        <v>2.2222222222222223E-4</v>
      </c>
    </row>
    <row r="31" spans="1:15" x14ac:dyDescent="0.25">
      <c r="A31" s="16"/>
      <c r="B31" s="16"/>
      <c r="C31" s="373" t="s">
        <v>3339</v>
      </c>
      <c r="D31" s="373" t="s">
        <v>3326</v>
      </c>
      <c r="E31" s="372">
        <v>5300</v>
      </c>
      <c r="F31" s="376">
        <f t="shared" si="0"/>
        <v>4400</v>
      </c>
      <c r="G31" s="376">
        <f t="shared" si="1"/>
        <v>3500</v>
      </c>
      <c r="H31" s="376">
        <f t="shared" si="2"/>
        <v>2900</v>
      </c>
      <c r="I31" s="376">
        <f t="shared" si="3"/>
        <v>2900</v>
      </c>
      <c r="J31" s="376">
        <f t="shared" si="4"/>
        <v>2900</v>
      </c>
      <c r="K31" s="376">
        <f t="shared" si="5"/>
        <v>2400</v>
      </c>
      <c r="L31" s="376">
        <f t="shared" si="6"/>
        <v>2400</v>
      </c>
      <c r="M31" s="376">
        <f t="shared" si="7"/>
        <v>2400</v>
      </c>
      <c r="N31" s="376">
        <f t="shared" si="8"/>
        <v>2400</v>
      </c>
      <c r="O31" s="333">
        <f t="shared" si="9"/>
        <v>2.9444444444444444E-3</v>
      </c>
    </row>
    <row r="32" spans="1:15" x14ac:dyDescent="0.25">
      <c r="A32" s="16"/>
      <c r="B32" s="16"/>
      <c r="C32" s="373"/>
      <c r="D32" s="373" t="s">
        <v>3521</v>
      </c>
      <c r="E32" s="372">
        <v>900</v>
      </c>
      <c r="F32" s="376">
        <f t="shared" si="0"/>
        <v>800</v>
      </c>
      <c r="G32" s="376">
        <f t="shared" si="1"/>
        <v>600</v>
      </c>
      <c r="H32" s="376">
        <f t="shared" si="2"/>
        <v>500</v>
      </c>
      <c r="I32" s="376">
        <f t="shared" si="3"/>
        <v>500</v>
      </c>
      <c r="J32" s="376">
        <f t="shared" si="4"/>
        <v>500</v>
      </c>
      <c r="K32" s="376">
        <f t="shared" si="5"/>
        <v>400</v>
      </c>
      <c r="L32" s="376">
        <f t="shared" si="6"/>
        <v>400</v>
      </c>
      <c r="M32" s="376">
        <f t="shared" si="7"/>
        <v>400</v>
      </c>
      <c r="N32" s="376">
        <f t="shared" si="8"/>
        <v>400</v>
      </c>
      <c r="O32" s="333">
        <f t="shared" si="9"/>
        <v>5.0000000000000001E-4</v>
      </c>
    </row>
    <row r="33" spans="1:15" x14ac:dyDescent="0.25">
      <c r="A33" s="16"/>
      <c r="B33" s="16"/>
      <c r="C33" s="373"/>
      <c r="D33" s="373" t="s">
        <v>3346</v>
      </c>
      <c r="E33" s="372">
        <v>7300</v>
      </c>
      <c r="F33" s="376">
        <f t="shared" si="0"/>
        <v>6100</v>
      </c>
      <c r="G33" s="376">
        <f t="shared" si="1"/>
        <v>4900</v>
      </c>
      <c r="H33" s="376">
        <f t="shared" si="2"/>
        <v>4100</v>
      </c>
      <c r="I33" s="376">
        <f t="shared" si="3"/>
        <v>4100</v>
      </c>
      <c r="J33" s="376">
        <f t="shared" si="4"/>
        <v>4100</v>
      </c>
      <c r="K33" s="376">
        <f t="shared" si="5"/>
        <v>3200</v>
      </c>
      <c r="L33" s="376">
        <f t="shared" si="6"/>
        <v>3200</v>
      </c>
      <c r="M33" s="376">
        <f t="shared" si="7"/>
        <v>3200</v>
      </c>
      <c r="N33" s="376">
        <f t="shared" si="8"/>
        <v>3200</v>
      </c>
      <c r="O33" s="333">
        <f t="shared" si="9"/>
        <v>4.0555555555555553E-3</v>
      </c>
    </row>
    <row r="34" spans="1:15" x14ac:dyDescent="0.25">
      <c r="A34" s="16"/>
      <c r="B34" s="16"/>
      <c r="C34" s="373" t="s">
        <v>3340</v>
      </c>
      <c r="D34" s="373" t="s">
        <v>3328</v>
      </c>
      <c r="E34" s="372">
        <v>1200</v>
      </c>
      <c r="F34" s="376">
        <f t="shared" si="0"/>
        <v>1000</v>
      </c>
      <c r="G34" s="376">
        <f t="shared" si="1"/>
        <v>800</v>
      </c>
      <c r="H34" s="376">
        <f t="shared" si="2"/>
        <v>700</v>
      </c>
      <c r="I34" s="376">
        <f t="shared" si="3"/>
        <v>700</v>
      </c>
      <c r="J34" s="376">
        <f t="shared" si="4"/>
        <v>700</v>
      </c>
      <c r="K34" s="376">
        <f t="shared" si="5"/>
        <v>500</v>
      </c>
      <c r="L34" s="376">
        <f t="shared" si="6"/>
        <v>500</v>
      </c>
      <c r="M34" s="376">
        <f t="shared" si="7"/>
        <v>500</v>
      </c>
      <c r="N34" s="376">
        <f t="shared" si="8"/>
        <v>500</v>
      </c>
      <c r="O34" s="333">
        <f t="shared" si="9"/>
        <v>6.6666666666666664E-4</v>
      </c>
    </row>
    <row r="35" spans="1:15" x14ac:dyDescent="0.25">
      <c r="A35" s="16"/>
      <c r="B35" s="16"/>
      <c r="C35" s="373" t="s">
        <v>3341</v>
      </c>
      <c r="D35" s="373" t="s">
        <v>3342</v>
      </c>
      <c r="E35" s="374"/>
      <c r="F35" s="374">
        <f t="shared" ref="F35:N35" si="10">E35</f>
        <v>0</v>
      </c>
      <c r="G35" s="374">
        <f t="shared" si="10"/>
        <v>0</v>
      </c>
      <c r="H35" s="374">
        <f t="shared" si="10"/>
        <v>0</v>
      </c>
      <c r="I35" s="374">
        <f t="shared" si="10"/>
        <v>0</v>
      </c>
      <c r="J35" s="374">
        <f t="shared" si="10"/>
        <v>0</v>
      </c>
      <c r="K35" s="374">
        <f t="shared" si="10"/>
        <v>0</v>
      </c>
      <c r="L35" s="374">
        <f t="shared" si="10"/>
        <v>0</v>
      </c>
      <c r="M35" s="374">
        <f t="shared" si="10"/>
        <v>0</v>
      </c>
      <c r="N35" s="374">
        <f t="shared" si="10"/>
        <v>0</v>
      </c>
      <c r="O35" s="333">
        <f t="shared" si="9"/>
        <v>0</v>
      </c>
    </row>
    <row r="36" spans="1:15" x14ac:dyDescent="0.25">
      <c r="A36" s="16"/>
      <c r="B36" s="16"/>
      <c r="C36" s="373" t="s">
        <v>3343</v>
      </c>
      <c r="D36" s="373" t="s">
        <v>3323</v>
      </c>
      <c r="E36" s="372">
        <v>283000</v>
      </c>
      <c r="F36" s="376">
        <f t="shared" si="0"/>
        <v>235800</v>
      </c>
      <c r="G36" s="376">
        <f t="shared" si="1"/>
        <v>188700</v>
      </c>
      <c r="H36" s="376">
        <f t="shared" si="2"/>
        <v>157200</v>
      </c>
      <c r="I36" s="376">
        <f t="shared" si="3"/>
        <v>157200</v>
      </c>
      <c r="J36" s="376">
        <f t="shared" si="4"/>
        <v>157200</v>
      </c>
      <c r="K36" s="376">
        <f t="shared" si="5"/>
        <v>125800</v>
      </c>
      <c r="L36" s="376">
        <f t="shared" si="6"/>
        <v>125800</v>
      </c>
      <c r="M36" s="376">
        <f t="shared" si="7"/>
        <v>125800</v>
      </c>
      <c r="N36" s="376">
        <f t="shared" si="8"/>
        <v>125800</v>
      </c>
      <c r="O36" s="333">
        <f t="shared" si="9"/>
        <v>0.15722222222222224</v>
      </c>
    </row>
    <row r="37" spans="1:15" x14ac:dyDescent="0.25">
      <c r="A37" s="16"/>
      <c r="B37" s="16"/>
      <c r="C37" s="373" t="s">
        <v>3344</v>
      </c>
      <c r="D37" s="373" t="s">
        <v>962</v>
      </c>
      <c r="E37" s="372">
        <v>85900</v>
      </c>
      <c r="F37" s="376">
        <f t="shared" si="0"/>
        <v>71600</v>
      </c>
      <c r="G37" s="376">
        <f t="shared" si="1"/>
        <v>57300</v>
      </c>
      <c r="H37" s="376">
        <f t="shared" si="2"/>
        <v>47700</v>
      </c>
      <c r="I37" s="376">
        <f t="shared" si="3"/>
        <v>47700</v>
      </c>
      <c r="J37" s="376">
        <f t="shared" si="4"/>
        <v>47700</v>
      </c>
      <c r="K37" s="376">
        <f t="shared" si="5"/>
        <v>38200</v>
      </c>
      <c r="L37" s="376">
        <f t="shared" si="6"/>
        <v>38200</v>
      </c>
      <c r="M37" s="376">
        <f t="shared" si="7"/>
        <v>38200</v>
      </c>
      <c r="N37" s="376">
        <f t="shared" si="8"/>
        <v>38200</v>
      </c>
      <c r="O37" s="333">
        <f t="shared" si="9"/>
        <v>4.7722222222222221E-2</v>
      </c>
    </row>
    <row r="38" spans="1:15" x14ac:dyDescent="0.25">
      <c r="A38" s="16"/>
      <c r="B38" s="16"/>
      <c r="C38" s="373"/>
      <c r="D38" s="373" t="s">
        <v>3519</v>
      </c>
      <c r="E38" s="372">
        <v>77100</v>
      </c>
      <c r="F38" s="376">
        <f t="shared" si="0"/>
        <v>64300</v>
      </c>
      <c r="G38" s="376">
        <f t="shared" si="1"/>
        <v>51400</v>
      </c>
      <c r="H38" s="376">
        <f t="shared" si="2"/>
        <v>42800</v>
      </c>
      <c r="I38" s="376">
        <f t="shared" si="3"/>
        <v>42800</v>
      </c>
      <c r="J38" s="376">
        <f t="shared" si="4"/>
        <v>42800</v>
      </c>
      <c r="K38" s="376">
        <f t="shared" si="5"/>
        <v>34300</v>
      </c>
      <c r="L38" s="376">
        <f t="shared" si="6"/>
        <v>34300</v>
      </c>
      <c r="M38" s="376">
        <f t="shared" si="7"/>
        <v>34300</v>
      </c>
      <c r="N38" s="376">
        <f t="shared" si="8"/>
        <v>34300</v>
      </c>
      <c r="O38" s="333">
        <f t="shared" si="9"/>
        <v>4.2833333333333334E-2</v>
      </c>
    </row>
    <row r="39" spans="1:15" x14ac:dyDescent="0.25">
      <c r="A39" s="16"/>
      <c r="B39" s="16"/>
      <c r="C39" s="373"/>
      <c r="D39" s="373" t="s">
        <v>3524</v>
      </c>
      <c r="E39" s="372">
        <v>8700</v>
      </c>
      <c r="F39" s="376">
        <f t="shared" si="0"/>
        <v>7300</v>
      </c>
      <c r="G39" s="376">
        <f t="shared" si="1"/>
        <v>5800</v>
      </c>
      <c r="H39" s="376">
        <f t="shared" si="2"/>
        <v>4800</v>
      </c>
      <c r="I39" s="376">
        <f t="shared" si="3"/>
        <v>4800</v>
      </c>
      <c r="J39" s="376">
        <f t="shared" si="4"/>
        <v>4800</v>
      </c>
      <c r="K39" s="376">
        <f t="shared" si="5"/>
        <v>3900</v>
      </c>
      <c r="L39" s="376">
        <f t="shared" si="6"/>
        <v>3900</v>
      </c>
      <c r="M39" s="376">
        <f t="shared" si="7"/>
        <v>3900</v>
      </c>
      <c r="N39" s="376">
        <f t="shared" si="8"/>
        <v>3900</v>
      </c>
      <c r="O39" s="333">
        <f t="shared" si="9"/>
        <v>4.8333333333333336E-3</v>
      </c>
    </row>
    <row r="40" spans="1:15" x14ac:dyDescent="0.25">
      <c r="A40" s="16"/>
      <c r="B40" s="16"/>
      <c r="C40" s="373"/>
      <c r="D40" s="373" t="s">
        <v>3326</v>
      </c>
      <c r="E40" s="372">
        <v>67100</v>
      </c>
      <c r="F40" s="376">
        <f t="shared" si="0"/>
        <v>55900</v>
      </c>
      <c r="G40" s="376">
        <f t="shared" si="1"/>
        <v>44700</v>
      </c>
      <c r="H40" s="376">
        <f t="shared" si="2"/>
        <v>37300</v>
      </c>
      <c r="I40" s="376">
        <f t="shared" si="3"/>
        <v>37300</v>
      </c>
      <c r="J40" s="376">
        <f t="shared" si="4"/>
        <v>37300</v>
      </c>
      <c r="K40" s="376">
        <f t="shared" si="5"/>
        <v>29800</v>
      </c>
      <c r="L40" s="376">
        <f t="shared" si="6"/>
        <v>29800</v>
      </c>
      <c r="M40" s="376">
        <f t="shared" si="7"/>
        <v>29800</v>
      </c>
      <c r="N40" s="376">
        <f t="shared" si="8"/>
        <v>29800</v>
      </c>
      <c r="O40" s="333">
        <f t="shared" si="9"/>
        <v>3.7277777777777778E-2</v>
      </c>
    </row>
    <row r="41" spans="1:15" x14ac:dyDescent="0.25">
      <c r="A41" s="16"/>
      <c r="B41" s="16"/>
      <c r="C41" s="373"/>
      <c r="D41" s="373" t="s">
        <v>3521</v>
      </c>
      <c r="E41" s="372">
        <v>21800</v>
      </c>
      <c r="F41" s="376">
        <f t="shared" si="0"/>
        <v>18200</v>
      </c>
      <c r="G41" s="376">
        <f t="shared" si="1"/>
        <v>14500</v>
      </c>
      <c r="H41" s="376">
        <f t="shared" si="2"/>
        <v>12100</v>
      </c>
      <c r="I41" s="376">
        <f t="shared" si="3"/>
        <v>12100</v>
      </c>
      <c r="J41" s="376">
        <f t="shared" si="4"/>
        <v>12100</v>
      </c>
      <c r="K41" s="376">
        <f t="shared" si="5"/>
        <v>9700</v>
      </c>
      <c r="L41" s="376">
        <f t="shared" si="6"/>
        <v>9700</v>
      </c>
      <c r="M41" s="376">
        <f t="shared" si="7"/>
        <v>9700</v>
      </c>
      <c r="N41" s="376">
        <f t="shared" si="8"/>
        <v>9700</v>
      </c>
      <c r="O41" s="333">
        <f t="shared" si="9"/>
        <v>1.2111111111111111E-2</v>
      </c>
    </row>
    <row r="42" spans="1:15" x14ac:dyDescent="0.25">
      <c r="A42" s="16"/>
      <c r="B42" s="16"/>
      <c r="C42" s="373" t="s">
        <v>3345</v>
      </c>
      <c r="D42" s="373" t="s">
        <v>3346</v>
      </c>
      <c r="E42" s="372">
        <v>90700</v>
      </c>
      <c r="F42" s="376">
        <f t="shared" si="0"/>
        <v>75600</v>
      </c>
      <c r="G42" s="376">
        <f t="shared" si="1"/>
        <v>60500</v>
      </c>
      <c r="H42" s="376">
        <f t="shared" si="2"/>
        <v>50400</v>
      </c>
      <c r="I42" s="376">
        <f t="shared" si="3"/>
        <v>50400</v>
      </c>
      <c r="J42" s="376">
        <f t="shared" si="4"/>
        <v>50400</v>
      </c>
      <c r="K42" s="376">
        <f t="shared" si="5"/>
        <v>40300</v>
      </c>
      <c r="L42" s="376">
        <f t="shared" si="6"/>
        <v>40300</v>
      </c>
      <c r="M42" s="376">
        <f t="shared" si="7"/>
        <v>40300</v>
      </c>
      <c r="N42" s="376">
        <f t="shared" si="8"/>
        <v>40300</v>
      </c>
      <c r="O42" s="333">
        <f t="shared" si="9"/>
        <v>5.0388888888888886E-2</v>
      </c>
    </row>
    <row r="43" spans="1:15" x14ac:dyDescent="0.25">
      <c r="A43" s="16"/>
      <c r="B43" s="16"/>
      <c r="C43" s="373" t="s">
        <v>3347</v>
      </c>
      <c r="D43" s="373" t="s">
        <v>3348</v>
      </c>
      <c r="E43" s="372">
        <v>38200</v>
      </c>
      <c r="F43" s="376">
        <f t="shared" si="0"/>
        <v>31800</v>
      </c>
      <c r="G43" s="376">
        <f t="shared" si="1"/>
        <v>25500</v>
      </c>
      <c r="H43" s="376">
        <f t="shared" si="2"/>
        <v>21200</v>
      </c>
      <c r="I43" s="376">
        <f t="shared" si="3"/>
        <v>21200</v>
      </c>
      <c r="J43" s="376">
        <f t="shared" si="4"/>
        <v>21200</v>
      </c>
      <c r="K43" s="376">
        <f t="shared" si="5"/>
        <v>17000</v>
      </c>
      <c r="L43" s="376">
        <f t="shared" si="6"/>
        <v>17000</v>
      </c>
      <c r="M43" s="376">
        <f t="shared" si="7"/>
        <v>17000</v>
      </c>
      <c r="N43" s="376">
        <f t="shared" si="8"/>
        <v>17000</v>
      </c>
      <c r="O43" s="333">
        <f t="shared" si="9"/>
        <v>2.1222222222222222E-2</v>
      </c>
    </row>
    <row r="44" spans="1:15" x14ac:dyDescent="0.25">
      <c r="A44" s="16"/>
      <c r="B44" s="16"/>
      <c r="C44" s="373" t="s">
        <v>3349</v>
      </c>
      <c r="D44" s="373" t="s">
        <v>3350</v>
      </c>
      <c r="E44" s="372">
        <v>0</v>
      </c>
      <c r="F44" s="376">
        <f t="shared" si="0"/>
        <v>0</v>
      </c>
      <c r="G44" s="376">
        <f t="shared" si="1"/>
        <v>0</v>
      </c>
      <c r="H44" s="376">
        <f t="shared" si="2"/>
        <v>0</v>
      </c>
      <c r="I44" s="376">
        <f t="shared" si="3"/>
        <v>0</v>
      </c>
      <c r="J44" s="376">
        <f t="shared" si="4"/>
        <v>0</v>
      </c>
      <c r="K44" s="376">
        <f t="shared" si="5"/>
        <v>0</v>
      </c>
      <c r="L44" s="376">
        <f t="shared" si="6"/>
        <v>0</v>
      </c>
      <c r="M44" s="376">
        <f t="shared" si="7"/>
        <v>0</v>
      </c>
      <c r="N44" s="376">
        <f t="shared" si="8"/>
        <v>0</v>
      </c>
      <c r="O44" s="333">
        <f t="shared" si="9"/>
        <v>0</v>
      </c>
    </row>
    <row r="45" spans="1:15" x14ac:dyDescent="0.25">
      <c r="A45" s="16"/>
      <c r="B45" s="16"/>
      <c r="C45" s="373"/>
      <c r="D45" s="373" t="s">
        <v>3525</v>
      </c>
      <c r="E45" s="372">
        <v>3500</v>
      </c>
      <c r="F45" s="376">
        <f t="shared" si="0"/>
        <v>2900</v>
      </c>
      <c r="G45" s="376">
        <f t="shared" si="1"/>
        <v>2300</v>
      </c>
      <c r="H45" s="376">
        <f t="shared" si="2"/>
        <v>1900</v>
      </c>
      <c r="I45" s="376">
        <f t="shared" si="3"/>
        <v>1900</v>
      </c>
      <c r="J45" s="376">
        <f t="shared" si="4"/>
        <v>1900</v>
      </c>
      <c r="K45" s="376">
        <f t="shared" si="5"/>
        <v>1600</v>
      </c>
      <c r="L45" s="376">
        <f t="shared" si="6"/>
        <v>1600</v>
      </c>
      <c r="M45" s="376">
        <f t="shared" si="7"/>
        <v>1600</v>
      </c>
      <c r="N45" s="376">
        <f t="shared" si="8"/>
        <v>1600</v>
      </c>
      <c r="O45" s="333">
        <f t="shared" si="9"/>
        <v>1.9444444444444444E-3</v>
      </c>
    </row>
    <row r="46" spans="1:15" x14ac:dyDescent="0.25">
      <c r="A46" s="16"/>
      <c r="B46" s="16"/>
      <c r="C46" s="373"/>
      <c r="D46" s="373" t="s">
        <v>3526</v>
      </c>
      <c r="E46" s="372">
        <v>300</v>
      </c>
      <c r="F46" s="376">
        <f t="shared" si="0"/>
        <v>300</v>
      </c>
      <c r="G46" s="376">
        <f t="shared" si="1"/>
        <v>200</v>
      </c>
      <c r="H46" s="376">
        <f t="shared" si="2"/>
        <v>200</v>
      </c>
      <c r="I46" s="376">
        <f t="shared" si="3"/>
        <v>200</v>
      </c>
      <c r="J46" s="376">
        <f t="shared" si="4"/>
        <v>200</v>
      </c>
      <c r="K46" s="376">
        <f t="shared" si="5"/>
        <v>100</v>
      </c>
      <c r="L46" s="376">
        <f t="shared" si="6"/>
        <v>100</v>
      </c>
      <c r="M46" s="376">
        <f t="shared" si="7"/>
        <v>100</v>
      </c>
      <c r="N46" s="376">
        <f t="shared" si="8"/>
        <v>100</v>
      </c>
      <c r="O46" s="333">
        <f t="shared" si="9"/>
        <v>1.6666666666666666E-4</v>
      </c>
    </row>
    <row r="47" spans="1:15" x14ac:dyDescent="0.25">
      <c r="A47" s="16"/>
      <c r="B47" s="16"/>
      <c r="C47" s="373"/>
      <c r="D47" s="373" t="s">
        <v>3527</v>
      </c>
      <c r="E47" s="372">
        <v>0</v>
      </c>
      <c r="F47" s="376">
        <f t="shared" si="0"/>
        <v>0</v>
      </c>
      <c r="G47" s="376">
        <f t="shared" si="1"/>
        <v>0</v>
      </c>
      <c r="H47" s="376">
        <f t="shared" si="2"/>
        <v>0</v>
      </c>
      <c r="I47" s="376">
        <f t="shared" si="3"/>
        <v>0</v>
      </c>
      <c r="J47" s="376">
        <f t="shared" si="4"/>
        <v>0</v>
      </c>
      <c r="K47" s="376">
        <f t="shared" si="5"/>
        <v>0</v>
      </c>
      <c r="L47" s="376">
        <f t="shared" si="6"/>
        <v>0</v>
      </c>
      <c r="M47" s="376">
        <f t="shared" si="7"/>
        <v>0</v>
      </c>
      <c r="N47" s="376">
        <f t="shared" si="8"/>
        <v>0</v>
      </c>
      <c r="O47" s="333">
        <f t="shared" si="9"/>
        <v>0</v>
      </c>
    </row>
    <row r="48" spans="1:15" x14ac:dyDescent="0.25">
      <c r="A48" s="16"/>
      <c r="B48" s="16"/>
      <c r="C48" s="373"/>
      <c r="D48" s="373" t="s">
        <v>3528</v>
      </c>
      <c r="E48" s="372">
        <v>1800</v>
      </c>
      <c r="F48" s="376">
        <f t="shared" si="0"/>
        <v>1500</v>
      </c>
      <c r="G48" s="376">
        <f t="shared" si="1"/>
        <v>1200</v>
      </c>
      <c r="H48" s="376">
        <f t="shared" si="2"/>
        <v>1000</v>
      </c>
      <c r="I48" s="376">
        <f t="shared" si="3"/>
        <v>1000</v>
      </c>
      <c r="J48" s="376">
        <f t="shared" si="4"/>
        <v>1000</v>
      </c>
      <c r="K48" s="376">
        <f t="shared" si="5"/>
        <v>800</v>
      </c>
      <c r="L48" s="376">
        <f t="shared" si="6"/>
        <v>800</v>
      </c>
      <c r="M48" s="376">
        <f t="shared" si="7"/>
        <v>800</v>
      </c>
      <c r="N48" s="376">
        <f t="shared" si="8"/>
        <v>800</v>
      </c>
      <c r="O48" s="333">
        <f t="shared" si="9"/>
        <v>1E-3</v>
      </c>
    </row>
    <row r="49" spans="1:15" x14ac:dyDescent="0.25">
      <c r="A49" s="16"/>
      <c r="B49" s="16"/>
      <c r="C49" s="373"/>
      <c r="D49" s="373" t="s">
        <v>3523</v>
      </c>
      <c r="E49" s="374"/>
      <c r="F49" s="374"/>
      <c r="G49" s="374"/>
      <c r="H49" s="374"/>
      <c r="I49" s="374"/>
      <c r="J49" s="374"/>
      <c r="K49" s="374"/>
      <c r="L49" s="374"/>
      <c r="M49" s="374"/>
      <c r="N49" s="374"/>
      <c r="O49" s="333">
        <f t="shared" si="9"/>
        <v>0</v>
      </c>
    </row>
    <row r="50" spans="1:15" x14ac:dyDescent="0.25">
      <c r="A50" s="16"/>
      <c r="B50" s="16"/>
      <c r="C50" s="373"/>
      <c r="D50" s="373" t="s">
        <v>3323</v>
      </c>
      <c r="E50" s="372">
        <v>37000</v>
      </c>
      <c r="F50" s="376">
        <f t="shared" si="0"/>
        <v>30800</v>
      </c>
      <c r="G50" s="376">
        <f t="shared" si="1"/>
        <v>24700</v>
      </c>
      <c r="H50" s="376">
        <f t="shared" si="2"/>
        <v>20600</v>
      </c>
      <c r="I50" s="376">
        <f t="shared" si="3"/>
        <v>20600</v>
      </c>
      <c r="J50" s="376">
        <f t="shared" si="4"/>
        <v>20600</v>
      </c>
      <c r="K50" s="376">
        <f t="shared" si="5"/>
        <v>16400</v>
      </c>
      <c r="L50" s="376">
        <f t="shared" si="6"/>
        <v>16400</v>
      </c>
      <c r="M50" s="376">
        <f t="shared" si="7"/>
        <v>16400</v>
      </c>
      <c r="N50" s="376">
        <f t="shared" si="8"/>
        <v>16400</v>
      </c>
      <c r="O50" s="333">
        <f t="shared" si="9"/>
        <v>2.0555555555555556E-2</v>
      </c>
    </row>
    <row r="51" spans="1:15" x14ac:dyDescent="0.25">
      <c r="A51" s="16"/>
      <c r="B51" s="16"/>
      <c r="C51" s="373"/>
      <c r="D51" s="373" t="s">
        <v>962</v>
      </c>
      <c r="E51" s="372">
        <v>4300</v>
      </c>
      <c r="F51" s="376">
        <f t="shared" si="0"/>
        <v>3600</v>
      </c>
      <c r="G51" s="376">
        <f t="shared" si="1"/>
        <v>2900</v>
      </c>
      <c r="H51" s="376">
        <f t="shared" si="2"/>
        <v>2400</v>
      </c>
      <c r="I51" s="376">
        <f t="shared" si="3"/>
        <v>2400</v>
      </c>
      <c r="J51" s="376">
        <f t="shared" si="4"/>
        <v>2400</v>
      </c>
      <c r="K51" s="376">
        <f t="shared" si="5"/>
        <v>1900</v>
      </c>
      <c r="L51" s="376">
        <f t="shared" si="6"/>
        <v>1900</v>
      </c>
      <c r="M51" s="376">
        <f t="shared" si="7"/>
        <v>1900</v>
      </c>
      <c r="N51" s="376">
        <f t="shared" si="8"/>
        <v>1900</v>
      </c>
      <c r="O51" s="333">
        <f t="shared" si="9"/>
        <v>2.3888888888888887E-3</v>
      </c>
    </row>
    <row r="52" spans="1:15" x14ac:dyDescent="0.25">
      <c r="A52" s="16"/>
      <c r="B52" s="16"/>
      <c r="C52" s="373"/>
      <c r="D52" s="373" t="s">
        <v>3519</v>
      </c>
      <c r="E52" s="372">
        <v>5400</v>
      </c>
      <c r="F52" s="376">
        <f t="shared" si="0"/>
        <v>4500</v>
      </c>
      <c r="G52" s="376">
        <f t="shared" si="1"/>
        <v>3600</v>
      </c>
      <c r="H52" s="376">
        <f t="shared" si="2"/>
        <v>3000</v>
      </c>
      <c r="I52" s="376">
        <f t="shared" si="3"/>
        <v>3000</v>
      </c>
      <c r="J52" s="376">
        <f t="shared" si="4"/>
        <v>3000</v>
      </c>
      <c r="K52" s="376">
        <f t="shared" si="5"/>
        <v>2400</v>
      </c>
      <c r="L52" s="376">
        <f t="shared" si="6"/>
        <v>2400</v>
      </c>
      <c r="M52" s="376">
        <f t="shared" si="7"/>
        <v>2400</v>
      </c>
      <c r="N52" s="376">
        <f t="shared" si="8"/>
        <v>2400</v>
      </c>
      <c r="O52" s="333">
        <f t="shared" si="9"/>
        <v>3.0000000000000001E-3</v>
      </c>
    </row>
    <row r="53" spans="1:15" x14ac:dyDescent="0.25">
      <c r="A53" s="16"/>
      <c r="B53" s="16"/>
      <c r="C53" s="373"/>
      <c r="D53" s="373" t="s">
        <v>3520</v>
      </c>
      <c r="E53" s="372">
        <v>0</v>
      </c>
      <c r="F53" s="376">
        <f t="shared" si="0"/>
        <v>0</v>
      </c>
      <c r="G53" s="376">
        <f t="shared" si="1"/>
        <v>0</v>
      </c>
      <c r="H53" s="376">
        <f t="shared" si="2"/>
        <v>0</v>
      </c>
      <c r="I53" s="376">
        <f t="shared" si="3"/>
        <v>0</v>
      </c>
      <c r="J53" s="376">
        <f t="shared" si="4"/>
        <v>0</v>
      </c>
      <c r="K53" s="376">
        <f t="shared" si="5"/>
        <v>0</v>
      </c>
      <c r="L53" s="376">
        <f t="shared" si="6"/>
        <v>0</v>
      </c>
      <c r="M53" s="376">
        <f t="shared" si="7"/>
        <v>0</v>
      </c>
      <c r="N53" s="376">
        <f t="shared" si="8"/>
        <v>0</v>
      </c>
      <c r="O53" s="333">
        <f t="shared" si="9"/>
        <v>0</v>
      </c>
    </row>
    <row r="54" spans="1:15" x14ac:dyDescent="0.25">
      <c r="A54" s="16"/>
      <c r="B54" s="16"/>
      <c r="C54" s="373"/>
      <c r="D54" s="373" t="s">
        <v>3529</v>
      </c>
      <c r="E54" s="374"/>
      <c r="F54" s="374"/>
      <c r="G54" s="374"/>
      <c r="H54" s="374"/>
      <c r="I54" s="374"/>
      <c r="J54" s="374"/>
      <c r="K54" s="374"/>
      <c r="L54" s="374"/>
      <c r="M54" s="374"/>
      <c r="N54" s="374"/>
      <c r="O54" s="333">
        <f t="shared" si="9"/>
        <v>0</v>
      </c>
    </row>
    <row r="55" spans="1:15" x14ac:dyDescent="0.25">
      <c r="A55" s="16"/>
      <c r="B55" s="16"/>
      <c r="C55" s="373"/>
      <c r="D55" s="373" t="s">
        <v>3522</v>
      </c>
      <c r="E55" s="372">
        <v>68700</v>
      </c>
      <c r="F55" s="376">
        <f t="shared" si="0"/>
        <v>57300</v>
      </c>
      <c r="G55" s="376">
        <f t="shared" si="1"/>
        <v>45800</v>
      </c>
      <c r="H55" s="376">
        <f t="shared" si="2"/>
        <v>38200</v>
      </c>
      <c r="I55" s="376">
        <f t="shared" si="3"/>
        <v>38200</v>
      </c>
      <c r="J55" s="376">
        <f t="shared" si="4"/>
        <v>38200</v>
      </c>
      <c r="K55" s="376">
        <f t="shared" si="5"/>
        <v>30500</v>
      </c>
      <c r="L55" s="376">
        <f t="shared" si="6"/>
        <v>30500</v>
      </c>
      <c r="M55" s="376">
        <f t="shared" si="7"/>
        <v>30500</v>
      </c>
      <c r="N55" s="376">
        <f t="shared" si="8"/>
        <v>30500</v>
      </c>
      <c r="O55" s="333">
        <f t="shared" si="9"/>
        <v>3.8166666666666668E-2</v>
      </c>
    </row>
    <row r="56" spans="1:15" x14ac:dyDescent="0.25">
      <c r="A56" s="16"/>
      <c r="B56" s="16"/>
      <c r="C56" s="373"/>
      <c r="D56" s="373" t="s">
        <v>962</v>
      </c>
      <c r="E56" s="372">
        <v>12000</v>
      </c>
      <c r="F56" s="376">
        <f t="shared" si="0"/>
        <v>10000</v>
      </c>
      <c r="G56" s="376">
        <f t="shared" si="1"/>
        <v>8000</v>
      </c>
      <c r="H56" s="376">
        <f t="shared" si="2"/>
        <v>6700</v>
      </c>
      <c r="I56" s="376">
        <f t="shared" si="3"/>
        <v>6700</v>
      </c>
      <c r="J56" s="376">
        <f t="shared" si="4"/>
        <v>6700</v>
      </c>
      <c r="K56" s="376">
        <f t="shared" si="5"/>
        <v>5300</v>
      </c>
      <c r="L56" s="376">
        <f t="shared" si="6"/>
        <v>5300</v>
      </c>
      <c r="M56" s="376">
        <f t="shared" si="7"/>
        <v>5300</v>
      </c>
      <c r="N56" s="376">
        <f t="shared" si="8"/>
        <v>5300</v>
      </c>
      <c r="O56" s="333">
        <f t="shared" si="9"/>
        <v>6.6666666666666671E-3</v>
      </c>
    </row>
    <row r="57" spans="1:15" x14ac:dyDescent="0.25">
      <c r="A57" s="16"/>
      <c r="B57" s="16"/>
      <c r="C57" s="373"/>
      <c r="D57" s="373" t="s">
        <v>3519</v>
      </c>
      <c r="E57" s="372">
        <v>18500</v>
      </c>
      <c r="F57" s="376">
        <f t="shared" si="0"/>
        <v>15400</v>
      </c>
      <c r="G57" s="376">
        <f t="shared" si="1"/>
        <v>12300</v>
      </c>
      <c r="H57" s="376">
        <f t="shared" si="2"/>
        <v>10300</v>
      </c>
      <c r="I57" s="376">
        <f t="shared" si="3"/>
        <v>10300</v>
      </c>
      <c r="J57" s="376">
        <f t="shared" si="4"/>
        <v>10300</v>
      </c>
      <c r="K57" s="376">
        <f t="shared" si="5"/>
        <v>8200</v>
      </c>
      <c r="L57" s="376">
        <f t="shared" si="6"/>
        <v>8200</v>
      </c>
      <c r="M57" s="376">
        <f t="shared" si="7"/>
        <v>8200</v>
      </c>
      <c r="N57" s="376">
        <f t="shared" si="8"/>
        <v>8200</v>
      </c>
      <c r="O57" s="333">
        <f t="shared" si="9"/>
        <v>1.0277777777777778E-2</v>
      </c>
    </row>
    <row r="58" spans="1:15" x14ac:dyDescent="0.25">
      <c r="A58" s="16"/>
      <c r="B58" s="16"/>
      <c r="C58" s="373"/>
      <c r="D58" s="373" t="s">
        <v>3520</v>
      </c>
      <c r="E58" s="372">
        <v>400</v>
      </c>
      <c r="F58" s="376">
        <f t="shared" si="0"/>
        <v>300</v>
      </c>
      <c r="G58" s="376">
        <f t="shared" si="1"/>
        <v>300</v>
      </c>
      <c r="H58" s="376">
        <f t="shared" si="2"/>
        <v>200</v>
      </c>
      <c r="I58" s="376">
        <f t="shared" si="3"/>
        <v>200</v>
      </c>
      <c r="J58" s="376">
        <f t="shared" si="4"/>
        <v>200</v>
      </c>
      <c r="K58" s="376">
        <f t="shared" si="5"/>
        <v>200</v>
      </c>
      <c r="L58" s="376">
        <f t="shared" si="6"/>
        <v>200</v>
      </c>
      <c r="M58" s="376">
        <f t="shared" si="7"/>
        <v>200</v>
      </c>
      <c r="N58" s="376">
        <f t="shared" si="8"/>
        <v>200</v>
      </c>
      <c r="O58" s="333">
        <f t="shared" si="9"/>
        <v>2.2222222222222223E-4</v>
      </c>
    </row>
    <row r="59" spans="1:15" x14ac:dyDescent="0.25">
      <c r="A59" s="16"/>
      <c r="B59" s="16"/>
      <c r="C59" s="373"/>
      <c r="D59" s="373" t="s">
        <v>3326</v>
      </c>
      <c r="E59" s="372">
        <v>8300</v>
      </c>
      <c r="F59" s="376">
        <f t="shared" si="0"/>
        <v>6900</v>
      </c>
      <c r="G59" s="376">
        <f t="shared" si="1"/>
        <v>5500</v>
      </c>
      <c r="H59" s="376">
        <f t="shared" si="2"/>
        <v>4600</v>
      </c>
      <c r="I59" s="376">
        <f t="shared" si="3"/>
        <v>4600</v>
      </c>
      <c r="J59" s="376">
        <f t="shared" si="4"/>
        <v>4600</v>
      </c>
      <c r="K59" s="376">
        <f t="shared" si="5"/>
        <v>3700</v>
      </c>
      <c r="L59" s="376">
        <f t="shared" si="6"/>
        <v>3700</v>
      </c>
      <c r="M59" s="376">
        <f t="shared" si="7"/>
        <v>3700</v>
      </c>
      <c r="N59" s="376">
        <f t="shared" si="8"/>
        <v>3700</v>
      </c>
      <c r="O59" s="333">
        <f t="shared" si="9"/>
        <v>4.611111111111111E-3</v>
      </c>
    </row>
    <row r="60" spans="1:15" x14ac:dyDescent="0.25">
      <c r="A60" s="16"/>
      <c r="B60" s="16"/>
      <c r="C60" s="373"/>
      <c r="D60" s="373" t="s">
        <v>3521</v>
      </c>
      <c r="E60" s="372">
        <v>2200</v>
      </c>
      <c r="F60" s="376">
        <f t="shared" si="0"/>
        <v>1800</v>
      </c>
      <c r="G60" s="376">
        <f t="shared" si="1"/>
        <v>1500</v>
      </c>
      <c r="H60" s="376">
        <f t="shared" si="2"/>
        <v>1200</v>
      </c>
      <c r="I60" s="376">
        <f t="shared" si="3"/>
        <v>1200</v>
      </c>
      <c r="J60" s="376">
        <f t="shared" si="4"/>
        <v>1200</v>
      </c>
      <c r="K60" s="376">
        <f t="shared" si="5"/>
        <v>1000</v>
      </c>
      <c r="L60" s="376">
        <f t="shared" si="6"/>
        <v>1000</v>
      </c>
      <c r="M60" s="376">
        <f t="shared" si="7"/>
        <v>1000</v>
      </c>
      <c r="N60" s="376">
        <f t="shared" si="8"/>
        <v>1000</v>
      </c>
      <c r="O60" s="333">
        <f t="shared" si="9"/>
        <v>1.2222222222222222E-3</v>
      </c>
    </row>
    <row r="61" spans="1:15" x14ac:dyDescent="0.25">
      <c r="A61" s="16"/>
      <c r="B61" s="16"/>
      <c r="C61" s="373"/>
      <c r="D61" s="373" t="s">
        <v>3346</v>
      </c>
      <c r="E61" s="372">
        <v>4800</v>
      </c>
      <c r="F61" s="376">
        <f t="shared" si="0"/>
        <v>4000</v>
      </c>
      <c r="G61" s="376">
        <f t="shared" si="1"/>
        <v>3200</v>
      </c>
      <c r="H61" s="376">
        <f t="shared" si="2"/>
        <v>2700</v>
      </c>
      <c r="I61" s="376">
        <f t="shared" si="3"/>
        <v>2700</v>
      </c>
      <c r="J61" s="376">
        <f t="shared" si="4"/>
        <v>2700</v>
      </c>
      <c r="K61" s="376">
        <f t="shared" si="5"/>
        <v>2100</v>
      </c>
      <c r="L61" s="376">
        <f t="shared" si="6"/>
        <v>2100</v>
      </c>
      <c r="M61" s="376">
        <f t="shared" si="7"/>
        <v>2100</v>
      </c>
      <c r="N61" s="376">
        <f t="shared" si="8"/>
        <v>2100</v>
      </c>
      <c r="O61" s="333">
        <f t="shared" si="9"/>
        <v>2.6666666666666666E-3</v>
      </c>
    </row>
    <row r="62" spans="1:15" x14ac:dyDescent="0.25">
      <c r="A62" s="16"/>
      <c r="B62" s="16"/>
      <c r="C62" s="373" t="s">
        <v>3351</v>
      </c>
      <c r="D62" s="373" t="s">
        <v>3352</v>
      </c>
      <c r="E62" s="374"/>
      <c r="F62" s="374"/>
      <c r="G62" s="374"/>
      <c r="H62" s="374"/>
      <c r="I62" s="374"/>
      <c r="J62" s="374"/>
      <c r="K62" s="374"/>
      <c r="L62" s="374"/>
      <c r="M62" s="374"/>
      <c r="N62" s="374"/>
      <c r="O62" s="333">
        <f t="shared" si="9"/>
        <v>0</v>
      </c>
    </row>
    <row r="63" spans="1:15" x14ac:dyDescent="0.25">
      <c r="A63" s="16"/>
      <c r="B63" s="16"/>
      <c r="C63" s="373" t="s">
        <v>3353</v>
      </c>
      <c r="D63" s="373" t="s">
        <v>3354</v>
      </c>
      <c r="E63" s="372">
        <v>87700</v>
      </c>
      <c r="F63" s="376">
        <f t="shared" si="0"/>
        <v>73100</v>
      </c>
      <c r="G63" s="376">
        <f t="shared" si="1"/>
        <v>58500</v>
      </c>
      <c r="H63" s="376">
        <f t="shared" si="2"/>
        <v>48700</v>
      </c>
      <c r="I63" s="376">
        <f t="shared" si="3"/>
        <v>48700</v>
      </c>
      <c r="J63" s="376">
        <f t="shared" si="4"/>
        <v>48700</v>
      </c>
      <c r="K63" s="376">
        <f t="shared" si="5"/>
        <v>39000</v>
      </c>
      <c r="L63" s="376">
        <f t="shared" si="6"/>
        <v>39000</v>
      </c>
      <c r="M63" s="376">
        <f t="shared" si="7"/>
        <v>39000</v>
      </c>
      <c r="N63" s="376">
        <f t="shared" si="8"/>
        <v>39000</v>
      </c>
      <c r="O63" s="333">
        <f t="shared" si="9"/>
        <v>4.8722222222222222E-2</v>
      </c>
    </row>
    <row r="64" spans="1:15" x14ac:dyDescent="0.25">
      <c r="A64" s="16"/>
      <c r="B64" s="16"/>
      <c r="C64" s="373" t="s">
        <v>3355</v>
      </c>
      <c r="D64" s="373" t="s">
        <v>3356</v>
      </c>
      <c r="E64" s="374"/>
      <c r="F64" s="374"/>
      <c r="G64" s="374"/>
      <c r="H64" s="374"/>
      <c r="I64" s="374"/>
      <c r="J64" s="374"/>
      <c r="K64" s="374"/>
      <c r="L64" s="374"/>
      <c r="M64" s="374"/>
      <c r="N64" s="374"/>
      <c r="O64" s="333">
        <f t="shared" si="9"/>
        <v>0</v>
      </c>
    </row>
    <row r="65" spans="1:15" x14ac:dyDescent="0.25">
      <c r="A65" s="16"/>
      <c r="B65" s="16"/>
      <c r="C65" s="373" t="s">
        <v>3357</v>
      </c>
      <c r="D65" s="373" t="s">
        <v>3358</v>
      </c>
      <c r="E65" s="372">
        <v>71700</v>
      </c>
      <c r="F65" s="376">
        <f t="shared" si="0"/>
        <v>59800</v>
      </c>
      <c r="G65" s="376">
        <f t="shared" si="1"/>
        <v>47800</v>
      </c>
      <c r="H65" s="376">
        <f t="shared" si="2"/>
        <v>39800</v>
      </c>
      <c r="I65" s="376">
        <f t="shared" si="3"/>
        <v>39800</v>
      </c>
      <c r="J65" s="376">
        <f t="shared" si="4"/>
        <v>39800</v>
      </c>
      <c r="K65" s="376">
        <f t="shared" si="5"/>
        <v>31900</v>
      </c>
      <c r="L65" s="376">
        <f t="shared" si="6"/>
        <v>31900</v>
      </c>
      <c r="M65" s="376">
        <f t="shared" si="7"/>
        <v>31900</v>
      </c>
      <c r="N65" s="376">
        <f t="shared" si="8"/>
        <v>31900</v>
      </c>
      <c r="O65" s="333">
        <f t="shared" si="9"/>
        <v>3.9833333333333332E-2</v>
      </c>
    </row>
    <row r="66" spans="1:15" x14ac:dyDescent="0.25">
      <c r="A66" s="16"/>
      <c r="B66" s="16"/>
      <c r="C66" s="373"/>
      <c r="D66" s="373" t="s">
        <v>3530</v>
      </c>
      <c r="E66" s="374"/>
      <c r="F66" s="374"/>
      <c r="G66" s="374"/>
      <c r="H66" s="374"/>
      <c r="I66" s="374"/>
      <c r="J66" s="374"/>
      <c r="K66" s="374"/>
      <c r="L66" s="374"/>
      <c r="M66" s="374"/>
      <c r="N66" s="374"/>
      <c r="O66" s="333">
        <f t="shared" si="9"/>
        <v>0</v>
      </c>
    </row>
    <row r="67" spans="1:15" x14ac:dyDescent="0.25">
      <c r="A67" s="16"/>
      <c r="B67" s="16"/>
      <c r="C67" s="373"/>
      <c r="D67" s="373" t="s">
        <v>3531</v>
      </c>
      <c r="E67" s="372">
        <v>0</v>
      </c>
      <c r="F67" s="376">
        <f t="shared" si="0"/>
        <v>0</v>
      </c>
      <c r="G67" s="376">
        <f t="shared" si="1"/>
        <v>0</v>
      </c>
      <c r="H67" s="376">
        <f t="shared" si="2"/>
        <v>0</v>
      </c>
      <c r="I67" s="376">
        <f t="shared" si="3"/>
        <v>0</v>
      </c>
      <c r="J67" s="376">
        <f t="shared" si="4"/>
        <v>0</v>
      </c>
      <c r="K67" s="376">
        <f t="shared" si="5"/>
        <v>0</v>
      </c>
      <c r="L67" s="376">
        <f t="shared" si="6"/>
        <v>0</v>
      </c>
      <c r="M67" s="376">
        <f t="shared" si="7"/>
        <v>0</v>
      </c>
      <c r="N67" s="376">
        <f t="shared" si="8"/>
        <v>0</v>
      </c>
      <c r="O67" s="333">
        <f t="shared" si="9"/>
        <v>0</v>
      </c>
    </row>
    <row r="68" spans="1:15" x14ac:dyDescent="0.25">
      <c r="A68" s="16"/>
      <c r="B68" s="16"/>
      <c r="C68" s="373"/>
      <c r="D68" s="373" t="s">
        <v>3522</v>
      </c>
      <c r="E68" s="372">
        <v>1100</v>
      </c>
      <c r="F68" s="376">
        <f t="shared" si="0"/>
        <v>900</v>
      </c>
      <c r="G68" s="376">
        <f t="shared" si="1"/>
        <v>700</v>
      </c>
      <c r="H68" s="376">
        <f t="shared" si="2"/>
        <v>600</v>
      </c>
      <c r="I68" s="376">
        <f t="shared" si="3"/>
        <v>600</v>
      </c>
      <c r="J68" s="376">
        <f t="shared" si="4"/>
        <v>600</v>
      </c>
      <c r="K68" s="376">
        <f t="shared" si="5"/>
        <v>500</v>
      </c>
      <c r="L68" s="376">
        <f t="shared" si="6"/>
        <v>500</v>
      </c>
      <c r="M68" s="376">
        <f t="shared" si="7"/>
        <v>500</v>
      </c>
      <c r="N68" s="376">
        <f t="shared" si="8"/>
        <v>500</v>
      </c>
      <c r="O68" s="333">
        <f t="shared" si="9"/>
        <v>6.111111111111111E-4</v>
      </c>
    </row>
    <row r="69" spans="1:15" x14ac:dyDescent="0.25">
      <c r="A69" s="16"/>
      <c r="B69" s="16"/>
      <c r="C69" s="373"/>
      <c r="D69" s="373" t="s">
        <v>962</v>
      </c>
      <c r="E69" s="372">
        <v>1400</v>
      </c>
      <c r="F69" s="376">
        <f t="shared" si="0"/>
        <v>1200</v>
      </c>
      <c r="G69" s="376">
        <f t="shared" si="1"/>
        <v>900</v>
      </c>
      <c r="H69" s="376">
        <f t="shared" si="2"/>
        <v>800</v>
      </c>
      <c r="I69" s="376">
        <f t="shared" si="3"/>
        <v>800</v>
      </c>
      <c r="J69" s="376">
        <f t="shared" si="4"/>
        <v>800</v>
      </c>
      <c r="K69" s="376">
        <f t="shared" si="5"/>
        <v>600</v>
      </c>
      <c r="L69" s="376">
        <f t="shared" si="6"/>
        <v>600</v>
      </c>
      <c r="M69" s="376">
        <f t="shared" si="7"/>
        <v>600</v>
      </c>
      <c r="N69" s="376">
        <f t="shared" si="8"/>
        <v>600</v>
      </c>
      <c r="O69" s="333">
        <f t="shared" si="9"/>
        <v>7.7777777777777773E-4</v>
      </c>
    </row>
    <row r="70" spans="1:15" x14ac:dyDescent="0.25">
      <c r="A70" s="16"/>
      <c r="B70" s="16"/>
      <c r="C70" s="373"/>
      <c r="D70" s="373" t="s">
        <v>3519</v>
      </c>
      <c r="E70" s="372">
        <v>300</v>
      </c>
      <c r="F70" s="376">
        <f t="shared" si="0"/>
        <v>300</v>
      </c>
      <c r="G70" s="376">
        <f t="shared" si="1"/>
        <v>200</v>
      </c>
      <c r="H70" s="376">
        <f t="shared" si="2"/>
        <v>200</v>
      </c>
      <c r="I70" s="376">
        <f t="shared" si="3"/>
        <v>200</v>
      </c>
      <c r="J70" s="376">
        <f t="shared" si="4"/>
        <v>200</v>
      </c>
      <c r="K70" s="376">
        <f t="shared" si="5"/>
        <v>100</v>
      </c>
      <c r="L70" s="376">
        <f t="shared" si="6"/>
        <v>100</v>
      </c>
      <c r="M70" s="376">
        <f t="shared" si="7"/>
        <v>100</v>
      </c>
      <c r="N70" s="376">
        <f t="shared" si="8"/>
        <v>100</v>
      </c>
      <c r="O70" s="333">
        <f t="shared" si="9"/>
        <v>1.6666666666666666E-4</v>
      </c>
    </row>
    <row r="71" spans="1:15" x14ac:dyDescent="0.25">
      <c r="A71" s="16"/>
      <c r="B71" s="16"/>
      <c r="C71" s="373"/>
      <c r="D71" s="373" t="s">
        <v>3326</v>
      </c>
      <c r="E71" s="372">
        <v>200</v>
      </c>
      <c r="F71" s="376">
        <f t="shared" si="0"/>
        <v>200</v>
      </c>
      <c r="G71" s="376">
        <f t="shared" si="1"/>
        <v>100</v>
      </c>
      <c r="H71" s="376">
        <f t="shared" si="2"/>
        <v>100</v>
      </c>
      <c r="I71" s="376">
        <f t="shared" si="3"/>
        <v>100</v>
      </c>
      <c r="J71" s="376">
        <f t="shared" si="4"/>
        <v>100</v>
      </c>
      <c r="K71" s="376">
        <f t="shared" si="5"/>
        <v>100</v>
      </c>
      <c r="L71" s="376">
        <f t="shared" si="6"/>
        <v>100</v>
      </c>
      <c r="M71" s="376">
        <f t="shared" si="7"/>
        <v>100</v>
      </c>
      <c r="N71" s="376">
        <f t="shared" si="8"/>
        <v>100</v>
      </c>
      <c r="O71" s="333">
        <f t="shared" si="9"/>
        <v>1.1111111111111112E-4</v>
      </c>
    </row>
    <row r="72" spans="1:15" x14ac:dyDescent="0.25">
      <c r="A72" s="16"/>
      <c r="B72" s="16"/>
      <c r="C72" s="371"/>
      <c r="D72" s="371" t="s">
        <v>3520</v>
      </c>
      <c r="E72" s="372">
        <v>0</v>
      </c>
      <c r="F72" s="376">
        <f t="shared" si="0"/>
        <v>0</v>
      </c>
      <c r="G72" s="376">
        <f t="shared" si="1"/>
        <v>0</v>
      </c>
      <c r="H72" s="376">
        <f t="shared" si="2"/>
        <v>0</v>
      </c>
      <c r="I72" s="376">
        <f t="shared" si="3"/>
        <v>0</v>
      </c>
      <c r="J72" s="376">
        <f t="shared" si="4"/>
        <v>0</v>
      </c>
      <c r="K72" s="376">
        <f t="shared" si="5"/>
        <v>0</v>
      </c>
      <c r="L72" s="376">
        <f t="shared" si="6"/>
        <v>0</v>
      </c>
      <c r="M72" s="376">
        <f t="shared" si="7"/>
        <v>0</v>
      </c>
      <c r="N72" s="376">
        <f t="shared" si="8"/>
        <v>0</v>
      </c>
      <c r="O72" s="333">
        <f t="shared" si="9"/>
        <v>0</v>
      </c>
    </row>
    <row r="73" spans="1:15" x14ac:dyDescent="0.25">
      <c r="A73" s="16"/>
      <c r="B73" s="16"/>
      <c r="C73" s="371"/>
      <c r="D73" s="371" t="s">
        <v>3521</v>
      </c>
      <c r="E73" s="372">
        <v>1500</v>
      </c>
      <c r="F73" s="376">
        <f t="shared" ref="F73:F74" si="11">ROUND($F$6*$O73,-2)</f>
        <v>1300</v>
      </c>
      <c r="G73" s="376">
        <f t="shared" ref="G73:G74" si="12">ROUND($G$6*$O73,-2)</f>
        <v>1000</v>
      </c>
      <c r="H73" s="376">
        <f t="shared" ref="H73:H74" si="13">ROUND($H$6*$O73,-2)</f>
        <v>800</v>
      </c>
      <c r="I73" s="376">
        <f t="shared" ref="I73:I74" si="14">ROUND($I$6*$O73,-2)</f>
        <v>800</v>
      </c>
      <c r="J73" s="376">
        <f t="shared" ref="J73:J74" si="15">ROUND($J$6*$O73,-2)</f>
        <v>800</v>
      </c>
      <c r="K73" s="376">
        <f t="shared" ref="K73:K74" si="16">ROUND($K$6*$O73,-2)</f>
        <v>700</v>
      </c>
      <c r="L73" s="376">
        <f t="shared" ref="L73:L74" si="17">ROUND($L$6*$O73,-2)</f>
        <v>700</v>
      </c>
      <c r="M73" s="376">
        <f t="shared" ref="M73:M74" si="18">ROUND($M$6*$O73,-2)</f>
        <v>700</v>
      </c>
      <c r="N73" s="376">
        <f t="shared" ref="N73:N74" si="19">ROUND($N$6*$O73,-2)</f>
        <v>700</v>
      </c>
      <c r="O73" s="333">
        <f t="shared" ref="O73:O74" si="20">E73/$E$75</f>
        <v>8.3333333333333339E-4</v>
      </c>
    </row>
    <row r="74" spans="1:15" x14ac:dyDescent="0.25">
      <c r="A74" s="16"/>
      <c r="B74" s="16"/>
      <c r="C74" s="371"/>
      <c r="D74" s="371" t="s">
        <v>3346</v>
      </c>
      <c r="E74" s="372">
        <v>9100</v>
      </c>
      <c r="F74" s="376">
        <f t="shared" si="11"/>
        <v>7600</v>
      </c>
      <c r="G74" s="376">
        <f t="shared" si="12"/>
        <v>6100</v>
      </c>
      <c r="H74" s="376">
        <f t="shared" si="13"/>
        <v>5100</v>
      </c>
      <c r="I74" s="376">
        <f t="shared" si="14"/>
        <v>5100</v>
      </c>
      <c r="J74" s="376">
        <f t="shared" si="15"/>
        <v>5100</v>
      </c>
      <c r="K74" s="376">
        <f t="shared" si="16"/>
        <v>4000</v>
      </c>
      <c r="L74" s="376">
        <f t="shared" si="17"/>
        <v>4000</v>
      </c>
      <c r="M74" s="376">
        <f t="shared" si="18"/>
        <v>4000</v>
      </c>
      <c r="N74" s="376">
        <f t="shared" si="19"/>
        <v>4000</v>
      </c>
      <c r="O74" s="333">
        <f t="shared" si="20"/>
        <v>5.0555555555555553E-3</v>
      </c>
    </row>
    <row r="75" spans="1:15" x14ac:dyDescent="0.25">
      <c r="A75" s="16"/>
      <c r="B75" s="16"/>
      <c r="C75" s="371"/>
      <c r="D75" s="19" t="s">
        <v>3359</v>
      </c>
      <c r="E75" s="291">
        <f>SUM(E7:E74)</f>
        <v>1800000</v>
      </c>
      <c r="F75" s="291">
        <f t="shared" ref="F75:O75" si="21">SUM(F7:F74)</f>
        <v>1500500</v>
      </c>
      <c r="G75" s="291">
        <f t="shared" si="21"/>
        <v>1200000</v>
      </c>
      <c r="H75" s="291">
        <f t="shared" si="21"/>
        <v>1000000</v>
      </c>
      <c r="I75" s="291">
        <f t="shared" si="21"/>
        <v>1000000</v>
      </c>
      <c r="J75" s="291">
        <f t="shared" si="21"/>
        <v>1000000</v>
      </c>
      <c r="K75" s="291">
        <f t="shared" si="21"/>
        <v>800000</v>
      </c>
      <c r="L75" s="291">
        <f t="shared" si="21"/>
        <v>800000</v>
      </c>
      <c r="M75" s="291">
        <f t="shared" si="21"/>
        <v>800000</v>
      </c>
      <c r="N75" s="291">
        <f t="shared" si="21"/>
        <v>800000</v>
      </c>
      <c r="O75" s="392">
        <f t="shared" si="21"/>
        <v>1.0000000000000002</v>
      </c>
    </row>
    <row r="76" spans="1:15" x14ac:dyDescent="0.25">
      <c r="A76" s="16"/>
      <c r="B76" s="16"/>
      <c r="C76" s="371"/>
      <c r="D76" s="371"/>
      <c r="E76" s="372"/>
      <c r="F76" s="372"/>
      <c r="G76" s="372"/>
      <c r="H76" s="372"/>
      <c r="I76" s="372"/>
      <c r="J76" s="372"/>
      <c r="K76" s="372"/>
      <c r="L76" s="372"/>
      <c r="M76" s="372"/>
      <c r="N76" s="372"/>
    </row>
    <row r="77" spans="1:15" x14ac:dyDescent="0.25">
      <c r="C77" s="15" t="s">
        <v>3377</v>
      </c>
      <c r="D77" s="56"/>
      <c r="E77" s="292"/>
      <c r="F77" s="292"/>
      <c r="G77" s="292"/>
      <c r="H77" s="292"/>
      <c r="I77" s="375"/>
      <c r="J77" s="375"/>
      <c r="K77" s="375"/>
      <c r="L77" s="375"/>
      <c r="M77" s="375"/>
      <c r="N77" s="375"/>
    </row>
    <row r="78" spans="1:15" x14ac:dyDescent="0.25">
      <c r="C78" s="380" t="s">
        <v>3407</v>
      </c>
      <c r="D78" s="45"/>
      <c r="E78" s="45"/>
      <c r="F78" s="45"/>
      <c r="G78" s="45"/>
      <c r="H78" s="45"/>
      <c r="I78" s="375"/>
      <c r="J78" s="375"/>
      <c r="K78" s="375"/>
      <c r="L78" s="375"/>
      <c r="M78" s="375"/>
      <c r="N78" s="375"/>
    </row>
    <row r="79" spans="1:15" x14ac:dyDescent="0.25">
      <c r="C79" s="45"/>
      <c r="D79" s="45" t="s">
        <v>3408</v>
      </c>
      <c r="E79" s="45"/>
      <c r="F79" s="45"/>
      <c r="G79" s="45"/>
      <c r="H79" s="45"/>
      <c r="I79" s="375"/>
      <c r="J79" s="375"/>
      <c r="K79" s="375"/>
      <c r="L79" s="375"/>
      <c r="M79" s="375"/>
      <c r="N79" s="375"/>
    </row>
    <row r="80" spans="1:15" x14ac:dyDescent="0.25">
      <c r="C80" s="381"/>
      <c r="D80" s="45" t="s">
        <v>3408</v>
      </c>
      <c r="E80" s="45"/>
      <c r="F80" s="45"/>
      <c r="G80" s="45"/>
      <c r="H80" s="375"/>
      <c r="I80" s="375"/>
      <c r="J80" s="375"/>
      <c r="K80" s="375"/>
      <c r="L80" s="375"/>
      <c r="M80" s="375"/>
      <c r="N80" s="375"/>
    </row>
    <row r="81" spans="3:14" x14ac:dyDescent="0.25">
      <c r="C81" s="381"/>
      <c r="D81" s="45" t="s">
        <v>3408</v>
      </c>
      <c r="E81" s="45">
        <v>5000</v>
      </c>
      <c r="F81" s="45"/>
      <c r="G81" s="45"/>
      <c r="H81" s="375"/>
      <c r="I81" s="375"/>
      <c r="J81" s="375"/>
      <c r="K81" s="375"/>
      <c r="L81" s="375"/>
      <c r="M81" s="375"/>
      <c r="N81" s="375"/>
    </row>
    <row r="82" spans="3:14" x14ac:dyDescent="0.25">
      <c r="C82" s="381"/>
      <c r="D82" s="45" t="s">
        <v>3408</v>
      </c>
      <c r="E82" s="45">
        <v>30000</v>
      </c>
      <c r="F82" s="45">
        <f>E82</f>
        <v>30000</v>
      </c>
      <c r="G82" s="45">
        <f t="shared" ref="G82:N82" si="22">F82</f>
        <v>30000</v>
      </c>
      <c r="H82" s="45">
        <f t="shared" si="22"/>
        <v>30000</v>
      </c>
      <c r="I82" s="45">
        <f t="shared" si="22"/>
        <v>30000</v>
      </c>
      <c r="J82" s="45">
        <f t="shared" si="22"/>
        <v>30000</v>
      </c>
      <c r="K82" s="45">
        <f t="shared" si="22"/>
        <v>30000</v>
      </c>
      <c r="L82" s="45">
        <f t="shared" si="22"/>
        <v>30000</v>
      </c>
      <c r="M82" s="45">
        <f t="shared" si="22"/>
        <v>30000</v>
      </c>
      <c r="N82" s="45">
        <f t="shared" si="22"/>
        <v>30000</v>
      </c>
    </row>
    <row r="83" spans="3:14" x14ac:dyDescent="0.25">
      <c r="C83" s="381"/>
      <c r="D83" s="45" t="s">
        <v>3408</v>
      </c>
      <c r="E83" s="45"/>
      <c r="F83" s="45"/>
      <c r="G83" s="45"/>
      <c r="H83" s="45"/>
      <c r="I83" s="45"/>
      <c r="J83" s="45"/>
      <c r="K83" s="45"/>
      <c r="L83" s="45"/>
      <c r="M83" s="45"/>
      <c r="N83" s="45"/>
    </row>
    <row r="84" spans="3:14" x14ac:dyDescent="0.25">
      <c r="C84" s="380" t="s">
        <v>3409</v>
      </c>
      <c r="D84" s="45"/>
      <c r="E84" s="45"/>
      <c r="F84" s="45"/>
      <c r="G84" s="45"/>
      <c r="H84" s="375"/>
      <c r="I84" s="375"/>
      <c r="J84" s="375"/>
      <c r="K84" s="375"/>
      <c r="L84" s="375"/>
      <c r="M84" s="375"/>
      <c r="N84" s="375"/>
    </row>
    <row r="85" spans="3:14" x14ac:dyDescent="0.25">
      <c r="C85" s="381"/>
      <c r="D85" s="45" t="s">
        <v>3410</v>
      </c>
      <c r="E85" s="45"/>
      <c r="F85" s="45"/>
      <c r="G85" s="45"/>
      <c r="H85" s="375"/>
      <c r="I85" s="375"/>
      <c r="J85" s="375"/>
      <c r="K85" s="375"/>
      <c r="L85" s="375"/>
      <c r="M85" s="375"/>
      <c r="N85" s="375"/>
    </row>
    <row r="86" spans="3:14" x14ac:dyDescent="0.25">
      <c r="C86" s="74" t="s">
        <v>3411</v>
      </c>
      <c r="D86" s="74" t="s">
        <v>3412</v>
      </c>
      <c r="E86" s="45"/>
      <c r="F86" s="45"/>
      <c r="G86" s="45"/>
      <c r="H86" s="375"/>
      <c r="I86" s="375"/>
      <c r="J86" s="375"/>
      <c r="K86" s="375"/>
      <c r="L86" s="375"/>
      <c r="M86" s="375"/>
      <c r="N86" s="375"/>
    </row>
    <row r="87" spans="3:14" x14ac:dyDescent="0.25">
      <c r="C87" s="74"/>
      <c r="D87" s="74" t="s">
        <v>66</v>
      </c>
      <c r="E87" s="45"/>
      <c r="F87" s="45"/>
      <c r="G87" s="45"/>
      <c r="H87" s="375"/>
      <c r="I87" s="375"/>
      <c r="J87" s="375"/>
      <c r="K87" s="375"/>
      <c r="L87" s="375"/>
      <c r="M87" s="375"/>
      <c r="N87" s="375"/>
    </row>
    <row r="88" spans="3:14" x14ac:dyDescent="0.25">
      <c r="C88" s="382"/>
      <c r="D88" s="45" t="s">
        <v>3413</v>
      </c>
      <c r="E88" s="45">
        <v>9450000</v>
      </c>
      <c r="F88" s="45"/>
      <c r="G88" s="45"/>
      <c r="H88" s="375"/>
      <c r="I88" s="375"/>
      <c r="J88" s="375"/>
      <c r="K88" s="375"/>
      <c r="L88" s="375"/>
      <c r="M88" s="375"/>
      <c r="N88" s="375"/>
    </row>
    <row r="89" spans="3:14" x14ac:dyDescent="0.25">
      <c r="C89" s="382"/>
      <c r="D89" s="45" t="s">
        <v>3414</v>
      </c>
      <c r="E89" s="45">
        <v>250000</v>
      </c>
      <c r="F89" s="45"/>
      <c r="G89" s="45"/>
      <c r="H89" s="375"/>
      <c r="I89" s="375"/>
      <c r="J89" s="375"/>
      <c r="K89" s="375"/>
      <c r="L89" s="375"/>
      <c r="M89" s="375"/>
      <c r="N89" s="375"/>
    </row>
    <row r="90" spans="3:14" x14ac:dyDescent="0.25">
      <c r="C90" s="382"/>
      <c r="D90" s="45" t="s">
        <v>3415</v>
      </c>
      <c r="E90" s="45">
        <v>1200000</v>
      </c>
      <c r="F90" s="45"/>
      <c r="G90" s="45"/>
      <c r="H90" s="375"/>
      <c r="I90" s="375"/>
      <c r="J90" s="375"/>
      <c r="K90" s="375"/>
      <c r="L90" s="375"/>
      <c r="M90" s="375"/>
      <c r="N90" s="375"/>
    </row>
    <row r="91" spans="3:14" x14ac:dyDescent="0.25">
      <c r="C91" s="382"/>
      <c r="D91" s="45" t="s">
        <v>3416</v>
      </c>
      <c r="E91" s="45">
        <v>1880000</v>
      </c>
      <c r="F91" s="45"/>
      <c r="G91" s="45"/>
      <c r="H91" s="375"/>
      <c r="I91" s="375"/>
      <c r="J91" s="375"/>
      <c r="K91" s="375"/>
      <c r="L91" s="375"/>
      <c r="M91" s="375"/>
      <c r="N91" s="375"/>
    </row>
    <row r="92" spans="3:14" x14ac:dyDescent="0.25">
      <c r="C92" s="383"/>
      <c r="D92" s="45" t="s">
        <v>3417</v>
      </c>
      <c r="E92" s="45"/>
      <c r="F92" s="45"/>
      <c r="G92" s="45"/>
      <c r="H92" s="375"/>
      <c r="I92" s="375"/>
      <c r="J92" s="375"/>
      <c r="K92" s="375"/>
      <c r="L92" s="375"/>
      <c r="M92" s="375"/>
      <c r="N92" s="375"/>
    </row>
    <row r="93" spans="3:14" x14ac:dyDescent="0.25">
      <c r="C93" s="383"/>
      <c r="D93" s="45" t="s">
        <v>3418</v>
      </c>
      <c r="E93" s="45"/>
      <c r="F93" s="45"/>
      <c r="G93" s="45"/>
      <c r="H93" s="375"/>
      <c r="I93" s="375"/>
      <c r="J93" s="375"/>
      <c r="K93" s="375"/>
      <c r="L93" s="375"/>
      <c r="M93" s="375"/>
      <c r="N93" s="375"/>
    </row>
    <row r="94" spans="3:14" x14ac:dyDescent="0.25">
      <c r="C94" s="383"/>
      <c r="D94" s="45" t="s">
        <v>3419</v>
      </c>
      <c r="E94" s="45"/>
      <c r="F94" s="45"/>
      <c r="G94" s="45"/>
      <c r="H94" s="375"/>
      <c r="I94" s="375"/>
      <c r="J94" s="375"/>
      <c r="K94" s="375"/>
      <c r="L94" s="375"/>
      <c r="M94" s="375"/>
      <c r="N94" s="375"/>
    </row>
    <row r="95" spans="3:14" x14ac:dyDescent="0.25">
      <c r="C95" s="383"/>
      <c r="D95" s="45" t="s">
        <v>3420</v>
      </c>
      <c r="E95" s="45"/>
      <c r="F95" s="45"/>
      <c r="G95" s="45"/>
      <c r="H95" s="375"/>
      <c r="I95" s="375"/>
      <c r="J95" s="375"/>
      <c r="K95" s="375"/>
      <c r="L95" s="375"/>
      <c r="M95" s="375"/>
      <c r="N95" s="375"/>
    </row>
    <row r="96" spans="3:14" x14ac:dyDescent="0.25">
      <c r="C96" s="383"/>
      <c r="D96" s="45" t="s">
        <v>3421</v>
      </c>
      <c r="E96" s="45"/>
      <c r="F96" s="45"/>
      <c r="G96" s="45"/>
      <c r="H96" s="375"/>
      <c r="I96" s="375"/>
      <c r="J96" s="375"/>
      <c r="K96" s="375"/>
      <c r="L96" s="375"/>
      <c r="M96" s="375"/>
      <c r="N96" s="375"/>
    </row>
    <row r="97" spans="3:14" x14ac:dyDescent="0.25">
      <c r="C97" s="383"/>
      <c r="D97" s="45" t="s">
        <v>3422</v>
      </c>
      <c r="E97" s="45"/>
      <c r="F97" s="45"/>
      <c r="G97" s="45"/>
      <c r="H97" s="375"/>
      <c r="I97" s="375"/>
      <c r="J97" s="375"/>
      <c r="K97" s="375"/>
      <c r="L97" s="375"/>
      <c r="M97" s="375"/>
      <c r="N97" s="375"/>
    </row>
    <row r="98" spans="3:14" x14ac:dyDescent="0.25">
      <c r="C98" s="383"/>
      <c r="D98" s="45" t="s">
        <v>3423</v>
      </c>
      <c r="E98" s="45">
        <v>15000</v>
      </c>
      <c r="F98" s="45"/>
      <c r="G98" s="45"/>
      <c r="H98" s="375"/>
      <c r="I98" s="375"/>
      <c r="J98" s="375"/>
      <c r="K98" s="375"/>
      <c r="L98" s="375"/>
      <c r="M98" s="375"/>
      <c r="N98" s="375"/>
    </row>
    <row r="99" spans="3:14" x14ac:dyDescent="0.25">
      <c r="C99" s="383"/>
      <c r="D99" s="45" t="s">
        <v>3424</v>
      </c>
      <c r="E99" s="45">
        <v>30000</v>
      </c>
      <c r="F99" s="45"/>
      <c r="G99" s="45"/>
      <c r="H99" s="375"/>
      <c r="I99" s="375"/>
      <c r="J99" s="375"/>
      <c r="K99" s="375"/>
      <c r="L99" s="375"/>
      <c r="M99" s="375"/>
      <c r="N99" s="375"/>
    </row>
    <row r="100" spans="3:14" x14ac:dyDescent="0.25">
      <c r="C100" s="383"/>
      <c r="D100" s="45" t="s">
        <v>3425</v>
      </c>
      <c r="E100" s="45"/>
      <c r="F100" s="45"/>
      <c r="G100" s="45"/>
      <c r="H100" s="375"/>
      <c r="I100" s="375"/>
      <c r="J100" s="375"/>
      <c r="K100" s="375"/>
      <c r="L100" s="375"/>
      <c r="M100" s="375"/>
      <c r="N100" s="375"/>
    </row>
    <row r="101" spans="3:14" x14ac:dyDescent="0.25">
      <c r="C101" s="383"/>
      <c r="D101" s="45" t="s">
        <v>3426</v>
      </c>
      <c r="E101" s="45"/>
      <c r="F101" s="45"/>
      <c r="G101" s="45"/>
      <c r="H101" s="375"/>
      <c r="I101" s="375"/>
      <c r="J101" s="375"/>
      <c r="K101" s="375"/>
      <c r="L101" s="375"/>
      <c r="M101" s="375"/>
      <c r="N101" s="375"/>
    </row>
    <row r="102" spans="3:14" x14ac:dyDescent="0.25">
      <c r="C102" s="383"/>
      <c r="D102" s="45" t="s">
        <v>3427</v>
      </c>
      <c r="E102" s="45"/>
      <c r="F102" s="45"/>
      <c r="G102" s="45"/>
      <c r="H102" s="375"/>
      <c r="I102" s="375"/>
      <c r="J102" s="375"/>
      <c r="K102" s="375"/>
      <c r="L102" s="375"/>
      <c r="M102" s="375"/>
      <c r="N102" s="375"/>
    </row>
    <row r="103" spans="3:14" x14ac:dyDescent="0.25">
      <c r="C103" s="383"/>
      <c r="D103" s="45" t="s">
        <v>3428</v>
      </c>
      <c r="E103" s="45"/>
      <c r="F103" s="45"/>
      <c r="G103" s="45"/>
      <c r="H103" s="375"/>
      <c r="I103" s="375"/>
      <c r="J103" s="375"/>
      <c r="K103" s="375"/>
      <c r="L103" s="375"/>
      <c r="M103" s="375"/>
      <c r="N103" s="375"/>
    </row>
    <row r="104" spans="3:14" x14ac:dyDescent="0.25">
      <c r="C104" s="74" t="s">
        <v>3429</v>
      </c>
      <c r="D104" s="74"/>
      <c r="E104" s="45"/>
      <c r="F104" s="45"/>
      <c r="G104" s="45"/>
      <c r="H104" s="375"/>
      <c r="I104" s="375"/>
      <c r="J104" s="375"/>
      <c r="K104" s="375"/>
      <c r="L104" s="375"/>
      <c r="M104" s="375"/>
      <c r="N104" s="375"/>
    </row>
    <row r="105" spans="3:14" x14ac:dyDescent="0.25">
      <c r="C105" s="383"/>
      <c r="D105" s="384" t="s">
        <v>3430</v>
      </c>
      <c r="E105" s="45"/>
      <c r="F105" s="45"/>
      <c r="G105" s="45"/>
      <c r="H105" s="375"/>
      <c r="I105" s="375"/>
      <c r="J105" s="375"/>
      <c r="K105" s="375"/>
      <c r="L105" s="375"/>
      <c r="M105" s="375"/>
      <c r="N105" s="375"/>
    </row>
    <row r="106" spans="3:14" x14ac:dyDescent="0.25">
      <c r="C106" s="383"/>
      <c r="D106" s="45" t="s">
        <v>3431</v>
      </c>
      <c r="E106" s="45"/>
      <c r="F106" s="45"/>
      <c r="G106" s="45">
        <f>capitalexpdata!H159</f>
        <v>260000</v>
      </c>
      <c r="H106" s="375"/>
      <c r="I106" s="375"/>
      <c r="J106" s="375"/>
      <c r="K106" s="375"/>
      <c r="L106" s="375"/>
      <c r="M106" s="375"/>
      <c r="N106" s="375"/>
    </row>
    <row r="107" spans="3:14" x14ac:dyDescent="0.25">
      <c r="C107" s="383"/>
      <c r="D107" s="384" t="s">
        <v>3432</v>
      </c>
      <c r="E107" s="45">
        <f>150000-150000</f>
        <v>0</v>
      </c>
      <c r="F107" s="45"/>
      <c r="G107" s="45"/>
      <c r="H107" s="375"/>
      <c r="I107" s="375"/>
      <c r="J107" s="375"/>
      <c r="K107" s="375"/>
      <c r="L107" s="375"/>
      <c r="M107" s="375"/>
      <c r="N107" s="375"/>
    </row>
    <row r="108" spans="3:14" x14ac:dyDescent="0.25">
      <c r="C108" s="383"/>
      <c r="D108" s="384" t="s">
        <v>3433</v>
      </c>
      <c r="E108" s="45">
        <v>730000</v>
      </c>
      <c r="F108" s="45"/>
      <c r="G108" s="45"/>
      <c r="H108" s="375"/>
      <c r="I108" s="375"/>
      <c r="J108" s="375"/>
      <c r="K108" s="375"/>
      <c r="L108" s="375"/>
      <c r="M108" s="375"/>
      <c r="N108" s="375"/>
    </row>
    <row r="109" spans="3:14" x14ac:dyDescent="0.25">
      <c r="C109" s="383"/>
      <c r="D109" s="384" t="s">
        <v>4410</v>
      </c>
      <c r="E109" s="45">
        <v>-730000</v>
      </c>
      <c r="F109" s="45">
        <v>-1260000</v>
      </c>
      <c r="G109" s="45"/>
      <c r="H109" s="375">
        <v>-500000</v>
      </c>
      <c r="I109" s="375">
        <v>-220000</v>
      </c>
      <c r="J109" s="375">
        <v>-350000</v>
      </c>
      <c r="K109" s="375"/>
      <c r="L109" s="375"/>
      <c r="M109" s="375"/>
      <c r="N109" s="375"/>
    </row>
    <row r="110" spans="3:14" x14ac:dyDescent="0.25">
      <c r="C110" s="383"/>
      <c r="D110" s="384" t="s">
        <v>3434</v>
      </c>
      <c r="E110" s="45"/>
      <c r="F110" s="45">
        <f>capitalexpdata!G356</f>
        <v>660000</v>
      </c>
      <c r="G110" s="45"/>
      <c r="H110" s="375"/>
      <c r="I110" s="375"/>
      <c r="J110" s="375"/>
      <c r="K110" s="375"/>
      <c r="L110" s="375"/>
      <c r="M110" s="375"/>
      <c r="N110" s="375"/>
    </row>
    <row r="111" spans="3:14" x14ac:dyDescent="0.25">
      <c r="C111" s="383"/>
      <c r="D111" s="384" t="s">
        <v>3420</v>
      </c>
      <c r="E111" s="45"/>
      <c r="F111" s="45"/>
      <c r="G111" s="45"/>
      <c r="H111" s="375">
        <v>500000</v>
      </c>
      <c r="I111" s="375"/>
      <c r="J111" s="375"/>
      <c r="K111" s="375"/>
      <c r="L111" s="375"/>
      <c r="M111" s="375"/>
      <c r="N111" s="375"/>
    </row>
    <row r="112" spans="3:14" x14ac:dyDescent="0.25">
      <c r="C112" s="383"/>
      <c r="D112" s="384" t="s">
        <v>3435</v>
      </c>
      <c r="E112" s="45"/>
      <c r="F112" s="45"/>
      <c r="G112" s="45"/>
      <c r="H112" s="375"/>
      <c r="I112" s="375"/>
      <c r="J112" s="375"/>
      <c r="K112" s="375"/>
      <c r="L112" s="375"/>
      <c r="M112" s="375"/>
      <c r="N112" s="375"/>
    </row>
    <row r="113" spans="3:14" x14ac:dyDescent="0.25">
      <c r="C113" s="383"/>
      <c r="D113" s="384" t="s">
        <v>3436</v>
      </c>
      <c r="E113" s="45">
        <f>20000-20000</f>
        <v>0</v>
      </c>
      <c r="F113" s="45"/>
      <c r="G113" s="45"/>
      <c r="H113" s="375"/>
      <c r="I113" s="375"/>
      <c r="J113" s="375"/>
      <c r="K113" s="375"/>
      <c r="L113" s="375"/>
      <c r="M113" s="375"/>
      <c r="N113" s="375"/>
    </row>
    <row r="114" spans="3:14" x14ac:dyDescent="0.25">
      <c r="C114" s="383"/>
      <c r="D114" s="384" t="s">
        <v>3437</v>
      </c>
      <c r="E114" s="45"/>
      <c r="F114" s="45"/>
      <c r="G114" s="45"/>
      <c r="H114" s="375"/>
      <c r="I114" s="375"/>
      <c r="J114" s="375"/>
      <c r="K114" s="375"/>
      <c r="L114" s="375"/>
      <c r="M114" s="375"/>
      <c r="N114" s="375"/>
    </row>
    <row r="115" spans="3:14" x14ac:dyDescent="0.25">
      <c r="C115" s="383"/>
      <c r="D115" s="384" t="s">
        <v>3438</v>
      </c>
      <c r="E115" s="45"/>
      <c r="F115" s="45"/>
      <c r="G115" s="45"/>
      <c r="H115" s="375"/>
      <c r="I115" s="375"/>
      <c r="J115" s="375"/>
      <c r="K115" s="375"/>
      <c r="L115" s="375"/>
      <c r="M115" s="375"/>
      <c r="N115" s="375"/>
    </row>
    <row r="116" spans="3:14" x14ac:dyDescent="0.25">
      <c r="C116" s="383"/>
      <c r="D116" s="384" t="s">
        <v>3439</v>
      </c>
      <c r="E116" s="45"/>
      <c r="F116" s="45"/>
      <c r="G116" s="45"/>
      <c r="H116" s="375"/>
      <c r="I116" s="375"/>
      <c r="J116" s="375"/>
      <c r="K116" s="375"/>
      <c r="L116" s="375"/>
      <c r="M116" s="375"/>
      <c r="N116" s="375"/>
    </row>
    <row r="117" spans="3:14" x14ac:dyDescent="0.25">
      <c r="C117" s="383"/>
      <c r="D117" s="384" t="s">
        <v>3440</v>
      </c>
      <c r="E117" s="45"/>
      <c r="F117" s="45"/>
      <c r="G117" s="45"/>
      <c r="H117" s="375"/>
      <c r="I117" s="375"/>
      <c r="J117" s="375"/>
      <c r="K117" s="375"/>
      <c r="L117" s="375"/>
      <c r="M117" s="375"/>
      <c r="N117" s="375"/>
    </row>
    <row r="118" spans="3:14" x14ac:dyDescent="0.25">
      <c r="C118" s="383"/>
      <c r="D118" s="385" t="s">
        <v>3441</v>
      </c>
      <c r="E118" s="45">
        <v>400000</v>
      </c>
      <c r="F118" s="45"/>
      <c r="G118" s="45"/>
      <c r="H118" s="375"/>
      <c r="I118" s="375"/>
      <c r="J118" s="375"/>
      <c r="K118" s="375"/>
      <c r="L118" s="375"/>
      <c r="M118" s="375"/>
      <c r="N118" s="375"/>
    </row>
    <row r="119" spans="3:14" x14ac:dyDescent="0.25">
      <c r="C119" s="383"/>
      <c r="D119" s="384" t="s">
        <v>3442</v>
      </c>
      <c r="E119" s="45"/>
      <c r="F119" s="45"/>
      <c r="G119" s="45"/>
      <c r="H119" s="375"/>
      <c r="I119" s="375"/>
      <c r="J119" s="375"/>
      <c r="K119" s="375"/>
      <c r="L119" s="375"/>
      <c r="M119" s="375"/>
      <c r="N119" s="375"/>
    </row>
    <row r="120" spans="3:14" x14ac:dyDescent="0.25">
      <c r="C120" s="383"/>
      <c r="D120" s="384" t="s">
        <v>3443</v>
      </c>
      <c r="E120" s="45"/>
      <c r="F120" s="45"/>
      <c r="G120" s="45"/>
      <c r="H120" s="375"/>
      <c r="I120" s="375"/>
      <c r="J120" s="375"/>
      <c r="K120" s="375"/>
      <c r="L120" s="375"/>
      <c r="M120" s="375"/>
      <c r="N120" s="375"/>
    </row>
    <row r="121" spans="3:14" x14ac:dyDescent="0.25">
      <c r="C121" s="383"/>
      <c r="D121" s="384" t="s">
        <v>3444</v>
      </c>
      <c r="E121" s="45"/>
      <c r="F121" s="45"/>
      <c r="G121" s="45"/>
      <c r="H121" s="375"/>
      <c r="I121" s="375"/>
      <c r="J121" s="375"/>
      <c r="K121" s="375"/>
      <c r="L121" s="375"/>
      <c r="M121" s="375"/>
      <c r="N121" s="375"/>
    </row>
    <row r="122" spans="3:14" x14ac:dyDescent="0.25">
      <c r="C122" s="383"/>
      <c r="D122" s="384" t="s">
        <v>3445</v>
      </c>
      <c r="E122" s="45"/>
      <c r="F122" s="45"/>
      <c r="G122" s="45"/>
      <c r="H122" s="375"/>
      <c r="I122" s="375"/>
      <c r="J122" s="375"/>
      <c r="K122" s="375"/>
      <c r="L122" s="375"/>
      <c r="M122" s="375"/>
      <c r="N122" s="375"/>
    </row>
    <row r="123" spans="3:14" x14ac:dyDescent="0.25">
      <c r="C123" s="383"/>
      <c r="D123" s="384" t="s">
        <v>3446</v>
      </c>
      <c r="E123" s="45"/>
      <c r="F123" s="45"/>
      <c r="G123" s="45"/>
      <c r="H123" s="375"/>
      <c r="I123" s="375"/>
      <c r="J123" s="375"/>
      <c r="K123" s="375"/>
      <c r="L123" s="375"/>
      <c r="M123" s="375"/>
      <c r="N123" s="375"/>
    </row>
    <row r="124" spans="3:14" x14ac:dyDescent="0.25">
      <c r="C124" s="383"/>
      <c r="D124" s="384" t="s">
        <v>3447</v>
      </c>
      <c r="E124" s="45"/>
      <c r="F124" s="45"/>
      <c r="G124" s="45"/>
      <c r="H124" s="375"/>
      <c r="I124" s="375"/>
      <c r="J124" s="375"/>
      <c r="K124" s="375"/>
      <c r="L124" s="375"/>
      <c r="M124" s="375"/>
      <c r="N124" s="375"/>
    </row>
    <row r="125" spans="3:14" x14ac:dyDescent="0.25">
      <c r="C125" s="382"/>
      <c r="D125" s="386" t="s">
        <v>3448</v>
      </c>
      <c r="E125" s="45"/>
      <c r="F125" s="45"/>
      <c r="G125" s="45"/>
      <c r="H125" s="375"/>
      <c r="I125" s="375">
        <f>capitalexpdata!J162</f>
        <v>100000</v>
      </c>
      <c r="J125" s="375"/>
      <c r="K125" s="375"/>
      <c r="L125" s="375"/>
      <c r="M125" s="375"/>
      <c r="N125" s="375"/>
    </row>
    <row r="126" spans="3:14" x14ac:dyDescent="0.25">
      <c r="C126" s="382"/>
      <c r="D126" s="386" t="s">
        <v>3449</v>
      </c>
      <c r="E126" s="45"/>
      <c r="F126" s="45"/>
      <c r="G126" s="45"/>
      <c r="H126" s="375"/>
      <c r="I126" s="375">
        <f>capitalexpdata!J163</f>
        <v>120000</v>
      </c>
      <c r="J126" s="375"/>
      <c r="K126" s="375"/>
      <c r="L126" s="375"/>
      <c r="M126" s="375"/>
      <c r="N126" s="375"/>
    </row>
    <row r="127" spans="3:14" x14ac:dyDescent="0.25">
      <c r="C127" s="382"/>
      <c r="D127" s="386" t="s">
        <v>3450</v>
      </c>
      <c r="E127" s="45"/>
      <c r="F127" s="45"/>
      <c r="G127" s="45"/>
      <c r="H127" s="375"/>
      <c r="I127" s="375"/>
      <c r="J127" s="375">
        <f>capitalexpdata!K164</f>
        <v>350000</v>
      </c>
      <c r="K127" s="375"/>
      <c r="L127" s="375"/>
      <c r="M127" s="375"/>
      <c r="N127" s="375"/>
    </row>
    <row r="128" spans="3:14" x14ac:dyDescent="0.25">
      <c r="C128" s="387">
        <v>44201</v>
      </c>
      <c r="D128" s="386" t="s">
        <v>3451</v>
      </c>
      <c r="E128" s="45"/>
      <c r="F128" s="45"/>
      <c r="G128" s="45"/>
      <c r="H128" s="375"/>
      <c r="I128" s="375"/>
      <c r="J128" s="375"/>
      <c r="K128" s="375"/>
      <c r="L128" s="375"/>
      <c r="M128" s="375"/>
      <c r="N128" s="375"/>
    </row>
    <row r="129" spans="3:14" x14ac:dyDescent="0.25">
      <c r="C129" s="387">
        <v>44026.006999999998</v>
      </c>
      <c r="D129" s="386" t="s">
        <v>3452</v>
      </c>
      <c r="E129" s="45">
        <f>60000-60000</f>
        <v>0</v>
      </c>
      <c r="F129" s="45"/>
      <c r="G129" s="45"/>
      <c r="H129" s="375"/>
      <c r="I129" s="375"/>
      <c r="J129" s="375"/>
      <c r="K129" s="375"/>
      <c r="L129" s="375"/>
      <c r="M129" s="375"/>
      <c r="N129" s="375"/>
    </row>
    <row r="130" spans="3:14" x14ac:dyDescent="0.25">
      <c r="C130" s="387">
        <v>44244</v>
      </c>
      <c r="D130" s="386" t="s">
        <v>3453</v>
      </c>
      <c r="E130" s="45"/>
      <c r="F130" s="45"/>
      <c r="G130" s="45"/>
      <c r="H130" s="375"/>
      <c r="I130" s="375"/>
      <c r="J130" s="375"/>
      <c r="K130" s="375"/>
      <c r="L130" s="375"/>
      <c r="M130" s="375"/>
      <c r="N130" s="375"/>
    </row>
    <row r="131" spans="3:14" x14ac:dyDescent="0.25">
      <c r="C131" s="387">
        <v>4338.0550000000003</v>
      </c>
      <c r="D131" s="386" t="s">
        <v>3454</v>
      </c>
      <c r="E131" s="45"/>
      <c r="F131" s="45"/>
      <c r="G131" s="45"/>
      <c r="H131" s="375"/>
      <c r="I131" s="375"/>
      <c r="J131" s="375"/>
      <c r="K131" s="375"/>
      <c r="L131" s="375"/>
      <c r="M131" s="375"/>
      <c r="N131" s="375"/>
    </row>
    <row r="132" spans="3:14" x14ac:dyDescent="0.25">
      <c r="C132" s="387">
        <v>4338.0510000000004</v>
      </c>
      <c r="D132" s="386" t="s">
        <v>3455</v>
      </c>
      <c r="E132" s="45"/>
      <c r="F132" s="45"/>
      <c r="G132" s="45"/>
      <c r="H132" s="375"/>
      <c r="I132" s="375"/>
      <c r="J132" s="375"/>
      <c r="K132" s="375"/>
      <c r="L132" s="375"/>
      <c r="M132" s="375"/>
      <c r="N132" s="375"/>
    </row>
    <row r="133" spans="3:14" x14ac:dyDescent="0.25">
      <c r="C133" s="387">
        <v>4338.0460000000003</v>
      </c>
      <c r="D133" s="386" t="s">
        <v>3456</v>
      </c>
      <c r="E133" s="45"/>
      <c r="F133" s="45"/>
      <c r="G133" s="45"/>
      <c r="H133" s="375"/>
      <c r="I133" s="375"/>
      <c r="J133" s="375"/>
      <c r="K133" s="375"/>
      <c r="L133" s="375"/>
      <c r="M133" s="375"/>
      <c r="N133" s="375"/>
    </row>
    <row r="134" spans="3:14" x14ac:dyDescent="0.25">
      <c r="C134" s="387">
        <v>4338.0469999999996</v>
      </c>
      <c r="D134" s="386" t="s">
        <v>3457</v>
      </c>
      <c r="E134" s="45"/>
      <c r="F134" s="45"/>
      <c r="G134" s="45"/>
      <c r="H134" s="375"/>
      <c r="I134" s="375"/>
      <c r="J134" s="375"/>
      <c r="K134" s="375"/>
      <c r="L134" s="375"/>
      <c r="M134" s="375"/>
      <c r="N134" s="375"/>
    </row>
    <row r="135" spans="3:14" x14ac:dyDescent="0.25">
      <c r="C135" s="387">
        <v>4338.0479999999998</v>
      </c>
      <c r="D135" s="386" t="s">
        <v>3458</v>
      </c>
      <c r="E135" s="45"/>
      <c r="F135" s="45"/>
      <c r="G135" s="45"/>
      <c r="H135" s="375"/>
      <c r="I135" s="375"/>
      <c r="J135" s="375"/>
      <c r="K135" s="375"/>
      <c r="L135" s="375"/>
      <c r="M135" s="375"/>
      <c r="N135" s="375"/>
    </row>
    <row r="136" spans="3:14" x14ac:dyDescent="0.25">
      <c r="C136" s="387">
        <v>4338.049</v>
      </c>
      <c r="D136" s="386" t="s">
        <v>3459</v>
      </c>
      <c r="E136" s="45"/>
      <c r="F136" s="45">
        <v>600000</v>
      </c>
      <c r="G136" s="45"/>
      <c r="H136" s="375"/>
      <c r="I136" s="375"/>
      <c r="J136" s="375"/>
      <c r="K136" s="375"/>
      <c r="L136" s="375"/>
      <c r="M136" s="375"/>
      <c r="N136" s="375"/>
    </row>
    <row r="137" spans="3:14" x14ac:dyDescent="0.25">
      <c r="C137" s="388">
        <v>4338.05</v>
      </c>
      <c r="D137" s="386" t="s">
        <v>3460</v>
      </c>
      <c r="E137" s="45"/>
      <c r="F137" s="45"/>
      <c r="G137" s="45"/>
      <c r="H137" s="375"/>
      <c r="I137" s="375"/>
      <c r="J137" s="375"/>
      <c r="K137" s="375"/>
      <c r="L137" s="375"/>
      <c r="M137" s="375"/>
      <c r="N137" s="375"/>
    </row>
    <row r="138" spans="3:14" x14ac:dyDescent="0.25">
      <c r="C138" s="387">
        <v>4338.0510000000004</v>
      </c>
      <c r="D138" s="386" t="s">
        <v>3461</v>
      </c>
      <c r="E138" s="45"/>
      <c r="F138" s="45"/>
      <c r="G138" s="45"/>
      <c r="H138" s="375"/>
      <c r="I138" s="375"/>
      <c r="J138" s="375"/>
      <c r="K138" s="375"/>
      <c r="L138" s="375"/>
      <c r="M138" s="375"/>
      <c r="N138" s="375"/>
    </row>
    <row r="139" spans="3:14" x14ac:dyDescent="0.25">
      <c r="C139" s="387">
        <v>4338.0519999999997</v>
      </c>
      <c r="D139" s="386" t="s">
        <v>3462</v>
      </c>
      <c r="E139" s="45"/>
      <c r="F139" s="45"/>
      <c r="G139" s="45"/>
      <c r="H139" s="375"/>
      <c r="I139" s="375"/>
      <c r="J139" s="375"/>
      <c r="K139" s="375"/>
      <c r="L139" s="375"/>
      <c r="M139" s="375"/>
      <c r="N139" s="375"/>
    </row>
    <row r="140" spans="3:14" x14ac:dyDescent="0.25">
      <c r="C140" s="387">
        <v>4338.0529999999999</v>
      </c>
      <c r="D140" s="386" t="s">
        <v>3463</v>
      </c>
      <c r="E140" s="45"/>
      <c r="F140" s="45"/>
      <c r="G140" s="45"/>
      <c r="H140" s="375"/>
      <c r="I140" s="375"/>
      <c r="J140" s="375"/>
      <c r="K140" s="375"/>
      <c r="L140" s="375"/>
      <c r="M140" s="375"/>
      <c r="N140" s="375"/>
    </row>
    <row r="141" spans="3:14" x14ac:dyDescent="0.25">
      <c r="C141" s="387">
        <v>4338.0540000000001</v>
      </c>
      <c r="D141" s="386" t="s">
        <v>3464</v>
      </c>
      <c r="E141" s="45"/>
      <c r="F141" s="45"/>
      <c r="G141" s="45"/>
      <c r="H141" s="375"/>
      <c r="I141" s="375"/>
      <c r="J141" s="375"/>
      <c r="K141" s="375"/>
      <c r="L141" s="375"/>
      <c r="M141" s="375"/>
      <c r="N141" s="375"/>
    </row>
    <row r="142" spans="3:14" x14ac:dyDescent="0.25">
      <c r="C142" s="387">
        <v>4338.0559999999996</v>
      </c>
      <c r="D142" s="386" t="s">
        <v>3465</v>
      </c>
      <c r="E142" s="45"/>
      <c r="F142" s="45"/>
      <c r="G142" s="45"/>
      <c r="H142" s="375"/>
      <c r="I142" s="375"/>
      <c r="J142" s="375"/>
      <c r="K142" s="375"/>
      <c r="L142" s="375"/>
      <c r="M142" s="375"/>
      <c r="N142" s="375"/>
    </row>
    <row r="143" spans="3:14" x14ac:dyDescent="0.25">
      <c r="C143" s="387">
        <v>4338.0969999999998</v>
      </c>
      <c r="D143" s="386" t="s">
        <v>3466</v>
      </c>
      <c r="E143" s="45"/>
      <c r="F143" s="45"/>
      <c r="G143" s="45"/>
      <c r="H143" s="375"/>
      <c r="I143" s="375"/>
      <c r="J143" s="375"/>
      <c r="K143" s="375"/>
      <c r="L143" s="375"/>
      <c r="M143" s="375"/>
      <c r="N143" s="375"/>
    </row>
    <row r="144" spans="3:14" x14ac:dyDescent="0.25">
      <c r="C144" s="387">
        <v>4338.098</v>
      </c>
      <c r="D144" s="386" t="s">
        <v>3466</v>
      </c>
      <c r="E144" s="45"/>
      <c r="F144" s="45"/>
      <c r="G144" s="45"/>
      <c r="H144" s="375"/>
      <c r="I144" s="375"/>
      <c r="J144" s="375"/>
      <c r="K144" s="375"/>
      <c r="L144" s="375"/>
      <c r="M144" s="375"/>
      <c r="N144" s="375"/>
    </row>
    <row r="145" spans="3:14" x14ac:dyDescent="0.25">
      <c r="C145" s="387"/>
      <c r="D145" s="386" t="s">
        <v>3467</v>
      </c>
      <c r="E145" s="45"/>
      <c r="F145" s="45"/>
      <c r="G145" s="45"/>
      <c r="H145" s="375"/>
      <c r="I145" s="375"/>
      <c r="J145" s="375"/>
      <c r="K145" s="375"/>
      <c r="L145" s="375"/>
      <c r="M145" s="375"/>
      <c r="N145" s="375"/>
    </row>
    <row r="146" spans="3:14" x14ac:dyDescent="0.25">
      <c r="C146" s="387"/>
      <c r="D146" s="386" t="s">
        <v>3468</v>
      </c>
      <c r="E146" s="45"/>
      <c r="F146" s="45"/>
      <c r="G146" s="45"/>
      <c r="H146" s="375"/>
      <c r="I146" s="375"/>
      <c r="J146" s="375"/>
      <c r="K146" s="375"/>
      <c r="L146" s="375"/>
      <c r="M146" s="375"/>
      <c r="N146" s="375"/>
    </row>
    <row r="147" spans="3:14" x14ac:dyDescent="0.25">
      <c r="C147" s="383"/>
      <c r="D147" s="74" t="s">
        <v>3469</v>
      </c>
      <c r="E147" s="45"/>
      <c r="F147" s="45"/>
      <c r="G147" s="45"/>
      <c r="H147" s="375"/>
      <c r="I147" s="375"/>
      <c r="J147" s="375"/>
      <c r="K147" s="375"/>
      <c r="L147" s="375"/>
      <c r="M147" s="375"/>
      <c r="N147" s="375"/>
    </row>
    <row r="148" spans="3:14" x14ac:dyDescent="0.25">
      <c r="C148" s="383"/>
      <c r="D148" s="384" t="s">
        <v>3470</v>
      </c>
      <c r="E148" s="45">
        <f>20000-20000</f>
        <v>0</v>
      </c>
      <c r="F148" s="45"/>
      <c r="G148" s="45"/>
      <c r="H148" s="375"/>
      <c r="I148" s="375"/>
      <c r="J148" s="375"/>
      <c r="K148" s="375"/>
      <c r="L148" s="375"/>
      <c r="M148" s="375"/>
      <c r="N148" s="375"/>
    </row>
    <row r="149" spans="3:14" x14ac:dyDescent="0.25">
      <c r="C149" s="383"/>
      <c r="D149" s="384" t="s">
        <v>3471</v>
      </c>
      <c r="E149" s="45">
        <v>600000</v>
      </c>
      <c r="F149" s="45"/>
      <c r="G149" s="45"/>
      <c r="H149" s="375"/>
      <c r="I149" s="375"/>
      <c r="J149" s="375"/>
      <c r="K149" s="375"/>
      <c r="L149" s="375"/>
      <c r="M149" s="375"/>
      <c r="N149" s="375"/>
    </row>
    <row r="150" spans="3:14" x14ac:dyDescent="0.25">
      <c r="C150" s="383"/>
      <c r="D150" s="45" t="s">
        <v>3413</v>
      </c>
      <c r="E150" s="45"/>
      <c r="F150" s="45"/>
      <c r="G150" s="45"/>
      <c r="H150" s="375"/>
      <c r="I150" s="375"/>
      <c r="J150" s="375"/>
      <c r="K150" s="375"/>
      <c r="L150" s="375"/>
      <c r="M150" s="375"/>
      <c r="N150" s="375"/>
    </row>
    <row r="151" spans="3:14" x14ac:dyDescent="0.25">
      <c r="C151" s="383"/>
      <c r="D151" s="384" t="s">
        <v>3472</v>
      </c>
      <c r="E151" s="45"/>
      <c r="F151" s="45"/>
      <c r="G151" s="45"/>
      <c r="H151" s="375"/>
      <c r="I151" s="375"/>
      <c r="J151" s="375"/>
      <c r="K151" s="375"/>
      <c r="L151" s="375"/>
      <c r="M151" s="375"/>
      <c r="N151" s="375"/>
    </row>
    <row r="152" spans="3:14" x14ac:dyDescent="0.25">
      <c r="C152" s="389"/>
      <c r="D152" s="44" t="s">
        <v>3473</v>
      </c>
      <c r="E152" s="45"/>
      <c r="F152" s="45"/>
      <c r="G152" s="45"/>
      <c r="H152" s="375"/>
      <c r="I152" s="375"/>
      <c r="J152" s="375"/>
      <c r="K152" s="375"/>
      <c r="L152" s="375"/>
      <c r="M152" s="375"/>
      <c r="N152" s="375"/>
    </row>
    <row r="153" spans="3:14" x14ac:dyDescent="0.25">
      <c r="C153" s="389">
        <v>44204.000999999997</v>
      </c>
      <c r="D153" s="45" t="s">
        <v>3474</v>
      </c>
      <c r="E153" s="45"/>
      <c r="F153" s="45"/>
      <c r="G153" s="45"/>
      <c r="H153" s="375"/>
      <c r="I153" s="375"/>
      <c r="J153" s="375"/>
      <c r="K153" s="375"/>
      <c r="L153" s="375"/>
      <c r="M153" s="375"/>
      <c r="N153" s="375"/>
    </row>
    <row r="154" spans="3:14" x14ac:dyDescent="0.25">
      <c r="C154" s="389">
        <v>44204.002</v>
      </c>
      <c r="D154" s="45" t="s">
        <v>3475</v>
      </c>
      <c r="E154" s="45"/>
      <c r="F154" s="45"/>
      <c r="G154" s="45"/>
      <c r="H154" s="375"/>
      <c r="I154" s="375"/>
      <c r="J154" s="375"/>
      <c r="K154" s="375"/>
      <c r="L154" s="375"/>
      <c r="M154" s="375"/>
      <c r="N154" s="375"/>
    </row>
    <row r="155" spans="3:14" x14ac:dyDescent="0.25">
      <c r="C155" s="389">
        <v>44204.002999999997</v>
      </c>
      <c r="D155" s="45" t="s">
        <v>3476</v>
      </c>
      <c r="E155" s="45"/>
      <c r="F155" s="45"/>
      <c r="G155" s="45"/>
      <c r="H155" s="375"/>
      <c r="I155" s="375"/>
      <c r="J155" s="375"/>
      <c r="K155" s="375"/>
      <c r="L155" s="375"/>
      <c r="M155" s="375"/>
      <c r="N155" s="375"/>
    </row>
    <row r="156" spans="3:14" x14ac:dyDescent="0.25">
      <c r="C156" s="389">
        <v>44204.004000000001</v>
      </c>
      <c r="D156" s="45" t="s">
        <v>3477</v>
      </c>
      <c r="E156" s="45"/>
      <c r="F156" s="45"/>
      <c r="G156" s="45"/>
      <c r="H156" s="375"/>
      <c r="I156" s="375"/>
      <c r="J156" s="375"/>
      <c r="K156" s="375"/>
      <c r="L156" s="375"/>
      <c r="M156" s="375"/>
      <c r="N156" s="375"/>
    </row>
    <row r="157" spans="3:14" x14ac:dyDescent="0.25">
      <c r="C157" s="389"/>
      <c r="D157" s="45" t="s">
        <v>3413</v>
      </c>
      <c r="E157" s="45"/>
      <c r="F157" s="45"/>
      <c r="G157" s="45"/>
      <c r="H157" s="375"/>
      <c r="I157" s="375"/>
      <c r="J157" s="375"/>
      <c r="K157" s="375"/>
      <c r="L157" s="375"/>
      <c r="M157" s="375"/>
      <c r="N157" s="375"/>
    </row>
    <row r="158" spans="3:14" x14ac:dyDescent="0.25">
      <c r="C158" s="389"/>
      <c r="D158" s="45" t="s">
        <v>3478</v>
      </c>
      <c r="E158" s="45"/>
      <c r="F158" s="45"/>
      <c r="G158" s="45"/>
      <c r="H158" s="375"/>
      <c r="I158" s="375"/>
      <c r="J158" s="375"/>
      <c r="K158" s="375"/>
      <c r="L158" s="375"/>
      <c r="M158" s="375"/>
      <c r="N158" s="375"/>
    </row>
    <row r="159" spans="3:14" x14ac:dyDescent="0.25">
      <c r="C159" s="389"/>
      <c r="D159" s="45" t="s">
        <v>3431</v>
      </c>
      <c r="E159" s="45"/>
      <c r="F159" s="45"/>
      <c r="G159" s="45"/>
      <c r="H159" s="375"/>
      <c r="I159" s="375"/>
      <c r="J159" s="375"/>
      <c r="K159" s="375"/>
      <c r="L159" s="375"/>
      <c r="M159" s="375"/>
      <c r="N159" s="375"/>
    </row>
    <row r="160" spans="3:14" x14ac:dyDescent="0.25">
      <c r="C160" s="389"/>
      <c r="D160" s="45" t="s">
        <v>3479</v>
      </c>
      <c r="E160" s="45"/>
      <c r="F160" s="45"/>
      <c r="G160" s="45"/>
      <c r="H160" s="375"/>
      <c r="I160" s="375"/>
      <c r="J160" s="375"/>
      <c r="K160" s="375"/>
      <c r="L160" s="375"/>
      <c r="M160" s="375"/>
      <c r="N160" s="375"/>
    </row>
    <row r="161" spans="3:14" x14ac:dyDescent="0.25">
      <c r="C161" s="389"/>
      <c r="D161" s="45" t="s">
        <v>3480</v>
      </c>
      <c r="E161" s="45"/>
      <c r="F161" s="45"/>
      <c r="G161" s="45"/>
      <c r="H161" s="375"/>
      <c r="I161" s="375"/>
      <c r="J161" s="375"/>
      <c r="K161" s="375"/>
      <c r="L161" s="375"/>
      <c r="M161" s="375"/>
      <c r="N161" s="375"/>
    </row>
    <row r="162" spans="3:14" x14ac:dyDescent="0.25">
      <c r="C162" s="383"/>
      <c r="D162" s="380" t="s">
        <v>3481</v>
      </c>
      <c r="E162" s="45"/>
      <c r="F162" s="45"/>
      <c r="G162" s="45"/>
      <c r="H162" s="375"/>
      <c r="I162" s="375"/>
      <c r="J162" s="375"/>
      <c r="K162" s="375"/>
      <c r="L162" s="375"/>
      <c r="M162" s="375"/>
      <c r="N162" s="375"/>
    </row>
    <row r="163" spans="3:14" x14ac:dyDescent="0.25">
      <c r="C163" s="383"/>
      <c r="D163" s="385" t="s">
        <v>3482</v>
      </c>
      <c r="E163" s="45"/>
      <c r="F163" s="45"/>
      <c r="G163" s="45"/>
      <c r="H163" s="375"/>
      <c r="I163" s="375"/>
      <c r="J163" s="375"/>
      <c r="K163" s="375"/>
      <c r="L163" s="375"/>
      <c r="M163" s="375"/>
      <c r="N163" s="375"/>
    </row>
    <row r="164" spans="3:14" x14ac:dyDescent="0.25">
      <c r="C164" s="383"/>
      <c r="D164" s="385" t="s">
        <v>3483</v>
      </c>
      <c r="E164" s="45"/>
      <c r="F164" s="45"/>
      <c r="G164" s="45"/>
      <c r="H164" s="375"/>
      <c r="I164" s="375"/>
      <c r="J164" s="375"/>
      <c r="K164" s="375"/>
      <c r="L164" s="375"/>
      <c r="M164" s="375"/>
      <c r="N164" s="375"/>
    </row>
    <row r="165" spans="3:14" x14ac:dyDescent="0.25">
      <c r="C165" s="383"/>
      <c r="D165" s="380"/>
      <c r="E165" s="45"/>
      <c r="F165" s="45"/>
      <c r="G165" s="45"/>
      <c r="H165" s="375"/>
      <c r="I165" s="375"/>
      <c r="J165" s="375"/>
      <c r="K165" s="375"/>
      <c r="L165" s="375"/>
      <c r="M165" s="375"/>
      <c r="N165" s="375"/>
    </row>
    <row r="166" spans="3:14" x14ac:dyDescent="0.25">
      <c r="C166" s="390" t="s">
        <v>3469</v>
      </c>
      <c r="D166" s="45"/>
      <c r="E166" s="45"/>
      <c r="F166" s="45"/>
      <c r="G166" s="45"/>
      <c r="H166" s="375"/>
      <c r="I166" s="375"/>
      <c r="J166" s="375"/>
      <c r="K166" s="375"/>
      <c r="L166" s="375"/>
      <c r="M166" s="375"/>
      <c r="N166" s="375"/>
    </row>
    <row r="167" spans="3:14" x14ac:dyDescent="0.25">
      <c r="C167" s="390"/>
      <c r="D167" s="45" t="s">
        <v>3484</v>
      </c>
      <c r="E167" s="45"/>
      <c r="F167" s="45"/>
      <c r="G167" s="45"/>
      <c r="H167" s="375"/>
      <c r="I167" s="375"/>
      <c r="J167" s="375"/>
      <c r="K167" s="375"/>
      <c r="L167" s="375"/>
      <c r="M167" s="375"/>
      <c r="N167" s="375"/>
    </row>
    <row r="168" spans="3:14" x14ac:dyDescent="0.25">
      <c r="C168" s="383"/>
      <c r="D168" s="391" t="s">
        <v>3485</v>
      </c>
      <c r="E168" s="45">
        <v>311000</v>
      </c>
      <c r="F168" s="45">
        <f>capitalexpdata!G425</f>
        <v>298600</v>
      </c>
      <c r="G168" s="45">
        <f>capitalexpdata!H425</f>
        <v>306600</v>
      </c>
      <c r="H168" s="45">
        <f>capitalexpdata!I425</f>
        <v>316600</v>
      </c>
      <c r="I168" s="45">
        <f>capitalexpdata!J425</f>
        <v>329300</v>
      </c>
      <c r="J168" s="45">
        <f>capitalexpdata!K425</f>
        <v>342600</v>
      </c>
      <c r="K168" s="45">
        <f>capitalexpdata!L425</f>
        <v>356200</v>
      </c>
      <c r="L168" s="45">
        <f>capitalexpdata!M425</f>
        <v>370400</v>
      </c>
      <c r="M168" s="45">
        <f>capitalexpdata!N425</f>
        <v>385200</v>
      </c>
      <c r="N168" s="45">
        <f>capitalexpdata!O425</f>
        <v>0</v>
      </c>
    </row>
    <row r="169" spans="3:14" x14ac:dyDescent="0.25">
      <c r="C169" s="383"/>
      <c r="D169" s="391"/>
      <c r="E169" s="45"/>
      <c r="F169" s="45"/>
      <c r="G169" s="45"/>
      <c r="H169" s="375"/>
      <c r="I169" s="375"/>
      <c r="J169" s="375"/>
      <c r="K169" s="375"/>
      <c r="L169" s="375"/>
      <c r="M169" s="375"/>
      <c r="N169" s="375"/>
    </row>
    <row r="170" spans="3:14" x14ac:dyDescent="0.25">
      <c r="C170" s="380" t="s">
        <v>3486</v>
      </c>
      <c r="D170" s="45"/>
      <c r="E170" s="45"/>
      <c r="F170" s="45"/>
      <c r="G170" s="45"/>
      <c r="H170" s="375"/>
      <c r="I170" s="375"/>
      <c r="J170" s="375"/>
      <c r="K170" s="375"/>
      <c r="L170" s="375"/>
      <c r="M170" s="375"/>
      <c r="N170" s="375"/>
    </row>
    <row r="171" spans="3:14" x14ac:dyDescent="0.25">
      <c r="C171" s="380"/>
      <c r="D171" s="45" t="s">
        <v>3487</v>
      </c>
      <c r="E171" s="45"/>
      <c r="F171" s="45"/>
      <c r="G171" s="45"/>
      <c r="H171" s="375"/>
      <c r="I171" s="375"/>
      <c r="J171" s="375"/>
      <c r="K171" s="375"/>
      <c r="L171" s="375"/>
      <c r="M171" s="375"/>
      <c r="N171" s="375"/>
    </row>
    <row r="172" spans="3:14" x14ac:dyDescent="0.25">
      <c r="C172" s="380"/>
      <c r="D172" s="45" t="s">
        <v>3488</v>
      </c>
      <c r="E172" s="45"/>
      <c r="F172" s="45"/>
      <c r="G172" s="45"/>
      <c r="H172" s="375"/>
      <c r="I172" s="375"/>
      <c r="J172" s="375"/>
      <c r="K172" s="375"/>
      <c r="L172" s="375"/>
      <c r="M172" s="375"/>
      <c r="N172" s="375"/>
    </row>
    <row r="173" spans="3:14" x14ac:dyDescent="0.25">
      <c r="C173" s="380"/>
      <c r="D173" s="45" t="s">
        <v>3489</v>
      </c>
      <c r="E173" s="45"/>
      <c r="F173" s="45"/>
      <c r="G173" s="45"/>
      <c r="H173" s="375"/>
      <c r="I173" s="375"/>
      <c r="J173" s="375"/>
      <c r="K173" s="375"/>
      <c r="L173" s="375"/>
      <c r="M173" s="375"/>
      <c r="N173" s="375"/>
    </row>
    <row r="174" spans="3:14" x14ac:dyDescent="0.25">
      <c r="C174" s="380"/>
      <c r="D174" s="45" t="s">
        <v>3490</v>
      </c>
      <c r="E174" s="45"/>
      <c r="F174" s="45"/>
      <c r="G174" s="45"/>
      <c r="H174" s="375"/>
      <c r="I174" s="375"/>
      <c r="J174" s="375"/>
      <c r="K174" s="375"/>
      <c r="L174" s="375"/>
      <c r="M174" s="375"/>
      <c r="N174" s="375"/>
    </row>
    <row r="175" spans="3:14" x14ac:dyDescent="0.25">
      <c r="C175" s="380"/>
      <c r="D175" s="45" t="s">
        <v>3488</v>
      </c>
      <c r="E175" s="45"/>
      <c r="F175" s="45"/>
      <c r="G175" s="45"/>
      <c r="H175" s="375"/>
      <c r="I175" s="375"/>
      <c r="J175" s="375"/>
      <c r="K175" s="375"/>
      <c r="L175" s="375"/>
      <c r="M175" s="375"/>
      <c r="N175" s="375"/>
    </row>
    <row r="176" spans="3:14" x14ac:dyDescent="0.25">
      <c r="C176" s="380"/>
      <c r="D176" s="45" t="s">
        <v>3491</v>
      </c>
      <c r="E176" s="45"/>
      <c r="F176" s="45"/>
      <c r="G176" s="45"/>
      <c r="H176" s="375"/>
      <c r="I176" s="375">
        <f>capitalexpdata!J444</f>
        <v>250000</v>
      </c>
      <c r="J176" s="375"/>
      <c r="K176" s="375"/>
      <c r="L176" s="375"/>
      <c r="M176" s="375"/>
      <c r="N176" s="375"/>
    </row>
    <row r="177" spans="3:14" x14ac:dyDescent="0.25">
      <c r="C177" s="380"/>
      <c r="D177" s="45" t="s">
        <v>3492</v>
      </c>
      <c r="E177" s="45">
        <v>37000</v>
      </c>
      <c r="F177" s="45"/>
      <c r="G177" s="45"/>
      <c r="H177" s="375"/>
      <c r="I177" s="375"/>
      <c r="J177" s="375"/>
      <c r="K177" s="375"/>
      <c r="L177" s="375"/>
      <c r="M177" s="375"/>
      <c r="N177" s="375"/>
    </row>
    <row r="178" spans="3:14" x14ac:dyDescent="0.25">
      <c r="C178" s="380"/>
      <c r="D178" s="45" t="s">
        <v>3493</v>
      </c>
      <c r="E178" s="45">
        <v>5000</v>
      </c>
      <c r="F178" s="45">
        <f>capitalexpdata!G457</f>
        <v>55000</v>
      </c>
      <c r="G178" s="45"/>
      <c r="H178" s="375"/>
      <c r="I178" s="375"/>
      <c r="J178" s="375"/>
      <c r="K178" s="375"/>
      <c r="L178" s="375"/>
      <c r="M178" s="375"/>
      <c r="N178" s="375"/>
    </row>
    <row r="179" spans="3:14" x14ac:dyDescent="0.25">
      <c r="C179" s="380"/>
      <c r="D179" s="45" t="s">
        <v>3494</v>
      </c>
      <c r="E179" s="45"/>
      <c r="F179" s="45"/>
      <c r="G179" s="45"/>
      <c r="H179" s="375"/>
      <c r="I179" s="375"/>
      <c r="J179" s="375"/>
      <c r="K179" s="375"/>
      <c r="L179" s="375"/>
      <c r="M179" s="375"/>
      <c r="N179" s="375"/>
    </row>
    <row r="180" spans="3:14" x14ac:dyDescent="0.25">
      <c r="C180" s="380"/>
      <c r="D180" s="45" t="s">
        <v>3495</v>
      </c>
      <c r="E180" s="45"/>
      <c r="F180" s="45"/>
      <c r="G180" s="45"/>
      <c r="H180" s="375"/>
      <c r="I180" s="375"/>
      <c r="J180" s="375"/>
      <c r="K180" s="375"/>
      <c r="L180" s="375"/>
      <c r="M180" s="375"/>
      <c r="N180" s="375"/>
    </row>
    <row r="181" spans="3:14" x14ac:dyDescent="0.25">
      <c r="C181" s="380"/>
      <c r="D181" s="45" t="s">
        <v>3496</v>
      </c>
      <c r="E181" s="45"/>
      <c r="F181" s="45"/>
      <c r="G181" s="45"/>
      <c r="H181" s="375"/>
      <c r="I181" s="375"/>
      <c r="J181" s="375"/>
      <c r="K181" s="375"/>
      <c r="L181" s="375"/>
      <c r="M181" s="375"/>
      <c r="N181" s="375"/>
    </row>
    <row r="182" spans="3:14" x14ac:dyDescent="0.25">
      <c r="C182" s="380"/>
      <c r="D182" s="45" t="s">
        <v>3497</v>
      </c>
      <c r="E182" s="45">
        <v>8000</v>
      </c>
      <c r="F182" s="45"/>
      <c r="G182" s="45"/>
      <c r="H182" s="375"/>
      <c r="I182" s="375"/>
      <c r="J182" s="375"/>
      <c r="K182" s="375"/>
      <c r="L182" s="375"/>
      <c r="M182" s="375"/>
      <c r="N182" s="375"/>
    </row>
    <row r="183" spans="3:14" x14ac:dyDescent="0.25">
      <c r="C183" s="380"/>
      <c r="D183" s="45" t="s">
        <v>3498</v>
      </c>
      <c r="E183" s="45"/>
      <c r="F183" s="45">
        <f>capitalexpdata!G474</f>
        <v>5000</v>
      </c>
      <c r="G183" s="45">
        <f>capitalexpdata!H474</f>
        <v>75000</v>
      </c>
      <c r="H183" s="375"/>
      <c r="I183" s="375"/>
      <c r="J183" s="375"/>
      <c r="K183" s="375"/>
      <c r="L183" s="375"/>
      <c r="M183" s="375"/>
      <c r="N183" s="375"/>
    </row>
    <row r="184" spans="3:14" x14ac:dyDescent="0.25">
      <c r="C184" s="380"/>
      <c r="D184" s="45" t="s">
        <v>3499</v>
      </c>
      <c r="E184" s="45">
        <v>15000</v>
      </c>
      <c r="F184" s="45">
        <f>capitalexpdata!G476</f>
        <v>15000</v>
      </c>
      <c r="G184" s="45">
        <f>capitalexpdata!H476</f>
        <v>15000</v>
      </c>
      <c r="H184" s="375"/>
      <c r="I184" s="375"/>
      <c r="J184" s="375"/>
      <c r="K184" s="375"/>
      <c r="L184" s="375"/>
      <c r="M184" s="375"/>
      <c r="N184" s="375"/>
    </row>
    <row r="185" spans="3:14" x14ac:dyDescent="0.25">
      <c r="C185" s="380"/>
      <c r="D185" s="45" t="s">
        <v>3500</v>
      </c>
      <c r="E185" s="45"/>
      <c r="F185" s="45">
        <f>capitalexpdata!G477</f>
        <v>5000</v>
      </c>
      <c r="G185" s="45">
        <f>capitalexpdata!H477</f>
        <v>75000</v>
      </c>
      <c r="H185" s="375"/>
      <c r="I185" s="375"/>
      <c r="J185" s="375"/>
      <c r="K185" s="375"/>
      <c r="L185" s="375"/>
      <c r="M185" s="375"/>
      <c r="N185" s="375"/>
    </row>
    <row r="186" spans="3:14" x14ac:dyDescent="0.25">
      <c r="C186" s="380"/>
      <c r="D186" s="45" t="s">
        <v>3501</v>
      </c>
      <c r="E186" s="45">
        <v>30000</v>
      </c>
      <c r="F186" s="45"/>
      <c r="G186" s="45"/>
      <c r="H186" s="375"/>
      <c r="I186" s="375"/>
      <c r="J186" s="375"/>
      <c r="K186" s="375"/>
      <c r="L186" s="375"/>
      <c r="M186" s="375"/>
      <c r="N186" s="375"/>
    </row>
    <row r="187" spans="3:14" x14ac:dyDescent="0.25">
      <c r="C187" s="380"/>
      <c r="D187" s="45" t="s">
        <v>3502</v>
      </c>
      <c r="E187" s="45"/>
      <c r="F187" s="45"/>
      <c r="G187" s="45"/>
      <c r="H187" s="375">
        <v>150000</v>
      </c>
      <c r="I187" s="375"/>
      <c r="J187" s="375"/>
      <c r="K187" s="375"/>
      <c r="L187" s="375"/>
      <c r="M187" s="375"/>
      <c r="N187" s="375"/>
    </row>
    <row r="188" spans="3:14" x14ac:dyDescent="0.25">
      <c r="C188" s="380"/>
      <c r="D188" s="45" t="s">
        <v>3503</v>
      </c>
      <c r="E188" s="45">
        <v>30000</v>
      </c>
      <c r="F188" s="45"/>
      <c r="G188" s="45"/>
      <c r="H188" s="375"/>
      <c r="I188" s="375"/>
      <c r="J188" s="375"/>
      <c r="K188" s="375"/>
      <c r="L188" s="375"/>
      <c r="M188" s="375"/>
      <c r="N188" s="375"/>
    </row>
    <row r="189" spans="3:14" x14ac:dyDescent="0.25">
      <c r="C189" s="380"/>
      <c r="D189" s="45" t="s">
        <v>3504</v>
      </c>
      <c r="E189" s="45">
        <v>100000</v>
      </c>
      <c r="F189" s="45"/>
      <c r="G189" s="45"/>
      <c r="H189" s="375"/>
      <c r="I189" s="375"/>
      <c r="J189" s="375"/>
      <c r="K189" s="375"/>
      <c r="L189" s="375"/>
      <c r="M189" s="375"/>
      <c r="N189" s="375"/>
    </row>
    <row r="190" spans="3:14" x14ac:dyDescent="0.25">
      <c r="C190" s="380"/>
      <c r="D190" s="45" t="s">
        <v>3505</v>
      </c>
      <c r="E190" s="45"/>
      <c r="F190" s="45"/>
      <c r="G190" s="45"/>
      <c r="H190" s="375">
        <f>capitalexpdata!I490</f>
        <v>68000</v>
      </c>
      <c r="I190" s="375"/>
      <c r="J190" s="375"/>
      <c r="K190" s="375"/>
      <c r="L190" s="375"/>
      <c r="M190" s="375"/>
      <c r="N190" s="375"/>
    </row>
    <row r="191" spans="3:14" x14ac:dyDescent="0.25">
      <c r="C191" s="380"/>
      <c r="D191" s="45" t="s">
        <v>3535</v>
      </c>
      <c r="E191" s="45">
        <v>100000</v>
      </c>
      <c r="F191" s="45"/>
      <c r="G191" s="45"/>
      <c r="H191" s="375"/>
      <c r="I191" s="375"/>
      <c r="J191" s="375"/>
      <c r="K191" s="375"/>
      <c r="L191" s="375"/>
      <c r="M191" s="375"/>
      <c r="N191" s="375"/>
    </row>
    <row r="192" spans="3:14" x14ac:dyDescent="0.25">
      <c r="C192" s="380" t="s">
        <v>3506</v>
      </c>
      <c r="D192" s="45"/>
      <c r="E192" s="45"/>
      <c r="F192" s="45"/>
      <c r="G192" s="45"/>
      <c r="H192" s="375"/>
      <c r="I192" s="375"/>
      <c r="J192" s="375"/>
      <c r="K192" s="375"/>
      <c r="L192" s="375"/>
      <c r="M192" s="375"/>
      <c r="N192" s="375"/>
    </row>
    <row r="193" spans="3:14" x14ac:dyDescent="0.25">
      <c r="C193" s="380"/>
      <c r="D193" s="45" t="s">
        <v>3507</v>
      </c>
      <c r="E193" s="45"/>
      <c r="F193" s="45"/>
      <c r="G193" s="45"/>
      <c r="H193" s="375"/>
      <c r="I193" s="375"/>
      <c r="J193" s="375"/>
      <c r="K193" s="375"/>
      <c r="L193" s="375"/>
      <c r="M193" s="375"/>
      <c r="N193" s="375"/>
    </row>
    <row r="194" spans="3:14" x14ac:dyDescent="0.25">
      <c r="C194" s="380"/>
      <c r="D194" s="45" t="s">
        <v>3508</v>
      </c>
      <c r="E194" s="45"/>
      <c r="F194" s="45"/>
      <c r="G194" s="45"/>
      <c r="H194" s="375"/>
      <c r="I194" s="375"/>
      <c r="J194" s="375"/>
      <c r="K194" s="375"/>
      <c r="L194" s="375"/>
      <c r="M194" s="375"/>
      <c r="N194" s="375"/>
    </row>
    <row r="195" spans="3:14" x14ac:dyDescent="0.25">
      <c r="C195" s="380"/>
      <c r="D195" s="45"/>
      <c r="E195" s="45"/>
      <c r="F195" s="45"/>
      <c r="G195" s="45"/>
      <c r="H195" s="375"/>
      <c r="I195" s="375"/>
      <c r="J195" s="375"/>
      <c r="K195" s="375"/>
      <c r="L195" s="375"/>
      <c r="M195" s="375"/>
      <c r="N195" s="375"/>
    </row>
    <row r="196" spans="3:14" x14ac:dyDescent="0.25">
      <c r="C196" s="380" t="s">
        <v>2120</v>
      </c>
      <c r="D196" s="45"/>
      <c r="E196" s="45"/>
      <c r="F196" s="45"/>
      <c r="G196" s="45"/>
      <c r="H196" s="375"/>
      <c r="I196" s="375"/>
      <c r="J196" s="375"/>
      <c r="K196" s="375"/>
      <c r="L196" s="375"/>
      <c r="M196" s="375"/>
      <c r="N196" s="375"/>
    </row>
    <row r="197" spans="3:14" x14ac:dyDescent="0.25">
      <c r="C197" s="380"/>
      <c r="D197" s="45" t="s">
        <v>3509</v>
      </c>
      <c r="E197" s="45"/>
      <c r="F197" s="45"/>
      <c r="G197" s="45"/>
      <c r="H197" s="375"/>
      <c r="I197" s="375"/>
      <c r="J197" s="375"/>
      <c r="K197" s="375"/>
      <c r="L197" s="375"/>
      <c r="M197" s="375"/>
      <c r="N197" s="375"/>
    </row>
    <row r="198" spans="3:14" x14ac:dyDescent="0.25">
      <c r="C198" s="390"/>
      <c r="D198" s="45" t="s">
        <v>3510</v>
      </c>
      <c r="E198" s="45"/>
      <c r="F198" s="45"/>
      <c r="G198" s="45"/>
      <c r="H198" s="375"/>
      <c r="I198" s="375"/>
      <c r="J198" s="375"/>
      <c r="K198" s="375"/>
      <c r="L198" s="375"/>
      <c r="M198" s="375"/>
      <c r="N198" s="375"/>
    </row>
    <row r="199" spans="3:14" x14ac:dyDescent="0.25">
      <c r="C199" s="62"/>
      <c r="D199" s="45" t="s">
        <v>3511</v>
      </c>
      <c r="E199" s="45"/>
      <c r="F199" s="45"/>
      <c r="G199" s="45"/>
      <c r="H199" s="375"/>
      <c r="I199" s="375"/>
      <c r="J199" s="375"/>
      <c r="K199" s="375"/>
      <c r="L199" s="375"/>
      <c r="M199" s="375"/>
      <c r="N199" s="375"/>
    </row>
    <row r="200" spans="3:14" x14ac:dyDescent="0.25">
      <c r="C200" s="62"/>
      <c r="D200" s="45" t="s">
        <v>3512</v>
      </c>
      <c r="E200" s="45"/>
      <c r="F200" s="45"/>
      <c r="G200" s="45"/>
      <c r="H200" s="375"/>
      <c r="I200" s="375"/>
      <c r="J200" s="375"/>
      <c r="K200" s="375"/>
      <c r="L200" s="375"/>
      <c r="M200" s="375"/>
      <c r="N200" s="375"/>
    </row>
    <row r="201" spans="3:14" x14ac:dyDescent="0.25">
      <c r="C201" s="62"/>
      <c r="D201" s="45" t="s">
        <v>3513</v>
      </c>
      <c r="E201" s="45"/>
      <c r="F201" s="45"/>
      <c r="G201" s="45"/>
      <c r="H201" s="375"/>
      <c r="I201" s="375"/>
      <c r="J201" s="375"/>
      <c r="K201" s="375"/>
      <c r="L201" s="375"/>
      <c r="M201" s="375"/>
      <c r="N201" s="375"/>
    </row>
    <row r="202" spans="3:14" x14ac:dyDescent="0.25">
      <c r="C202" s="62"/>
      <c r="D202" s="45" t="s">
        <v>3514</v>
      </c>
      <c r="E202" s="45"/>
      <c r="F202" s="45"/>
      <c r="G202" s="45"/>
      <c r="H202" s="375"/>
      <c r="I202" s="375"/>
      <c r="J202" s="375"/>
      <c r="K202" s="375"/>
      <c r="L202" s="375"/>
      <c r="M202" s="375"/>
      <c r="N202" s="375"/>
    </row>
    <row r="203" spans="3:14" x14ac:dyDescent="0.25">
      <c r="C203" s="62"/>
      <c r="D203" s="45"/>
      <c r="E203" s="45"/>
      <c r="F203" s="45"/>
      <c r="G203" s="45"/>
      <c r="H203" s="375"/>
      <c r="I203" s="375"/>
      <c r="J203" s="375"/>
      <c r="K203" s="375"/>
      <c r="L203" s="375"/>
      <c r="M203" s="375"/>
      <c r="N203" s="375"/>
    </row>
    <row r="204" spans="3:14" x14ac:dyDescent="0.25">
      <c r="C204" s="380" t="s">
        <v>3515</v>
      </c>
      <c r="D204" s="45"/>
      <c r="E204" s="45"/>
      <c r="F204" s="45"/>
      <c r="G204" s="45"/>
      <c r="H204" s="375"/>
      <c r="I204" s="375"/>
      <c r="J204" s="375"/>
      <c r="K204" s="375"/>
      <c r="L204" s="375"/>
      <c r="M204" s="375"/>
      <c r="N204" s="375"/>
    </row>
    <row r="205" spans="3:14" x14ac:dyDescent="0.25">
      <c r="C205" s="380"/>
      <c r="D205" s="45"/>
      <c r="E205" s="45"/>
      <c r="F205" s="45"/>
      <c r="G205" s="45"/>
      <c r="H205" s="375"/>
      <c r="I205" s="375"/>
      <c r="J205" s="375"/>
      <c r="K205" s="375"/>
      <c r="L205" s="375"/>
      <c r="M205" s="375"/>
      <c r="N205" s="375"/>
    </row>
    <row r="206" spans="3:14" x14ac:dyDescent="0.25">
      <c r="C206" s="380" t="s">
        <v>3516</v>
      </c>
      <c r="D206" s="45"/>
      <c r="E206" s="45"/>
      <c r="F206" s="45"/>
      <c r="G206" s="45"/>
      <c r="H206" s="375"/>
      <c r="I206" s="375"/>
      <c r="J206" s="375"/>
      <c r="K206" s="375"/>
      <c r="L206" s="375"/>
      <c r="M206" s="375"/>
      <c r="N206" s="375"/>
    </row>
    <row r="207" spans="3:14" x14ac:dyDescent="0.25">
      <c r="C207" s="380"/>
      <c r="D207" s="45" t="s">
        <v>3517</v>
      </c>
      <c r="E207" s="45">
        <v>17000</v>
      </c>
      <c r="F207" s="45"/>
      <c r="G207" s="45"/>
      <c r="H207" s="375"/>
      <c r="I207" s="375"/>
      <c r="J207" s="375"/>
      <c r="K207" s="375"/>
      <c r="L207" s="375"/>
      <c r="M207" s="375"/>
      <c r="N207" s="375"/>
    </row>
    <row r="208" spans="3:14" x14ac:dyDescent="0.25">
      <c r="C208" s="380"/>
      <c r="D208" s="45"/>
      <c r="E208" s="45"/>
      <c r="F208" s="45"/>
      <c r="G208" s="45"/>
      <c r="H208" s="375"/>
      <c r="I208" s="375"/>
      <c r="J208" s="375"/>
      <c r="K208" s="375"/>
      <c r="L208" s="375"/>
      <c r="M208" s="375"/>
      <c r="N208" s="375"/>
    </row>
    <row r="209" spans="1:15" x14ac:dyDescent="0.25">
      <c r="C209" s="380"/>
      <c r="D209" s="45"/>
      <c r="E209" s="45"/>
      <c r="F209" s="45"/>
      <c r="G209" s="45"/>
      <c r="H209" s="375"/>
      <c r="I209" s="375"/>
      <c r="J209" s="375"/>
      <c r="K209" s="375"/>
      <c r="L209" s="375"/>
      <c r="M209" s="375"/>
      <c r="N209" s="375"/>
    </row>
    <row r="210" spans="1:15" x14ac:dyDescent="0.25">
      <c r="C210" s="62"/>
      <c r="D210" s="45"/>
      <c r="E210" s="45"/>
      <c r="F210" s="45"/>
      <c r="G210" s="45"/>
      <c r="H210" s="45"/>
      <c r="I210" s="375"/>
      <c r="J210" s="375"/>
      <c r="K210" s="375"/>
      <c r="L210" s="375"/>
      <c r="M210" s="375"/>
      <c r="N210" s="375"/>
    </row>
    <row r="211" spans="1:15" x14ac:dyDescent="0.25">
      <c r="C211" s="56"/>
      <c r="D211" s="56"/>
      <c r="E211" s="294"/>
      <c r="F211" s="292"/>
      <c r="G211" s="292"/>
      <c r="H211" s="292"/>
      <c r="I211" s="375"/>
      <c r="J211" s="375"/>
      <c r="K211" s="375"/>
      <c r="L211" s="375"/>
      <c r="M211" s="375"/>
      <c r="N211" s="375"/>
    </row>
    <row r="212" spans="1:15" x14ac:dyDescent="0.25">
      <c r="D212" s="47" t="s">
        <v>3378</v>
      </c>
      <c r="E212" s="295">
        <f t="shared" ref="E212:N212" si="23">SUM(E78:E211)</f>
        <v>14513000</v>
      </c>
      <c r="F212" s="296">
        <f t="shared" si="23"/>
        <v>408600</v>
      </c>
      <c r="G212" s="296">
        <f t="shared" si="23"/>
        <v>761600</v>
      </c>
      <c r="H212" s="296">
        <f t="shared" si="23"/>
        <v>564600</v>
      </c>
      <c r="I212" s="296">
        <f t="shared" si="23"/>
        <v>609300</v>
      </c>
      <c r="J212" s="296">
        <f t="shared" si="23"/>
        <v>372600</v>
      </c>
      <c r="K212" s="296">
        <f t="shared" si="23"/>
        <v>386200</v>
      </c>
      <c r="L212" s="296">
        <f t="shared" si="23"/>
        <v>400400</v>
      </c>
      <c r="M212" s="296">
        <f t="shared" si="23"/>
        <v>415200</v>
      </c>
      <c r="N212" s="296">
        <f t="shared" si="23"/>
        <v>30000</v>
      </c>
    </row>
    <row r="213" spans="1:15" x14ac:dyDescent="0.25">
      <c r="A213" s="16"/>
      <c r="B213" s="16"/>
      <c r="C213" s="371"/>
      <c r="D213" s="371"/>
      <c r="E213" s="376"/>
      <c r="F213" s="372"/>
      <c r="G213" s="372"/>
      <c r="H213" s="372"/>
      <c r="I213" s="372"/>
      <c r="J213" s="372"/>
      <c r="K213" s="372"/>
      <c r="L213" s="372"/>
      <c r="M213" s="372"/>
      <c r="N213" s="372"/>
    </row>
    <row r="214" spans="1:15" x14ac:dyDescent="0.25">
      <c r="A214" s="16"/>
      <c r="B214" s="16"/>
      <c r="C214" s="47" t="s">
        <v>3383</v>
      </c>
      <c r="E214" s="377"/>
      <c r="F214" s="375"/>
      <c r="G214" s="375"/>
      <c r="H214" s="292"/>
      <c r="I214" s="375"/>
      <c r="J214" s="375"/>
      <c r="K214" s="375"/>
      <c r="L214" s="375"/>
      <c r="M214" s="375"/>
      <c r="N214" s="375"/>
    </row>
    <row r="215" spans="1:15" s="54" customFormat="1" x14ac:dyDescent="0.25">
      <c r="A215" s="53"/>
      <c r="B215" s="53"/>
      <c r="C215" s="368"/>
      <c r="D215" s="44" t="s">
        <v>3404</v>
      </c>
      <c r="E215" s="55">
        <v>913000</v>
      </c>
      <c r="F215" s="45"/>
      <c r="G215" s="45"/>
      <c r="H215" s="45"/>
      <c r="I215" s="375"/>
      <c r="J215" s="375"/>
      <c r="K215" s="375"/>
      <c r="L215" s="375"/>
      <c r="M215" s="375"/>
      <c r="N215" s="375"/>
      <c r="O215" s="393"/>
    </row>
    <row r="216" spans="1:15" s="54" customFormat="1" x14ac:dyDescent="0.25">
      <c r="A216" s="53"/>
      <c r="B216" s="53"/>
      <c r="C216" s="368"/>
      <c r="D216" s="44" t="s">
        <v>3405</v>
      </c>
      <c r="E216" s="55">
        <v>660000</v>
      </c>
      <c r="F216" s="45"/>
      <c r="G216" s="45"/>
      <c r="H216" s="45"/>
      <c r="I216" s="375"/>
      <c r="J216" s="375"/>
      <c r="K216" s="375"/>
      <c r="L216" s="375"/>
      <c r="M216" s="375"/>
      <c r="N216" s="375"/>
      <c r="O216" s="393"/>
    </row>
    <row r="217" spans="1:15" s="54" customFormat="1" x14ac:dyDescent="0.25">
      <c r="A217" s="53"/>
      <c r="B217" s="53"/>
      <c r="C217" s="368"/>
      <c r="D217" s="44" t="s">
        <v>3406</v>
      </c>
      <c r="E217" s="55">
        <v>100000</v>
      </c>
      <c r="F217" s="45"/>
      <c r="G217" s="45"/>
      <c r="H217" s="45"/>
      <c r="I217" s="375"/>
      <c r="J217" s="375"/>
      <c r="K217" s="375"/>
      <c r="L217" s="375"/>
      <c r="M217" s="375"/>
      <c r="N217" s="375"/>
      <c r="O217" s="393"/>
    </row>
    <row r="218" spans="1:15" x14ac:dyDescent="0.25">
      <c r="A218" s="16"/>
      <c r="B218" s="16"/>
      <c r="E218" s="377"/>
      <c r="F218" s="375"/>
      <c r="G218" s="375"/>
      <c r="H218" s="292"/>
      <c r="I218" s="375"/>
      <c r="J218" s="375"/>
      <c r="K218" s="375"/>
      <c r="L218" s="375"/>
      <c r="M218" s="375"/>
      <c r="N218" s="375"/>
    </row>
    <row r="219" spans="1:15" x14ac:dyDescent="0.25">
      <c r="A219" s="16"/>
      <c r="B219" s="16"/>
      <c r="E219" s="377"/>
      <c r="F219" s="375"/>
      <c r="G219" s="375"/>
      <c r="H219" s="375"/>
      <c r="I219" s="375"/>
      <c r="J219" s="375"/>
      <c r="K219" s="375"/>
      <c r="L219" s="375"/>
      <c r="M219" s="375"/>
      <c r="N219" s="375"/>
    </row>
    <row r="220" spans="1:15" x14ac:dyDescent="0.25">
      <c r="A220" s="16"/>
      <c r="B220" s="16"/>
      <c r="E220" s="377"/>
      <c r="F220" s="375"/>
      <c r="G220" s="375"/>
      <c r="H220" s="375"/>
      <c r="I220" s="375"/>
      <c r="J220" s="375"/>
      <c r="K220" s="375"/>
      <c r="L220" s="375"/>
      <c r="M220" s="375"/>
      <c r="N220" s="375"/>
    </row>
    <row r="221" spans="1:15" x14ac:dyDescent="0.25">
      <c r="A221" s="16"/>
      <c r="B221" s="16"/>
      <c r="E221" s="377"/>
      <c r="F221" s="375"/>
      <c r="G221" s="375"/>
      <c r="H221" s="375"/>
      <c r="I221" s="375"/>
      <c r="J221" s="375"/>
      <c r="K221" s="375"/>
      <c r="L221" s="375"/>
      <c r="M221" s="375"/>
      <c r="N221" s="375"/>
    </row>
    <row r="222" spans="1:15" x14ac:dyDescent="0.25">
      <c r="A222" s="16"/>
      <c r="B222" s="16"/>
      <c r="E222" s="377"/>
      <c r="F222" s="375"/>
      <c r="G222" s="375"/>
      <c r="H222" s="375"/>
      <c r="I222" s="375"/>
      <c r="J222" s="375"/>
      <c r="K222" s="375"/>
      <c r="L222" s="375"/>
      <c r="M222" s="375"/>
      <c r="N222" s="375"/>
    </row>
    <row r="223" spans="1:15" x14ac:dyDescent="0.25">
      <c r="A223" s="16"/>
      <c r="B223" s="16"/>
      <c r="E223" s="378"/>
      <c r="F223" s="375"/>
      <c r="G223" s="375"/>
      <c r="H223" s="375"/>
      <c r="I223" s="375"/>
      <c r="J223" s="375"/>
      <c r="K223" s="375"/>
      <c r="L223" s="375"/>
      <c r="M223" s="375"/>
      <c r="N223" s="375"/>
    </row>
    <row r="224" spans="1:15" x14ac:dyDescent="0.25">
      <c r="A224" s="16"/>
      <c r="B224" s="16"/>
      <c r="D224" s="47" t="s">
        <v>3384</v>
      </c>
      <c r="E224" s="295">
        <f>SUM(E215:E223)</f>
        <v>1673000</v>
      </c>
      <c r="F224" s="296">
        <f t="shared" ref="F224" si="24">SUM(F215:F223)</f>
        <v>0</v>
      </c>
      <c r="G224" s="296">
        <f t="shared" ref="G224" si="25">SUM(G215:G223)</f>
        <v>0</v>
      </c>
      <c r="H224" s="296">
        <f t="shared" ref="H224" si="26">SUM(H215:H223)</f>
        <v>0</v>
      </c>
      <c r="I224" s="296">
        <f t="shared" ref="I224" si="27">SUM(I215:I223)</f>
        <v>0</v>
      </c>
      <c r="J224" s="296">
        <f t="shared" ref="J224" si="28">SUM(J215:J223)</f>
        <v>0</v>
      </c>
      <c r="K224" s="296">
        <f t="shared" ref="K224" si="29">SUM(K215:K223)</f>
        <v>0</v>
      </c>
      <c r="L224" s="296">
        <f t="shared" ref="L224" si="30">SUM(L215:L223)</f>
        <v>0</v>
      </c>
      <c r="M224" s="296">
        <f t="shared" ref="M224" si="31">SUM(M215:M223)</f>
        <v>0</v>
      </c>
      <c r="N224" s="296">
        <f t="shared" ref="N224" si="32">SUM(N215:N223)</f>
        <v>0</v>
      </c>
    </row>
    <row r="225" spans="1:14" x14ac:dyDescent="0.25">
      <c r="A225" s="16"/>
      <c r="B225" s="16"/>
      <c r="C225" s="371"/>
      <c r="D225" s="371"/>
      <c r="E225" s="376"/>
      <c r="F225" s="372"/>
      <c r="G225" s="372"/>
      <c r="H225" s="372"/>
      <c r="I225" s="372"/>
      <c r="J225" s="372"/>
      <c r="K225" s="372"/>
      <c r="L225" s="372"/>
      <c r="M225" s="372"/>
      <c r="N225" s="372"/>
    </row>
    <row r="226" spans="1:14" x14ac:dyDescent="0.25">
      <c r="A226" s="16"/>
      <c r="B226" s="16"/>
      <c r="C226" s="47" t="s">
        <v>3385</v>
      </c>
      <c r="E226" s="378"/>
      <c r="F226" s="375"/>
      <c r="G226" s="375"/>
      <c r="H226" s="375"/>
      <c r="I226" s="375"/>
      <c r="J226" s="375"/>
      <c r="K226" s="375"/>
      <c r="L226" s="375"/>
      <c r="M226" s="375"/>
      <c r="N226" s="375"/>
    </row>
    <row r="227" spans="1:14" x14ac:dyDescent="0.25">
      <c r="A227" s="16"/>
      <c r="B227" s="16"/>
      <c r="E227" s="378"/>
      <c r="F227" s="375"/>
      <c r="G227" s="375"/>
      <c r="H227" s="375"/>
      <c r="I227" s="375"/>
      <c r="J227" s="375"/>
      <c r="K227" s="375"/>
      <c r="L227" s="375"/>
      <c r="M227" s="375"/>
      <c r="N227" s="375"/>
    </row>
    <row r="228" spans="1:14" x14ac:dyDescent="0.25">
      <c r="A228" s="16"/>
      <c r="B228" s="16"/>
      <c r="D228" s="368" t="s">
        <v>4590</v>
      </c>
      <c r="E228" s="378"/>
      <c r="F228" s="375">
        <v>2000000</v>
      </c>
      <c r="G228" s="375">
        <v>2000000</v>
      </c>
      <c r="H228" s="375">
        <v>2000000</v>
      </c>
      <c r="I228" s="375"/>
      <c r="J228" s="375"/>
      <c r="K228" s="375"/>
      <c r="L228" s="375"/>
      <c r="M228" s="375"/>
      <c r="N228" s="375"/>
    </row>
    <row r="229" spans="1:14" x14ac:dyDescent="0.25">
      <c r="A229" s="16"/>
      <c r="B229" s="16"/>
      <c r="E229" s="378"/>
      <c r="F229" s="375"/>
      <c r="G229" s="375"/>
      <c r="H229" s="375"/>
      <c r="I229" s="375"/>
      <c r="J229" s="375"/>
      <c r="K229" s="375"/>
      <c r="L229" s="375"/>
      <c r="M229" s="375"/>
      <c r="N229" s="375"/>
    </row>
    <row r="230" spans="1:14" x14ac:dyDescent="0.25">
      <c r="A230" s="16"/>
      <c r="B230" s="16"/>
      <c r="E230" s="378"/>
      <c r="F230" s="375"/>
      <c r="G230" s="375"/>
      <c r="H230" s="375"/>
      <c r="I230" s="375"/>
      <c r="J230" s="375"/>
      <c r="K230" s="375"/>
      <c r="L230" s="375"/>
      <c r="M230" s="375"/>
      <c r="N230" s="375"/>
    </row>
    <row r="231" spans="1:14" x14ac:dyDescent="0.25">
      <c r="A231" s="16"/>
      <c r="B231" s="16"/>
      <c r="E231" s="378"/>
      <c r="F231" s="375"/>
      <c r="G231" s="375"/>
      <c r="H231" s="375"/>
      <c r="I231" s="375"/>
      <c r="J231" s="375"/>
      <c r="K231" s="375"/>
      <c r="L231" s="375"/>
      <c r="M231" s="375"/>
      <c r="N231" s="375"/>
    </row>
    <row r="232" spans="1:14" x14ac:dyDescent="0.25">
      <c r="A232" s="16"/>
      <c r="B232" s="16"/>
      <c r="E232" s="378"/>
      <c r="F232" s="375"/>
      <c r="G232" s="375"/>
      <c r="H232" s="375"/>
      <c r="I232" s="375"/>
      <c r="J232" s="375"/>
      <c r="K232" s="375"/>
      <c r="L232" s="375"/>
      <c r="M232" s="375"/>
      <c r="N232" s="375"/>
    </row>
    <row r="233" spans="1:14" x14ac:dyDescent="0.25">
      <c r="A233" s="16"/>
      <c r="B233" s="16"/>
      <c r="E233" s="378"/>
      <c r="F233" s="375"/>
      <c r="G233" s="375"/>
      <c r="H233" s="375"/>
      <c r="I233" s="375"/>
      <c r="J233" s="375"/>
      <c r="K233" s="375"/>
      <c r="L233" s="375"/>
      <c r="M233" s="375"/>
      <c r="N233" s="375"/>
    </row>
    <row r="234" spans="1:14" x14ac:dyDescent="0.25">
      <c r="A234" s="16"/>
      <c r="B234" s="16"/>
      <c r="E234" s="378"/>
      <c r="F234" s="375"/>
      <c r="G234" s="375"/>
      <c r="H234" s="375"/>
      <c r="I234" s="375"/>
      <c r="J234" s="375"/>
      <c r="K234" s="375"/>
      <c r="L234" s="375"/>
      <c r="M234" s="375"/>
      <c r="N234" s="375"/>
    </row>
    <row r="235" spans="1:14" x14ac:dyDescent="0.25">
      <c r="A235" s="16"/>
      <c r="B235" s="16"/>
      <c r="E235" s="378"/>
      <c r="F235" s="375"/>
      <c r="G235" s="375"/>
      <c r="H235" s="375"/>
      <c r="I235" s="375"/>
      <c r="J235" s="375"/>
      <c r="K235" s="375"/>
      <c r="L235" s="375"/>
      <c r="M235" s="375"/>
      <c r="N235" s="375"/>
    </row>
    <row r="236" spans="1:14" x14ac:dyDescent="0.25">
      <c r="A236" s="16"/>
      <c r="B236" s="16"/>
      <c r="D236" s="47" t="s">
        <v>3386</v>
      </c>
      <c r="E236" s="295">
        <f>SUM(E227:E235)</f>
        <v>0</v>
      </c>
      <c r="F236" s="296">
        <f t="shared" ref="F236" si="33">SUM(F227:F235)</f>
        <v>2000000</v>
      </c>
      <c r="G236" s="296">
        <f t="shared" ref="G236" si="34">SUM(G227:G235)</f>
        <v>2000000</v>
      </c>
      <c r="H236" s="296">
        <f t="shared" ref="H236" si="35">SUM(H227:H235)</f>
        <v>2000000</v>
      </c>
      <c r="I236" s="296">
        <f t="shared" ref="I236" si="36">SUM(I227:I235)</f>
        <v>0</v>
      </c>
      <c r="J236" s="296">
        <f t="shared" ref="J236" si="37">SUM(J227:J235)</f>
        <v>0</v>
      </c>
      <c r="K236" s="296">
        <f t="shared" ref="K236" si="38">SUM(K227:K235)</f>
        <v>0</v>
      </c>
      <c r="L236" s="296">
        <f t="shared" ref="L236" si="39">SUM(L227:L235)</f>
        <v>0</v>
      </c>
      <c r="M236" s="296">
        <f t="shared" ref="M236" si="40">SUM(M227:M235)</f>
        <v>0</v>
      </c>
      <c r="N236" s="296">
        <f t="shared" ref="N236" si="41">SUM(N227:N235)</f>
        <v>0</v>
      </c>
    </row>
    <row r="237" spans="1:14" x14ac:dyDescent="0.25">
      <c r="A237" s="16"/>
      <c r="B237" s="16"/>
      <c r="C237" s="371"/>
      <c r="D237" s="371"/>
      <c r="E237" s="376"/>
      <c r="F237" s="372"/>
      <c r="G237" s="372"/>
      <c r="H237" s="372"/>
      <c r="I237" s="372"/>
      <c r="J237" s="372"/>
      <c r="K237" s="372"/>
      <c r="L237" s="372"/>
      <c r="M237" s="372"/>
      <c r="N237" s="372"/>
    </row>
    <row r="238" spans="1:14" x14ac:dyDescent="0.25">
      <c r="A238" s="16"/>
      <c r="B238" s="16"/>
      <c r="C238" s="47" t="s">
        <v>3388</v>
      </c>
      <c r="E238" s="378"/>
      <c r="F238" s="375"/>
      <c r="G238" s="375"/>
      <c r="H238" s="375"/>
      <c r="I238" s="375"/>
      <c r="J238" s="375"/>
      <c r="K238" s="375"/>
      <c r="L238" s="375"/>
      <c r="M238" s="375"/>
      <c r="N238" s="375"/>
    </row>
    <row r="239" spans="1:14" x14ac:dyDescent="0.25">
      <c r="A239" s="16"/>
      <c r="B239" s="16"/>
      <c r="E239" s="378"/>
      <c r="F239" s="375"/>
      <c r="G239" s="375"/>
      <c r="H239" s="375"/>
      <c r="I239" s="375"/>
      <c r="J239" s="375"/>
      <c r="K239" s="375"/>
      <c r="L239" s="375"/>
      <c r="M239" s="375"/>
      <c r="N239" s="375"/>
    </row>
    <row r="240" spans="1:14" x14ac:dyDescent="0.25">
      <c r="A240" s="16"/>
      <c r="B240" s="16"/>
      <c r="E240" s="378"/>
      <c r="F240" s="375"/>
      <c r="G240" s="375"/>
      <c r="H240" s="375"/>
      <c r="I240" s="375"/>
      <c r="J240" s="375"/>
      <c r="K240" s="375"/>
      <c r="L240" s="375"/>
      <c r="M240" s="375"/>
      <c r="N240" s="375"/>
    </row>
    <row r="241" spans="1:14" x14ac:dyDescent="0.25">
      <c r="A241" s="16"/>
      <c r="B241" s="16"/>
      <c r="E241" s="375"/>
      <c r="F241" s="375"/>
      <c r="G241" s="375"/>
      <c r="H241" s="375"/>
      <c r="I241" s="375"/>
      <c r="J241" s="375"/>
      <c r="K241" s="375"/>
      <c r="L241" s="375"/>
      <c r="M241" s="375"/>
      <c r="N241" s="375"/>
    </row>
    <row r="242" spans="1:14" x14ac:dyDescent="0.25">
      <c r="A242" s="16"/>
      <c r="B242" s="16"/>
      <c r="E242" s="375"/>
      <c r="F242" s="375"/>
      <c r="G242" s="375"/>
      <c r="H242" s="375"/>
      <c r="I242" s="375"/>
      <c r="J242" s="375"/>
      <c r="K242" s="375"/>
      <c r="L242" s="375"/>
      <c r="M242" s="375"/>
      <c r="N242" s="375"/>
    </row>
    <row r="243" spans="1:14" x14ac:dyDescent="0.25">
      <c r="A243" s="16"/>
      <c r="B243" s="16"/>
      <c r="E243" s="375"/>
      <c r="F243" s="375"/>
      <c r="G243" s="375"/>
      <c r="H243" s="375"/>
      <c r="I243" s="375"/>
      <c r="J243" s="375"/>
      <c r="K243" s="375"/>
      <c r="L243" s="375"/>
      <c r="M243" s="375"/>
      <c r="N243" s="375"/>
    </row>
    <row r="244" spans="1:14" x14ac:dyDescent="0.25">
      <c r="A244" s="16"/>
      <c r="B244" s="16"/>
      <c r="E244" s="375"/>
      <c r="F244" s="375"/>
      <c r="G244" s="375"/>
      <c r="H244" s="375"/>
      <c r="I244" s="375"/>
      <c r="J244" s="375"/>
      <c r="K244" s="375"/>
      <c r="L244" s="375"/>
      <c r="M244" s="375"/>
      <c r="N244" s="375"/>
    </row>
    <row r="245" spans="1:14" x14ac:dyDescent="0.25">
      <c r="A245" s="16"/>
      <c r="B245" s="16"/>
      <c r="E245" s="375"/>
      <c r="F245" s="375"/>
      <c r="G245" s="375"/>
      <c r="H245" s="375"/>
      <c r="I245" s="375"/>
      <c r="J245" s="375"/>
      <c r="K245" s="375"/>
      <c r="L245" s="375"/>
      <c r="M245" s="375"/>
      <c r="N245" s="375"/>
    </row>
    <row r="246" spans="1:14" x14ac:dyDescent="0.25">
      <c r="A246" s="16"/>
      <c r="B246" s="16"/>
      <c r="E246" s="375"/>
      <c r="F246" s="375"/>
      <c r="G246" s="375"/>
      <c r="H246" s="375"/>
      <c r="I246" s="375"/>
      <c r="J246" s="375"/>
      <c r="K246" s="375"/>
      <c r="L246" s="375"/>
      <c r="M246" s="375"/>
      <c r="N246" s="375"/>
    </row>
    <row r="247" spans="1:14" x14ac:dyDescent="0.25">
      <c r="A247" s="16"/>
      <c r="B247" s="16"/>
      <c r="E247" s="375"/>
      <c r="F247" s="375"/>
      <c r="G247" s="375"/>
      <c r="H247" s="375"/>
      <c r="I247" s="375"/>
      <c r="J247" s="375"/>
      <c r="K247" s="375"/>
      <c r="L247" s="375"/>
      <c r="M247" s="375"/>
      <c r="N247" s="375"/>
    </row>
    <row r="248" spans="1:14" x14ac:dyDescent="0.25">
      <c r="A248" s="16"/>
      <c r="B248" s="16"/>
      <c r="D248" s="47" t="s">
        <v>3387</v>
      </c>
      <c r="E248" s="296">
        <f>SUM(E239:E247)</f>
        <v>0</v>
      </c>
      <c r="F248" s="296">
        <f t="shared" ref="F248" si="42">SUM(F239:F247)</f>
        <v>0</v>
      </c>
      <c r="G248" s="296">
        <f t="shared" ref="G248" si="43">SUM(G239:G247)</f>
        <v>0</v>
      </c>
      <c r="H248" s="296">
        <f t="shared" ref="H248" si="44">SUM(H239:H247)</f>
        <v>0</v>
      </c>
      <c r="I248" s="296">
        <f t="shared" ref="I248" si="45">SUM(I239:I247)</f>
        <v>0</v>
      </c>
      <c r="J248" s="296">
        <f t="shared" ref="J248" si="46">SUM(J239:J247)</f>
        <v>0</v>
      </c>
      <c r="K248" s="296">
        <f t="shared" ref="K248" si="47">SUM(K239:K247)</f>
        <v>0</v>
      </c>
      <c r="L248" s="296">
        <f t="shared" ref="L248" si="48">SUM(L239:L247)</f>
        <v>0</v>
      </c>
      <c r="M248" s="296">
        <f t="shared" ref="M248" si="49">SUM(M239:M247)</f>
        <v>0</v>
      </c>
      <c r="N248" s="296">
        <f t="shared" ref="N248" si="50">SUM(N239:N247)</f>
        <v>0</v>
      </c>
    </row>
    <row r="249" spans="1:14" x14ac:dyDescent="0.25">
      <c r="A249" s="16"/>
      <c r="B249" s="16"/>
      <c r="D249" s="47"/>
      <c r="E249" s="300"/>
      <c r="F249" s="300"/>
      <c r="G249" s="300"/>
      <c r="H249" s="300"/>
      <c r="I249" s="300"/>
      <c r="J249" s="300"/>
      <c r="K249" s="300"/>
      <c r="L249" s="300"/>
      <c r="M249" s="300"/>
      <c r="N249" s="300"/>
    </row>
    <row r="250" spans="1:14" ht="15.75" thickBot="1" x14ac:dyDescent="0.3">
      <c r="A250" s="16"/>
      <c r="B250" s="16"/>
      <c r="C250" s="47" t="s">
        <v>3389</v>
      </c>
      <c r="D250" s="47"/>
      <c r="E250" s="301">
        <f t="shared" ref="E250:N250" si="51">E75+E212+E224+E236+E248</f>
        <v>17986000</v>
      </c>
      <c r="F250" s="301">
        <f t="shared" si="51"/>
        <v>3909100</v>
      </c>
      <c r="G250" s="301">
        <f t="shared" si="51"/>
        <v>3961600</v>
      </c>
      <c r="H250" s="301">
        <f t="shared" si="51"/>
        <v>3564600</v>
      </c>
      <c r="I250" s="301">
        <f t="shared" si="51"/>
        <v>1609300</v>
      </c>
      <c r="J250" s="301">
        <f t="shared" si="51"/>
        <v>1372600</v>
      </c>
      <c r="K250" s="301">
        <f t="shared" si="51"/>
        <v>1186200</v>
      </c>
      <c r="L250" s="301">
        <f t="shared" si="51"/>
        <v>1200400</v>
      </c>
      <c r="M250" s="301">
        <f t="shared" si="51"/>
        <v>1215200</v>
      </c>
      <c r="N250" s="301">
        <f t="shared" si="51"/>
        <v>830000</v>
      </c>
    </row>
    <row r="251" spans="1:14" ht="15.75" thickTop="1" x14ac:dyDescent="0.25">
      <c r="A251" s="16"/>
      <c r="B251" s="16"/>
      <c r="D251" s="47"/>
      <c r="E251" s="300"/>
      <c r="F251" s="300"/>
      <c r="G251" s="300"/>
      <c r="H251" s="300"/>
      <c r="I251" s="300"/>
      <c r="J251" s="300"/>
      <c r="K251" s="300"/>
      <c r="L251" s="300"/>
      <c r="M251" s="300"/>
      <c r="N251" s="300"/>
    </row>
    <row r="252" spans="1:14" x14ac:dyDescent="0.25">
      <c r="A252" s="16"/>
      <c r="B252" s="16"/>
      <c r="C252" s="19" t="s">
        <v>3224</v>
      </c>
      <c r="D252" s="371"/>
      <c r="E252" s="372"/>
      <c r="F252" s="372"/>
      <c r="G252" s="372"/>
      <c r="H252" s="372"/>
      <c r="I252" s="372"/>
      <c r="J252" s="372"/>
      <c r="K252" s="372"/>
      <c r="L252" s="372"/>
      <c r="M252" s="372"/>
      <c r="N252" s="372"/>
    </row>
    <row r="253" spans="1:14" x14ac:dyDescent="0.25">
      <c r="A253" s="16"/>
      <c r="B253" s="16"/>
      <c r="C253" s="19" t="s">
        <v>3360</v>
      </c>
      <c r="D253" s="371"/>
      <c r="E253" s="372"/>
      <c r="F253" s="372"/>
      <c r="G253" s="372"/>
      <c r="H253" s="372"/>
      <c r="I253" s="372"/>
      <c r="J253" s="372"/>
      <c r="K253" s="372"/>
      <c r="L253" s="372"/>
      <c r="M253" s="372"/>
      <c r="N253" s="372"/>
    </row>
    <row r="254" spans="1:14" x14ac:dyDescent="0.25">
      <c r="A254" s="16"/>
      <c r="B254" s="16"/>
      <c r="C254" s="373" t="s">
        <v>3364</v>
      </c>
      <c r="D254" s="373" t="s">
        <v>3365</v>
      </c>
      <c r="E254" s="379"/>
      <c r="F254" s="372">
        <v>600000</v>
      </c>
      <c r="G254" s="372">
        <v>600000</v>
      </c>
      <c r="H254" s="372">
        <v>600000</v>
      </c>
      <c r="I254" s="372">
        <v>600000</v>
      </c>
      <c r="J254" s="372">
        <v>600000</v>
      </c>
      <c r="K254" s="372">
        <v>600000</v>
      </c>
      <c r="L254" s="372">
        <v>600000</v>
      </c>
      <c r="M254" s="372">
        <v>600000</v>
      </c>
      <c r="N254" s="372">
        <v>600000</v>
      </c>
    </row>
    <row r="255" spans="1:14" x14ac:dyDescent="0.25">
      <c r="A255" s="16"/>
      <c r="B255" s="16"/>
      <c r="C255" s="373" t="s">
        <v>3366</v>
      </c>
      <c r="D255" s="373" t="s">
        <v>958</v>
      </c>
      <c r="E255" s="379">
        <v>600000</v>
      </c>
      <c r="F255" s="372"/>
      <c r="G255" s="372"/>
      <c r="H255" s="372"/>
      <c r="I255" s="372"/>
      <c r="J255" s="372"/>
      <c r="K255" s="372"/>
      <c r="L255" s="372"/>
      <c r="M255" s="372"/>
      <c r="N255" s="372"/>
    </row>
    <row r="256" spans="1:14" x14ac:dyDescent="0.25">
      <c r="A256" s="16"/>
      <c r="B256" s="16"/>
      <c r="C256" s="373" t="s">
        <v>3367</v>
      </c>
      <c r="D256" s="373" t="s">
        <v>3326</v>
      </c>
      <c r="E256" s="379"/>
      <c r="F256" s="372"/>
      <c r="G256" s="372"/>
      <c r="H256" s="372"/>
      <c r="I256" s="372"/>
      <c r="J256" s="372"/>
      <c r="K256" s="372"/>
      <c r="L256" s="372"/>
      <c r="M256" s="372"/>
      <c r="N256" s="372"/>
    </row>
    <row r="257" spans="1:14" x14ac:dyDescent="0.25">
      <c r="A257" s="16"/>
      <c r="B257" s="16"/>
      <c r="C257" s="373" t="s">
        <v>3368</v>
      </c>
      <c r="D257" s="373" t="s">
        <v>3369</v>
      </c>
      <c r="E257" s="379"/>
      <c r="F257" s="372"/>
      <c r="G257" s="372"/>
      <c r="H257" s="372"/>
      <c r="I257" s="372"/>
      <c r="J257" s="372"/>
      <c r="K257" s="372"/>
      <c r="L257" s="372"/>
      <c r="M257" s="372"/>
      <c r="N257" s="372"/>
    </row>
    <row r="258" spans="1:14" x14ac:dyDescent="0.25">
      <c r="A258" s="16"/>
      <c r="B258" s="16"/>
      <c r="C258" s="371"/>
      <c r="D258" s="371"/>
      <c r="E258" s="372"/>
      <c r="F258" s="372"/>
      <c r="G258" s="372"/>
      <c r="H258" s="372"/>
      <c r="I258" s="372"/>
      <c r="J258" s="372"/>
      <c r="K258" s="372"/>
      <c r="L258" s="372"/>
      <c r="M258" s="372"/>
      <c r="N258" s="372"/>
    </row>
    <row r="259" spans="1:14" x14ac:dyDescent="0.25">
      <c r="A259" s="16"/>
      <c r="B259" s="16"/>
      <c r="C259" s="371"/>
      <c r="D259" s="19" t="s">
        <v>3361</v>
      </c>
      <c r="E259" s="291">
        <f>SUM(E254:E258)</f>
        <v>600000</v>
      </c>
      <c r="F259" s="291">
        <f t="shared" ref="F259:N259" si="52">SUM(F254:F258)</f>
        <v>600000</v>
      </c>
      <c r="G259" s="291">
        <f t="shared" si="52"/>
        <v>600000</v>
      </c>
      <c r="H259" s="291">
        <f t="shared" si="52"/>
        <v>600000</v>
      </c>
      <c r="I259" s="291">
        <f t="shared" si="52"/>
        <v>600000</v>
      </c>
      <c r="J259" s="291">
        <f t="shared" si="52"/>
        <v>600000</v>
      </c>
      <c r="K259" s="291">
        <f t="shared" si="52"/>
        <v>600000</v>
      </c>
      <c r="L259" s="291">
        <f t="shared" si="52"/>
        <v>600000</v>
      </c>
      <c r="M259" s="291">
        <f t="shared" si="52"/>
        <v>600000</v>
      </c>
      <c r="N259" s="291">
        <f t="shared" si="52"/>
        <v>600000</v>
      </c>
    </row>
    <row r="260" spans="1:14" x14ac:dyDescent="0.25">
      <c r="A260" s="16"/>
      <c r="B260" s="16"/>
      <c r="C260" s="371"/>
      <c r="D260" s="371"/>
      <c r="E260" s="372"/>
      <c r="F260" s="372"/>
      <c r="G260" s="372"/>
      <c r="H260" s="372"/>
      <c r="I260" s="372"/>
      <c r="J260" s="372"/>
      <c r="K260" s="372"/>
      <c r="L260" s="372"/>
      <c r="M260" s="372"/>
      <c r="N260" s="372"/>
    </row>
    <row r="261" spans="1:14" x14ac:dyDescent="0.25">
      <c r="A261" s="16"/>
      <c r="B261" s="16"/>
      <c r="C261" s="47" t="s">
        <v>3379</v>
      </c>
      <c r="E261" s="375"/>
      <c r="F261" s="375"/>
      <c r="G261" s="375"/>
      <c r="H261" s="375"/>
      <c r="I261" s="375"/>
      <c r="J261" s="375"/>
      <c r="K261" s="375"/>
      <c r="L261" s="375"/>
      <c r="M261" s="375"/>
      <c r="N261" s="375"/>
    </row>
    <row r="262" spans="1:14" x14ac:dyDescent="0.25">
      <c r="A262" s="16"/>
      <c r="B262" s="16"/>
      <c r="E262" s="375"/>
      <c r="F262" s="375"/>
      <c r="G262" s="375"/>
      <c r="H262" s="375"/>
      <c r="I262" s="375"/>
      <c r="J262" s="375"/>
      <c r="K262" s="375"/>
      <c r="L262" s="375"/>
      <c r="M262" s="375"/>
      <c r="N262" s="375"/>
    </row>
    <row r="263" spans="1:14" x14ac:dyDescent="0.25">
      <c r="A263" s="16"/>
      <c r="B263" s="16"/>
      <c r="E263" s="375"/>
      <c r="F263" s="375"/>
      <c r="G263" s="375"/>
      <c r="H263" s="375"/>
      <c r="I263" s="375"/>
      <c r="J263" s="375"/>
      <c r="K263" s="375"/>
      <c r="L263" s="375"/>
      <c r="M263" s="375"/>
      <c r="N263" s="375"/>
    </row>
    <row r="264" spans="1:14" x14ac:dyDescent="0.25">
      <c r="A264" s="16"/>
      <c r="B264" s="16"/>
      <c r="E264" s="375"/>
      <c r="F264" s="375"/>
      <c r="G264" s="375"/>
      <c r="H264" s="375"/>
      <c r="I264" s="375"/>
      <c r="J264" s="375"/>
      <c r="K264" s="375"/>
      <c r="L264" s="375"/>
      <c r="M264" s="375"/>
      <c r="N264" s="375"/>
    </row>
    <row r="265" spans="1:14" x14ac:dyDescent="0.25">
      <c r="A265" s="16"/>
      <c r="B265" s="16"/>
      <c r="E265" s="375"/>
      <c r="F265" s="375"/>
      <c r="G265" s="375"/>
      <c r="H265" s="375"/>
      <c r="I265" s="375"/>
      <c r="J265" s="375"/>
      <c r="K265" s="375"/>
      <c r="L265" s="375"/>
      <c r="M265" s="375"/>
      <c r="N265" s="375"/>
    </row>
    <row r="266" spans="1:14" x14ac:dyDescent="0.25">
      <c r="A266" s="16"/>
      <c r="B266" s="16"/>
      <c r="E266" s="375"/>
      <c r="F266" s="375"/>
      <c r="G266" s="375"/>
      <c r="H266" s="375"/>
      <c r="I266" s="375"/>
      <c r="J266" s="375"/>
      <c r="K266" s="375"/>
      <c r="L266" s="375"/>
      <c r="M266" s="375"/>
      <c r="N266" s="375"/>
    </row>
    <row r="267" spans="1:14" x14ac:dyDescent="0.25">
      <c r="A267" s="16"/>
      <c r="B267" s="16"/>
      <c r="E267" s="375"/>
      <c r="F267" s="375"/>
      <c r="G267" s="375"/>
      <c r="H267" s="375"/>
      <c r="I267" s="375"/>
      <c r="J267" s="375"/>
      <c r="K267" s="375"/>
      <c r="L267" s="375"/>
      <c r="M267" s="375"/>
      <c r="N267" s="375"/>
    </row>
    <row r="268" spans="1:14" x14ac:dyDescent="0.25">
      <c r="A268" s="16"/>
      <c r="B268" s="16"/>
      <c r="E268" s="375"/>
      <c r="F268" s="375"/>
      <c r="G268" s="375"/>
      <c r="H268" s="375"/>
      <c r="I268" s="375"/>
      <c r="J268" s="375"/>
      <c r="K268" s="375"/>
      <c r="L268" s="375"/>
      <c r="M268" s="375"/>
      <c r="N268" s="375"/>
    </row>
    <row r="269" spans="1:14" x14ac:dyDescent="0.25">
      <c r="A269" s="16"/>
      <c r="B269" s="16"/>
      <c r="E269" s="375"/>
      <c r="F269" s="375"/>
      <c r="G269" s="375"/>
      <c r="H269" s="375"/>
      <c r="I269" s="375"/>
      <c r="J269" s="375"/>
      <c r="K269" s="375"/>
      <c r="L269" s="375"/>
      <c r="M269" s="375"/>
      <c r="N269" s="375"/>
    </row>
    <row r="270" spans="1:14" x14ac:dyDescent="0.25">
      <c r="A270" s="16"/>
      <c r="B270" s="16"/>
      <c r="E270" s="375"/>
      <c r="F270" s="375"/>
      <c r="G270" s="375"/>
      <c r="H270" s="375"/>
      <c r="I270" s="375"/>
      <c r="J270" s="375"/>
      <c r="K270" s="375"/>
      <c r="L270" s="375"/>
      <c r="M270" s="375"/>
      <c r="N270" s="375"/>
    </row>
    <row r="271" spans="1:14" x14ac:dyDescent="0.25">
      <c r="A271" s="16"/>
      <c r="B271" s="16"/>
      <c r="D271" s="47" t="s">
        <v>3380</v>
      </c>
      <c r="E271" s="296">
        <f>SUM(E262:E270)</f>
        <v>0</v>
      </c>
      <c r="F271" s="296">
        <f t="shared" ref="F271" si="53">SUM(F262:F270)</f>
        <v>0</v>
      </c>
      <c r="G271" s="296">
        <f t="shared" ref="G271" si="54">SUM(G262:G270)</f>
        <v>0</v>
      </c>
      <c r="H271" s="296">
        <f t="shared" ref="H271" si="55">SUM(H262:H270)</f>
        <v>0</v>
      </c>
      <c r="I271" s="296">
        <f t="shared" ref="I271" si="56">SUM(I262:I270)</f>
        <v>0</v>
      </c>
      <c r="J271" s="296">
        <f t="shared" ref="J271" si="57">SUM(J262:J270)</f>
        <v>0</v>
      </c>
      <c r="K271" s="296">
        <f t="shared" ref="K271" si="58">SUM(K262:K270)</f>
        <v>0</v>
      </c>
      <c r="L271" s="296">
        <f t="shared" ref="L271" si="59">SUM(L262:L270)</f>
        <v>0</v>
      </c>
      <c r="M271" s="296">
        <f t="shared" ref="M271" si="60">SUM(M262:M270)</f>
        <v>0</v>
      </c>
      <c r="N271" s="296">
        <f t="shared" ref="N271" si="61">SUM(N262:N270)</f>
        <v>0</v>
      </c>
    </row>
    <row r="272" spans="1:14" x14ac:dyDescent="0.25">
      <c r="A272" s="16"/>
      <c r="B272" s="16"/>
      <c r="C272" s="371"/>
      <c r="D272" s="371"/>
      <c r="E272" s="372"/>
      <c r="F272" s="372"/>
      <c r="G272" s="372"/>
      <c r="H272" s="372"/>
      <c r="I272" s="372"/>
      <c r="J272" s="372"/>
      <c r="K272" s="372"/>
      <c r="L272" s="372"/>
      <c r="M272" s="372"/>
      <c r="N272" s="372"/>
    </row>
    <row r="273" spans="1:14" x14ac:dyDescent="0.25">
      <c r="A273" s="16"/>
      <c r="B273" s="16"/>
      <c r="C273" s="47" t="s">
        <v>3390</v>
      </c>
      <c r="E273" s="375"/>
      <c r="F273" s="375"/>
      <c r="G273" s="375"/>
      <c r="H273" s="375"/>
      <c r="I273" s="375"/>
      <c r="J273" s="375"/>
      <c r="K273" s="375"/>
      <c r="L273" s="375"/>
      <c r="M273" s="375"/>
      <c r="N273" s="375"/>
    </row>
    <row r="274" spans="1:14" x14ac:dyDescent="0.25">
      <c r="A274" s="16"/>
      <c r="B274" s="16"/>
      <c r="E274" s="375"/>
      <c r="F274" s="375"/>
      <c r="G274" s="375"/>
      <c r="H274" s="375"/>
      <c r="I274" s="375"/>
      <c r="J274" s="375"/>
      <c r="K274" s="375"/>
      <c r="L274" s="375"/>
      <c r="M274" s="375"/>
      <c r="N274" s="375"/>
    </row>
    <row r="275" spans="1:14" x14ac:dyDescent="0.25">
      <c r="A275" s="16"/>
      <c r="B275" s="16"/>
      <c r="E275" s="375"/>
      <c r="F275" s="375"/>
      <c r="G275" s="375"/>
      <c r="H275" s="375"/>
      <c r="I275" s="375"/>
      <c r="J275" s="375"/>
      <c r="K275" s="375"/>
      <c r="L275" s="375"/>
      <c r="M275" s="375"/>
      <c r="N275" s="375"/>
    </row>
    <row r="276" spans="1:14" x14ac:dyDescent="0.25">
      <c r="A276" s="16"/>
      <c r="B276" s="16"/>
      <c r="E276" s="375"/>
      <c r="F276" s="375"/>
      <c r="G276" s="375"/>
      <c r="H276" s="375"/>
      <c r="I276" s="375"/>
      <c r="J276" s="375"/>
      <c r="K276" s="375"/>
      <c r="L276" s="375"/>
      <c r="M276" s="375"/>
      <c r="N276" s="375"/>
    </row>
    <row r="277" spans="1:14" x14ac:dyDescent="0.25">
      <c r="A277" s="16"/>
      <c r="B277" s="16"/>
      <c r="E277" s="375"/>
      <c r="F277" s="375"/>
      <c r="G277" s="375"/>
      <c r="H277" s="375"/>
      <c r="I277" s="375"/>
      <c r="J277" s="375"/>
      <c r="K277" s="375"/>
      <c r="L277" s="375"/>
      <c r="M277" s="375"/>
      <c r="N277" s="375"/>
    </row>
    <row r="278" spans="1:14" x14ac:dyDescent="0.25">
      <c r="A278" s="16"/>
      <c r="B278" s="16"/>
      <c r="E278" s="375"/>
      <c r="F278" s="375"/>
      <c r="G278" s="375"/>
      <c r="H278" s="375"/>
      <c r="I278" s="375"/>
      <c r="J278" s="375"/>
      <c r="K278" s="375"/>
      <c r="L278" s="375"/>
      <c r="M278" s="375"/>
      <c r="N278" s="375"/>
    </row>
    <row r="279" spans="1:14" x14ac:dyDescent="0.25">
      <c r="A279" s="16"/>
      <c r="B279" s="16"/>
      <c r="E279" s="375"/>
      <c r="F279" s="375"/>
      <c r="G279" s="375"/>
      <c r="H279" s="375"/>
      <c r="I279" s="375"/>
      <c r="J279" s="375"/>
      <c r="K279" s="375"/>
      <c r="L279" s="375"/>
      <c r="M279" s="375"/>
      <c r="N279" s="375"/>
    </row>
    <row r="280" spans="1:14" x14ac:dyDescent="0.25">
      <c r="A280" s="16"/>
      <c r="B280" s="16"/>
      <c r="E280" s="375"/>
      <c r="F280" s="375"/>
      <c r="G280" s="375"/>
      <c r="H280" s="375"/>
      <c r="I280" s="375"/>
      <c r="J280" s="375"/>
      <c r="K280" s="375"/>
      <c r="L280" s="375"/>
      <c r="M280" s="375"/>
      <c r="N280" s="375"/>
    </row>
    <row r="281" spans="1:14" x14ac:dyDescent="0.25">
      <c r="A281" s="16"/>
      <c r="B281" s="16"/>
      <c r="E281" s="375"/>
      <c r="F281" s="375"/>
      <c r="G281" s="375"/>
      <c r="H281" s="375"/>
      <c r="I281" s="375"/>
      <c r="J281" s="375"/>
      <c r="K281" s="375"/>
      <c r="L281" s="375"/>
      <c r="M281" s="375"/>
      <c r="N281" s="375"/>
    </row>
    <row r="282" spans="1:14" x14ac:dyDescent="0.25">
      <c r="A282" s="16"/>
      <c r="B282" s="16"/>
      <c r="E282" s="375"/>
      <c r="F282" s="375"/>
      <c r="G282" s="375"/>
      <c r="H282" s="375"/>
      <c r="I282" s="375"/>
      <c r="J282" s="375"/>
      <c r="K282" s="375"/>
      <c r="L282" s="375"/>
      <c r="M282" s="375"/>
      <c r="N282" s="375"/>
    </row>
    <row r="283" spans="1:14" x14ac:dyDescent="0.25">
      <c r="A283" s="16"/>
      <c r="B283" s="16"/>
      <c r="D283" s="47" t="s">
        <v>3391</v>
      </c>
      <c r="E283" s="296">
        <f>SUM(E274:E282)</f>
        <v>0</v>
      </c>
      <c r="F283" s="296">
        <f t="shared" ref="F283" si="62">SUM(F274:F282)</f>
        <v>0</v>
      </c>
      <c r="G283" s="296">
        <f t="shared" ref="G283" si="63">SUM(G274:G282)</f>
        <v>0</v>
      </c>
      <c r="H283" s="296">
        <f t="shared" ref="H283" si="64">SUM(H274:H282)</f>
        <v>0</v>
      </c>
      <c r="I283" s="296">
        <f t="shared" ref="I283" si="65">SUM(I274:I282)</f>
        <v>0</v>
      </c>
      <c r="J283" s="296">
        <f t="shared" ref="J283" si="66">SUM(J274:J282)</f>
        <v>0</v>
      </c>
      <c r="K283" s="296">
        <f t="shared" ref="K283" si="67">SUM(K274:K282)</f>
        <v>0</v>
      </c>
      <c r="L283" s="296">
        <f t="shared" ref="L283" si="68">SUM(L274:L282)</f>
        <v>0</v>
      </c>
      <c r="M283" s="296">
        <f t="shared" ref="M283" si="69">SUM(M274:M282)</f>
        <v>0</v>
      </c>
      <c r="N283" s="296">
        <f t="shared" ref="N283" si="70">SUM(N274:N282)</f>
        <v>0</v>
      </c>
    </row>
    <row r="284" spans="1:14" x14ac:dyDescent="0.25">
      <c r="A284" s="16"/>
      <c r="B284" s="16"/>
      <c r="C284" s="371"/>
      <c r="D284" s="371"/>
      <c r="E284" s="372"/>
      <c r="F284" s="372"/>
      <c r="G284" s="372"/>
      <c r="H284" s="372"/>
      <c r="I284" s="372"/>
      <c r="J284" s="372"/>
      <c r="K284" s="372"/>
      <c r="L284" s="372"/>
      <c r="M284" s="372"/>
      <c r="N284" s="372"/>
    </row>
    <row r="285" spans="1:14" x14ac:dyDescent="0.25">
      <c r="A285" s="16"/>
      <c r="B285" s="16"/>
      <c r="C285" s="47" t="s">
        <v>3392</v>
      </c>
      <c r="E285" s="375"/>
      <c r="F285" s="375"/>
      <c r="G285" s="375"/>
      <c r="H285" s="375"/>
      <c r="I285" s="375"/>
      <c r="J285" s="375"/>
      <c r="K285" s="375"/>
      <c r="L285" s="375"/>
      <c r="M285" s="375"/>
      <c r="N285" s="375"/>
    </row>
    <row r="286" spans="1:14" x14ac:dyDescent="0.25">
      <c r="A286" s="16"/>
      <c r="B286" s="16"/>
      <c r="E286" s="375"/>
      <c r="F286" s="375"/>
      <c r="G286" s="375"/>
      <c r="H286" s="375"/>
      <c r="I286" s="375"/>
      <c r="J286" s="375"/>
      <c r="K286" s="375"/>
      <c r="L286" s="375"/>
      <c r="M286" s="375"/>
      <c r="N286" s="375"/>
    </row>
    <row r="287" spans="1:14" x14ac:dyDescent="0.25">
      <c r="A287" s="16"/>
      <c r="B287" s="16"/>
      <c r="E287" s="375"/>
      <c r="F287" s="375"/>
      <c r="G287" s="375"/>
      <c r="H287" s="375"/>
      <c r="I287" s="375"/>
      <c r="J287" s="375"/>
      <c r="K287" s="375"/>
      <c r="L287" s="375"/>
      <c r="M287" s="375"/>
      <c r="N287" s="375"/>
    </row>
    <row r="288" spans="1:14" x14ac:dyDescent="0.25">
      <c r="A288" s="16"/>
      <c r="B288" s="16"/>
      <c r="E288" s="375"/>
      <c r="F288" s="375"/>
      <c r="G288" s="375"/>
      <c r="H288" s="375"/>
      <c r="I288" s="375"/>
      <c r="J288" s="375"/>
      <c r="K288" s="375"/>
      <c r="L288" s="375"/>
      <c r="M288" s="375"/>
      <c r="N288" s="375"/>
    </row>
    <row r="289" spans="1:14" x14ac:dyDescent="0.25">
      <c r="A289" s="16"/>
      <c r="B289" s="16"/>
      <c r="E289" s="375"/>
      <c r="F289" s="375"/>
      <c r="G289" s="375"/>
      <c r="H289" s="375"/>
      <c r="I289" s="375"/>
      <c r="J289" s="375"/>
      <c r="K289" s="375"/>
      <c r="L289" s="375"/>
      <c r="M289" s="375"/>
      <c r="N289" s="375"/>
    </row>
    <row r="290" spans="1:14" x14ac:dyDescent="0.25">
      <c r="A290" s="16"/>
      <c r="B290" s="16"/>
      <c r="E290" s="375"/>
      <c r="F290" s="375"/>
      <c r="G290" s="375"/>
      <c r="H290" s="375"/>
      <c r="I290" s="375"/>
      <c r="J290" s="375"/>
      <c r="K290" s="375"/>
      <c r="L290" s="375"/>
      <c r="M290" s="375"/>
      <c r="N290" s="375"/>
    </row>
    <row r="291" spans="1:14" x14ac:dyDescent="0.25">
      <c r="A291" s="16"/>
      <c r="B291" s="16"/>
      <c r="E291" s="375"/>
      <c r="F291" s="375"/>
      <c r="G291" s="375"/>
      <c r="H291" s="375"/>
      <c r="I291" s="375"/>
      <c r="J291" s="375"/>
      <c r="K291" s="375"/>
      <c r="L291" s="375"/>
      <c r="M291" s="375"/>
      <c r="N291" s="375"/>
    </row>
    <row r="292" spans="1:14" x14ac:dyDescent="0.25">
      <c r="A292" s="16"/>
      <c r="B292" s="16"/>
      <c r="E292" s="375"/>
      <c r="F292" s="375"/>
      <c r="G292" s="375"/>
      <c r="H292" s="375"/>
      <c r="I292" s="375"/>
      <c r="J292" s="375"/>
      <c r="K292" s="375"/>
      <c r="L292" s="375"/>
      <c r="M292" s="375"/>
      <c r="N292" s="375"/>
    </row>
    <row r="293" spans="1:14" x14ac:dyDescent="0.25">
      <c r="A293" s="16"/>
      <c r="B293" s="16"/>
      <c r="E293" s="375"/>
      <c r="F293" s="375"/>
      <c r="G293" s="375"/>
      <c r="H293" s="375"/>
      <c r="I293" s="375"/>
      <c r="J293" s="375"/>
      <c r="K293" s="375"/>
      <c r="L293" s="375"/>
      <c r="M293" s="375"/>
      <c r="N293" s="375"/>
    </row>
    <row r="294" spans="1:14" x14ac:dyDescent="0.25">
      <c r="A294" s="16"/>
      <c r="B294" s="16"/>
      <c r="E294" s="375"/>
      <c r="F294" s="375"/>
      <c r="G294" s="375"/>
      <c r="H294" s="375"/>
      <c r="I294" s="375"/>
      <c r="J294" s="375"/>
      <c r="K294" s="375"/>
      <c r="L294" s="375"/>
      <c r="M294" s="375"/>
      <c r="N294" s="375"/>
    </row>
    <row r="295" spans="1:14" x14ac:dyDescent="0.25">
      <c r="A295" s="16"/>
      <c r="B295" s="16"/>
      <c r="D295" s="47" t="s">
        <v>3393</v>
      </c>
      <c r="E295" s="296">
        <f>SUM(E286:E294)</f>
        <v>0</v>
      </c>
      <c r="F295" s="296">
        <f t="shared" ref="F295" si="71">SUM(F286:F294)</f>
        <v>0</v>
      </c>
      <c r="G295" s="296">
        <f t="shared" ref="G295" si="72">SUM(G286:G294)</f>
        <v>0</v>
      </c>
      <c r="H295" s="296">
        <f t="shared" ref="H295" si="73">SUM(H286:H294)</f>
        <v>0</v>
      </c>
      <c r="I295" s="296">
        <f t="shared" ref="I295" si="74">SUM(I286:I294)</f>
        <v>0</v>
      </c>
      <c r="J295" s="296">
        <f t="shared" ref="J295" si="75">SUM(J286:J294)</f>
        <v>0</v>
      </c>
      <c r="K295" s="296">
        <f t="shared" ref="K295" si="76">SUM(K286:K294)</f>
        <v>0</v>
      </c>
      <c r="L295" s="296">
        <f t="shared" ref="L295" si="77">SUM(L286:L294)</f>
        <v>0</v>
      </c>
      <c r="M295" s="296">
        <f t="shared" ref="M295" si="78">SUM(M286:M294)</f>
        <v>0</v>
      </c>
      <c r="N295" s="296">
        <f t="shared" ref="N295" si="79">SUM(N286:N294)</f>
        <v>0</v>
      </c>
    </row>
    <row r="296" spans="1:14" x14ac:dyDescent="0.25">
      <c r="A296" s="16"/>
      <c r="B296" s="16"/>
      <c r="C296" s="371"/>
      <c r="D296" s="371"/>
      <c r="E296" s="372"/>
      <c r="F296" s="372"/>
      <c r="G296" s="372"/>
      <c r="H296" s="372"/>
      <c r="I296" s="372"/>
      <c r="J296" s="372"/>
      <c r="K296" s="372"/>
      <c r="L296" s="372"/>
      <c r="M296" s="372"/>
      <c r="N296" s="372"/>
    </row>
    <row r="297" spans="1:14" x14ac:dyDescent="0.25">
      <c r="A297" s="16"/>
      <c r="B297" s="16"/>
      <c r="C297" s="47" t="s">
        <v>3394</v>
      </c>
      <c r="E297" s="375"/>
      <c r="F297" s="375"/>
      <c r="G297" s="375"/>
      <c r="H297" s="375"/>
      <c r="I297" s="375"/>
      <c r="J297" s="375"/>
      <c r="K297" s="375"/>
      <c r="L297" s="375"/>
      <c r="M297" s="375"/>
      <c r="N297" s="375"/>
    </row>
    <row r="298" spans="1:14" x14ac:dyDescent="0.25">
      <c r="A298" s="16"/>
      <c r="B298" s="16"/>
      <c r="E298" s="375"/>
      <c r="F298" s="375"/>
      <c r="G298" s="375"/>
      <c r="H298" s="375"/>
      <c r="I298" s="375"/>
      <c r="J298" s="375"/>
      <c r="K298" s="375"/>
      <c r="L298" s="375"/>
      <c r="M298" s="375"/>
      <c r="N298" s="375"/>
    </row>
    <row r="299" spans="1:14" x14ac:dyDescent="0.25">
      <c r="A299" s="16"/>
      <c r="B299" s="16"/>
      <c r="E299" s="375"/>
      <c r="F299" s="375"/>
      <c r="G299" s="375"/>
      <c r="H299" s="375"/>
      <c r="I299" s="375"/>
      <c r="J299" s="375"/>
      <c r="K299" s="375"/>
      <c r="L299" s="375"/>
      <c r="M299" s="375"/>
      <c r="N299" s="375"/>
    </row>
    <row r="300" spans="1:14" x14ac:dyDescent="0.25">
      <c r="A300" s="16"/>
      <c r="B300" s="16"/>
      <c r="E300" s="375"/>
      <c r="F300" s="375"/>
      <c r="G300" s="375"/>
      <c r="H300" s="375"/>
      <c r="I300" s="375"/>
      <c r="J300" s="375"/>
      <c r="K300" s="375"/>
      <c r="L300" s="375"/>
      <c r="M300" s="375"/>
      <c r="N300" s="375"/>
    </row>
    <row r="301" spans="1:14" x14ac:dyDescent="0.25">
      <c r="A301" s="16"/>
      <c r="B301" s="16"/>
      <c r="E301" s="375"/>
      <c r="F301" s="375"/>
      <c r="G301" s="375"/>
      <c r="H301" s="375"/>
      <c r="I301" s="375"/>
      <c r="J301" s="375"/>
      <c r="K301" s="375"/>
      <c r="L301" s="375"/>
      <c r="M301" s="375"/>
      <c r="N301" s="375"/>
    </row>
    <row r="302" spans="1:14" x14ac:dyDescent="0.25">
      <c r="A302" s="16"/>
      <c r="B302" s="16"/>
      <c r="E302" s="375"/>
      <c r="F302" s="375"/>
      <c r="G302" s="375"/>
      <c r="H302" s="375"/>
      <c r="I302" s="375"/>
      <c r="J302" s="375"/>
      <c r="K302" s="375"/>
      <c r="L302" s="375"/>
      <c r="M302" s="375"/>
      <c r="N302" s="375"/>
    </row>
    <row r="303" spans="1:14" x14ac:dyDescent="0.25">
      <c r="A303" s="16"/>
      <c r="B303" s="16"/>
      <c r="E303" s="375"/>
      <c r="F303" s="375"/>
      <c r="G303" s="375"/>
      <c r="H303" s="375"/>
      <c r="I303" s="375"/>
      <c r="J303" s="375"/>
      <c r="K303" s="375"/>
      <c r="L303" s="375"/>
      <c r="M303" s="375"/>
      <c r="N303" s="375"/>
    </row>
    <row r="304" spans="1:14" x14ac:dyDescent="0.25">
      <c r="A304" s="16"/>
      <c r="B304" s="16"/>
      <c r="E304" s="375"/>
      <c r="F304" s="375"/>
      <c r="G304" s="375"/>
      <c r="H304" s="375"/>
      <c r="I304" s="375"/>
      <c r="J304" s="375"/>
      <c r="K304" s="375"/>
      <c r="L304" s="375"/>
      <c r="M304" s="375"/>
      <c r="N304" s="375"/>
    </row>
    <row r="305" spans="1:14" x14ac:dyDescent="0.25">
      <c r="A305" s="16"/>
      <c r="B305" s="16"/>
      <c r="E305" s="375"/>
      <c r="F305" s="375"/>
      <c r="G305" s="375"/>
      <c r="H305" s="375"/>
      <c r="I305" s="375"/>
      <c r="J305" s="375"/>
      <c r="K305" s="375"/>
      <c r="L305" s="375"/>
      <c r="M305" s="375"/>
      <c r="N305" s="375"/>
    </row>
    <row r="306" spans="1:14" x14ac:dyDescent="0.25">
      <c r="A306" s="16"/>
      <c r="B306" s="16"/>
      <c r="E306" s="375"/>
      <c r="F306" s="375"/>
      <c r="G306" s="375"/>
      <c r="H306" s="375"/>
      <c r="I306" s="375"/>
      <c r="J306" s="375"/>
      <c r="K306" s="375"/>
      <c r="L306" s="375"/>
      <c r="M306" s="375"/>
      <c r="N306" s="375"/>
    </row>
    <row r="307" spans="1:14" x14ac:dyDescent="0.25">
      <c r="A307" s="16"/>
      <c r="B307" s="16"/>
      <c r="D307" s="47" t="s">
        <v>3395</v>
      </c>
      <c r="E307" s="296">
        <f>SUM(E298:E306)</f>
        <v>0</v>
      </c>
      <c r="F307" s="296">
        <f t="shared" ref="F307" si="80">SUM(F298:F306)</f>
        <v>0</v>
      </c>
      <c r="G307" s="296">
        <f t="shared" ref="G307" si="81">SUM(G298:G306)</f>
        <v>0</v>
      </c>
      <c r="H307" s="296">
        <f t="shared" ref="H307" si="82">SUM(H298:H306)</f>
        <v>0</v>
      </c>
      <c r="I307" s="296">
        <f t="shared" ref="I307" si="83">SUM(I298:I306)</f>
        <v>0</v>
      </c>
      <c r="J307" s="296">
        <f t="shared" ref="J307" si="84">SUM(J298:J306)</f>
        <v>0</v>
      </c>
      <c r="K307" s="296">
        <f t="shared" ref="K307" si="85">SUM(K298:K306)</f>
        <v>0</v>
      </c>
      <c r="L307" s="296">
        <f t="shared" ref="L307" si="86">SUM(L298:L306)</f>
        <v>0</v>
      </c>
      <c r="M307" s="296">
        <f t="shared" ref="M307" si="87">SUM(M298:M306)</f>
        <v>0</v>
      </c>
      <c r="N307" s="296">
        <f t="shared" ref="N307" si="88">SUM(N298:N306)</f>
        <v>0</v>
      </c>
    </row>
    <row r="308" spans="1:14" x14ac:dyDescent="0.25">
      <c r="A308" s="16"/>
      <c r="B308" s="16"/>
      <c r="D308" s="47"/>
      <c r="E308" s="300"/>
      <c r="F308" s="300"/>
      <c r="G308" s="300"/>
      <c r="H308" s="300"/>
      <c r="I308" s="300"/>
      <c r="J308" s="300"/>
      <c r="K308" s="300"/>
      <c r="L308" s="300"/>
      <c r="M308" s="300"/>
      <c r="N308" s="300"/>
    </row>
    <row r="309" spans="1:14" ht="15.75" thickBot="1" x14ac:dyDescent="0.3">
      <c r="A309" s="16"/>
      <c r="B309" s="16"/>
      <c r="C309" s="47" t="s">
        <v>3396</v>
      </c>
      <c r="D309" s="47"/>
      <c r="E309" s="301">
        <f>E259+E271+E283+E295+E307</f>
        <v>600000</v>
      </c>
      <c r="F309" s="301">
        <f t="shared" ref="F309:N309" si="89">F259+F271+F283+F295+F307</f>
        <v>600000</v>
      </c>
      <c r="G309" s="301">
        <f t="shared" si="89"/>
        <v>600000</v>
      </c>
      <c r="H309" s="301">
        <f t="shared" si="89"/>
        <v>600000</v>
      </c>
      <c r="I309" s="301">
        <f t="shared" si="89"/>
        <v>600000</v>
      </c>
      <c r="J309" s="301">
        <f t="shared" si="89"/>
        <v>600000</v>
      </c>
      <c r="K309" s="301">
        <f t="shared" si="89"/>
        <v>600000</v>
      </c>
      <c r="L309" s="301">
        <f t="shared" si="89"/>
        <v>600000</v>
      </c>
      <c r="M309" s="301">
        <f t="shared" si="89"/>
        <v>600000</v>
      </c>
      <c r="N309" s="301">
        <f t="shared" si="89"/>
        <v>600000</v>
      </c>
    </row>
    <row r="310" spans="1:14" ht="15.75" thickTop="1" x14ac:dyDescent="0.25">
      <c r="A310" s="16"/>
      <c r="B310" s="16"/>
      <c r="C310" s="371"/>
      <c r="D310" s="371"/>
      <c r="E310" s="372"/>
      <c r="F310" s="372"/>
      <c r="G310" s="372"/>
      <c r="H310" s="372"/>
      <c r="I310" s="372"/>
      <c r="J310" s="372"/>
      <c r="K310" s="372"/>
      <c r="L310" s="372"/>
      <c r="M310" s="372"/>
      <c r="N310" s="372"/>
    </row>
    <row r="311" spans="1:14" x14ac:dyDescent="0.25">
      <c r="A311" s="16"/>
      <c r="B311" s="16"/>
      <c r="C311" s="19" t="s">
        <v>3225</v>
      </c>
      <c r="D311" s="371"/>
      <c r="E311" s="372"/>
      <c r="F311" s="372"/>
      <c r="G311" s="372"/>
      <c r="H311" s="372"/>
      <c r="I311" s="372"/>
      <c r="J311" s="372"/>
      <c r="K311" s="372"/>
      <c r="L311" s="372"/>
      <c r="M311" s="372"/>
      <c r="N311" s="372"/>
    </row>
    <row r="312" spans="1:14" x14ac:dyDescent="0.25">
      <c r="A312" s="16"/>
      <c r="B312" s="16"/>
      <c r="C312" s="19" t="s">
        <v>3362</v>
      </c>
      <c r="D312" s="371"/>
      <c r="E312" s="372"/>
      <c r="F312" s="372"/>
      <c r="G312" s="372"/>
      <c r="H312" s="372"/>
      <c r="I312" s="372"/>
      <c r="J312" s="372"/>
      <c r="K312" s="372"/>
      <c r="L312" s="372"/>
      <c r="M312" s="372"/>
      <c r="N312" s="372"/>
    </row>
    <row r="313" spans="1:14" x14ac:dyDescent="0.25">
      <c r="A313" s="16"/>
      <c r="B313" s="16"/>
      <c r="C313" s="373" t="s">
        <v>3370</v>
      </c>
      <c r="D313" s="373" t="s">
        <v>3365</v>
      </c>
      <c r="E313" s="372"/>
      <c r="F313" s="372">
        <f>E314</f>
        <v>1400000</v>
      </c>
      <c r="G313" s="372">
        <f>F313</f>
        <v>1400000</v>
      </c>
      <c r="H313" s="372">
        <f t="shared" ref="H313:N313" si="90">G313</f>
        <v>1400000</v>
      </c>
      <c r="I313" s="372">
        <f t="shared" si="90"/>
        <v>1400000</v>
      </c>
      <c r="J313" s="372">
        <f t="shared" si="90"/>
        <v>1400000</v>
      </c>
      <c r="K313" s="372">
        <f t="shared" si="90"/>
        <v>1400000</v>
      </c>
      <c r="L313" s="372">
        <f t="shared" si="90"/>
        <v>1400000</v>
      </c>
      <c r="M313" s="372">
        <f t="shared" si="90"/>
        <v>1400000</v>
      </c>
      <c r="N313" s="372">
        <f t="shared" si="90"/>
        <v>1400000</v>
      </c>
    </row>
    <row r="314" spans="1:14" x14ac:dyDescent="0.25">
      <c r="A314" s="16"/>
      <c r="B314" s="16"/>
      <c r="C314" s="373" t="s">
        <v>3371</v>
      </c>
      <c r="D314" s="373" t="s">
        <v>958</v>
      </c>
      <c r="E314" s="372">
        <v>1400000</v>
      </c>
      <c r="F314" s="372"/>
      <c r="G314" s="372"/>
      <c r="H314" s="372"/>
      <c r="I314" s="372"/>
      <c r="J314" s="372"/>
      <c r="K314" s="372"/>
      <c r="L314" s="372"/>
      <c r="M314" s="372"/>
      <c r="N314" s="372"/>
    </row>
    <row r="315" spans="1:14" x14ac:dyDescent="0.25">
      <c r="A315" s="16"/>
      <c r="B315" s="16"/>
      <c r="C315" s="373" t="s">
        <v>3372</v>
      </c>
      <c r="D315" s="373" t="s">
        <v>3326</v>
      </c>
      <c r="E315" s="372"/>
      <c r="F315" s="372"/>
      <c r="G315" s="372"/>
      <c r="H315" s="372"/>
      <c r="I315" s="372"/>
      <c r="J315" s="372"/>
      <c r="K315" s="372"/>
      <c r="L315" s="372"/>
      <c r="M315" s="372"/>
      <c r="N315" s="372"/>
    </row>
    <row r="316" spans="1:14" x14ac:dyDescent="0.25">
      <c r="C316" s="373" t="s">
        <v>3373</v>
      </c>
      <c r="D316" s="373" t="s">
        <v>3374</v>
      </c>
      <c r="E316" s="375"/>
      <c r="F316" s="375"/>
      <c r="G316" s="375"/>
      <c r="H316" s="375"/>
      <c r="I316" s="375"/>
      <c r="J316" s="375"/>
      <c r="K316" s="375"/>
      <c r="L316" s="375"/>
      <c r="M316" s="375"/>
      <c r="N316" s="375"/>
    </row>
    <row r="317" spans="1:14" x14ac:dyDescent="0.25">
      <c r="C317" s="373" t="s">
        <v>3375</v>
      </c>
      <c r="D317" s="373" t="s">
        <v>3376</v>
      </c>
      <c r="E317" s="375"/>
      <c r="F317" s="375"/>
      <c r="G317" s="375"/>
      <c r="H317" s="375"/>
      <c r="I317" s="375"/>
      <c r="J317" s="375"/>
      <c r="K317" s="375"/>
      <c r="L317" s="375"/>
      <c r="M317" s="375"/>
      <c r="N317" s="375"/>
    </row>
    <row r="318" spans="1:14" x14ac:dyDescent="0.25">
      <c r="E318" s="375"/>
      <c r="F318" s="375"/>
      <c r="G318" s="375"/>
      <c r="H318" s="375"/>
      <c r="I318" s="375"/>
      <c r="J318" s="375"/>
      <c r="K318" s="375"/>
      <c r="L318" s="375"/>
      <c r="M318" s="375"/>
      <c r="N318" s="375"/>
    </row>
    <row r="319" spans="1:14" x14ac:dyDescent="0.25">
      <c r="D319" s="47" t="s">
        <v>3363</v>
      </c>
      <c r="E319" s="296">
        <f>SUM(E313:E318)</f>
        <v>1400000</v>
      </c>
      <c r="F319" s="296">
        <f t="shared" ref="F319:N319" si="91">SUM(F313:F318)</f>
        <v>1400000</v>
      </c>
      <c r="G319" s="296">
        <f t="shared" si="91"/>
        <v>1400000</v>
      </c>
      <c r="H319" s="296">
        <f t="shared" si="91"/>
        <v>1400000</v>
      </c>
      <c r="I319" s="296">
        <f t="shared" si="91"/>
        <v>1400000</v>
      </c>
      <c r="J319" s="296">
        <f t="shared" si="91"/>
        <v>1400000</v>
      </c>
      <c r="K319" s="296">
        <f t="shared" si="91"/>
        <v>1400000</v>
      </c>
      <c r="L319" s="296">
        <f t="shared" si="91"/>
        <v>1400000</v>
      </c>
      <c r="M319" s="296">
        <f t="shared" si="91"/>
        <v>1400000</v>
      </c>
      <c r="N319" s="296">
        <f t="shared" si="91"/>
        <v>1400000</v>
      </c>
    </row>
    <row r="320" spans="1:14" x14ac:dyDescent="0.25">
      <c r="E320" s="375"/>
      <c r="F320" s="375"/>
      <c r="G320" s="375"/>
      <c r="H320" s="375"/>
      <c r="I320" s="375"/>
      <c r="J320" s="375"/>
      <c r="K320" s="375"/>
      <c r="L320" s="375"/>
      <c r="M320" s="375"/>
      <c r="N320" s="375"/>
    </row>
    <row r="321" spans="3:14" x14ac:dyDescent="0.25">
      <c r="C321" s="47" t="s">
        <v>3381</v>
      </c>
      <c r="E321" s="375"/>
      <c r="F321" s="375"/>
      <c r="G321" s="375"/>
      <c r="H321" s="375"/>
      <c r="I321" s="375"/>
      <c r="J321" s="375"/>
      <c r="K321" s="375"/>
      <c r="L321" s="375"/>
      <c r="M321" s="375"/>
      <c r="N321" s="375"/>
    </row>
    <row r="322" spans="3:14" x14ac:dyDescent="0.25">
      <c r="E322" s="375"/>
      <c r="F322" s="375"/>
      <c r="G322" s="375"/>
      <c r="H322" s="375"/>
      <c r="I322" s="375"/>
      <c r="J322" s="375"/>
      <c r="K322" s="375"/>
      <c r="L322" s="375"/>
      <c r="M322" s="375"/>
      <c r="N322" s="375"/>
    </row>
    <row r="323" spans="3:14" x14ac:dyDescent="0.25">
      <c r="E323" s="375"/>
      <c r="F323" s="375"/>
      <c r="G323" s="375"/>
      <c r="H323" s="375"/>
      <c r="I323" s="375"/>
      <c r="J323" s="375"/>
      <c r="K323" s="375"/>
      <c r="L323" s="375"/>
      <c r="M323" s="375"/>
      <c r="N323" s="375"/>
    </row>
    <row r="324" spans="3:14" x14ac:dyDescent="0.25">
      <c r="E324" s="375"/>
      <c r="F324" s="375"/>
      <c r="G324" s="375"/>
      <c r="H324" s="375"/>
      <c r="I324" s="375"/>
      <c r="J324" s="375"/>
      <c r="K324" s="375"/>
      <c r="L324" s="375"/>
      <c r="M324" s="375"/>
      <c r="N324" s="375"/>
    </row>
    <row r="325" spans="3:14" x14ac:dyDescent="0.25">
      <c r="E325" s="375"/>
      <c r="F325" s="375"/>
      <c r="G325" s="375"/>
      <c r="H325" s="375"/>
      <c r="I325" s="375"/>
      <c r="J325" s="375"/>
      <c r="K325" s="375"/>
      <c r="L325" s="375"/>
      <c r="M325" s="375"/>
      <c r="N325" s="375"/>
    </row>
    <row r="326" spans="3:14" x14ac:dyDescent="0.25">
      <c r="E326" s="375"/>
      <c r="F326" s="375"/>
      <c r="G326" s="375"/>
      <c r="H326" s="375"/>
      <c r="I326" s="375"/>
      <c r="J326" s="375"/>
      <c r="K326" s="375"/>
      <c r="L326" s="375"/>
      <c r="M326" s="375"/>
      <c r="N326" s="375"/>
    </row>
    <row r="327" spans="3:14" x14ac:dyDescent="0.25">
      <c r="E327" s="375"/>
      <c r="F327" s="375"/>
      <c r="G327" s="375"/>
      <c r="H327" s="375"/>
      <c r="I327" s="375"/>
      <c r="J327" s="375"/>
      <c r="K327" s="375"/>
      <c r="L327" s="375"/>
      <c r="M327" s="375"/>
      <c r="N327" s="375"/>
    </row>
    <row r="328" spans="3:14" x14ac:dyDescent="0.25">
      <c r="E328" s="375"/>
      <c r="F328" s="375"/>
      <c r="G328" s="375"/>
      <c r="H328" s="375"/>
      <c r="I328" s="375"/>
      <c r="J328" s="375"/>
      <c r="K328" s="375"/>
      <c r="L328" s="375"/>
      <c r="M328" s="375"/>
      <c r="N328" s="375"/>
    </row>
    <row r="329" spans="3:14" x14ac:dyDescent="0.25">
      <c r="E329" s="375"/>
      <c r="F329" s="375"/>
      <c r="G329" s="375"/>
      <c r="H329" s="375"/>
      <c r="I329" s="375"/>
      <c r="J329" s="375"/>
      <c r="K329" s="375"/>
      <c r="L329" s="375"/>
      <c r="M329" s="375"/>
      <c r="N329" s="375"/>
    </row>
    <row r="330" spans="3:14" x14ac:dyDescent="0.25">
      <c r="E330" s="375"/>
      <c r="F330" s="375"/>
      <c r="G330" s="375"/>
      <c r="H330" s="375"/>
      <c r="I330" s="375"/>
      <c r="J330" s="375"/>
      <c r="K330" s="375"/>
      <c r="L330" s="375"/>
      <c r="M330" s="375"/>
      <c r="N330" s="375"/>
    </row>
    <row r="331" spans="3:14" x14ac:dyDescent="0.25">
      <c r="D331" s="47" t="s">
        <v>3382</v>
      </c>
      <c r="E331" s="296">
        <f>SUM(E322:E330)</f>
        <v>0</v>
      </c>
      <c r="F331" s="296">
        <f t="shared" ref="F331" si="92">SUM(F322:F330)</f>
        <v>0</v>
      </c>
      <c r="G331" s="296">
        <f t="shared" ref="G331" si="93">SUM(G322:G330)</f>
        <v>0</v>
      </c>
      <c r="H331" s="296">
        <f t="shared" ref="H331" si="94">SUM(H322:H330)</f>
        <v>0</v>
      </c>
      <c r="I331" s="296">
        <f t="shared" ref="I331" si="95">SUM(I322:I330)</f>
        <v>0</v>
      </c>
      <c r="J331" s="296">
        <f t="shared" ref="J331" si="96">SUM(J322:J330)</f>
        <v>0</v>
      </c>
      <c r="K331" s="296">
        <f t="shared" ref="K331" si="97">SUM(K322:K330)</f>
        <v>0</v>
      </c>
      <c r="L331" s="296">
        <f t="shared" ref="L331" si="98">SUM(L322:L330)</f>
        <v>0</v>
      </c>
      <c r="M331" s="296">
        <f t="shared" ref="M331" si="99">SUM(M322:M330)</f>
        <v>0</v>
      </c>
      <c r="N331" s="296">
        <f t="shared" ref="N331" si="100">SUM(N322:N330)</f>
        <v>0</v>
      </c>
    </row>
    <row r="332" spans="3:14" x14ac:dyDescent="0.25">
      <c r="C332" s="371"/>
      <c r="D332" s="371"/>
      <c r="E332" s="372"/>
      <c r="F332" s="372"/>
      <c r="G332" s="372"/>
      <c r="H332" s="372"/>
      <c r="I332" s="372"/>
      <c r="J332" s="372"/>
      <c r="K332" s="372"/>
      <c r="L332" s="372"/>
      <c r="M332" s="372"/>
      <c r="N332" s="372"/>
    </row>
    <row r="333" spans="3:14" x14ac:dyDescent="0.25">
      <c r="C333" s="47" t="s">
        <v>3397</v>
      </c>
      <c r="E333" s="375"/>
      <c r="F333" s="375"/>
      <c r="G333" s="375"/>
      <c r="H333" s="375"/>
      <c r="I333" s="375"/>
      <c r="J333" s="375"/>
      <c r="K333" s="375"/>
      <c r="L333" s="375"/>
      <c r="M333" s="375"/>
      <c r="N333" s="375"/>
    </row>
    <row r="334" spans="3:14" x14ac:dyDescent="0.25">
      <c r="E334" s="375"/>
      <c r="F334" s="375"/>
      <c r="G334" s="375"/>
      <c r="H334" s="375"/>
      <c r="I334" s="375"/>
      <c r="J334" s="375"/>
      <c r="K334" s="375"/>
      <c r="L334" s="375"/>
      <c r="M334" s="375"/>
      <c r="N334" s="375"/>
    </row>
    <row r="335" spans="3:14" x14ac:dyDescent="0.25">
      <c r="E335" s="375"/>
      <c r="F335" s="375"/>
      <c r="G335" s="375"/>
      <c r="H335" s="375"/>
      <c r="I335" s="375"/>
      <c r="J335" s="375"/>
      <c r="K335" s="375"/>
      <c r="L335" s="375"/>
      <c r="M335" s="375"/>
      <c r="N335" s="375"/>
    </row>
    <row r="336" spans="3:14" x14ac:dyDescent="0.25">
      <c r="E336" s="375"/>
      <c r="F336" s="375"/>
      <c r="G336" s="375"/>
      <c r="H336" s="375"/>
      <c r="I336" s="375"/>
      <c r="J336" s="375"/>
      <c r="K336" s="375"/>
      <c r="L336" s="375"/>
      <c r="M336" s="375"/>
      <c r="N336" s="375"/>
    </row>
    <row r="337" spans="3:14" x14ac:dyDescent="0.25">
      <c r="E337" s="375"/>
      <c r="F337" s="375"/>
      <c r="G337" s="375"/>
      <c r="H337" s="375"/>
      <c r="I337" s="375"/>
      <c r="J337" s="375"/>
      <c r="K337" s="375"/>
      <c r="L337" s="375"/>
      <c r="M337" s="375"/>
      <c r="N337" s="375"/>
    </row>
    <row r="338" spans="3:14" x14ac:dyDescent="0.25">
      <c r="E338" s="375"/>
      <c r="F338" s="375"/>
      <c r="G338" s="375"/>
      <c r="H338" s="375"/>
      <c r="I338" s="375"/>
      <c r="J338" s="375"/>
      <c r="K338" s="375"/>
      <c r="L338" s="375"/>
      <c r="M338" s="375"/>
      <c r="N338" s="375"/>
    </row>
    <row r="339" spans="3:14" x14ac:dyDescent="0.25">
      <c r="E339" s="375"/>
      <c r="F339" s="375"/>
      <c r="G339" s="375"/>
      <c r="H339" s="375"/>
      <c r="I339" s="375"/>
      <c r="J339" s="375"/>
      <c r="K339" s="375"/>
      <c r="L339" s="375"/>
      <c r="M339" s="375"/>
      <c r="N339" s="375"/>
    </row>
    <row r="340" spans="3:14" x14ac:dyDescent="0.25">
      <c r="E340" s="375"/>
      <c r="F340" s="375"/>
      <c r="G340" s="375"/>
      <c r="H340" s="375"/>
      <c r="I340" s="375"/>
      <c r="J340" s="375"/>
      <c r="K340" s="375"/>
      <c r="L340" s="375"/>
      <c r="M340" s="375"/>
      <c r="N340" s="375"/>
    </row>
    <row r="341" spans="3:14" x14ac:dyDescent="0.25">
      <c r="E341" s="375"/>
      <c r="F341" s="375"/>
      <c r="G341" s="375"/>
      <c r="H341" s="375"/>
      <c r="I341" s="375"/>
      <c r="J341" s="375"/>
      <c r="K341" s="375"/>
      <c r="L341" s="375"/>
      <c r="M341" s="375"/>
      <c r="N341" s="375"/>
    </row>
    <row r="342" spans="3:14" x14ac:dyDescent="0.25">
      <c r="E342" s="375"/>
      <c r="F342" s="375"/>
      <c r="G342" s="375"/>
      <c r="H342" s="375"/>
      <c r="I342" s="375"/>
      <c r="J342" s="375"/>
      <c r="K342" s="375"/>
      <c r="L342" s="375"/>
      <c r="M342" s="375"/>
      <c r="N342" s="375"/>
    </row>
    <row r="343" spans="3:14" x14ac:dyDescent="0.25">
      <c r="D343" s="47" t="s">
        <v>3398</v>
      </c>
      <c r="E343" s="296">
        <f>SUM(E334:E342)</f>
        <v>0</v>
      </c>
      <c r="F343" s="296">
        <f t="shared" ref="F343" si="101">SUM(F334:F342)</f>
        <v>0</v>
      </c>
      <c r="G343" s="296">
        <f t="shared" ref="G343" si="102">SUM(G334:G342)</f>
        <v>0</v>
      </c>
      <c r="H343" s="296">
        <f t="shared" ref="H343" si="103">SUM(H334:H342)</f>
        <v>0</v>
      </c>
      <c r="I343" s="296">
        <f t="shared" ref="I343" si="104">SUM(I334:I342)</f>
        <v>0</v>
      </c>
      <c r="J343" s="296">
        <f t="shared" ref="J343" si="105">SUM(J334:J342)</f>
        <v>0</v>
      </c>
      <c r="K343" s="296">
        <f t="shared" ref="K343" si="106">SUM(K334:K342)</f>
        <v>0</v>
      </c>
      <c r="L343" s="296">
        <f t="shared" ref="L343" si="107">SUM(L334:L342)</f>
        <v>0</v>
      </c>
      <c r="M343" s="296">
        <f t="shared" ref="M343" si="108">SUM(M334:M342)</f>
        <v>0</v>
      </c>
      <c r="N343" s="296">
        <f t="shared" ref="N343" si="109">SUM(N334:N342)</f>
        <v>0</v>
      </c>
    </row>
    <row r="344" spans="3:14" x14ac:dyDescent="0.25">
      <c r="C344" s="371"/>
      <c r="D344" s="371"/>
      <c r="E344" s="372"/>
      <c r="F344" s="372"/>
      <c r="G344" s="372"/>
      <c r="H344" s="372"/>
      <c r="I344" s="372"/>
      <c r="J344" s="372"/>
      <c r="K344" s="372"/>
      <c r="L344" s="372"/>
      <c r="M344" s="372"/>
      <c r="N344" s="372"/>
    </row>
    <row r="345" spans="3:14" x14ac:dyDescent="0.25">
      <c r="C345" s="47" t="s">
        <v>3399</v>
      </c>
      <c r="E345" s="375"/>
      <c r="F345" s="375"/>
      <c r="G345" s="375"/>
      <c r="H345" s="375"/>
      <c r="I345" s="375"/>
      <c r="J345" s="375"/>
      <c r="K345" s="375"/>
      <c r="L345" s="375"/>
      <c r="M345" s="375"/>
      <c r="N345" s="375"/>
    </row>
    <row r="346" spans="3:14" x14ac:dyDescent="0.25">
      <c r="E346" s="375"/>
      <c r="F346" s="375"/>
      <c r="G346" s="375"/>
      <c r="H346" s="375"/>
      <c r="I346" s="375"/>
      <c r="J346" s="375"/>
      <c r="K346" s="375"/>
      <c r="L346" s="375"/>
      <c r="M346" s="375"/>
      <c r="N346" s="375"/>
    </row>
    <row r="347" spans="3:14" x14ac:dyDescent="0.25">
      <c r="E347" s="375"/>
      <c r="F347" s="375"/>
      <c r="G347" s="375"/>
      <c r="H347" s="375"/>
      <c r="I347" s="375"/>
      <c r="J347" s="375"/>
      <c r="K347" s="375"/>
      <c r="L347" s="375"/>
      <c r="M347" s="375"/>
      <c r="N347" s="375"/>
    </row>
    <row r="348" spans="3:14" x14ac:dyDescent="0.25">
      <c r="E348" s="375"/>
      <c r="F348" s="375"/>
      <c r="G348" s="375"/>
      <c r="H348" s="375"/>
      <c r="I348" s="375"/>
      <c r="J348" s="375"/>
      <c r="K348" s="375"/>
      <c r="L348" s="375"/>
      <c r="M348" s="375"/>
      <c r="N348" s="375"/>
    </row>
    <row r="349" spans="3:14" x14ac:dyDescent="0.25">
      <c r="E349" s="375"/>
      <c r="F349" s="375"/>
      <c r="G349" s="375"/>
      <c r="H349" s="375"/>
      <c r="I349" s="375"/>
      <c r="J349" s="375"/>
      <c r="K349" s="375"/>
      <c r="L349" s="375"/>
      <c r="M349" s="375"/>
      <c r="N349" s="375"/>
    </row>
    <row r="350" spans="3:14" x14ac:dyDescent="0.25">
      <c r="E350" s="375"/>
      <c r="F350" s="375"/>
      <c r="G350" s="375"/>
      <c r="H350" s="375"/>
      <c r="I350" s="375"/>
      <c r="J350" s="375"/>
      <c r="K350" s="375"/>
      <c r="L350" s="375"/>
      <c r="M350" s="375"/>
      <c r="N350" s="375"/>
    </row>
    <row r="351" spans="3:14" x14ac:dyDescent="0.25">
      <c r="E351" s="375"/>
      <c r="F351" s="375"/>
      <c r="G351" s="375"/>
      <c r="H351" s="375"/>
      <c r="I351" s="375"/>
      <c r="J351" s="375"/>
      <c r="K351" s="375"/>
      <c r="L351" s="375"/>
      <c r="M351" s="375"/>
      <c r="N351" s="375"/>
    </row>
    <row r="352" spans="3:14" x14ac:dyDescent="0.25">
      <c r="E352" s="375"/>
      <c r="F352" s="375"/>
      <c r="G352" s="375"/>
      <c r="H352" s="375"/>
      <c r="I352" s="375"/>
      <c r="J352" s="375"/>
      <c r="K352" s="375"/>
      <c r="L352" s="375"/>
      <c r="M352" s="375"/>
      <c r="N352" s="375"/>
    </row>
    <row r="353" spans="3:14" x14ac:dyDescent="0.25">
      <c r="E353" s="375"/>
      <c r="F353" s="375"/>
      <c r="G353" s="375"/>
      <c r="H353" s="375"/>
      <c r="I353" s="375"/>
      <c r="J353" s="375"/>
      <c r="K353" s="375"/>
      <c r="L353" s="375"/>
      <c r="M353" s="375"/>
      <c r="N353" s="375"/>
    </row>
    <row r="354" spans="3:14" x14ac:dyDescent="0.25">
      <c r="E354" s="375"/>
      <c r="F354" s="375"/>
      <c r="G354" s="375"/>
      <c r="H354" s="375"/>
      <c r="I354" s="375"/>
      <c r="J354" s="375"/>
      <c r="K354" s="375"/>
      <c r="L354" s="375"/>
      <c r="M354" s="375"/>
      <c r="N354" s="375"/>
    </row>
    <row r="355" spans="3:14" x14ac:dyDescent="0.25">
      <c r="D355" s="47" t="s">
        <v>3400</v>
      </c>
      <c r="E355" s="296">
        <f>SUM(E346:E354)</f>
        <v>0</v>
      </c>
      <c r="F355" s="296">
        <f t="shared" ref="F355" si="110">SUM(F346:F354)</f>
        <v>0</v>
      </c>
      <c r="G355" s="296">
        <f t="shared" ref="G355" si="111">SUM(G346:G354)</f>
        <v>0</v>
      </c>
      <c r="H355" s="296">
        <f t="shared" ref="H355" si="112">SUM(H346:H354)</f>
        <v>0</v>
      </c>
      <c r="I355" s="296">
        <f t="shared" ref="I355" si="113">SUM(I346:I354)</f>
        <v>0</v>
      </c>
      <c r="J355" s="296">
        <f t="shared" ref="J355" si="114">SUM(J346:J354)</f>
        <v>0</v>
      </c>
      <c r="K355" s="296">
        <f t="shared" ref="K355" si="115">SUM(K346:K354)</f>
        <v>0</v>
      </c>
      <c r="L355" s="296">
        <f t="shared" ref="L355" si="116">SUM(L346:L354)</f>
        <v>0</v>
      </c>
      <c r="M355" s="296">
        <f t="shared" ref="M355" si="117">SUM(M346:M354)</f>
        <v>0</v>
      </c>
      <c r="N355" s="296">
        <f t="shared" ref="N355" si="118">SUM(N346:N354)</f>
        <v>0</v>
      </c>
    </row>
    <row r="356" spans="3:14" x14ac:dyDescent="0.25">
      <c r="C356" s="371"/>
      <c r="D356" s="371"/>
      <c r="E356" s="372"/>
      <c r="F356" s="372"/>
      <c r="G356" s="372"/>
      <c r="H356" s="372"/>
      <c r="I356" s="372"/>
      <c r="J356" s="372"/>
      <c r="K356" s="372"/>
      <c r="L356" s="372"/>
      <c r="M356" s="372"/>
      <c r="N356" s="372"/>
    </row>
    <row r="357" spans="3:14" x14ac:dyDescent="0.25">
      <c r="C357" s="47" t="s">
        <v>3401</v>
      </c>
      <c r="E357" s="375"/>
      <c r="F357" s="375"/>
      <c r="G357" s="375"/>
      <c r="H357" s="375"/>
      <c r="I357" s="375"/>
      <c r="J357" s="375"/>
      <c r="K357" s="375"/>
      <c r="L357" s="375"/>
      <c r="M357" s="375"/>
      <c r="N357" s="375"/>
    </row>
    <row r="358" spans="3:14" x14ac:dyDescent="0.25">
      <c r="E358" s="375"/>
      <c r="F358" s="375"/>
      <c r="G358" s="375"/>
      <c r="H358" s="375"/>
      <c r="I358" s="375"/>
      <c r="J358" s="375"/>
      <c r="K358" s="375"/>
      <c r="L358" s="375"/>
      <c r="M358" s="375"/>
      <c r="N358" s="375"/>
    </row>
    <row r="359" spans="3:14" x14ac:dyDescent="0.25">
      <c r="E359" s="375"/>
      <c r="F359" s="375"/>
      <c r="G359" s="375"/>
      <c r="H359" s="375"/>
      <c r="I359" s="375"/>
      <c r="J359" s="375"/>
      <c r="K359" s="375"/>
      <c r="L359" s="375"/>
      <c r="M359" s="375"/>
      <c r="N359" s="375"/>
    </row>
    <row r="360" spans="3:14" x14ac:dyDescent="0.25">
      <c r="E360" s="375"/>
      <c r="F360" s="375"/>
      <c r="G360" s="375"/>
      <c r="H360" s="375"/>
      <c r="I360" s="375"/>
      <c r="J360" s="375"/>
      <c r="K360" s="375"/>
      <c r="L360" s="375"/>
      <c r="M360" s="375"/>
      <c r="N360" s="375"/>
    </row>
    <row r="361" spans="3:14" x14ac:dyDescent="0.25">
      <c r="E361" s="375"/>
      <c r="F361" s="375"/>
      <c r="G361" s="375"/>
      <c r="H361" s="375"/>
      <c r="I361" s="375"/>
      <c r="J361" s="375"/>
      <c r="K361" s="375"/>
      <c r="L361" s="375"/>
      <c r="M361" s="375"/>
      <c r="N361" s="375"/>
    </row>
    <row r="362" spans="3:14" x14ac:dyDescent="0.25">
      <c r="E362" s="375"/>
      <c r="F362" s="375"/>
      <c r="G362" s="375"/>
      <c r="H362" s="375"/>
      <c r="I362" s="375"/>
      <c r="J362" s="375"/>
      <c r="K362" s="375"/>
      <c r="L362" s="375"/>
      <c r="M362" s="375"/>
      <c r="N362" s="375"/>
    </row>
    <row r="363" spans="3:14" x14ac:dyDescent="0.25">
      <c r="E363" s="375"/>
      <c r="F363" s="375"/>
      <c r="G363" s="375"/>
      <c r="H363" s="375"/>
      <c r="I363" s="375"/>
      <c r="J363" s="375"/>
      <c r="K363" s="375"/>
      <c r="L363" s="375"/>
      <c r="M363" s="375"/>
      <c r="N363" s="375"/>
    </row>
    <row r="364" spans="3:14" x14ac:dyDescent="0.25">
      <c r="E364" s="375"/>
      <c r="F364" s="375"/>
      <c r="G364" s="375"/>
      <c r="H364" s="375"/>
      <c r="I364" s="375"/>
      <c r="J364" s="375"/>
      <c r="K364" s="375"/>
      <c r="L364" s="375"/>
      <c r="M364" s="375"/>
      <c r="N364" s="375"/>
    </row>
    <row r="365" spans="3:14" x14ac:dyDescent="0.25">
      <c r="E365" s="375"/>
      <c r="F365" s="375"/>
      <c r="G365" s="375"/>
      <c r="H365" s="375"/>
      <c r="I365" s="375"/>
      <c r="J365" s="375"/>
      <c r="K365" s="375"/>
      <c r="L365" s="375"/>
      <c r="M365" s="375"/>
      <c r="N365" s="375"/>
    </row>
    <row r="366" spans="3:14" x14ac:dyDescent="0.25">
      <c r="E366" s="375"/>
      <c r="F366" s="375"/>
      <c r="G366" s="375"/>
      <c r="H366" s="375"/>
      <c r="I366" s="375"/>
      <c r="J366" s="375"/>
      <c r="K366" s="375"/>
      <c r="L366" s="375"/>
      <c r="M366" s="375"/>
      <c r="N366" s="375"/>
    </row>
    <row r="367" spans="3:14" x14ac:dyDescent="0.25">
      <c r="D367" s="47" t="s">
        <v>3402</v>
      </c>
      <c r="E367" s="296">
        <f>SUM(E358:E366)</f>
        <v>0</v>
      </c>
      <c r="F367" s="296">
        <f t="shared" ref="F367" si="119">SUM(F358:F366)</f>
        <v>0</v>
      </c>
      <c r="G367" s="296">
        <f t="shared" ref="G367" si="120">SUM(G358:G366)</f>
        <v>0</v>
      </c>
      <c r="H367" s="296">
        <f t="shared" ref="H367" si="121">SUM(H358:H366)</f>
        <v>0</v>
      </c>
      <c r="I367" s="296">
        <f t="shared" ref="I367" si="122">SUM(I358:I366)</f>
        <v>0</v>
      </c>
      <c r="J367" s="296">
        <f t="shared" ref="J367" si="123">SUM(J358:J366)</f>
        <v>0</v>
      </c>
      <c r="K367" s="296">
        <f t="shared" ref="K367" si="124">SUM(K358:K366)</f>
        <v>0</v>
      </c>
      <c r="L367" s="296">
        <f t="shared" ref="L367" si="125">SUM(L358:L366)</f>
        <v>0</v>
      </c>
      <c r="M367" s="296">
        <f t="shared" ref="M367" si="126">SUM(M358:M366)</f>
        <v>0</v>
      </c>
      <c r="N367" s="296">
        <f t="shared" ref="N367" si="127">SUM(N358:N366)</f>
        <v>0</v>
      </c>
    </row>
    <row r="368" spans="3:14" x14ac:dyDescent="0.25">
      <c r="D368" s="47"/>
      <c r="E368" s="300"/>
      <c r="F368" s="300"/>
      <c r="G368" s="300"/>
      <c r="H368" s="300"/>
      <c r="I368" s="300"/>
      <c r="J368" s="300"/>
      <c r="K368" s="300"/>
      <c r="L368" s="300"/>
      <c r="M368" s="300"/>
      <c r="N368" s="300"/>
    </row>
    <row r="369" spans="3:14" ht="15.75" thickBot="1" x14ac:dyDescent="0.3">
      <c r="C369" s="47" t="s">
        <v>3403</v>
      </c>
      <c r="D369" s="47"/>
      <c r="E369" s="301">
        <f>E319+E331+E343+E355+E367</f>
        <v>1400000</v>
      </c>
      <c r="F369" s="301">
        <f t="shared" ref="F369:N369" si="128">F319+F331+F343+F355+F367</f>
        <v>1400000</v>
      </c>
      <c r="G369" s="301">
        <f t="shared" si="128"/>
        <v>1400000</v>
      </c>
      <c r="H369" s="301">
        <f t="shared" si="128"/>
        <v>1400000</v>
      </c>
      <c r="I369" s="301">
        <f t="shared" si="128"/>
        <v>1400000</v>
      </c>
      <c r="J369" s="301">
        <f t="shared" si="128"/>
        <v>1400000</v>
      </c>
      <c r="K369" s="301">
        <f t="shared" si="128"/>
        <v>1400000</v>
      </c>
      <c r="L369" s="301">
        <f t="shared" si="128"/>
        <v>1400000</v>
      </c>
      <c r="M369" s="301">
        <f t="shared" si="128"/>
        <v>1400000</v>
      </c>
      <c r="N369" s="301">
        <f t="shared" si="128"/>
        <v>1400000</v>
      </c>
    </row>
    <row r="370" spans="3:14" ht="15.75" thickTop="1" x14ac:dyDescent="0.25">
      <c r="E370" s="375"/>
      <c r="F370" s="375"/>
      <c r="G370" s="375"/>
      <c r="H370" s="375"/>
      <c r="I370" s="375"/>
      <c r="J370" s="375"/>
      <c r="K370" s="375"/>
      <c r="L370" s="375"/>
      <c r="M370" s="375"/>
      <c r="N370" s="375"/>
    </row>
    <row r="371" spans="3:14" ht="15.75" thickBot="1" x14ac:dyDescent="0.3">
      <c r="C371" s="47" t="s">
        <v>3532</v>
      </c>
      <c r="E371" s="301">
        <f>E369+E309+E250</f>
        <v>19986000</v>
      </c>
      <c r="F371" s="301">
        <f t="shared" ref="F371:N371" si="129">F369+F309+F250</f>
        <v>5909100</v>
      </c>
      <c r="G371" s="301">
        <f t="shared" si="129"/>
        <v>5961600</v>
      </c>
      <c r="H371" s="301">
        <f t="shared" si="129"/>
        <v>5564600</v>
      </c>
      <c r="I371" s="301">
        <f t="shared" si="129"/>
        <v>3609300</v>
      </c>
      <c r="J371" s="301">
        <f t="shared" si="129"/>
        <v>3372600</v>
      </c>
      <c r="K371" s="301">
        <f t="shared" si="129"/>
        <v>3186200</v>
      </c>
      <c r="L371" s="301">
        <f t="shared" si="129"/>
        <v>3200400</v>
      </c>
      <c r="M371" s="301">
        <f t="shared" si="129"/>
        <v>3215200</v>
      </c>
      <c r="N371" s="301">
        <f t="shared" si="129"/>
        <v>2830000</v>
      </c>
    </row>
    <row r="372" spans="3:14" ht="15.75" thickTop="1" x14ac:dyDescent="0.25">
      <c r="E372" s="375"/>
      <c r="F372" s="375"/>
      <c r="G372" s="375"/>
      <c r="H372" s="375"/>
      <c r="I372" s="375"/>
      <c r="J372" s="375"/>
      <c r="K372" s="375"/>
      <c r="L372" s="375"/>
      <c r="M372" s="375"/>
      <c r="N372" s="375"/>
    </row>
    <row r="373" spans="3:14" x14ac:dyDescent="0.25">
      <c r="D373" s="368" t="s">
        <v>3533</v>
      </c>
      <c r="E373" s="375">
        <f>-E224-E283-E343</f>
        <v>-1673000</v>
      </c>
      <c r="F373" s="375">
        <f t="shared" ref="F373:N373" si="130">-F224-F283-F343</f>
        <v>0</v>
      </c>
      <c r="G373" s="375">
        <f t="shared" si="130"/>
        <v>0</v>
      </c>
      <c r="H373" s="375">
        <f t="shared" si="130"/>
        <v>0</v>
      </c>
      <c r="I373" s="375">
        <f t="shared" si="130"/>
        <v>0</v>
      </c>
      <c r="J373" s="375">
        <f t="shared" si="130"/>
        <v>0</v>
      </c>
      <c r="K373" s="375">
        <f t="shared" si="130"/>
        <v>0</v>
      </c>
      <c r="L373" s="375">
        <f t="shared" si="130"/>
        <v>0</v>
      </c>
      <c r="M373" s="375">
        <f t="shared" si="130"/>
        <v>0</v>
      </c>
      <c r="N373" s="375">
        <f t="shared" si="130"/>
        <v>0</v>
      </c>
    </row>
    <row r="374" spans="3:14" x14ac:dyDescent="0.25">
      <c r="E374" s="375"/>
      <c r="F374" s="375"/>
      <c r="G374" s="375"/>
      <c r="H374" s="375"/>
      <c r="I374" s="375"/>
      <c r="J374" s="375"/>
      <c r="K374" s="375"/>
      <c r="L374" s="375"/>
      <c r="M374" s="375"/>
      <c r="N374" s="375"/>
    </row>
    <row r="375" spans="3:14" x14ac:dyDescent="0.25">
      <c r="D375" s="368" t="s">
        <v>3534</v>
      </c>
      <c r="E375" s="375">
        <f>E371+E373</f>
        <v>18313000</v>
      </c>
      <c r="F375" s="375">
        <f t="shared" ref="F375:N375" si="131">F371+F373</f>
        <v>5909100</v>
      </c>
      <c r="G375" s="375">
        <f t="shared" si="131"/>
        <v>5961600</v>
      </c>
      <c r="H375" s="375">
        <f t="shared" si="131"/>
        <v>5564600</v>
      </c>
      <c r="I375" s="375">
        <f t="shared" si="131"/>
        <v>3609300</v>
      </c>
      <c r="J375" s="375">
        <f t="shared" si="131"/>
        <v>3372600</v>
      </c>
      <c r="K375" s="375">
        <f t="shared" si="131"/>
        <v>3186200</v>
      </c>
      <c r="L375" s="375">
        <f t="shared" si="131"/>
        <v>3200400</v>
      </c>
      <c r="M375" s="375">
        <f t="shared" si="131"/>
        <v>3215200</v>
      </c>
      <c r="N375" s="375">
        <f t="shared" si="131"/>
        <v>2830000</v>
      </c>
    </row>
  </sheetData>
  <mergeCells count="1">
    <mergeCell ref="F3:N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99"/>
  <sheetViews>
    <sheetView zoomScaleNormal="100" workbookViewId="0">
      <pane xSplit="4" ySplit="4" topLeftCell="N601" activePane="bottomRight" state="frozen"/>
      <selection pane="topRight" activeCell="E1" sqref="E1"/>
      <selection pane="bottomLeft" activeCell="A5" sqref="A5"/>
      <selection pane="bottomRight" activeCell="Q624" sqref="Q624"/>
    </sheetView>
  </sheetViews>
  <sheetFormatPr defaultRowHeight="15" x14ac:dyDescent="0.25"/>
  <cols>
    <col min="1" max="1" width="7.7109375" style="60" customWidth="1"/>
    <col min="2" max="2" width="7.85546875" style="60" customWidth="1"/>
    <col min="3" max="3" width="13.42578125" style="60" customWidth="1"/>
    <col min="4" max="4" width="47.7109375" style="60" customWidth="1"/>
    <col min="5" max="13" width="12.7109375" style="404" customWidth="1"/>
    <col min="14" max="15" width="12.7109375" style="60" customWidth="1"/>
    <col min="16" max="16384" width="9.140625" style="60"/>
  </cols>
  <sheetData>
    <row r="1" spans="1:16" ht="15.75" x14ac:dyDescent="0.25">
      <c r="A1" s="403" t="s">
        <v>0</v>
      </c>
    </row>
    <row r="2" spans="1:16" ht="15.75" x14ac:dyDescent="0.25">
      <c r="A2" s="403" t="s">
        <v>4569</v>
      </c>
    </row>
    <row r="3" spans="1:16" x14ac:dyDescent="0.25">
      <c r="A3" s="405"/>
      <c r="B3" s="58"/>
      <c r="C3" s="58"/>
      <c r="D3" s="58"/>
      <c r="E3" s="406"/>
      <c r="F3" s="407" t="s">
        <v>29</v>
      </c>
      <c r="G3" s="481" t="s">
        <v>30</v>
      </c>
      <c r="H3" s="481"/>
      <c r="I3" s="481"/>
      <c r="J3" s="481"/>
      <c r="K3" s="481"/>
      <c r="L3" s="481"/>
      <c r="M3" s="481"/>
      <c r="N3" s="481"/>
      <c r="O3" s="481"/>
    </row>
    <row r="4" spans="1:16" x14ac:dyDescent="0.25">
      <c r="A4" s="59" t="s">
        <v>3226</v>
      </c>
      <c r="B4" s="59" t="s">
        <v>3223</v>
      </c>
      <c r="C4" s="59" t="s">
        <v>3222</v>
      </c>
      <c r="D4" s="59" t="s">
        <v>3951</v>
      </c>
      <c r="E4" s="59" t="s">
        <v>3952</v>
      </c>
      <c r="F4" s="408">
        <v>2017</v>
      </c>
      <c r="G4" s="408">
        <v>2018</v>
      </c>
      <c r="H4" s="408">
        <v>2019</v>
      </c>
      <c r="I4" s="408">
        <v>2020</v>
      </c>
      <c r="J4" s="408">
        <v>2021</v>
      </c>
      <c r="K4" s="408">
        <v>2022</v>
      </c>
      <c r="L4" s="408">
        <v>2023</v>
      </c>
      <c r="M4" s="408">
        <v>2024</v>
      </c>
      <c r="N4" s="408">
        <v>2025</v>
      </c>
      <c r="O4" s="408">
        <v>2026</v>
      </c>
      <c r="P4" s="60" t="s">
        <v>4493</v>
      </c>
    </row>
    <row r="5" spans="1:16" x14ac:dyDescent="0.25">
      <c r="A5" s="70"/>
      <c r="B5" s="70"/>
      <c r="C5" s="409"/>
      <c r="D5" s="61" t="s">
        <v>3232</v>
      </c>
      <c r="E5" s="410"/>
      <c r="F5" s="303"/>
      <c r="G5" s="304"/>
      <c r="H5" s="304"/>
      <c r="I5" s="304"/>
      <c r="J5" s="304"/>
      <c r="K5" s="304"/>
      <c r="L5" s="304"/>
      <c r="M5" s="304"/>
      <c r="N5" s="304"/>
      <c r="O5" s="304"/>
    </row>
    <row r="6" spans="1:16" x14ac:dyDescent="0.25">
      <c r="A6" s="70"/>
      <c r="B6" s="70"/>
      <c r="C6" s="409"/>
      <c r="D6" s="411"/>
      <c r="E6" s="410"/>
      <c r="F6" s="304"/>
      <c r="G6" s="304"/>
      <c r="H6" s="304"/>
      <c r="I6" s="304"/>
      <c r="J6" s="304"/>
      <c r="K6" s="304"/>
      <c r="L6" s="304"/>
      <c r="M6" s="304"/>
      <c r="N6" s="304"/>
      <c r="O6" s="304"/>
    </row>
    <row r="7" spans="1:16" x14ac:dyDescent="0.25">
      <c r="A7" s="70"/>
      <c r="B7" s="70"/>
      <c r="C7" s="409"/>
      <c r="D7" s="412" t="s">
        <v>1051</v>
      </c>
      <c r="E7" s="410"/>
      <c r="F7" s="304"/>
      <c r="G7" s="304"/>
      <c r="H7" s="304"/>
      <c r="I7" s="304"/>
      <c r="J7" s="304"/>
      <c r="K7" s="304"/>
      <c r="L7" s="304"/>
      <c r="M7" s="304"/>
      <c r="N7" s="304"/>
      <c r="O7" s="304"/>
    </row>
    <row r="8" spans="1:16" x14ac:dyDescent="0.25">
      <c r="A8" s="70"/>
      <c r="B8" s="70"/>
      <c r="C8" s="409">
        <v>4138.0039999999999</v>
      </c>
      <c r="D8" s="62" t="s">
        <v>3536</v>
      </c>
      <c r="E8" s="410"/>
      <c r="F8" s="303"/>
      <c r="G8" s="304"/>
      <c r="H8" s="304"/>
      <c r="I8" s="304"/>
      <c r="J8" s="304"/>
      <c r="K8" s="304"/>
      <c r="L8" s="304"/>
      <c r="M8" s="304"/>
      <c r="N8" s="304"/>
      <c r="O8" s="304"/>
    </row>
    <row r="9" spans="1:16" x14ac:dyDescent="0.25">
      <c r="A9" s="70"/>
      <c r="B9" s="70"/>
      <c r="C9" s="409"/>
      <c r="D9" s="411"/>
      <c r="E9" s="410"/>
      <c r="F9" s="304"/>
      <c r="G9" s="304"/>
      <c r="H9" s="304"/>
      <c r="I9" s="304"/>
      <c r="J9" s="304"/>
      <c r="K9" s="304"/>
      <c r="L9" s="304"/>
      <c r="M9" s="304"/>
      <c r="N9" s="304"/>
      <c r="O9" s="304"/>
    </row>
    <row r="10" spans="1:16" x14ac:dyDescent="0.25">
      <c r="A10" s="70"/>
      <c r="B10" s="70"/>
      <c r="C10" s="413"/>
      <c r="D10" s="61" t="s">
        <v>3537</v>
      </c>
      <c r="E10" s="64"/>
      <c r="F10" s="305">
        <f t="shared" ref="F10:O10" si="0">SUM(F6:F9)</f>
        <v>0</v>
      </c>
      <c r="G10" s="305">
        <f t="shared" si="0"/>
        <v>0</v>
      </c>
      <c r="H10" s="305">
        <f t="shared" si="0"/>
        <v>0</v>
      </c>
      <c r="I10" s="305">
        <f t="shared" si="0"/>
        <v>0</v>
      </c>
      <c r="J10" s="305">
        <f t="shared" si="0"/>
        <v>0</v>
      </c>
      <c r="K10" s="305">
        <f t="shared" si="0"/>
        <v>0</v>
      </c>
      <c r="L10" s="305">
        <f t="shared" si="0"/>
        <v>0</v>
      </c>
      <c r="M10" s="305">
        <f t="shared" si="0"/>
        <v>0</v>
      </c>
      <c r="N10" s="305">
        <f t="shared" si="0"/>
        <v>0</v>
      </c>
      <c r="O10" s="305">
        <f t="shared" si="0"/>
        <v>0</v>
      </c>
    </row>
    <row r="11" spans="1:16" x14ac:dyDescent="0.25">
      <c r="A11" s="70"/>
      <c r="B11" s="70"/>
      <c r="C11" s="409"/>
      <c r="D11" s="62"/>
      <c r="E11" s="410"/>
      <c r="F11" s="304"/>
      <c r="G11" s="304"/>
      <c r="H11" s="304"/>
      <c r="I11" s="304"/>
      <c r="J11" s="304"/>
      <c r="K11" s="304"/>
      <c r="L11" s="304"/>
      <c r="M11" s="304"/>
      <c r="N11" s="304"/>
      <c r="O11" s="304"/>
    </row>
    <row r="12" spans="1:16" x14ac:dyDescent="0.25">
      <c r="A12" s="70"/>
      <c r="B12" s="70"/>
      <c r="C12" s="63"/>
      <c r="D12" s="61" t="s">
        <v>3538</v>
      </c>
      <c r="E12" s="366"/>
      <c r="F12" s="303"/>
      <c r="G12" s="303"/>
      <c r="H12" s="303"/>
      <c r="I12" s="303"/>
      <c r="J12" s="303"/>
      <c r="K12" s="303"/>
      <c r="L12" s="303"/>
      <c r="M12" s="303"/>
      <c r="N12" s="303"/>
      <c r="O12" s="303"/>
    </row>
    <row r="13" spans="1:16" x14ac:dyDescent="0.25">
      <c r="A13" s="70"/>
      <c r="B13" s="70"/>
      <c r="C13" s="63">
        <v>4174.0010000000002</v>
      </c>
      <c r="D13" s="62" t="s">
        <v>3539</v>
      </c>
      <c r="E13" s="366"/>
      <c r="F13" s="303"/>
      <c r="G13" s="303"/>
      <c r="H13" s="303"/>
      <c r="I13" s="303"/>
      <c r="J13" s="303"/>
      <c r="K13" s="303"/>
      <c r="L13" s="303"/>
      <c r="M13" s="303"/>
      <c r="N13" s="303"/>
      <c r="O13" s="303"/>
    </row>
    <row r="14" spans="1:16" x14ac:dyDescent="0.25">
      <c r="A14" s="70"/>
      <c r="B14" s="70"/>
      <c r="C14" s="63">
        <v>4174.018</v>
      </c>
      <c r="D14" s="62" t="s">
        <v>3540</v>
      </c>
      <c r="E14" s="366"/>
      <c r="F14" s="303"/>
      <c r="G14" s="303"/>
      <c r="H14" s="303"/>
      <c r="I14" s="303"/>
      <c r="J14" s="303"/>
      <c r="K14" s="303"/>
      <c r="L14" s="303"/>
      <c r="M14" s="303"/>
      <c r="N14" s="303"/>
      <c r="O14" s="303"/>
    </row>
    <row r="15" spans="1:16" x14ac:dyDescent="0.25">
      <c r="A15" s="70"/>
      <c r="B15" s="70"/>
      <c r="C15" s="63">
        <v>4174.0190000000002</v>
      </c>
      <c r="D15" s="62" t="s">
        <v>3541</v>
      </c>
      <c r="E15" s="366"/>
      <c r="F15" s="303"/>
      <c r="G15" s="303"/>
      <c r="H15" s="303"/>
      <c r="I15" s="303"/>
      <c r="J15" s="303"/>
      <c r="K15" s="303"/>
      <c r="L15" s="303"/>
      <c r="M15" s="303"/>
      <c r="N15" s="303"/>
      <c r="O15" s="303"/>
    </row>
    <row r="16" spans="1:16" x14ac:dyDescent="0.25">
      <c r="A16" s="70"/>
      <c r="B16" s="70"/>
      <c r="C16" s="63"/>
      <c r="D16" s="62" t="s">
        <v>3542</v>
      </c>
      <c r="E16" s="366"/>
      <c r="F16" s="303"/>
      <c r="G16" s="303"/>
      <c r="H16" s="303"/>
      <c r="I16" s="303"/>
      <c r="J16" s="303"/>
      <c r="K16" s="303"/>
      <c r="L16" s="303"/>
      <c r="M16" s="303"/>
      <c r="N16" s="303"/>
      <c r="O16" s="303"/>
    </row>
    <row r="17" spans="1:15" ht="45" x14ac:dyDescent="0.25">
      <c r="A17" s="70"/>
      <c r="B17" s="70"/>
      <c r="C17" s="63">
        <v>4174.0209999999997</v>
      </c>
      <c r="D17" s="62" t="s">
        <v>3543</v>
      </c>
      <c r="E17" s="366"/>
      <c r="F17" s="303"/>
      <c r="G17" s="303"/>
      <c r="H17" s="303"/>
      <c r="I17" s="303"/>
      <c r="J17" s="303"/>
      <c r="K17" s="303"/>
      <c r="L17" s="303"/>
      <c r="M17" s="303"/>
      <c r="N17" s="303"/>
      <c r="O17" s="303"/>
    </row>
    <row r="18" spans="1:15" ht="30" x14ac:dyDescent="0.25">
      <c r="A18" s="70"/>
      <c r="B18" s="70"/>
      <c r="C18" s="63">
        <v>4174.0219999999999</v>
      </c>
      <c r="D18" s="62" t="s">
        <v>3544</v>
      </c>
      <c r="E18" s="366"/>
      <c r="F18" s="303"/>
      <c r="G18" s="303"/>
      <c r="H18" s="303"/>
      <c r="I18" s="303"/>
      <c r="J18" s="303"/>
      <c r="K18" s="303"/>
      <c r="L18" s="303"/>
      <c r="M18" s="303"/>
      <c r="N18" s="303"/>
      <c r="O18" s="303"/>
    </row>
    <row r="19" spans="1:15" x14ac:dyDescent="0.25">
      <c r="A19" s="70"/>
      <c r="B19" s="70"/>
      <c r="C19" s="63">
        <v>4174.0240000000003</v>
      </c>
      <c r="D19" s="62" t="s">
        <v>3545</v>
      </c>
      <c r="E19" s="366"/>
      <c r="F19" s="303"/>
      <c r="G19" s="303"/>
      <c r="H19" s="303"/>
      <c r="I19" s="303"/>
      <c r="J19" s="303"/>
      <c r="K19" s="303"/>
      <c r="L19" s="303"/>
      <c r="M19" s="303"/>
      <c r="N19" s="303"/>
      <c r="O19" s="303"/>
    </row>
    <row r="20" spans="1:15" x14ac:dyDescent="0.25">
      <c r="A20" s="70"/>
      <c r="B20" s="70"/>
      <c r="C20" s="63">
        <v>4174.0249999999996</v>
      </c>
      <c r="D20" s="62" t="s">
        <v>3546</v>
      </c>
      <c r="E20" s="366"/>
      <c r="F20" s="303"/>
      <c r="G20" s="303"/>
      <c r="H20" s="303"/>
      <c r="I20" s="303"/>
      <c r="J20" s="303"/>
      <c r="K20" s="303"/>
      <c r="L20" s="303"/>
      <c r="M20" s="303"/>
      <c r="N20" s="303"/>
      <c r="O20" s="303"/>
    </row>
    <row r="21" spans="1:15" x14ac:dyDescent="0.25">
      <c r="A21" s="70"/>
      <c r="B21" s="70"/>
      <c r="C21" s="63"/>
      <c r="D21" s="62"/>
      <c r="E21" s="366"/>
      <c r="F21" s="303"/>
      <c r="G21" s="303"/>
      <c r="H21" s="303"/>
      <c r="I21" s="303"/>
      <c r="J21" s="303"/>
      <c r="K21" s="303"/>
      <c r="L21" s="303"/>
      <c r="M21" s="303"/>
      <c r="N21" s="303"/>
      <c r="O21" s="303"/>
    </row>
    <row r="22" spans="1:15" x14ac:dyDescent="0.25">
      <c r="A22" s="70"/>
      <c r="B22" s="70"/>
      <c r="C22" s="413"/>
      <c r="D22" s="61" t="s">
        <v>3547</v>
      </c>
      <c r="E22" s="64"/>
      <c r="F22" s="305">
        <f t="shared" ref="F22:O22" si="1">SUM(F13:F21)</f>
        <v>0</v>
      </c>
      <c r="G22" s="305">
        <f t="shared" si="1"/>
        <v>0</v>
      </c>
      <c r="H22" s="305">
        <f t="shared" si="1"/>
        <v>0</v>
      </c>
      <c r="I22" s="305">
        <f t="shared" si="1"/>
        <v>0</v>
      </c>
      <c r="J22" s="305">
        <f t="shared" si="1"/>
        <v>0</v>
      </c>
      <c r="K22" s="305">
        <f t="shared" si="1"/>
        <v>0</v>
      </c>
      <c r="L22" s="305">
        <f t="shared" si="1"/>
        <v>0</v>
      </c>
      <c r="M22" s="305">
        <f t="shared" si="1"/>
        <v>0</v>
      </c>
      <c r="N22" s="305">
        <f t="shared" si="1"/>
        <v>0</v>
      </c>
      <c r="O22" s="305">
        <f t="shared" si="1"/>
        <v>0</v>
      </c>
    </row>
    <row r="23" spans="1:15" x14ac:dyDescent="0.25">
      <c r="A23" s="70"/>
      <c r="B23" s="70"/>
      <c r="C23" s="409"/>
      <c r="D23" s="414"/>
      <c r="E23" s="410"/>
      <c r="F23" s="304"/>
      <c r="G23" s="304"/>
      <c r="H23" s="304"/>
      <c r="I23" s="304"/>
      <c r="J23" s="304"/>
      <c r="K23" s="304"/>
      <c r="L23" s="304"/>
      <c r="M23" s="304"/>
      <c r="N23" s="304"/>
      <c r="O23" s="304"/>
    </row>
    <row r="24" spans="1:15" x14ac:dyDescent="0.25">
      <c r="A24" s="70"/>
      <c r="B24" s="70"/>
      <c r="C24" s="413"/>
      <c r="D24" s="61" t="s">
        <v>3548</v>
      </c>
      <c r="E24" s="64"/>
      <c r="F24" s="303"/>
      <c r="G24" s="303"/>
      <c r="H24" s="303"/>
      <c r="I24" s="303"/>
      <c r="J24" s="303"/>
      <c r="K24" s="303"/>
      <c r="L24" s="303"/>
      <c r="M24" s="303"/>
      <c r="N24" s="303"/>
      <c r="O24" s="303"/>
    </row>
    <row r="25" spans="1:15" x14ac:dyDescent="0.25">
      <c r="A25" s="70"/>
      <c r="B25" s="70"/>
      <c r="C25" s="413"/>
      <c r="D25" s="62" t="s">
        <v>3549</v>
      </c>
      <c r="E25" s="64"/>
      <c r="F25" s="303"/>
      <c r="G25" s="303"/>
      <c r="H25" s="303"/>
      <c r="I25" s="303"/>
      <c r="J25" s="303"/>
      <c r="K25" s="303"/>
      <c r="L25" s="303"/>
      <c r="M25" s="303"/>
      <c r="N25" s="303"/>
      <c r="O25" s="303"/>
    </row>
    <row r="26" spans="1:15" x14ac:dyDescent="0.25">
      <c r="A26" s="70"/>
      <c r="B26" s="70"/>
      <c r="C26" s="413"/>
      <c r="D26" s="62"/>
      <c r="E26" s="64"/>
      <c r="F26" s="304"/>
      <c r="G26" s="304"/>
      <c r="H26" s="304"/>
      <c r="I26" s="304"/>
      <c r="J26" s="304"/>
      <c r="K26" s="304"/>
      <c r="L26" s="304"/>
      <c r="M26" s="304"/>
      <c r="N26" s="304"/>
      <c r="O26" s="304"/>
    </row>
    <row r="27" spans="1:15" x14ac:dyDescent="0.25">
      <c r="A27" s="70"/>
      <c r="B27" s="70"/>
      <c r="C27" s="413"/>
      <c r="D27" s="61" t="s">
        <v>3550</v>
      </c>
      <c r="E27" s="64"/>
      <c r="F27" s="305">
        <f t="shared" ref="F27:O27" si="2">SUM(F25:F26)</f>
        <v>0</v>
      </c>
      <c r="G27" s="305">
        <f t="shared" si="2"/>
        <v>0</v>
      </c>
      <c r="H27" s="305">
        <f t="shared" si="2"/>
        <v>0</v>
      </c>
      <c r="I27" s="305">
        <f t="shared" si="2"/>
        <v>0</v>
      </c>
      <c r="J27" s="305">
        <f t="shared" si="2"/>
        <v>0</v>
      </c>
      <c r="K27" s="305">
        <f t="shared" si="2"/>
        <v>0</v>
      </c>
      <c r="L27" s="305">
        <f t="shared" si="2"/>
        <v>0</v>
      </c>
      <c r="M27" s="305">
        <f t="shared" si="2"/>
        <v>0</v>
      </c>
      <c r="N27" s="305">
        <f t="shared" si="2"/>
        <v>0</v>
      </c>
      <c r="O27" s="305">
        <f t="shared" si="2"/>
        <v>0</v>
      </c>
    </row>
    <row r="28" spans="1:15" x14ac:dyDescent="0.25">
      <c r="A28" s="70"/>
      <c r="B28" s="70"/>
      <c r="C28" s="413"/>
      <c r="D28" s="62"/>
      <c r="E28" s="64"/>
      <c r="F28" s="304"/>
      <c r="G28" s="304"/>
      <c r="H28" s="304"/>
      <c r="I28" s="304"/>
      <c r="J28" s="304"/>
      <c r="K28" s="304"/>
      <c r="L28" s="304"/>
      <c r="M28" s="304"/>
      <c r="N28" s="304"/>
      <c r="O28" s="304"/>
    </row>
    <row r="29" spans="1:15" x14ac:dyDescent="0.25">
      <c r="A29" s="70"/>
      <c r="B29" s="70"/>
      <c r="C29" s="63"/>
      <c r="D29" s="61" t="s">
        <v>3551</v>
      </c>
      <c r="E29" s="366"/>
      <c r="F29" s="303"/>
      <c r="G29" s="303"/>
      <c r="H29" s="303"/>
      <c r="I29" s="303"/>
      <c r="J29" s="303"/>
      <c r="K29" s="303"/>
      <c r="L29" s="303"/>
      <c r="M29" s="303"/>
      <c r="N29" s="303"/>
      <c r="O29" s="303"/>
    </row>
    <row r="30" spans="1:15" x14ac:dyDescent="0.25">
      <c r="A30" s="70"/>
      <c r="B30" s="70"/>
      <c r="C30" s="63"/>
      <c r="D30" s="62"/>
      <c r="E30" s="64"/>
      <c r="F30" s="304"/>
      <c r="G30" s="304"/>
      <c r="H30" s="304"/>
      <c r="I30" s="304"/>
      <c r="J30" s="304"/>
      <c r="K30" s="304"/>
      <c r="L30" s="304"/>
      <c r="M30" s="304"/>
      <c r="N30" s="304"/>
      <c r="O30" s="304"/>
    </row>
    <row r="31" spans="1:15" x14ac:dyDescent="0.25">
      <c r="A31" s="70"/>
      <c r="B31" s="70"/>
      <c r="C31" s="413"/>
      <c r="D31" s="62"/>
      <c r="E31" s="64"/>
      <c r="F31" s="304"/>
      <c r="G31" s="304"/>
      <c r="H31" s="304"/>
      <c r="I31" s="304"/>
      <c r="J31" s="304"/>
      <c r="K31" s="304"/>
      <c r="L31" s="304"/>
      <c r="M31" s="304"/>
      <c r="N31" s="304"/>
      <c r="O31" s="304"/>
    </row>
    <row r="32" spans="1:15" x14ac:dyDescent="0.25">
      <c r="A32" s="70"/>
      <c r="B32" s="70"/>
      <c r="C32" s="413"/>
      <c r="D32" s="61" t="s">
        <v>3953</v>
      </c>
      <c r="E32" s="64"/>
      <c r="F32" s="305">
        <f t="shared" ref="F32:O32" si="3">SUM(F30:F31)</f>
        <v>0</v>
      </c>
      <c r="G32" s="305">
        <f t="shared" si="3"/>
        <v>0</v>
      </c>
      <c r="H32" s="305">
        <f t="shared" si="3"/>
        <v>0</v>
      </c>
      <c r="I32" s="305">
        <f t="shared" si="3"/>
        <v>0</v>
      </c>
      <c r="J32" s="305">
        <f t="shared" si="3"/>
        <v>0</v>
      </c>
      <c r="K32" s="305">
        <f t="shared" si="3"/>
        <v>0</v>
      </c>
      <c r="L32" s="305">
        <f t="shared" si="3"/>
        <v>0</v>
      </c>
      <c r="M32" s="305">
        <f t="shared" si="3"/>
        <v>0</v>
      </c>
      <c r="N32" s="305">
        <f t="shared" si="3"/>
        <v>0</v>
      </c>
      <c r="O32" s="305">
        <f t="shared" si="3"/>
        <v>0</v>
      </c>
    </row>
    <row r="33" spans="1:15" x14ac:dyDescent="0.25">
      <c r="A33" s="70"/>
      <c r="B33" s="70"/>
      <c r="C33" s="413"/>
      <c r="D33" s="62"/>
      <c r="E33" s="64"/>
      <c r="F33" s="304"/>
      <c r="G33" s="304"/>
      <c r="H33" s="304"/>
      <c r="I33" s="304"/>
      <c r="J33" s="304"/>
      <c r="K33" s="304"/>
      <c r="L33" s="304"/>
      <c r="M33" s="304"/>
      <c r="N33" s="304"/>
      <c r="O33" s="304"/>
    </row>
    <row r="34" spans="1:15" x14ac:dyDescent="0.25">
      <c r="A34" s="70"/>
      <c r="B34" s="70"/>
      <c r="C34" s="63"/>
      <c r="D34" s="61" t="s">
        <v>3552</v>
      </c>
      <c r="E34" s="366"/>
      <c r="F34" s="303"/>
      <c r="G34" s="303"/>
      <c r="H34" s="303"/>
      <c r="I34" s="303"/>
      <c r="J34" s="303"/>
      <c r="K34" s="303"/>
      <c r="L34" s="303"/>
      <c r="M34" s="303"/>
      <c r="N34" s="303"/>
      <c r="O34" s="303"/>
    </row>
    <row r="35" spans="1:15" x14ac:dyDescent="0.25">
      <c r="A35" s="70"/>
      <c r="B35" s="70"/>
      <c r="C35" s="63">
        <v>4252.0209999999997</v>
      </c>
      <c r="D35" s="415" t="s">
        <v>3553</v>
      </c>
      <c r="E35" s="366"/>
      <c r="F35" s="303"/>
      <c r="G35" s="303"/>
      <c r="H35" s="303"/>
      <c r="I35" s="303"/>
      <c r="J35" s="303"/>
      <c r="K35" s="303"/>
      <c r="L35" s="303"/>
      <c r="M35" s="303"/>
      <c r="N35" s="303"/>
      <c r="O35" s="303"/>
    </row>
    <row r="36" spans="1:15" ht="30" x14ac:dyDescent="0.25">
      <c r="A36" s="70"/>
      <c r="B36" s="70"/>
      <c r="C36" s="63">
        <v>4252.0219999999999</v>
      </c>
      <c r="D36" s="415" t="s">
        <v>3554</v>
      </c>
      <c r="E36" s="64"/>
      <c r="F36" s="303"/>
      <c r="G36" s="303"/>
      <c r="H36" s="303"/>
      <c r="I36" s="303"/>
      <c r="J36" s="303"/>
      <c r="K36" s="303"/>
      <c r="L36" s="303"/>
      <c r="M36" s="303"/>
      <c r="N36" s="303"/>
      <c r="O36" s="303"/>
    </row>
    <row r="37" spans="1:15" ht="60" x14ac:dyDescent="0.25">
      <c r="A37" s="70"/>
      <c r="B37" s="70"/>
      <c r="C37" s="63">
        <v>4252.0230000000001</v>
      </c>
      <c r="D37" s="415" t="s">
        <v>3555</v>
      </c>
      <c r="E37" s="64"/>
      <c r="F37" s="303"/>
      <c r="G37" s="303"/>
      <c r="H37" s="303"/>
      <c r="I37" s="303"/>
      <c r="J37" s="303"/>
      <c r="K37" s="303"/>
      <c r="L37" s="303"/>
      <c r="M37" s="303"/>
      <c r="N37" s="303"/>
      <c r="O37" s="303"/>
    </row>
    <row r="38" spans="1:15" ht="30" x14ac:dyDescent="0.25">
      <c r="A38" s="70"/>
      <c r="B38" s="70"/>
      <c r="C38" s="63"/>
      <c r="D38" s="415" t="s">
        <v>3556</v>
      </c>
      <c r="E38" s="64" t="s">
        <v>3606</v>
      </c>
      <c r="F38" s="303">
        <v>5000</v>
      </c>
      <c r="G38" s="303"/>
      <c r="H38" s="303"/>
      <c r="I38" s="303"/>
      <c r="J38" s="303"/>
      <c r="K38" s="303"/>
      <c r="L38" s="303"/>
      <c r="M38" s="303"/>
      <c r="N38" s="303"/>
      <c r="O38" s="303"/>
    </row>
    <row r="39" spans="1:15" ht="45" x14ac:dyDescent="0.25">
      <c r="A39" s="70"/>
      <c r="B39" s="70"/>
      <c r="C39" s="63"/>
      <c r="D39" s="415" t="s">
        <v>3557</v>
      </c>
      <c r="E39" s="64" t="s">
        <v>3562</v>
      </c>
      <c r="F39" s="303">
        <v>30000</v>
      </c>
      <c r="G39" s="303"/>
      <c r="H39" s="303"/>
      <c r="I39" s="303"/>
      <c r="J39" s="303"/>
      <c r="K39" s="303"/>
      <c r="L39" s="303"/>
      <c r="M39" s="303"/>
      <c r="N39" s="303"/>
      <c r="O39" s="303"/>
    </row>
    <row r="40" spans="1:15" ht="105" x14ac:dyDescent="0.25">
      <c r="A40" s="70"/>
      <c r="B40" s="70"/>
      <c r="C40" s="63"/>
      <c r="D40" s="415" t="s">
        <v>3558</v>
      </c>
      <c r="E40" s="64" t="s">
        <v>3562</v>
      </c>
      <c r="F40" s="303"/>
      <c r="G40" s="303"/>
      <c r="H40" s="303"/>
      <c r="I40" s="303">
        <v>100000</v>
      </c>
      <c r="J40" s="303"/>
      <c r="K40" s="303"/>
      <c r="L40" s="303"/>
      <c r="M40" s="303"/>
      <c r="N40" s="303"/>
      <c r="O40" s="303"/>
    </row>
    <row r="41" spans="1:15" x14ac:dyDescent="0.25">
      <c r="A41" s="70"/>
      <c r="B41" s="70"/>
      <c r="C41" s="63"/>
      <c r="D41" s="415" t="s">
        <v>3553</v>
      </c>
      <c r="E41" s="64" t="s">
        <v>3562</v>
      </c>
      <c r="F41" s="303"/>
      <c r="G41" s="303">
        <v>30000</v>
      </c>
      <c r="H41" s="303">
        <v>30000</v>
      </c>
      <c r="I41" s="303">
        <v>30000</v>
      </c>
      <c r="J41" s="303">
        <v>30000</v>
      </c>
      <c r="K41" s="303">
        <v>30000</v>
      </c>
      <c r="L41" s="303">
        <v>30000</v>
      </c>
      <c r="M41" s="303">
        <v>30000</v>
      </c>
      <c r="N41" s="303">
        <v>30000</v>
      </c>
      <c r="O41" s="303">
        <v>30000</v>
      </c>
    </row>
    <row r="42" spans="1:15" x14ac:dyDescent="0.25">
      <c r="A42" s="70"/>
      <c r="B42" s="70"/>
      <c r="C42" s="63"/>
      <c r="D42" s="415"/>
      <c r="E42" s="64"/>
      <c r="F42" s="303"/>
      <c r="G42" s="303"/>
      <c r="H42" s="303"/>
      <c r="I42" s="303"/>
      <c r="J42" s="303"/>
      <c r="K42" s="303"/>
      <c r="L42" s="303"/>
      <c r="M42" s="303"/>
      <c r="N42" s="303"/>
      <c r="O42" s="303"/>
    </row>
    <row r="43" spans="1:15" x14ac:dyDescent="0.25">
      <c r="A43" s="70"/>
      <c r="B43" s="70"/>
      <c r="C43" s="413"/>
      <c r="D43" s="61" t="s">
        <v>3559</v>
      </c>
      <c r="E43" s="64"/>
      <c r="F43" s="305">
        <f t="shared" ref="F43:O43" si="4">SUM(F35:F42)</f>
        <v>35000</v>
      </c>
      <c r="G43" s="305">
        <f t="shared" si="4"/>
        <v>30000</v>
      </c>
      <c r="H43" s="305">
        <f t="shared" si="4"/>
        <v>30000</v>
      </c>
      <c r="I43" s="305">
        <f t="shared" si="4"/>
        <v>130000</v>
      </c>
      <c r="J43" s="305">
        <f t="shared" si="4"/>
        <v>30000</v>
      </c>
      <c r="K43" s="305">
        <f t="shared" si="4"/>
        <v>30000</v>
      </c>
      <c r="L43" s="305">
        <f t="shared" si="4"/>
        <v>30000</v>
      </c>
      <c r="M43" s="305">
        <f t="shared" si="4"/>
        <v>30000</v>
      </c>
      <c r="N43" s="305">
        <f t="shared" si="4"/>
        <v>30000</v>
      </c>
      <c r="O43" s="305">
        <f t="shared" si="4"/>
        <v>30000</v>
      </c>
    </row>
    <row r="44" spans="1:15" x14ac:dyDescent="0.25">
      <c r="A44" s="70"/>
      <c r="B44" s="70"/>
      <c r="C44" s="63"/>
      <c r="D44" s="61"/>
      <c r="E44" s="64"/>
      <c r="F44" s="304"/>
      <c r="G44" s="304"/>
      <c r="H44" s="304"/>
      <c r="I44" s="304"/>
      <c r="J44" s="304"/>
      <c r="K44" s="304"/>
      <c r="L44" s="304"/>
      <c r="M44" s="304"/>
      <c r="N44" s="304"/>
      <c r="O44" s="304"/>
    </row>
    <row r="45" spans="1:15" ht="90" x14ac:dyDescent="0.25">
      <c r="A45" s="70"/>
      <c r="B45" s="70"/>
      <c r="C45" s="63"/>
      <c r="D45" s="61" t="s">
        <v>3560</v>
      </c>
      <c r="E45" s="64" t="s">
        <v>4492</v>
      </c>
      <c r="F45" s="304"/>
      <c r="G45" s="304"/>
      <c r="H45" s="304"/>
      <c r="I45" s="304"/>
      <c r="J45" s="304"/>
      <c r="K45" s="304"/>
      <c r="L45" s="304"/>
      <c r="M45" s="304"/>
      <c r="N45" s="304"/>
      <c r="O45" s="304"/>
    </row>
    <row r="46" spans="1:15" x14ac:dyDescent="0.25">
      <c r="A46" s="70"/>
      <c r="B46" s="70"/>
      <c r="C46" s="63"/>
      <c r="D46" s="62" t="s">
        <v>3561</v>
      </c>
      <c r="E46" s="64"/>
      <c r="F46" s="303"/>
      <c r="G46" s="303"/>
      <c r="H46" s="303"/>
      <c r="I46" s="303"/>
      <c r="J46" s="303"/>
      <c r="K46" s="303"/>
      <c r="L46" s="303"/>
      <c r="M46" s="303"/>
      <c r="N46" s="303"/>
      <c r="O46" s="303"/>
    </row>
    <row r="47" spans="1:15" x14ac:dyDescent="0.25">
      <c r="A47" s="70"/>
      <c r="B47" s="70"/>
      <c r="C47" s="63"/>
      <c r="D47" s="62" t="s">
        <v>3563</v>
      </c>
      <c r="E47" s="64"/>
      <c r="F47" s="303"/>
      <c r="G47" s="303"/>
      <c r="H47" s="303"/>
      <c r="I47" s="303"/>
      <c r="J47" s="303"/>
      <c r="K47" s="303"/>
      <c r="L47" s="303"/>
      <c r="M47" s="303"/>
      <c r="N47" s="303"/>
      <c r="O47" s="303"/>
    </row>
    <row r="48" spans="1:15" x14ac:dyDescent="0.25">
      <c r="A48" s="70"/>
      <c r="B48" s="70"/>
      <c r="C48" s="63"/>
      <c r="D48" s="62" t="s">
        <v>3564</v>
      </c>
      <c r="E48" s="64"/>
      <c r="F48" s="303"/>
      <c r="G48" s="303"/>
      <c r="H48" s="303"/>
      <c r="I48" s="303"/>
      <c r="J48" s="303"/>
      <c r="K48" s="303"/>
      <c r="L48" s="303"/>
      <c r="M48" s="303"/>
      <c r="N48" s="303"/>
      <c r="O48" s="303"/>
    </row>
    <row r="49" spans="1:15" x14ac:dyDescent="0.25">
      <c r="A49" s="70"/>
      <c r="B49" s="70"/>
      <c r="C49" s="63"/>
      <c r="D49" s="62" t="s">
        <v>3565</v>
      </c>
      <c r="E49" s="64"/>
      <c r="F49" s="303"/>
      <c r="G49" s="303"/>
      <c r="H49" s="303"/>
      <c r="I49" s="303"/>
      <c r="J49" s="303"/>
      <c r="K49" s="303"/>
      <c r="L49" s="303"/>
      <c r="M49" s="303"/>
      <c r="N49" s="303"/>
      <c r="O49" s="303"/>
    </row>
    <row r="50" spans="1:15" x14ac:dyDescent="0.25">
      <c r="A50" s="70"/>
      <c r="B50" s="70"/>
      <c r="C50" s="63"/>
      <c r="D50" s="62" t="s">
        <v>3566</v>
      </c>
      <c r="E50" s="64"/>
      <c r="F50" s="303"/>
      <c r="G50" s="303"/>
      <c r="H50" s="303"/>
      <c r="I50" s="303"/>
      <c r="J50" s="303"/>
      <c r="K50" s="303"/>
      <c r="L50" s="303"/>
      <c r="M50" s="303"/>
      <c r="N50" s="303"/>
      <c r="O50" s="303"/>
    </row>
    <row r="51" spans="1:15" x14ac:dyDescent="0.25">
      <c r="A51" s="70"/>
      <c r="B51" s="70"/>
      <c r="C51" s="63"/>
      <c r="D51" s="62" t="s">
        <v>3567</v>
      </c>
      <c r="E51" s="64"/>
      <c r="F51" s="303"/>
      <c r="G51" s="303"/>
      <c r="H51" s="303"/>
      <c r="I51" s="303"/>
      <c r="J51" s="303"/>
      <c r="K51" s="303"/>
      <c r="L51" s="303"/>
      <c r="M51" s="303"/>
      <c r="N51" s="303"/>
      <c r="O51" s="303"/>
    </row>
    <row r="52" spans="1:15" x14ac:dyDescent="0.25">
      <c r="A52" s="70"/>
      <c r="B52" s="70"/>
      <c r="C52" s="63"/>
      <c r="D52" s="62" t="s">
        <v>3568</v>
      </c>
      <c r="E52" s="64"/>
      <c r="F52" s="303"/>
      <c r="G52" s="303"/>
      <c r="H52" s="303"/>
      <c r="I52" s="303"/>
      <c r="J52" s="303">
        <v>30000</v>
      </c>
      <c r="K52" s="303"/>
      <c r="L52" s="303"/>
      <c r="M52" s="303"/>
      <c r="N52" s="303"/>
      <c r="O52" s="303"/>
    </row>
    <row r="53" spans="1:15" x14ac:dyDescent="0.25">
      <c r="A53" s="70"/>
      <c r="B53" s="70"/>
      <c r="C53" s="63"/>
      <c r="D53" s="62" t="s">
        <v>3569</v>
      </c>
      <c r="E53" s="64"/>
      <c r="F53" s="303"/>
      <c r="G53" s="303"/>
      <c r="H53" s="303">
        <v>10000</v>
      </c>
      <c r="I53" s="303"/>
      <c r="J53" s="303"/>
      <c r="K53" s="303"/>
      <c r="L53" s="303"/>
      <c r="M53" s="303"/>
      <c r="N53" s="303"/>
      <c r="O53" s="303">
        <v>15000</v>
      </c>
    </row>
    <row r="54" spans="1:15" x14ac:dyDescent="0.25">
      <c r="A54" s="70"/>
      <c r="B54" s="70"/>
      <c r="C54" s="63"/>
      <c r="D54" s="62" t="s">
        <v>3570</v>
      </c>
      <c r="E54" s="64"/>
      <c r="F54" s="303"/>
      <c r="G54" s="303">
        <v>310000</v>
      </c>
      <c r="H54" s="303"/>
      <c r="I54" s="303"/>
      <c r="J54" s="303"/>
      <c r="K54" s="303"/>
      <c r="L54" s="303"/>
      <c r="M54" s="303"/>
      <c r="N54" s="303"/>
      <c r="O54" s="303"/>
    </row>
    <row r="55" spans="1:15" x14ac:dyDescent="0.25">
      <c r="A55" s="70"/>
      <c r="B55" s="70"/>
      <c r="C55" s="63"/>
      <c r="D55" s="62" t="s">
        <v>3571</v>
      </c>
      <c r="E55" s="64"/>
      <c r="F55" s="303"/>
      <c r="G55" s="303"/>
      <c r="H55" s="303"/>
      <c r="I55" s="303"/>
      <c r="J55" s="303">
        <v>40000</v>
      </c>
      <c r="K55" s="303"/>
      <c r="L55" s="303"/>
      <c r="M55" s="303"/>
      <c r="N55" s="303"/>
      <c r="O55" s="303"/>
    </row>
    <row r="56" spans="1:15" x14ac:dyDescent="0.25">
      <c r="A56" s="70"/>
      <c r="B56" s="70"/>
      <c r="C56" s="63"/>
      <c r="D56" s="62" t="s">
        <v>3561</v>
      </c>
      <c r="E56" s="64"/>
      <c r="F56" s="303"/>
      <c r="G56" s="303"/>
      <c r="H56" s="303"/>
      <c r="I56" s="303"/>
      <c r="J56" s="303"/>
      <c r="K56" s="303"/>
      <c r="L56" s="303"/>
      <c r="M56" s="303">
        <v>400000</v>
      </c>
      <c r="N56" s="303"/>
      <c r="O56" s="303"/>
    </row>
    <row r="57" spans="1:15" x14ac:dyDescent="0.25">
      <c r="A57" s="70"/>
      <c r="B57" s="70"/>
      <c r="C57" s="63"/>
      <c r="D57" s="62" t="s">
        <v>3572</v>
      </c>
      <c r="E57" s="64"/>
      <c r="F57" s="303"/>
      <c r="G57" s="303"/>
      <c r="H57" s="303">
        <v>230000</v>
      </c>
      <c r="I57" s="303"/>
      <c r="J57" s="303"/>
      <c r="K57" s="303"/>
      <c r="L57" s="303"/>
      <c r="M57" s="303"/>
      <c r="N57" s="303"/>
      <c r="O57" s="303">
        <v>90000</v>
      </c>
    </row>
    <row r="58" spans="1:15" x14ac:dyDescent="0.25">
      <c r="A58" s="70"/>
      <c r="B58" s="70"/>
      <c r="C58" s="63"/>
      <c r="D58" s="62" t="s">
        <v>3573</v>
      </c>
      <c r="E58" s="64"/>
      <c r="F58" s="303"/>
      <c r="G58" s="303"/>
      <c r="H58" s="303"/>
      <c r="I58" s="303"/>
      <c r="J58" s="303"/>
      <c r="K58" s="303"/>
      <c r="L58" s="303"/>
      <c r="M58" s="303"/>
      <c r="N58" s="303">
        <v>270000</v>
      </c>
      <c r="O58" s="303"/>
    </row>
    <row r="59" spans="1:15" ht="30" x14ac:dyDescent="0.25">
      <c r="A59" s="70"/>
      <c r="B59" s="70"/>
      <c r="C59" s="63"/>
      <c r="D59" s="62" t="s">
        <v>3574</v>
      </c>
      <c r="E59" s="64"/>
      <c r="F59" s="303"/>
      <c r="G59" s="303"/>
      <c r="H59" s="303">
        <v>70000</v>
      </c>
      <c r="I59" s="303"/>
      <c r="J59" s="303"/>
      <c r="K59" s="303"/>
      <c r="L59" s="303"/>
      <c r="M59" s="303"/>
      <c r="N59" s="303"/>
      <c r="O59" s="303"/>
    </row>
    <row r="60" spans="1:15" x14ac:dyDescent="0.25">
      <c r="A60" s="70"/>
      <c r="B60" s="70"/>
      <c r="C60" s="63"/>
      <c r="D60" s="62" t="s">
        <v>3575</v>
      </c>
      <c r="E60" s="64"/>
      <c r="F60" s="303"/>
      <c r="G60" s="303"/>
      <c r="H60" s="303"/>
      <c r="I60" s="303"/>
      <c r="J60" s="303">
        <v>80000</v>
      </c>
      <c r="K60" s="303"/>
      <c r="L60" s="303"/>
      <c r="M60" s="303"/>
      <c r="N60" s="303"/>
      <c r="O60" s="303"/>
    </row>
    <row r="61" spans="1:15" ht="30" x14ac:dyDescent="0.25">
      <c r="A61" s="70"/>
      <c r="B61" s="70"/>
      <c r="C61" s="63"/>
      <c r="D61" s="62" t="s">
        <v>3576</v>
      </c>
      <c r="E61" s="64"/>
      <c r="F61" s="303">
        <v>85000</v>
      </c>
      <c r="G61" s="303"/>
      <c r="H61" s="303"/>
      <c r="I61" s="303"/>
      <c r="J61" s="303"/>
      <c r="K61" s="303"/>
      <c r="L61" s="303"/>
      <c r="M61" s="303"/>
      <c r="N61" s="303"/>
      <c r="O61" s="303"/>
    </row>
    <row r="62" spans="1:15" x14ac:dyDescent="0.25">
      <c r="A62" s="70"/>
      <c r="B62" s="70"/>
      <c r="C62" s="63"/>
      <c r="D62" s="62" t="s">
        <v>3577</v>
      </c>
      <c r="E62" s="64"/>
      <c r="F62" s="303"/>
      <c r="G62" s="303"/>
      <c r="H62" s="303"/>
      <c r="I62" s="303">
        <v>190000</v>
      </c>
      <c r="J62" s="303"/>
      <c r="K62" s="303"/>
      <c r="L62" s="303"/>
      <c r="M62" s="303"/>
      <c r="N62" s="303"/>
      <c r="O62" s="303"/>
    </row>
    <row r="63" spans="1:15" x14ac:dyDescent="0.25">
      <c r="A63" s="70"/>
      <c r="B63" s="70"/>
      <c r="C63" s="63"/>
      <c r="D63" s="62" t="s">
        <v>3578</v>
      </c>
      <c r="E63" s="64"/>
      <c r="F63" s="303"/>
      <c r="G63" s="303"/>
      <c r="H63" s="303">
        <v>80000</v>
      </c>
      <c r="I63" s="303"/>
      <c r="J63" s="303"/>
      <c r="K63" s="303"/>
      <c r="L63" s="303"/>
      <c r="M63" s="303"/>
      <c r="N63" s="303"/>
      <c r="O63" s="303"/>
    </row>
    <row r="64" spans="1:15" x14ac:dyDescent="0.25">
      <c r="A64" s="70"/>
      <c r="B64" s="70"/>
      <c r="C64" s="63"/>
      <c r="D64" s="62" t="s">
        <v>3579</v>
      </c>
      <c r="E64" s="64"/>
      <c r="F64" s="303"/>
      <c r="G64" s="303"/>
      <c r="H64" s="303"/>
      <c r="I64" s="303"/>
      <c r="J64" s="303">
        <v>70000</v>
      </c>
      <c r="K64" s="303"/>
      <c r="L64" s="303"/>
      <c r="M64" s="303"/>
      <c r="N64" s="303"/>
      <c r="O64" s="303"/>
    </row>
    <row r="65" spans="1:15" x14ac:dyDescent="0.25">
      <c r="A65" s="70"/>
      <c r="B65" s="70"/>
      <c r="C65" s="63"/>
      <c r="D65" s="62" t="s">
        <v>3580</v>
      </c>
      <c r="E65" s="64"/>
      <c r="F65" s="303">
        <v>300000</v>
      </c>
      <c r="G65" s="303"/>
      <c r="H65" s="303"/>
      <c r="I65" s="303"/>
      <c r="J65" s="303"/>
      <c r="K65" s="303"/>
      <c r="L65" s="303"/>
      <c r="M65" s="303"/>
      <c r="N65" s="303"/>
      <c r="O65" s="303">
        <v>320000</v>
      </c>
    </row>
    <row r="66" spans="1:15" x14ac:dyDescent="0.25">
      <c r="A66" s="70"/>
      <c r="B66" s="70"/>
      <c r="C66" s="63"/>
      <c r="D66" s="62" t="s">
        <v>3581</v>
      </c>
      <c r="E66" s="64"/>
      <c r="F66" s="303"/>
      <c r="G66" s="303"/>
      <c r="H66" s="303"/>
      <c r="I66" s="303"/>
      <c r="J66" s="303"/>
      <c r="K66" s="303">
        <v>190000</v>
      </c>
      <c r="L66" s="303"/>
      <c r="M66" s="303"/>
      <c r="N66" s="303"/>
      <c r="O66" s="303"/>
    </row>
    <row r="67" spans="1:15" x14ac:dyDescent="0.25">
      <c r="A67" s="70"/>
      <c r="B67" s="70"/>
      <c r="C67" s="63"/>
      <c r="D67" s="62" t="s">
        <v>3582</v>
      </c>
      <c r="E67" s="64"/>
      <c r="F67" s="303"/>
      <c r="G67" s="303"/>
      <c r="H67" s="303"/>
      <c r="I67" s="303"/>
      <c r="J67" s="303"/>
      <c r="K67" s="303"/>
      <c r="L67" s="303">
        <v>190000</v>
      </c>
      <c r="M67" s="303"/>
      <c r="N67" s="303"/>
      <c r="O67" s="303"/>
    </row>
    <row r="68" spans="1:15" x14ac:dyDescent="0.25">
      <c r="A68" s="70"/>
      <c r="B68" s="70"/>
      <c r="C68" s="63"/>
      <c r="D68" s="62" t="s">
        <v>3583</v>
      </c>
      <c r="E68" s="64"/>
      <c r="F68" s="303"/>
      <c r="G68" s="303"/>
      <c r="H68" s="303"/>
      <c r="I68" s="303"/>
      <c r="J68" s="303"/>
      <c r="K68" s="303">
        <v>70000</v>
      </c>
      <c r="L68" s="303"/>
      <c r="M68" s="303"/>
      <c r="N68" s="303"/>
      <c r="O68" s="303"/>
    </row>
    <row r="69" spans="1:15" x14ac:dyDescent="0.25">
      <c r="A69" s="70"/>
      <c r="B69" s="70"/>
      <c r="C69" s="63"/>
      <c r="D69" s="62" t="s">
        <v>3584</v>
      </c>
      <c r="E69" s="64"/>
      <c r="F69" s="303"/>
      <c r="G69" s="303"/>
      <c r="H69" s="303"/>
      <c r="I69" s="303"/>
      <c r="J69" s="303"/>
      <c r="K69" s="303"/>
      <c r="L69" s="303"/>
      <c r="M69" s="303">
        <v>84000</v>
      </c>
      <c r="N69" s="303"/>
      <c r="O69" s="303"/>
    </row>
    <row r="70" spans="1:15" x14ac:dyDescent="0.25">
      <c r="A70" s="70"/>
      <c r="B70" s="70"/>
      <c r="C70" s="63"/>
      <c r="D70" s="62" t="s">
        <v>3584</v>
      </c>
      <c r="E70" s="64"/>
      <c r="F70" s="303"/>
      <c r="G70" s="303"/>
      <c r="H70" s="303"/>
      <c r="I70" s="303"/>
      <c r="J70" s="303"/>
      <c r="K70" s="303"/>
      <c r="L70" s="303"/>
      <c r="M70" s="303"/>
      <c r="N70" s="303">
        <v>84000</v>
      </c>
      <c r="O70" s="303"/>
    </row>
    <row r="71" spans="1:15" x14ac:dyDescent="0.25">
      <c r="A71" s="70"/>
      <c r="B71" s="70"/>
      <c r="C71" s="63"/>
      <c r="D71" s="62" t="s">
        <v>3584</v>
      </c>
      <c r="E71" s="64"/>
      <c r="F71" s="303"/>
      <c r="G71" s="303"/>
      <c r="H71" s="303"/>
      <c r="I71" s="303"/>
      <c r="J71" s="303"/>
      <c r="K71" s="303"/>
      <c r="L71" s="303"/>
      <c r="M71" s="303"/>
      <c r="N71" s="303">
        <v>84000</v>
      </c>
      <c r="O71" s="303"/>
    </row>
    <row r="72" spans="1:15" x14ac:dyDescent="0.25">
      <c r="A72" s="70"/>
      <c r="B72" s="70"/>
      <c r="C72" s="63"/>
      <c r="D72" s="62" t="s">
        <v>3585</v>
      </c>
      <c r="E72" s="64"/>
      <c r="F72" s="303"/>
      <c r="G72" s="303"/>
      <c r="H72" s="303"/>
      <c r="I72" s="303"/>
      <c r="J72" s="303"/>
      <c r="K72" s="303"/>
      <c r="L72" s="303"/>
      <c r="M72" s="303"/>
      <c r="N72" s="303"/>
      <c r="O72" s="303">
        <v>340000</v>
      </c>
    </row>
    <row r="73" spans="1:15" x14ac:dyDescent="0.25">
      <c r="A73" s="70"/>
      <c r="B73" s="70"/>
      <c r="C73" s="63"/>
      <c r="D73" s="62" t="s">
        <v>3586</v>
      </c>
      <c r="E73" s="64"/>
      <c r="F73" s="303"/>
      <c r="G73" s="303"/>
      <c r="H73" s="303"/>
      <c r="I73" s="303">
        <v>390000</v>
      </c>
      <c r="J73" s="303"/>
      <c r="K73" s="303"/>
      <c r="L73" s="303"/>
      <c r="M73" s="303"/>
      <c r="N73" s="303"/>
      <c r="O73" s="303"/>
    </row>
    <row r="74" spans="1:15" x14ac:dyDescent="0.25">
      <c r="A74" s="70"/>
      <c r="B74" s="70"/>
      <c r="C74" s="63"/>
      <c r="D74" s="62" t="s">
        <v>3587</v>
      </c>
      <c r="E74" s="64"/>
      <c r="F74" s="303"/>
      <c r="G74" s="303"/>
      <c r="H74" s="303"/>
      <c r="I74" s="303"/>
      <c r="J74" s="303"/>
      <c r="K74" s="303">
        <v>170000</v>
      </c>
      <c r="L74" s="303"/>
      <c r="M74" s="303"/>
      <c r="N74" s="303"/>
      <c r="O74" s="303"/>
    </row>
    <row r="75" spans="1:15" x14ac:dyDescent="0.25">
      <c r="A75" s="70"/>
      <c r="B75" s="70"/>
      <c r="C75" s="63"/>
      <c r="D75" s="62" t="s">
        <v>3588</v>
      </c>
      <c r="E75" s="64"/>
      <c r="F75" s="303"/>
      <c r="G75" s="303"/>
      <c r="H75" s="303"/>
      <c r="I75" s="303">
        <v>56000</v>
      </c>
      <c r="J75" s="303"/>
      <c r="K75" s="303"/>
      <c r="L75" s="303"/>
      <c r="M75" s="303"/>
      <c r="N75" s="303"/>
      <c r="O75" s="303"/>
    </row>
    <row r="76" spans="1:15" x14ac:dyDescent="0.25">
      <c r="A76" s="70"/>
      <c r="B76" s="70"/>
      <c r="C76" s="63"/>
      <c r="D76" s="62" t="s">
        <v>3589</v>
      </c>
      <c r="E76" s="64"/>
      <c r="F76" s="303"/>
      <c r="G76" s="303"/>
      <c r="H76" s="303"/>
      <c r="I76" s="303"/>
      <c r="J76" s="303"/>
      <c r="K76" s="303"/>
      <c r="L76" s="303">
        <v>180000</v>
      </c>
      <c r="M76" s="303"/>
      <c r="N76" s="303"/>
      <c r="O76" s="303"/>
    </row>
    <row r="77" spans="1:15" x14ac:dyDescent="0.25">
      <c r="A77" s="70"/>
      <c r="B77" s="70"/>
      <c r="C77" s="63"/>
      <c r="D77" s="62" t="s">
        <v>3588</v>
      </c>
      <c r="E77" s="64"/>
      <c r="F77" s="303"/>
      <c r="G77" s="303"/>
      <c r="H77" s="303"/>
      <c r="I77" s="303"/>
      <c r="J77" s="303">
        <v>60000</v>
      </c>
      <c r="K77" s="303"/>
      <c r="L77" s="303"/>
      <c r="M77" s="303"/>
      <c r="N77" s="303"/>
      <c r="O77" s="303"/>
    </row>
    <row r="78" spans="1:15" x14ac:dyDescent="0.25">
      <c r="A78" s="70"/>
      <c r="B78" s="70"/>
      <c r="C78" s="63"/>
      <c r="D78" s="62" t="s">
        <v>3590</v>
      </c>
      <c r="E78" s="64"/>
      <c r="F78" s="303"/>
      <c r="G78" s="303"/>
      <c r="H78" s="303">
        <v>50000</v>
      </c>
      <c r="I78" s="303"/>
      <c r="J78" s="303"/>
      <c r="K78" s="303"/>
      <c r="L78" s="303">
        <v>60000</v>
      </c>
      <c r="M78" s="303"/>
      <c r="N78" s="303"/>
      <c r="O78" s="303"/>
    </row>
    <row r="79" spans="1:15" x14ac:dyDescent="0.25">
      <c r="A79" s="70"/>
      <c r="B79" s="70"/>
      <c r="C79" s="63"/>
      <c r="D79" s="62" t="s">
        <v>3591</v>
      </c>
      <c r="E79" s="64"/>
      <c r="F79" s="303"/>
      <c r="G79" s="303">
        <v>56000</v>
      </c>
      <c r="H79" s="303"/>
      <c r="I79" s="303"/>
      <c r="J79" s="303"/>
      <c r="K79" s="303"/>
      <c r="L79" s="303"/>
      <c r="M79" s="303"/>
      <c r="N79" s="303"/>
      <c r="O79" s="303"/>
    </row>
    <row r="80" spans="1:15" x14ac:dyDescent="0.25">
      <c r="A80" s="70"/>
      <c r="B80" s="70"/>
      <c r="C80" s="63"/>
      <c r="D80" s="62" t="s">
        <v>3592</v>
      </c>
      <c r="E80" s="64"/>
      <c r="F80" s="303"/>
      <c r="G80" s="303"/>
      <c r="H80" s="303"/>
      <c r="I80" s="303"/>
      <c r="J80" s="303">
        <v>170000</v>
      </c>
      <c r="K80" s="303"/>
      <c r="L80" s="303"/>
      <c r="M80" s="303"/>
      <c r="N80" s="303"/>
      <c r="O80" s="303"/>
    </row>
    <row r="81" spans="1:15" x14ac:dyDescent="0.25">
      <c r="A81" s="70"/>
      <c r="B81" s="70"/>
      <c r="C81" s="63"/>
      <c r="D81" s="62" t="s">
        <v>3593</v>
      </c>
      <c r="E81" s="64"/>
      <c r="F81" s="303"/>
      <c r="G81" s="303"/>
      <c r="H81" s="303">
        <v>60000</v>
      </c>
      <c r="I81" s="303"/>
      <c r="J81" s="303"/>
      <c r="K81" s="303"/>
      <c r="L81" s="303"/>
      <c r="M81" s="303"/>
      <c r="N81" s="303"/>
      <c r="O81" s="303"/>
    </row>
    <row r="82" spans="1:15" x14ac:dyDescent="0.25">
      <c r="A82" s="70"/>
      <c r="B82" s="70"/>
      <c r="C82" s="63"/>
      <c r="D82" s="62" t="s">
        <v>3594</v>
      </c>
      <c r="E82" s="64"/>
      <c r="F82" s="303"/>
      <c r="G82" s="303"/>
      <c r="H82" s="303"/>
      <c r="I82" s="303"/>
      <c r="J82" s="303"/>
      <c r="K82" s="303"/>
      <c r="L82" s="303"/>
      <c r="M82" s="303"/>
      <c r="N82" s="303">
        <v>265000</v>
      </c>
      <c r="O82" s="303"/>
    </row>
    <row r="83" spans="1:15" x14ac:dyDescent="0.25">
      <c r="A83" s="70"/>
      <c r="B83" s="70"/>
      <c r="C83" s="63"/>
      <c r="D83" s="62" t="s">
        <v>3595</v>
      </c>
      <c r="E83" s="64"/>
      <c r="F83" s="303"/>
      <c r="G83" s="303"/>
      <c r="H83" s="303"/>
      <c r="I83" s="303"/>
      <c r="J83" s="303"/>
      <c r="K83" s="303"/>
      <c r="L83" s="303">
        <v>220000</v>
      </c>
      <c r="M83" s="303"/>
      <c r="N83" s="303"/>
      <c r="O83" s="303"/>
    </row>
    <row r="84" spans="1:15" x14ac:dyDescent="0.25">
      <c r="A84" s="70"/>
      <c r="B84" s="70"/>
      <c r="C84" s="63"/>
      <c r="D84" s="62" t="s">
        <v>3595</v>
      </c>
      <c r="E84" s="64"/>
      <c r="F84" s="303"/>
      <c r="G84" s="303"/>
      <c r="H84" s="303"/>
      <c r="I84" s="303"/>
      <c r="J84" s="303"/>
      <c r="K84" s="303"/>
      <c r="L84" s="303"/>
      <c r="M84" s="303"/>
      <c r="N84" s="303"/>
      <c r="O84" s="303">
        <v>220000</v>
      </c>
    </row>
    <row r="85" spans="1:15" x14ac:dyDescent="0.25">
      <c r="A85" s="70"/>
      <c r="B85" s="70"/>
      <c r="C85" s="63"/>
      <c r="D85" s="62" t="s">
        <v>3596</v>
      </c>
      <c r="E85" s="64"/>
      <c r="F85" s="303"/>
      <c r="G85" s="303"/>
      <c r="H85" s="303"/>
      <c r="I85" s="303"/>
      <c r="J85" s="303"/>
      <c r="K85" s="303"/>
      <c r="L85" s="303"/>
      <c r="M85" s="303"/>
      <c r="N85" s="303"/>
      <c r="O85" s="303">
        <v>37000</v>
      </c>
    </row>
    <row r="86" spans="1:15" x14ac:dyDescent="0.25">
      <c r="A86" s="70"/>
      <c r="B86" s="70"/>
      <c r="C86" s="63"/>
      <c r="D86" s="62" t="s">
        <v>3597</v>
      </c>
      <c r="E86" s="64"/>
      <c r="F86" s="303"/>
      <c r="G86" s="303"/>
      <c r="H86" s="303"/>
      <c r="I86" s="303"/>
      <c r="J86" s="303">
        <v>66000</v>
      </c>
      <c r="K86" s="303"/>
      <c r="L86" s="303"/>
      <c r="M86" s="303"/>
      <c r="N86" s="303"/>
      <c r="O86" s="303"/>
    </row>
    <row r="87" spans="1:15" x14ac:dyDescent="0.25">
      <c r="A87" s="70"/>
      <c r="B87" s="70"/>
      <c r="C87" s="63"/>
      <c r="D87" s="62" t="s">
        <v>3598</v>
      </c>
      <c r="E87" s="64"/>
      <c r="F87" s="303"/>
      <c r="G87" s="303"/>
      <c r="H87" s="303"/>
      <c r="I87" s="303"/>
      <c r="J87" s="303"/>
      <c r="K87" s="303">
        <v>66000</v>
      </c>
      <c r="L87" s="303"/>
      <c r="M87" s="303"/>
      <c r="N87" s="303"/>
      <c r="O87" s="303"/>
    </row>
    <row r="88" spans="1:15" x14ac:dyDescent="0.25">
      <c r="A88" s="70"/>
      <c r="B88" s="70"/>
      <c r="C88" s="63"/>
      <c r="D88" s="62" t="s">
        <v>3599</v>
      </c>
      <c r="E88" s="64"/>
      <c r="F88" s="303"/>
      <c r="G88" s="303"/>
      <c r="H88" s="303"/>
      <c r="I88" s="303"/>
      <c r="J88" s="303"/>
      <c r="K88" s="303">
        <v>84000</v>
      </c>
      <c r="L88" s="303"/>
      <c r="M88" s="303"/>
      <c r="N88" s="303"/>
      <c r="O88" s="303"/>
    </row>
    <row r="89" spans="1:15" x14ac:dyDescent="0.25">
      <c r="A89" s="70"/>
      <c r="B89" s="70"/>
      <c r="C89" s="63"/>
      <c r="D89" s="62" t="s">
        <v>3600</v>
      </c>
      <c r="E89" s="64"/>
      <c r="F89" s="303"/>
      <c r="G89" s="303">
        <v>15000</v>
      </c>
      <c r="H89" s="303"/>
      <c r="I89" s="303"/>
      <c r="J89" s="303"/>
      <c r="K89" s="303"/>
      <c r="L89" s="303"/>
      <c r="M89" s="303"/>
      <c r="N89" s="303">
        <v>20000</v>
      </c>
      <c r="O89" s="303"/>
    </row>
    <row r="90" spans="1:15" x14ac:dyDescent="0.25">
      <c r="A90" s="70"/>
      <c r="B90" s="70"/>
      <c r="C90" s="63"/>
      <c r="D90" s="62" t="s">
        <v>3601</v>
      </c>
      <c r="E90" s="64"/>
      <c r="F90" s="303"/>
      <c r="G90" s="303"/>
      <c r="H90" s="303"/>
      <c r="I90" s="303"/>
      <c r="J90" s="303">
        <v>20000</v>
      </c>
      <c r="K90" s="303"/>
      <c r="L90" s="303"/>
      <c r="M90" s="303"/>
      <c r="N90" s="303"/>
      <c r="O90" s="303"/>
    </row>
    <row r="91" spans="1:15" x14ac:dyDescent="0.25">
      <c r="A91" s="70"/>
      <c r="B91" s="70"/>
      <c r="C91" s="63"/>
      <c r="D91" s="62" t="s">
        <v>3602</v>
      </c>
      <c r="E91" s="64"/>
      <c r="F91" s="303"/>
      <c r="G91" s="303"/>
      <c r="H91" s="303"/>
      <c r="I91" s="303"/>
      <c r="J91" s="303"/>
      <c r="K91" s="303"/>
      <c r="L91" s="303">
        <v>30000</v>
      </c>
      <c r="M91" s="303"/>
      <c r="N91" s="303"/>
      <c r="O91" s="303"/>
    </row>
    <row r="92" spans="1:15" x14ac:dyDescent="0.25">
      <c r="A92" s="70"/>
      <c r="B92" s="70"/>
      <c r="C92" s="63"/>
      <c r="D92" s="62" t="s">
        <v>3603</v>
      </c>
      <c r="E92" s="64"/>
      <c r="F92" s="303"/>
      <c r="G92" s="303"/>
      <c r="H92" s="303"/>
      <c r="I92" s="303"/>
      <c r="J92" s="303"/>
      <c r="K92" s="303">
        <v>29000</v>
      </c>
      <c r="L92" s="303"/>
      <c r="M92" s="303"/>
      <c r="N92" s="303"/>
      <c r="O92" s="303"/>
    </row>
    <row r="93" spans="1:15" x14ac:dyDescent="0.25">
      <c r="A93" s="70"/>
      <c r="B93" s="70"/>
      <c r="C93" s="63"/>
      <c r="D93" s="62" t="s">
        <v>3603</v>
      </c>
      <c r="E93" s="64"/>
      <c r="F93" s="303"/>
      <c r="G93" s="303"/>
      <c r="H93" s="303"/>
      <c r="I93" s="303"/>
      <c r="J93" s="303">
        <v>28000</v>
      </c>
      <c r="K93" s="303"/>
      <c r="L93" s="303"/>
      <c r="M93" s="303"/>
      <c r="N93" s="303"/>
      <c r="O93" s="303"/>
    </row>
    <row r="94" spans="1:15" x14ac:dyDescent="0.25">
      <c r="A94" s="70"/>
      <c r="B94" s="70"/>
      <c r="C94" s="63"/>
      <c r="D94" s="62" t="s">
        <v>3603</v>
      </c>
      <c r="E94" s="64"/>
      <c r="F94" s="303"/>
      <c r="G94" s="303"/>
      <c r="H94" s="303"/>
      <c r="I94" s="303"/>
      <c r="J94" s="303"/>
      <c r="K94" s="303">
        <v>29000</v>
      </c>
      <c r="L94" s="303"/>
      <c r="M94" s="303"/>
      <c r="N94" s="303"/>
      <c r="O94" s="303"/>
    </row>
    <row r="95" spans="1:15" x14ac:dyDescent="0.25">
      <c r="A95" s="70"/>
      <c r="B95" s="70"/>
      <c r="C95" s="63"/>
      <c r="D95" s="62" t="s">
        <v>3604</v>
      </c>
      <c r="E95" s="64"/>
      <c r="F95" s="303"/>
      <c r="G95" s="303"/>
      <c r="H95" s="303"/>
      <c r="I95" s="303"/>
      <c r="J95" s="303">
        <v>28000</v>
      </c>
      <c r="K95" s="303"/>
      <c r="L95" s="303"/>
      <c r="M95" s="303"/>
      <c r="N95" s="303"/>
      <c r="O95" s="303"/>
    </row>
    <row r="96" spans="1:15" x14ac:dyDescent="0.25">
      <c r="A96" s="70"/>
      <c r="B96" s="70"/>
      <c r="C96" s="63"/>
      <c r="D96" s="62" t="s">
        <v>3602</v>
      </c>
      <c r="E96" s="64"/>
      <c r="F96" s="303"/>
      <c r="G96" s="303"/>
      <c r="H96" s="303"/>
      <c r="I96" s="303"/>
      <c r="J96" s="303"/>
      <c r="K96" s="303"/>
      <c r="L96" s="303">
        <v>29000</v>
      </c>
      <c r="M96" s="303"/>
      <c r="N96" s="303"/>
      <c r="O96" s="303"/>
    </row>
    <row r="97" spans="1:15" x14ac:dyDescent="0.25">
      <c r="A97" s="70"/>
      <c r="B97" s="70"/>
      <c r="C97" s="63"/>
      <c r="D97" s="62" t="s">
        <v>3604</v>
      </c>
      <c r="E97" s="64"/>
      <c r="F97" s="303"/>
      <c r="G97" s="303"/>
      <c r="H97" s="303"/>
      <c r="I97" s="303"/>
      <c r="J97" s="303">
        <v>28000</v>
      </c>
      <c r="K97" s="303"/>
      <c r="L97" s="303"/>
      <c r="M97" s="303"/>
      <c r="N97" s="303"/>
      <c r="O97" s="303"/>
    </row>
    <row r="98" spans="1:15" x14ac:dyDescent="0.25">
      <c r="A98" s="70"/>
      <c r="B98" s="70"/>
      <c r="C98" s="63"/>
      <c r="D98" s="62" t="s">
        <v>3564</v>
      </c>
      <c r="E98" s="64"/>
      <c r="F98" s="303"/>
      <c r="G98" s="303"/>
      <c r="H98" s="303"/>
      <c r="I98" s="303"/>
      <c r="J98" s="303"/>
      <c r="K98" s="303"/>
      <c r="L98" s="303"/>
      <c r="M98" s="303">
        <v>9000</v>
      </c>
      <c r="N98" s="303"/>
      <c r="O98" s="303"/>
    </row>
    <row r="99" spans="1:15" x14ac:dyDescent="0.25">
      <c r="A99" s="70"/>
      <c r="B99" s="70"/>
      <c r="C99" s="63"/>
      <c r="D99" s="62" t="s">
        <v>3564</v>
      </c>
      <c r="E99" s="64"/>
      <c r="F99" s="303"/>
      <c r="G99" s="303">
        <v>8000</v>
      </c>
      <c r="H99" s="303"/>
      <c r="I99" s="303"/>
      <c r="J99" s="303"/>
      <c r="K99" s="303"/>
      <c r="L99" s="303"/>
      <c r="M99" s="303"/>
      <c r="N99" s="303"/>
      <c r="O99" s="303">
        <v>9000</v>
      </c>
    </row>
    <row r="100" spans="1:15" x14ac:dyDescent="0.25">
      <c r="A100" s="70"/>
      <c r="B100" s="70"/>
      <c r="C100" s="63"/>
      <c r="D100" s="62" t="s">
        <v>3564</v>
      </c>
      <c r="E100" s="64"/>
      <c r="F100" s="303"/>
      <c r="G100" s="303"/>
      <c r="H100" s="303"/>
      <c r="I100" s="303">
        <v>8000</v>
      </c>
      <c r="J100" s="303"/>
      <c r="K100" s="303"/>
      <c r="L100" s="303"/>
      <c r="M100" s="303"/>
      <c r="N100" s="303"/>
      <c r="O100" s="303"/>
    </row>
    <row r="101" spans="1:15" x14ac:dyDescent="0.25">
      <c r="A101" s="70"/>
      <c r="B101" s="70"/>
      <c r="C101" s="63"/>
      <c r="D101" s="62" t="s">
        <v>3564</v>
      </c>
      <c r="E101" s="64"/>
      <c r="F101" s="303"/>
      <c r="G101" s="303"/>
      <c r="H101" s="303"/>
      <c r="I101" s="303"/>
      <c r="J101" s="303"/>
      <c r="K101" s="303">
        <v>8000</v>
      </c>
      <c r="L101" s="303"/>
      <c r="M101" s="303"/>
      <c r="N101" s="303"/>
      <c r="O101" s="303"/>
    </row>
    <row r="102" spans="1:15" x14ac:dyDescent="0.25">
      <c r="A102" s="70"/>
      <c r="B102" s="70"/>
      <c r="C102" s="63"/>
      <c r="D102" s="62" t="s">
        <v>3605</v>
      </c>
      <c r="E102" s="64"/>
      <c r="F102" s="303">
        <v>110000</v>
      </c>
      <c r="G102" s="303"/>
      <c r="H102" s="303"/>
      <c r="I102" s="303"/>
      <c r="J102" s="303"/>
      <c r="K102" s="303"/>
      <c r="L102" s="303"/>
      <c r="M102" s="303"/>
      <c r="N102" s="303"/>
      <c r="O102" s="303"/>
    </row>
    <row r="103" spans="1:15" x14ac:dyDescent="0.25">
      <c r="A103" s="70"/>
      <c r="B103" s="70"/>
      <c r="C103" s="63"/>
      <c r="D103" s="62" t="s">
        <v>3565</v>
      </c>
      <c r="E103" s="64"/>
      <c r="F103" s="303">
        <v>47000</v>
      </c>
      <c r="G103" s="303">
        <v>48000</v>
      </c>
      <c r="H103" s="303">
        <v>49000</v>
      </c>
      <c r="I103" s="303">
        <v>50000</v>
      </c>
      <c r="J103" s="303">
        <v>51000</v>
      </c>
      <c r="K103" s="303">
        <v>52000</v>
      </c>
      <c r="L103" s="303">
        <v>53000</v>
      </c>
      <c r="M103" s="303">
        <v>54000</v>
      </c>
      <c r="N103" s="303">
        <v>55000</v>
      </c>
      <c r="O103" s="303">
        <v>56000</v>
      </c>
    </row>
    <row r="104" spans="1:15" x14ac:dyDescent="0.25">
      <c r="A104" s="70"/>
      <c r="B104" s="70"/>
      <c r="C104" s="63"/>
      <c r="D104" s="62" t="s">
        <v>3566</v>
      </c>
      <c r="E104" s="64"/>
      <c r="F104" s="303">
        <v>500000</v>
      </c>
      <c r="G104" s="303">
        <v>500000</v>
      </c>
      <c r="H104" s="303">
        <v>500000</v>
      </c>
      <c r="I104" s="303">
        <v>500000</v>
      </c>
      <c r="J104" s="303">
        <v>500000</v>
      </c>
      <c r="K104" s="303">
        <v>500000</v>
      </c>
      <c r="L104" s="303">
        <v>500000</v>
      </c>
      <c r="M104" s="303">
        <v>500000</v>
      </c>
      <c r="N104" s="303">
        <v>500000</v>
      </c>
      <c r="O104" s="303">
        <v>500000</v>
      </c>
    </row>
    <row r="105" spans="1:15" x14ac:dyDescent="0.25">
      <c r="A105" s="70"/>
      <c r="B105" s="70"/>
      <c r="C105" s="63"/>
      <c r="D105" s="62" t="s">
        <v>4480</v>
      </c>
      <c r="E105" s="64"/>
      <c r="F105" s="303"/>
      <c r="G105" s="303"/>
      <c r="H105" s="303"/>
      <c r="I105" s="303">
        <v>-357399</v>
      </c>
      <c r="J105" s="303">
        <v>-514500</v>
      </c>
      <c r="K105" s="303">
        <v>-525500</v>
      </c>
      <c r="L105" s="303">
        <v>-573200</v>
      </c>
      <c r="M105" s="303">
        <v>-341700</v>
      </c>
      <c r="N105" s="303">
        <v>-555700</v>
      </c>
      <c r="O105" s="303">
        <v>-847000</v>
      </c>
    </row>
    <row r="106" spans="1:15" x14ac:dyDescent="0.25">
      <c r="A106" s="70"/>
      <c r="B106" s="70"/>
      <c r="C106" s="63"/>
      <c r="D106" s="62"/>
      <c r="E106" s="64"/>
      <c r="F106" s="304"/>
      <c r="G106" s="304"/>
      <c r="H106" s="304"/>
      <c r="I106" s="304"/>
      <c r="J106" s="304"/>
      <c r="K106" s="304"/>
      <c r="L106" s="304"/>
      <c r="M106" s="304"/>
      <c r="N106" s="304"/>
      <c r="O106" s="304"/>
    </row>
    <row r="107" spans="1:15" x14ac:dyDescent="0.25">
      <c r="A107" s="70"/>
      <c r="B107" s="70"/>
      <c r="C107" s="65"/>
      <c r="D107" s="61" t="s">
        <v>3607</v>
      </c>
      <c r="E107" s="64"/>
      <c r="F107" s="305">
        <f t="shared" ref="F107:L107" si="5">SUM(F46:F106)</f>
        <v>1042000</v>
      </c>
      <c r="G107" s="305">
        <f t="shared" si="5"/>
        <v>937000</v>
      </c>
      <c r="H107" s="305">
        <f t="shared" si="5"/>
        <v>1049000</v>
      </c>
      <c r="I107" s="305">
        <f t="shared" si="5"/>
        <v>836601</v>
      </c>
      <c r="J107" s="305">
        <f t="shared" si="5"/>
        <v>656500</v>
      </c>
      <c r="K107" s="305">
        <f t="shared" si="5"/>
        <v>672500</v>
      </c>
      <c r="L107" s="305">
        <f t="shared" si="5"/>
        <v>688800</v>
      </c>
      <c r="M107" s="305">
        <f>SUM(M46:M106)</f>
        <v>705300</v>
      </c>
      <c r="N107" s="305">
        <f t="shared" ref="N107:O107" si="6">SUM(N46:N106)</f>
        <v>722300</v>
      </c>
      <c r="O107" s="305">
        <f t="shared" si="6"/>
        <v>740000</v>
      </c>
    </row>
    <row r="108" spans="1:15" x14ac:dyDescent="0.25">
      <c r="A108" s="70"/>
      <c r="B108" s="70"/>
      <c r="C108" s="65"/>
      <c r="D108" s="61"/>
      <c r="E108" s="64"/>
      <c r="F108" s="304"/>
      <c r="G108" s="304"/>
      <c r="H108" s="304"/>
      <c r="I108" s="304"/>
      <c r="J108" s="304"/>
      <c r="K108" s="304"/>
      <c r="L108" s="304"/>
      <c r="M108" s="304"/>
      <c r="N108" s="304"/>
      <c r="O108" s="304"/>
    </row>
    <row r="109" spans="1:15" x14ac:dyDescent="0.25">
      <c r="A109" s="70"/>
      <c r="B109" s="70"/>
      <c r="C109" s="63"/>
      <c r="D109" s="66" t="s">
        <v>3608</v>
      </c>
      <c r="E109" s="366"/>
      <c r="F109" s="303"/>
      <c r="G109" s="303"/>
      <c r="H109" s="303"/>
      <c r="I109" s="303"/>
      <c r="J109" s="303"/>
      <c r="K109" s="303"/>
      <c r="L109" s="303"/>
      <c r="M109" s="303"/>
      <c r="N109" s="303"/>
      <c r="O109" s="303"/>
    </row>
    <row r="110" spans="1:15" x14ac:dyDescent="0.25">
      <c r="A110" s="70"/>
      <c r="B110" s="70"/>
      <c r="C110" s="63"/>
      <c r="D110" s="61" t="s">
        <v>3609</v>
      </c>
      <c r="E110" s="64"/>
      <c r="F110" s="304"/>
      <c r="G110" s="304"/>
      <c r="H110" s="304"/>
      <c r="I110" s="304"/>
      <c r="J110" s="304"/>
      <c r="K110" s="304"/>
      <c r="L110" s="304"/>
      <c r="M110" s="304"/>
      <c r="N110" s="304"/>
      <c r="O110" s="304"/>
    </row>
    <row r="111" spans="1:15" x14ac:dyDescent="0.25">
      <c r="A111" s="70"/>
      <c r="B111" s="70"/>
      <c r="C111" s="63">
        <v>44203</v>
      </c>
      <c r="D111" s="62" t="s">
        <v>3610</v>
      </c>
      <c r="E111" s="64"/>
      <c r="F111" s="303"/>
      <c r="G111" s="303"/>
      <c r="H111" s="303"/>
      <c r="I111" s="303"/>
      <c r="J111" s="303"/>
      <c r="K111" s="303"/>
      <c r="L111" s="303"/>
      <c r="M111" s="303"/>
      <c r="N111" s="303"/>
      <c r="O111" s="303"/>
    </row>
    <row r="112" spans="1:15" x14ac:dyDescent="0.25">
      <c r="A112" s="70"/>
      <c r="B112" s="70"/>
      <c r="C112" s="63">
        <v>44165</v>
      </c>
      <c r="D112" s="62" t="s">
        <v>3611</v>
      </c>
      <c r="E112" s="64"/>
      <c r="F112" s="303"/>
      <c r="G112" s="303"/>
      <c r="H112" s="303"/>
      <c r="I112" s="303"/>
      <c r="J112" s="303"/>
      <c r="K112" s="303"/>
      <c r="L112" s="303"/>
      <c r="M112" s="303"/>
      <c r="N112" s="303"/>
      <c r="O112" s="303"/>
    </row>
    <row r="113" spans="1:15" x14ac:dyDescent="0.25">
      <c r="A113" s="70"/>
      <c r="B113" s="70"/>
      <c r="C113" s="63">
        <v>44206</v>
      </c>
      <c r="D113" s="62" t="s">
        <v>3612</v>
      </c>
      <c r="E113" s="64"/>
      <c r="F113" s="303"/>
      <c r="G113" s="303"/>
      <c r="H113" s="303"/>
      <c r="I113" s="303"/>
      <c r="J113" s="303"/>
      <c r="K113" s="303"/>
      <c r="L113" s="303"/>
      <c r="M113" s="303"/>
      <c r="N113" s="303"/>
      <c r="O113" s="303"/>
    </row>
    <row r="114" spans="1:15" x14ac:dyDescent="0.25">
      <c r="A114" s="70"/>
      <c r="B114" s="70"/>
      <c r="C114" s="63">
        <v>44211</v>
      </c>
      <c r="D114" s="62" t="s">
        <v>3480</v>
      </c>
      <c r="E114" s="64"/>
      <c r="F114" s="303"/>
      <c r="G114" s="303"/>
      <c r="H114" s="303"/>
      <c r="I114" s="303"/>
      <c r="J114" s="303"/>
      <c r="K114" s="303"/>
      <c r="L114" s="303"/>
      <c r="M114" s="303"/>
      <c r="N114" s="303"/>
      <c r="O114" s="303"/>
    </row>
    <row r="115" spans="1:15" x14ac:dyDescent="0.25">
      <c r="A115" s="70"/>
      <c r="B115" s="70"/>
      <c r="C115" s="63"/>
      <c r="D115" s="62"/>
      <c r="E115" s="64"/>
      <c r="F115" s="303"/>
      <c r="G115" s="303"/>
      <c r="H115" s="303"/>
      <c r="I115" s="303"/>
      <c r="J115" s="303"/>
      <c r="K115" s="303"/>
      <c r="L115" s="303"/>
      <c r="M115" s="303"/>
      <c r="N115" s="303"/>
      <c r="O115" s="303"/>
    </row>
    <row r="116" spans="1:15" x14ac:dyDescent="0.25">
      <c r="A116" s="70"/>
      <c r="B116" s="70"/>
      <c r="C116" s="63"/>
      <c r="D116" s="61" t="s">
        <v>3613</v>
      </c>
      <c r="E116" s="64"/>
      <c r="F116" s="303"/>
      <c r="G116" s="303"/>
      <c r="H116" s="303"/>
      <c r="I116" s="303"/>
      <c r="J116" s="303"/>
      <c r="K116" s="303"/>
      <c r="L116" s="303"/>
      <c r="M116" s="303"/>
      <c r="N116" s="303"/>
      <c r="O116" s="303"/>
    </row>
    <row r="117" spans="1:15" x14ac:dyDescent="0.25">
      <c r="A117" s="70"/>
      <c r="B117" s="70"/>
      <c r="C117" s="63">
        <v>45469</v>
      </c>
      <c r="D117" s="62" t="s">
        <v>3430</v>
      </c>
      <c r="E117" s="64"/>
      <c r="F117" s="303"/>
      <c r="G117" s="303"/>
      <c r="H117" s="303"/>
      <c r="I117" s="303"/>
      <c r="J117" s="303"/>
      <c r="K117" s="303"/>
      <c r="L117" s="303"/>
      <c r="M117" s="303"/>
      <c r="N117" s="303"/>
      <c r="O117" s="303"/>
    </row>
    <row r="118" spans="1:15" x14ac:dyDescent="0.25">
      <c r="A118" s="70"/>
      <c r="B118" s="70"/>
      <c r="C118" s="63"/>
      <c r="D118" s="62"/>
      <c r="E118" s="64"/>
      <c r="F118" s="303"/>
      <c r="G118" s="303"/>
      <c r="H118" s="303"/>
      <c r="I118" s="303"/>
      <c r="J118" s="303"/>
      <c r="K118" s="303"/>
      <c r="L118" s="303"/>
      <c r="M118" s="303"/>
      <c r="N118" s="303"/>
      <c r="O118" s="303"/>
    </row>
    <row r="119" spans="1:15" x14ac:dyDescent="0.25">
      <c r="A119" s="70"/>
      <c r="B119" s="70"/>
      <c r="C119" s="63"/>
      <c r="D119" s="61" t="s">
        <v>3523</v>
      </c>
      <c r="E119" s="64"/>
      <c r="F119" s="303"/>
      <c r="G119" s="303"/>
      <c r="H119" s="303"/>
      <c r="I119" s="303"/>
      <c r="J119" s="303"/>
      <c r="K119" s="303"/>
      <c r="L119" s="303"/>
      <c r="M119" s="303"/>
      <c r="N119" s="303"/>
      <c r="O119" s="303"/>
    </row>
    <row r="120" spans="1:15" ht="45" x14ac:dyDescent="0.25">
      <c r="A120" s="70"/>
      <c r="B120" s="70"/>
      <c r="C120" s="63">
        <v>45459</v>
      </c>
      <c r="D120" s="62" t="s">
        <v>3614</v>
      </c>
      <c r="E120" s="64"/>
      <c r="F120" s="303"/>
      <c r="G120" s="303"/>
      <c r="H120" s="303"/>
      <c r="I120" s="303"/>
      <c r="J120" s="303"/>
      <c r="K120" s="303"/>
      <c r="L120" s="303"/>
      <c r="M120" s="303"/>
      <c r="N120" s="303"/>
      <c r="O120" s="303"/>
    </row>
    <row r="121" spans="1:15" x14ac:dyDescent="0.25">
      <c r="A121" s="70"/>
      <c r="B121" s="70"/>
      <c r="C121" s="63">
        <v>44187</v>
      </c>
      <c r="D121" s="62" t="s">
        <v>3615</v>
      </c>
      <c r="E121" s="64"/>
      <c r="F121" s="303"/>
      <c r="G121" s="303"/>
      <c r="H121" s="303"/>
      <c r="I121" s="303"/>
      <c r="J121" s="303"/>
      <c r="K121" s="303"/>
      <c r="L121" s="303"/>
      <c r="M121" s="303"/>
      <c r="N121" s="303"/>
      <c r="O121" s="303"/>
    </row>
    <row r="122" spans="1:15" x14ac:dyDescent="0.25">
      <c r="A122" s="70"/>
      <c r="B122" s="70"/>
      <c r="C122" s="63">
        <v>45471</v>
      </c>
      <c r="D122" s="62" t="s">
        <v>3616</v>
      </c>
      <c r="E122" s="64"/>
      <c r="F122" s="303"/>
      <c r="G122" s="303"/>
      <c r="H122" s="303"/>
      <c r="I122" s="303"/>
      <c r="J122" s="303"/>
      <c r="K122" s="303"/>
      <c r="L122" s="303"/>
      <c r="M122" s="303"/>
      <c r="N122" s="303"/>
      <c r="O122" s="303"/>
    </row>
    <row r="123" spans="1:15" ht="30" x14ac:dyDescent="0.25">
      <c r="A123" s="70"/>
      <c r="B123" s="70"/>
      <c r="C123" s="63">
        <v>45473</v>
      </c>
      <c r="D123" s="62" t="s">
        <v>3617</v>
      </c>
      <c r="E123" s="64"/>
      <c r="F123" s="303">
        <v>35000</v>
      </c>
      <c r="G123" s="303"/>
      <c r="H123" s="303"/>
      <c r="I123" s="303"/>
      <c r="J123" s="303"/>
      <c r="K123" s="303"/>
      <c r="L123" s="303"/>
      <c r="M123" s="303"/>
      <c r="N123" s="303"/>
      <c r="O123" s="303"/>
    </row>
    <row r="124" spans="1:15" ht="30" x14ac:dyDescent="0.25">
      <c r="A124" s="70"/>
      <c r="B124" s="70"/>
      <c r="C124" s="63">
        <v>45495</v>
      </c>
      <c r="D124" s="62" t="s">
        <v>3618</v>
      </c>
      <c r="E124" s="64"/>
      <c r="F124" s="303"/>
      <c r="G124" s="303"/>
      <c r="H124" s="303"/>
      <c r="I124" s="303"/>
      <c r="J124" s="303"/>
      <c r="K124" s="303"/>
      <c r="L124" s="303"/>
      <c r="M124" s="303"/>
      <c r="N124" s="303"/>
      <c r="O124" s="303"/>
    </row>
    <row r="125" spans="1:15" x14ac:dyDescent="0.25">
      <c r="A125" s="70"/>
      <c r="B125" s="70"/>
      <c r="C125" s="63">
        <v>44248</v>
      </c>
      <c r="D125" s="62" t="s">
        <v>3619</v>
      </c>
      <c r="E125" s="64"/>
      <c r="F125" s="303"/>
      <c r="G125" s="303"/>
      <c r="H125" s="303"/>
      <c r="I125" s="303"/>
      <c r="J125" s="303"/>
      <c r="K125" s="303"/>
      <c r="L125" s="303"/>
      <c r="M125" s="303"/>
      <c r="N125" s="303"/>
      <c r="O125" s="303"/>
    </row>
    <row r="126" spans="1:15" ht="30" x14ac:dyDescent="0.25">
      <c r="A126" s="70"/>
      <c r="B126" s="70"/>
      <c r="C126" s="63">
        <v>45498</v>
      </c>
      <c r="D126" s="62" t="s">
        <v>3620</v>
      </c>
      <c r="E126" s="64" t="s">
        <v>3606</v>
      </c>
      <c r="F126" s="303">
        <v>210000</v>
      </c>
      <c r="G126" s="303"/>
      <c r="H126" s="303"/>
      <c r="I126" s="303"/>
      <c r="J126" s="303"/>
      <c r="K126" s="303"/>
      <c r="L126" s="303"/>
      <c r="M126" s="303"/>
      <c r="N126" s="303"/>
      <c r="O126" s="303"/>
    </row>
    <row r="127" spans="1:15" ht="30" x14ac:dyDescent="0.25">
      <c r="A127" s="70"/>
      <c r="B127" s="70"/>
      <c r="C127" s="63"/>
      <c r="D127" s="62" t="s">
        <v>3621</v>
      </c>
      <c r="E127" s="64" t="s">
        <v>3606</v>
      </c>
      <c r="F127" s="303"/>
      <c r="G127" s="303"/>
      <c r="H127" s="303"/>
      <c r="I127" s="303"/>
      <c r="J127" s="303"/>
      <c r="K127" s="303"/>
      <c r="L127" s="303"/>
      <c r="M127" s="303"/>
      <c r="N127" s="303"/>
      <c r="O127" s="303"/>
    </row>
    <row r="128" spans="1:15" x14ac:dyDescent="0.25">
      <c r="A128" s="70"/>
      <c r="B128" s="70"/>
      <c r="C128" s="63"/>
      <c r="D128" s="62"/>
      <c r="E128" s="64"/>
      <c r="F128" s="303"/>
      <c r="G128" s="303"/>
      <c r="H128" s="303"/>
      <c r="I128" s="303"/>
      <c r="J128" s="303"/>
      <c r="K128" s="303"/>
      <c r="L128" s="303"/>
      <c r="M128" s="303"/>
      <c r="N128" s="303"/>
      <c r="O128" s="303"/>
    </row>
    <row r="129" spans="1:15" x14ac:dyDescent="0.25">
      <c r="A129" s="70"/>
      <c r="B129" s="70"/>
      <c r="C129" s="63"/>
      <c r="D129" s="61" t="s">
        <v>3622</v>
      </c>
      <c r="E129" s="64"/>
      <c r="F129" s="303"/>
      <c r="G129" s="303"/>
      <c r="H129" s="303"/>
      <c r="I129" s="303"/>
      <c r="J129" s="303"/>
      <c r="K129" s="303"/>
      <c r="L129" s="303"/>
      <c r="M129" s="303"/>
      <c r="N129" s="303"/>
      <c r="O129" s="303"/>
    </row>
    <row r="130" spans="1:15" ht="30" x14ac:dyDescent="0.25">
      <c r="A130" s="70"/>
      <c r="B130" s="70"/>
      <c r="C130" s="63">
        <v>44201</v>
      </c>
      <c r="D130" s="62" t="s">
        <v>3451</v>
      </c>
      <c r="E130" s="64"/>
      <c r="F130" s="303"/>
      <c r="G130" s="303"/>
      <c r="H130" s="303"/>
      <c r="I130" s="303"/>
      <c r="J130" s="303"/>
      <c r="K130" s="303"/>
      <c r="L130" s="303"/>
      <c r="M130" s="303"/>
      <c r="N130" s="303"/>
      <c r="O130" s="303"/>
    </row>
    <row r="131" spans="1:15" x14ac:dyDescent="0.25">
      <c r="A131" s="70"/>
      <c r="B131" s="70"/>
      <c r="C131" s="63">
        <v>44026.006999999998</v>
      </c>
      <c r="D131" s="62" t="s">
        <v>3452</v>
      </c>
      <c r="E131" s="64"/>
      <c r="F131" s="303"/>
      <c r="G131" s="303"/>
      <c r="H131" s="303"/>
      <c r="I131" s="303"/>
      <c r="J131" s="303"/>
      <c r="K131" s="303"/>
      <c r="L131" s="303"/>
      <c r="M131" s="303"/>
      <c r="N131" s="303"/>
      <c r="O131" s="303"/>
    </row>
    <row r="132" spans="1:15" x14ac:dyDescent="0.25">
      <c r="A132" s="70"/>
      <c r="B132" s="70"/>
      <c r="C132" s="63"/>
      <c r="D132" s="62"/>
      <c r="E132" s="64"/>
      <c r="F132" s="303"/>
      <c r="G132" s="303"/>
      <c r="H132" s="303"/>
      <c r="I132" s="303"/>
      <c r="J132" s="303"/>
      <c r="K132" s="303"/>
      <c r="L132" s="303"/>
      <c r="M132" s="303"/>
      <c r="N132" s="303"/>
      <c r="O132" s="303"/>
    </row>
    <row r="133" spans="1:15" x14ac:dyDescent="0.25">
      <c r="A133" s="70"/>
      <c r="B133" s="70"/>
      <c r="C133" s="63"/>
      <c r="D133" s="61" t="s">
        <v>3623</v>
      </c>
      <c r="E133" s="64"/>
      <c r="F133" s="303"/>
      <c r="G133" s="303"/>
      <c r="H133" s="303"/>
      <c r="I133" s="303"/>
      <c r="J133" s="303"/>
      <c r="K133" s="303"/>
      <c r="L133" s="303"/>
      <c r="M133" s="303"/>
      <c r="N133" s="303"/>
      <c r="O133" s="303"/>
    </row>
    <row r="134" spans="1:15" x14ac:dyDescent="0.25">
      <c r="A134" s="70"/>
      <c r="B134" s="70"/>
      <c r="C134" s="67">
        <v>44044.027000000002</v>
      </c>
      <c r="D134" s="62" t="s">
        <v>3624</v>
      </c>
      <c r="E134" s="64"/>
      <c r="F134" s="303"/>
      <c r="G134" s="303"/>
      <c r="H134" s="303"/>
      <c r="I134" s="303"/>
      <c r="J134" s="303"/>
      <c r="K134" s="303"/>
      <c r="L134" s="303"/>
      <c r="M134" s="303"/>
      <c r="N134" s="303"/>
      <c r="O134" s="303"/>
    </row>
    <row r="135" spans="1:15" x14ac:dyDescent="0.25">
      <c r="A135" s="70"/>
      <c r="B135" s="70"/>
      <c r="C135" s="68">
        <v>44003.12</v>
      </c>
      <c r="D135" s="62" t="s">
        <v>3625</v>
      </c>
      <c r="E135" s="64"/>
      <c r="F135" s="303"/>
      <c r="G135" s="303"/>
      <c r="H135" s="303"/>
      <c r="I135" s="303"/>
      <c r="J135" s="303"/>
      <c r="K135" s="303"/>
      <c r="L135" s="303"/>
      <c r="M135" s="303"/>
      <c r="N135" s="303"/>
      <c r="O135" s="303"/>
    </row>
    <row r="136" spans="1:15" x14ac:dyDescent="0.25">
      <c r="A136" s="70"/>
      <c r="B136" s="70"/>
      <c r="C136" s="63"/>
      <c r="D136" s="62"/>
      <c r="E136" s="64"/>
      <c r="F136" s="303"/>
      <c r="G136" s="303"/>
      <c r="H136" s="303"/>
      <c r="I136" s="303"/>
      <c r="J136" s="303"/>
      <c r="K136" s="303"/>
      <c r="L136" s="303"/>
      <c r="M136" s="303"/>
      <c r="N136" s="303"/>
      <c r="O136" s="303"/>
    </row>
    <row r="137" spans="1:15" x14ac:dyDescent="0.25">
      <c r="A137" s="70"/>
      <c r="B137" s="70"/>
      <c r="C137" s="63"/>
      <c r="D137" s="61" t="s">
        <v>3626</v>
      </c>
      <c r="E137" s="64"/>
      <c r="F137" s="303"/>
      <c r="G137" s="303"/>
      <c r="H137" s="303"/>
      <c r="I137" s="303"/>
      <c r="J137" s="303"/>
      <c r="K137" s="303"/>
      <c r="L137" s="303"/>
      <c r="M137" s="303"/>
      <c r="N137" s="303"/>
      <c r="O137" s="303"/>
    </row>
    <row r="138" spans="1:15" x14ac:dyDescent="0.25">
      <c r="A138" s="70"/>
      <c r="B138" s="70"/>
      <c r="C138" s="63">
        <v>44200</v>
      </c>
      <c r="D138" s="63" t="s">
        <v>3627</v>
      </c>
      <c r="E138" s="64"/>
      <c r="F138" s="303"/>
      <c r="G138" s="303"/>
      <c r="H138" s="303"/>
      <c r="I138" s="303"/>
      <c r="J138" s="303"/>
      <c r="K138" s="303"/>
      <c r="L138" s="303"/>
      <c r="M138" s="303"/>
      <c r="N138" s="303"/>
      <c r="O138" s="303"/>
    </row>
    <row r="139" spans="1:15" x14ac:dyDescent="0.25">
      <c r="A139" s="70"/>
      <c r="B139" s="70"/>
      <c r="C139" s="63"/>
      <c r="D139" s="63"/>
      <c r="E139" s="64"/>
      <c r="F139" s="303"/>
      <c r="G139" s="303"/>
      <c r="H139" s="303"/>
      <c r="I139" s="303"/>
      <c r="J139" s="303"/>
      <c r="K139" s="303"/>
      <c r="L139" s="303"/>
      <c r="M139" s="303"/>
      <c r="N139" s="303"/>
      <c r="O139" s="303"/>
    </row>
    <row r="140" spans="1:15" x14ac:dyDescent="0.25">
      <c r="A140" s="70"/>
      <c r="B140" s="70"/>
      <c r="C140" s="63"/>
      <c r="D140" s="65" t="s">
        <v>3628</v>
      </c>
      <c r="E140" s="64"/>
      <c r="F140" s="303"/>
      <c r="G140" s="303"/>
      <c r="H140" s="303"/>
      <c r="I140" s="303"/>
      <c r="J140" s="303"/>
      <c r="K140" s="303"/>
      <c r="L140" s="303"/>
      <c r="M140" s="303"/>
      <c r="N140" s="303"/>
      <c r="O140" s="303"/>
    </row>
    <row r="141" spans="1:15" x14ac:dyDescent="0.25">
      <c r="A141" s="70"/>
      <c r="B141" s="70"/>
      <c r="C141" s="63">
        <v>45479</v>
      </c>
      <c r="D141" s="63" t="s">
        <v>3629</v>
      </c>
      <c r="E141" s="64"/>
      <c r="F141" s="303"/>
      <c r="G141" s="303"/>
      <c r="H141" s="303"/>
      <c r="I141" s="303"/>
      <c r="J141" s="303"/>
      <c r="K141" s="303"/>
      <c r="L141" s="303"/>
      <c r="M141" s="303"/>
      <c r="N141" s="303"/>
      <c r="O141" s="303"/>
    </row>
    <row r="142" spans="1:15" x14ac:dyDescent="0.25">
      <c r="A142" s="70"/>
      <c r="B142" s="70"/>
      <c r="C142" s="63">
        <v>45463</v>
      </c>
      <c r="D142" s="63" t="s">
        <v>3630</v>
      </c>
      <c r="E142" s="64" t="s">
        <v>3562</v>
      </c>
      <c r="F142" s="303">
        <v>133600</v>
      </c>
      <c r="G142" s="303"/>
      <c r="H142" s="303"/>
      <c r="I142" s="303"/>
      <c r="J142" s="303"/>
      <c r="K142" s="303"/>
      <c r="L142" s="303"/>
      <c r="M142" s="303"/>
      <c r="N142" s="303"/>
      <c r="O142" s="303"/>
    </row>
    <row r="143" spans="1:15" x14ac:dyDescent="0.25">
      <c r="A143" s="70"/>
      <c r="B143" s="70"/>
      <c r="C143" s="63">
        <v>45464</v>
      </c>
      <c r="D143" s="63" t="s">
        <v>3631</v>
      </c>
      <c r="E143" s="64"/>
      <c r="F143" s="303"/>
      <c r="G143" s="303"/>
      <c r="H143" s="303"/>
      <c r="I143" s="303"/>
      <c r="J143" s="303"/>
      <c r="K143" s="303"/>
      <c r="L143" s="303"/>
      <c r="M143" s="303"/>
      <c r="N143" s="303"/>
      <c r="O143" s="303"/>
    </row>
    <row r="144" spans="1:15" ht="30" x14ac:dyDescent="0.25">
      <c r="A144" s="70"/>
      <c r="B144" s="70"/>
      <c r="C144" s="63">
        <v>44195</v>
      </c>
      <c r="D144" s="63" t="s">
        <v>3632</v>
      </c>
      <c r="E144" s="64"/>
      <c r="F144" s="303"/>
      <c r="G144" s="303"/>
      <c r="H144" s="303"/>
      <c r="I144" s="303"/>
      <c r="J144" s="303"/>
      <c r="K144" s="303"/>
      <c r="L144" s="303"/>
      <c r="M144" s="303"/>
      <c r="N144" s="303"/>
      <c r="O144" s="303"/>
    </row>
    <row r="145" spans="1:16" x14ac:dyDescent="0.25">
      <c r="A145" s="70"/>
      <c r="B145" s="70"/>
      <c r="C145" s="63"/>
      <c r="D145" s="63"/>
      <c r="E145" s="64"/>
      <c r="F145" s="303"/>
      <c r="G145" s="303"/>
      <c r="H145" s="303"/>
      <c r="I145" s="303"/>
      <c r="J145" s="303"/>
      <c r="K145" s="303"/>
      <c r="L145" s="303"/>
      <c r="M145" s="303"/>
      <c r="N145" s="303"/>
      <c r="O145" s="303"/>
    </row>
    <row r="146" spans="1:16" x14ac:dyDescent="0.25">
      <c r="A146" s="70"/>
      <c r="B146" s="70"/>
      <c r="C146" s="63"/>
      <c r="D146" s="65" t="s">
        <v>3633</v>
      </c>
      <c r="E146" s="64"/>
      <c r="F146" s="303"/>
      <c r="G146" s="303"/>
      <c r="H146" s="303"/>
      <c r="I146" s="303"/>
      <c r="J146" s="303"/>
      <c r="K146" s="303"/>
      <c r="L146" s="303"/>
      <c r="M146" s="303"/>
      <c r="N146" s="303"/>
      <c r="O146" s="303"/>
    </row>
    <row r="147" spans="1:16" x14ac:dyDescent="0.25">
      <c r="A147" s="70"/>
      <c r="B147" s="70"/>
      <c r="C147" s="65"/>
      <c r="D147" s="65" t="s">
        <v>3634</v>
      </c>
      <c r="E147" s="64"/>
      <c r="F147" s="303"/>
      <c r="G147" s="303"/>
      <c r="H147" s="303"/>
      <c r="I147" s="303"/>
      <c r="J147" s="303"/>
      <c r="K147" s="303"/>
      <c r="L147" s="303"/>
      <c r="M147" s="303"/>
      <c r="N147" s="303"/>
      <c r="O147" s="303"/>
    </row>
    <row r="148" spans="1:16" x14ac:dyDescent="0.25">
      <c r="A148" s="70"/>
      <c r="B148" s="70"/>
      <c r="C148" s="63">
        <v>44213</v>
      </c>
      <c r="D148" s="63" t="s">
        <v>3440</v>
      </c>
      <c r="E148" s="64"/>
      <c r="F148" s="303"/>
      <c r="G148" s="303"/>
      <c r="H148" s="303"/>
      <c r="I148" s="303"/>
      <c r="J148" s="303"/>
      <c r="K148" s="303"/>
      <c r="L148" s="303"/>
      <c r="M148" s="303"/>
      <c r="N148" s="303"/>
      <c r="O148" s="303"/>
    </row>
    <row r="149" spans="1:16" x14ac:dyDescent="0.25">
      <c r="A149" s="70"/>
      <c r="B149" s="70"/>
      <c r="C149" s="63">
        <v>44253</v>
      </c>
      <c r="D149" s="63" t="s">
        <v>3471</v>
      </c>
      <c r="E149" s="64" t="s">
        <v>3562</v>
      </c>
      <c r="F149" s="303">
        <v>600000</v>
      </c>
      <c r="G149" s="303"/>
      <c r="H149" s="303"/>
      <c r="I149" s="303"/>
      <c r="J149" s="303"/>
      <c r="K149" s="303"/>
      <c r="L149" s="303"/>
      <c r="M149" s="303"/>
      <c r="N149" s="303"/>
      <c r="O149" s="303"/>
    </row>
    <row r="150" spans="1:16" x14ac:dyDescent="0.25">
      <c r="A150" s="70"/>
      <c r="B150" s="70"/>
      <c r="C150" s="63">
        <v>44241</v>
      </c>
      <c r="D150" s="63" t="s">
        <v>3635</v>
      </c>
      <c r="E150" s="64" t="s">
        <v>3562</v>
      </c>
      <c r="F150" s="303">
        <v>400000</v>
      </c>
      <c r="G150" s="303"/>
      <c r="H150" s="303"/>
      <c r="I150" s="303"/>
      <c r="J150" s="303"/>
      <c r="K150" s="303"/>
      <c r="L150" s="303"/>
      <c r="M150" s="303"/>
      <c r="N150" s="303"/>
      <c r="O150" s="303"/>
    </row>
    <row r="151" spans="1:16" ht="30" x14ac:dyDescent="0.25">
      <c r="A151" s="70"/>
      <c r="B151" s="70"/>
      <c r="C151" s="63">
        <v>44214</v>
      </c>
      <c r="D151" s="63" t="s">
        <v>3636</v>
      </c>
      <c r="E151" s="64"/>
      <c r="F151" s="303"/>
      <c r="G151" s="303"/>
      <c r="H151" s="303"/>
      <c r="I151" s="303"/>
      <c r="J151" s="303"/>
      <c r="K151" s="303"/>
      <c r="L151" s="303"/>
      <c r="M151" s="303"/>
      <c r="N151" s="303"/>
      <c r="O151" s="303"/>
    </row>
    <row r="152" spans="1:16" x14ac:dyDescent="0.25">
      <c r="A152" s="70"/>
      <c r="B152" s="70"/>
      <c r="C152" s="63"/>
      <c r="D152" s="63" t="s">
        <v>3637</v>
      </c>
      <c r="E152" s="64" t="s">
        <v>3562</v>
      </c>
      <c r="F152" s="303"/>
      <c r="G152" s="303"/>
      <c r="H152" s="303"/>
      <c r="I152" s="303"/>
      <c r="J152" s="303"/>
      <c r="K152" s="303"/>
      <c r="L152" s="303"/>
      <c r="M152" s="303"/>
      <c r="N152" s="303"/>
      <c r="O152" s="303"/>
      <c r="P152" s="60" t="s">
        <v>4497</v>
      </c>
    </row>
    <row r="153" spans="1:16" ht="30" x14ac:dyDescent="0.25">
      <c r="A153" s="70"/>
      <c r="B153" s="70"/>
      <c r="C153" s="63">
        <v>44215</v>
      </c>
      <c r="D153" s="63" t="s">
        <v>3436</v>
      </c>
      <c r="E153" s="64"/>
      <c r="F153" s="303"/>
      <c r="G153" s="303"/>
      <c r="H153" s="303"/>
      <c r="I153" s="303"/>
      <c r="J153" s="303"/>
      <c r="K153" s="303"/>
      <c r="L153" s="303"/>
      <c r="M153" s="303"/>
      <c r="N153" s="303"/>
      <c r="O153" s="303"/>
    </row>
    <row r="154" spans="1:16" ht="30" x14ac:dyDescent="0.25">
      <c r="A154" s="70"/>
      <c r="B154" s="70"/>
      <c r="C154" s="63"/>
      <c r="D154" s="63" t="s">
        <v>3438</v>
      </c>
      <c r="E154" s="64"/>
      <c r="F154" s="303"/>
      <c r="G154" s="303"/>
      <c r="H154" s="303"/>
      <c r="I154" s="303"/>
      <c r="J154" s="303"/>
      <c r="K154" s="303"/>
      <c r="L154" s="303"/>
      <c r="M154" s="303"/>
      <c r="N154" s="303"/>
      <c r="O154" s="303"/>
    </row>
    <row r="155" spans="1:16" x14ac:dyDescent="0.25">
      <c r="A155" s="70"/>
      <c r="B155" s="70"/>
      <c r="C155" s="63"/>
      <c r="D155" s="63" t="s">
        <v>3638</v>
      </c>
      <c r="E155" s="64" t="s">
        <v>3562</v>
      </c>
      <c r="F155" s="303"/>
      <c r="G155" s="303">
        <v>220000</v>
      </c>
      <c r="H155" s="303"/>
      <c r="I155" s="303"/>
      <c r="J155" s="303"/>
      <c r="K155" s="303"/>
      <c r="L155" s="303"/>
      <c r="M155" s="303"/>
      <c r="N155" s="303"/>
      <c r="O155" s="303"/>
      <c r="P155" s="60" t="s">
        <v>4510</v>
      </c>
    </row>
    <row r="156" spans="1:16" ht="30" x14ac:dyDescent="0.25">
      <c r="A156" s="70"/>
      <c r="B156" s="70"/>
      <c r="C156" s="63"/>
      <c r="D156" s="63" t="s">
        <v>3639</v>
      </c>
      <c r="E156" s="64" t="s">
        <v>3562</v>
      </c>
      <c r="F156" s="303"/>
      <c r="G156" s="303">
        <v>20000</v>
      </c>
      <c r="H156" s="303"/>
      <c r="I156" s="303"/>
      <c r="J156" s="303"/>
      <c r="K156" s="303"/>
      <c r="L156" s="303"/>
      <c r="M156" s="303"/>
      <c r="N156" s="303"/>
      <c r="O156" s="303"/>
      <c r="P156" s="60" t="s">
        <v>4496</v>
      </c>
    </row>
    <row r="157" spans="1:16" ht="30" x14ac:dyDescent="0.25">
      <c r="A157" s="70"/>
      <c r="B157" s="70"/>
      <c r="C157" s="63"/>
      <c r="D157" s="63" t="s">
        <v>3640</v>
      </c>
      <c r="E157" s="64" t="s">
        <v>3562</v>
      </c>
      <c r="F157" s="303"/>
      <c r="G157" s="303"/>
      <c r="H157" s="303"/>
      <c r="I157" s="303"/>
      <c r="J157" s="303"/>
      <c r="K157" s="303"/>
      <c r="L157" s="303"/>
      <c r="M157" s="303"/>
      <c r="N157" s="303"/>
      <c r="O157" s="303"/>
      <c r="P157" s="60" t="s">
        <v>4497</v>
      </c>
    </row>
    <row r="158" spans="1:16" ht="30" x14ac:dyDescent="0.25">
      <c r="A158" s="70"/>
      <c r="B158" s="70"/>
      <c r="C158" s="63"/>
      <c r="D158" s="63" t="s">
        <v>3444</v>
      </c>
      <c r="E158" s="64" t="s">
        <v>3562</v>
      </c>
      <c r="F158" s="303"/>
      <c r="G158" s="303">
        <v>20000</v>
      </c>
      <c r="H158" s="303"/>
      <c r="I158" s="303"/>
      <c r="J158" s="303"/>
      <c r="K158" s="303"/>
      <c r="L158" s="303"/>
      <c r="M158" s="303"/>
      <c r="N158" s="303"/>
      <c r="O158" s="303"/>
      <c r="P158" s="60" t="s">
        <v>4496</v>
      </c>
    </row>
    <row r="159" spans="1:16" x14ac:dyDescent="0.25">
      <c r="A159" s="70"/>
      <c r="B159" s="70"/>
      <c r="C159" s="63"/>
      <c r="D159" s="63" t="s">
        <v>3445</v>
      </c>
      <c r="E159" s="64" t="s">
        <v>3562</v>
      </c>
      <c r="F159" s="303"/>
      <c r="G159" s="303"/>
      <c r="H159" s="303">
        <v>260000</v>
      </c>
      <c r="I159" s="303"/>
      <c r="J159" s="303"/>
      <c r="K159" s="303"/>
      <c r="L159" s="303"/>
      <c r="M159" s="303"/>
      <c r="N159" s="303"/>
      <c r="O159" s="303"/>
      <c r="P159" s="60" t="s">
        <v>3429</v>
      </c>
    </row>
    <row r="160" spans="1:16" ht="30" x14ac:dyDescent="0.25">
      <c r="A160" s="70"/>
      <c r="B160" s="70"/>
      <c r="C160" s="63"/>
      <c r="D160" s="63" t="s">
        <v>3446</v>
      </c>
      <c r="E160" s="64"/>
      <c r="F160" s="303"/>
      <c r="G160" s="303"/>
      <c r="H160" s="303"/>
      <c r="I160" s="303"/>
      <c r="J160" s="303"/>
      <c r="K160" s="303"/>
      <c r="L160" s="303"/>
      <c r="M160" s="303"/>
      <c r="N160" s="303"/>
      <c r="O160" s="303"/>
    </row>
    <row r="161" spans="1:16" x14ac:dyDescent="0.25">
      <c r="A161" s="70"/>
      <c r="B161" s="70"/>
      <c r="C161" s="63"/>
      <c r="D161" s="63" t="s">
        <v>3447</v>
      </c>
      <c r="E161" s="64"/>
      <c r="F161" s="303"/>
      <c r="G161" s="303"/>
      <c r="H161" s="303"/>
      <c r="I161" s="303"/>
      <c r="J161" s="303"/>
      <c r="K161" s="303"/>
      <c r="L161" s="303"/>
      <c r="M161" s="303"/>
      <c r="N161" s="303"/>
      <c r="O161" s="303"/>
    </row>
    <row r="162" spans="1:16" x14ac:dyDescent="0.25">
      <c r="A162" s="70"/>
      <c r="B162" s="70"/>
      <c r="C162" s="63"/>
      <c r="D162" s="63" t="s">
        <v>3448</v>
      </c>
      <c r="E162" s="64" t="s">
        <v>3562</v>
      </c>
      <c r="F162" s="303"/>
      <c r="G162" s="303"/>
      <c r="H162" s="303"/>
      <c r="I162" s="303"/>
      <c r="J162" s="303">
        <v>100000</v>
      </c>
      <c r="K162" s="303"/>
      <c r="L162" s="303"/>
      <c r="M162" s="303"/>
      <c r="N162" s="303"/>
      <c r="O162" s="303"/>
      <c r="P162" s="60" t="s">
        <v>3429</v>
      </c>
    </row>
    <row r="163" spans="1:16" x14ac:dyDescent="0.25">
      <c r="A163" s="70"/>
      <c r="B163" s="70"/>
      <c r="C163" s="63"/>
      <c r="D163" s="63" t="s">
        <v>3449</v>
      </c>
      <c r="E163" s="64" t="s">
        <v>3562</v>
      </c>
      <c r="F163" s="303"/>
      <c r="G163" s="303"/>
      <c r="H163" s="303"/>
      <c r="I163" s="303"/>
      <c r="J163" s="303">
        <v>120000</v>
      </c>
      <c r="K163" s="303"/>
      <c r="L163" s="303"/>
      <c r="M163" s="303"/>
      <c r="N163" s="303"/>
      <c r="O163" s="303"/>
      <c r="P163" s="60" t="s">
        <v>3429</v>
      </c>
    </row>
    <row r="164" spans="1:16" x14ac:dyDescent="0.25">
      <c r="A164" s="70"/>
      <c r="B164" s="70"/>
      <c r="C164" s="63"/>
      <c r="D164" s="63" t="s">
        <v>3450</v>
      </c>
      <c r="E164" s="64" t="s">
        <v>3562</v>
      </c>
      <c r="F164" s="303"/>
      <c r="G164" s="303"/>
      <c r="H164" s="303"/>
      <c r="I164" s="303"/>
      <c r="J164" s="303"/>
      <c r="K164" s="303">
        <v>350000</v>
      </c>
      <c r="L164" s="303"/>
      <c r="M164" s="303"/>
      <c r="N164" s="303"/>
      <c r="O164" s="303"/>
      <c r="P164" s="60" t="s">
        <v>3429</v>
      </c>
    </row>
    <row r="165" spans="1:16" x14ac:dyDescent="0.25">
      <c r="A165" s="70"/>
      <c r="B165" s="70"/>
      <c r="C165" s="63">
        <v>44236</v>
      </c>
      <c r="D165" s="63" t="s">
        <v>3641</v>
      </c>
      <c r="E165" s="64"/>
      <c r="F165" s="303"/>
      <c r="G165" s="303"/>
      <c r="H165" s="303"/>
      <c r="I165" s="303"/>
      <c r="J165" s="303"/>
      <c r="K165" s="303"/>
      <c r="L165" s="303"/>
      <c r="M165" s="303"/>
      <c r="N165" s="303"/>
      <c r="O165" s="303"/>
    </row>
    <row r="166" spans="1:16" ht="30" x14ac:dyDescent="0.25">
      <c r="A166" s="70"/>
      <c r="B166" s="70"/>
      <c r="C166" s="63">
        <v>44244</v>
      </c>
      <c r="D166" s="63" t="s">
        <v>3642</v>
      </c>
      <c r="E166" s="64"/>
      <c r="F166" s="303"/>
      <c r="G166" s="303"/>
      <c r="H166" s="303"/>
      <c r="I166" s="303"/>
      <c r="J166" s="303"/>
      <c r="K166" s="303"/>
      <c r="L166" s="303"/>
      <c r="M166" s="303"/>
      <c r="N166" s="303"/>
      <c r="O166" s="303"/>
    </row>
    <row r="167" spans="1:16" x14ac:dyDescent="0.25">
      <c r="A167" s="70"/>
      <c r="B167" s="70"/>
      <c r="C167" s="63"/>
      <c r="D167" s="63" t="s">
        <v>3643</v>
      </c>
      <c r="E167" s="64" t="s">
        <v>3562</v>
      </c>
      <c r="F167" s="303"/>
      <c r="G167" s="303"/>
      <c r="H167" s="303"/>
      <c r="I167" s="303"/>
      <c r="J167" s="303"/>
      <c r="K167" s="303"/>
      <c r="L167" s="303"/>
      <c r="M167" s="303"/>
      <c r="N167" s="303"/>
      <c r="O167" s="303"/>
      <c r="P167" s="60" t="s">
        <v>4497</v>
      </c>
    </row>
    <row r="168" spans="1:16" x14ac:dyDescent="0.25">
      <c r="A168" s="70"/>
      <c r="B168" s="70"/>
      <c r="C168" s="63"/>
      <c r="D168" s="65" t="s">
        <v>3644</v>
      </c>
      <c r="E168" s="64"/>
      <c r="F168" s="303"/>
      <c r="G168" s="303"/>
      <c r="H168" s="303"/>
      <c r="I168" s="303"/>
      <c r="J168" s="303"/>
      <c r="K168" s="303"/>
      <c r="L168" s="303"/>
      <c r="M168" s="303"/>
      <c r="N168" s="303"/>
      <c r="O168" s="303"/>
    </row>
    <row r="169" spans="1:16" x14ac:dyDescent="0.25">
      <c r="A169" s="70"/>
      <c r="B169" s="70"/>
      <c r="C169" s="63"/>
      <c r="D169" s="63" t="s">
        <v>3437</v>
      </c>
      <c r="E169" s="64" t="s">
        <v>3562</v>
      </c>
      <c r="F169" s="303"/>
      <c r="G169" s="303">
        <v>730000</v>
      </c>
      <c r="H169" s="303"/>
      <c r="I169" s="303"/>
      <c r="J169" s="303"/>
      <c r="K169" s="303"/>
      <c r="L169" s="303"/>
      <c r="M169" s="303"/>
      <c r="N169" s="303"/>
      <c r="O169" s="303"/>
      <c r="P169" s="60" t="s">
        <v>4498</v>
      </c>
    </row>
    <row r="170" spans="1:16" x14ac:dyDescent="0.25">
      <c r="A170" s="70"/>
      <c r="B170" s="70"/>
      <c r="C170" s="63"/>
      <c r="D170" s="63"/>
      <c r="E170" s="64"/>
      <c r="F170" s="303"/>
      <c r="G170" s="303"/>
      <c r="H170" s="303"/>
      <c r="I170" s="303"/>
      <c r="J170" s="303"/>
      <c r="K170" s="303"/>
      <c r="L170" s="303"/>
      <c r="M170" s="303"/>
      <c r="N170" s="303"/>
      <c r="O170" s="303"/>
    </row>
    <row r="171" spans="1:16" x14ac:dyDescent="0.25">
      <c r="A171" s="70"/>
      <c r="B171" s="70"/>
      <c r="C171" s="63"/>
      <c r="D171" s="65" t="s">
        <v>3622</v>
      </c>
      <c r="E171" s="64"/>
      <c r="F171" s="303"/>
      <c r="G171" s="303"/>
      <c r="H171" s="303"/>
      <c r="I171" s="303"/>
      <c r="J171" s="303"/>
      <c r="K171" s="303"/>
      <c r="L171" s="303"/>
      <c r="M171" s="303"/>
      <c r="N171" s="303"/>
      <c r="O171" s="303"/>
    </row>
    <row r="172" spans="1:16" x14ac:dyDescent="0.25">
      <c r="A172" s="70"/>
      <c r="B172" s="70"/>
      <c r="C172" s="63"/>
      <c r="D172" s="65" t="s">
        <v>3634</v>
      </c>
      <c r="E172" s="64"/>
      <c r="F172" s="303"/>
      <c r="G172" s="303"/>
      <c r="H172" s="303"/>
      <c r="I172" s="303"/>
      <c r="J172" s="303"/>
      <c r="K172" s="303"/>
      <c r="L172" s="303"/>
      <c r="M172" s="303"/>
      <c r="N172" s="303"/>
      <c r="O172" s="303"/>
    </row>
    <row r="173" spans="1:16" x14ac:dyDescent="0.25">
      <c r="A173" s="70"/>
      <c r="B173" s="70"/>
      <c r="C173" s="63"/>
      <c r="D173" s="63" t="s">
        <v>3645</v>
      </c>
      <c r="E173" s="64"/>
      <c r="F173" s="303"/>
      <c r="G173" s="303"/>
      <c r="H173" s="303"/>
      <c r="I173" s="303"/>
      <c r="J173" s="303"/>
      <c r="K173" s="303"/>
      <c r="L173" s="303"/>
      <c r="M173" s="303"/>
      <c r="N173" s="303"/>
      <c r="O173" s="303"/>
      <c r="P173" s="60" t="s">
        <v>4496</v>
      </c>
    </row>
    <row r="174" spans="1:16" ht="30" x14ac:dyDescent="0.25">
      <c r="A174" s="70"/>
      <c r="B174" s="70"/>
      <c r="C174" s="63">
        <v>45478</v>
      </c>
      <c r="D174" s="63" t="s">
        <v>3647</v>
      </c>
      <c r="E174" s="64" t="s">
        <v>3646</v>
      </c>
      <c r="F174" s="303">
        <f>380100+400000</f>
        <v>780100</v>
      </c>
      <c r="G174" s="303"/>
      <c r="H174" s="303"/>
      <c r="I174" s="303"/>
      <c r="J174" s="303"/>
      <c r="K174" s="303"/>
      <c r="L174" s="303"/>
      <c r="M174" s="303"/>
      <c r="N174" s="303"/>
      <c r="O174" s="303"/>
    </row>
    <row r="175" spans="1:16" x14ac:dyDescent="0.25">
      <c r="A175" s="70"/>
      <c r="B175" s="70"/>
      <c r="C175" s="63"/>
      <c r="D175" s="63" t="s">
        <v>3648</v>
      </c>
      <c r="E175" s="64"/>
      <c r="F175" s="303"/>
      <c r="G175" s="303"/>
      <c r="H175" s="303"/>
      <c r="I175" s="303"/>
      <c r="J175" s="303"/>
      <c r="K175" s="303"/>
      <c r="L175" s="303"/>
      <c r="M175" s="303"/>
      <c r="N175" s="303"/>
      <c r="O175" s="303"/>
    </row>
    <row r="176" spans="1:16" x14ac:dyDescent="0.25">
      <c r="A176" s="70"/>
      <c r="B176" s="70"/>
      <c r="C176" s="63"/>
      <c r="D176" s="65" t="s">
        <v>3649</v>
      </c>
      <c r="E176" s="64"/>
      <c r="F176" s="303"/>
      <c r="G176" s="303"/>
      <c r="H176" s="303"/>
      <c r="I176" s="303"/>
      <c r="J176" s="303"/>
      <c r="K176" s="303"/>
      <c r="L176" s="303"/>
      <c r="M176" s="303"/>
      <c r="N176" s="303"/>
      <c r="O176" s="303"/>
    </row>
    <row r="177" spans="1:16" x14ac:dyDescent="0.25">
      <c r="A177" s="70"/>
      <c r="B177" s="70"/>
      <c r="C177" s="63"/>
      <c r="D177" s="63" t="s">
        <v>3650</v>
      </c>
      <c r="E177" s="64" t="s">
        <v>3562</v>
      </c>
      <c r="F177" s="303"/>
      <c r="G177" s="303"/>
      <c r="H177" s="303"/>
      <c r="I177" s="303"/>
      <c r="J177" s="303"/>
      <c r="K177" s="303"/>
      <c r="L177" s="303"/>
      <c r="M177" s="303"/>
      <c r="N177" s="303"/>
      <c r="O177" s="303"/>
      <c r="P177" s="60" t="s">
        <v>4496</v>
      </c>
    </row>
    <row r="178" spans="1:16" x14ac:dyDescent="0.25">
      <c r="A178" s="70"/>
      <c r="B178" s="70"/>
      <c r="C178" s="63">
        <v>44217</v>
      </c>
      <c r="D178" s="63" t="s">
        <v>3651</v>
      </c>
      <c r="E178" s="64"/>
      <c r="F178" s="303"/>
      <c r="G178" s="303"/>
      <c r="H178" s="303"/>
      <c r="I178" s="303"/>
      <c r="J178" s="303"/>
      <c r="K178" s="303"/>
      <c r="L178" s="303"/>
      <c r="M178" s="303"/>
      <c r="N178" s="303"/>
      <c r="O178" s="303"/>
    </row>
    <row r="179" spans="1:16" x14ac:dyDescent="0.25">
      <c r="A179" s="70"/>
      <c r="B179" s="70"/>
      <c r="C179" s="63"/>
      <c r="D179" s="65" t="s">
        <v>3652</v>
      </c>
      <c r="E179" s="64"/>
      <c r="F179" s="303"/>
      <c r="G179" s="303"/>
      <c r="H179" s="303"/>
      <c r="I179" s="303"/>
      <c r="J179" s="303"/>
      <c r="K179" s="303"/>
      <c r="L179" s="303"/>
      <c r="M179" s="303"/>
      <c r="N179" s="303"/>
      <c r="O179" s="303"/>
    </row>
    <row r="180" spans="1:16" x14ac:dyDescent="0.25">
      <c r="A180" s="70"/>
      <c r="B180" s="70"/>
      <c r="C180" s="63">
        <v>44026.13</v>
      </c>
      <c r="D180" s="63" t="s">
        <v>3653</v>
      </c>
      <c r="E180" s="64" t="s">
        <v>3562</v>
      </c>
      <c r="F180" s="303">
        <v>184100</v>
      </c>
      <c r="G180" s="303"/>
      <c r="H180" s="303"/>
      <c r="I180" s="303">
        <v>159300</v>
      </c>
      <c r="J180" s="303">
        <v>162600</v>
      </c>
      <c r="K180" s="303">
        <v>166000</v>
      </c>
      <c r="L180" s="303">
        <v>169600</v>
      </c>
      <c r="M180" s="303">
        <v>173000</v>
      </c>
      <c r="N180" s="303">
        <v>173000</v>
      </c>
      <c r="O180" s="303">
        <v>173000</v>
      </c>
      <c r="P180" s="60" t="s">
        <v>4496</v>
      </c>
    </row>
    <row r="181" spans="1:16" x14ac:dyDescent="0.25">
      <c r="A181" s="70"/>
      <c r="B181" s="70"/>
      <c r="C181" s="63"/>
      <c r="D181" s="65" t="s">
        <v>3644</v>
      </c>
      <c r="E181" s="64"/>
      <c r="F181" s="303"/>
      <c r="G181" s="303"/>
      <c r="H181" s="303"/>
      <c r="I181" s="303"/>
      <c r="J181" s="303"/>
      <c r="K181" s="303"/>
      <c r="L181" s="303"/>
      <c r="M181" s="303"/>
      <c r="N181" s="303"/>
      <c r="O181" s="303"/>
    </row>
    <row r="182" spans="1:16" x14ac:dyDescent="0.25">
      <c r="A182" s="70"/>
      <c r="B182" s="70"/>
      <c r="C182" s="63">
        <v>44026.7</v>
      </c>
      <c r="D182" s="63" t="s">
        <v>3654</v>
      </c>
      <c r="E182" s="64" t="s">
        <v>3562</v>
      </c>
      <c r="F182" s="303">
        <v>350000</v>
      </c>
      <c r="G182" s="303">
        <f>600000+450000-85000</f>
        <v>965000</v>
      </c>
      <c r="H182" s="303"/>
      <c r="I182" s="303"/>
      <c r="J182" s="303"/>
      <c r="K182" s="303"/>
      <c r="L182" s="303"/>
      <c r="M182" s="303"/>
      <c r="N182" s="303"/>
      <c r="O182" s="303"/>
      <c r="P182" s="60" t="s">
        <v>4136</v>
      </c>
    </row>
    <row r="183" spans="1:16" ht="30" x14ac:dyDescent="0.25">
      <c r="A183" s="70"/>
      <c r="B183" s="70"/>
      <c r="C183" s="63">
        <v>44216</v>
      </c>
      <c r="D183" s="63" t="s">
        <v>3655</v>
      </c>
      <c r="E183" s="64" t="s">
        <v>3562</v>
      </c>
      <c r="F183" s="303">
        <v>0</v>
      </c>
      <c r="G183" s="303">
        <v>100000</v>
      </c>
      <c r="H183" s="303">
        <v>500000</v>
      </c>
      <c r="I183" s="303">
        <v>500000</v>
      </c>
      <c r="J183" s="303"/>
      <c r="K183" s="303"/>
      <c r="L183" s="303"/>
      <c r="M183" s="303"/>
      <c r="N183" s="303"/>
      <c r="O183" s="303"/>
      <c r="P183" s="60" t="s">
        <v>4136</v>
      </c>
    </row>
    <row r="184" spans="1:16" x14ac:dyDescent="0.25">
      <c r="A184" s="70"/>
      <c r="B184" s="70"/>
      <c r="C184" s="63">
        <v>44254.1</v>
      </c>
      <c r="D184" s="63" t="s">
        <v>3656</v>
      </c>
      <c r="E184" s="64" t="s">
        <v>3562</v>
      </c>
      <c r="F184" s="303">
        <v>85000</v>
      </c>
      <c r="G184" s="303">
        <v>500000</v>
      </c>
      <c r="H184" s="303"/>
      <c r="I184" s="303"/>
      <c r="J184" s="303"/>
      <c r="K184" s="303"/>
      <c r="L184" s="303"/>
      <c r="M184" s="303"/>
      <c r="N184" s="303"/>
      <c r="O184" s="303"/>
      <c r="P184" s="60" t="s">
        <v>4136</v>
      </c>
    </row>
    <row r="185" spans="1:16" x14ac:dyDescent="0.25">
      <c r="A185" s="70"/>
      <c r="B185" s="70"/>
      <c r="C185" s="63"/>
      <c r="D185" s="63" t="s">
        <v>3657</v>
      </c>
      <c r="E185" s="64"/>
      <c r="F185" s="303"/>
      <c r="G185" s="303"/>
      <c r="H185" s="303"/>
      <c r="I185" s="303"/>
      <c r="J185" s="303"/>
      <c r="K185" s="303"/>
      <c r="L185" s="303"/>
      <c r="M185" s="303"/>
      <c r="N185" s="303"/>
      <c r="O185" s="303"/>
      <c r="P185" s="60" t="s">
        <v>4499</v>
      </c>
    </row>
    <row r="186" spans="1:16" x14ac:dyDescent="0.25">
      <c r="A186" s="70"/>
      <c r="B186" s="70"/>
      <c r="C186" s="63"/>
      <c r="D186" s="63" t="s">
        <v>3658</v>
      </c>
      <c r="E186" s="64"/>
      <c r="F186" s="303"/>
      <c r="G186" s="303"/>
      <c r="H186" s="303"/>
      <c r="I186" s="303"/>
      <c r="J186" s="303"/>
      <c r="K186" s="303"/>
      <c r="L186" s="303"/>
      <c r="M186" s="303"/>
      <c r="N186" s="303"/>
      <c r="O186" s="303"/>
      <c r="P186" s="60" t="s">
        <v>4499</v>
      </c>
    </row>
    <row r="187" spans="1:16" x14ac:dyDescent="0.25">
      <c r="A187" s="70"/>
      <c r="B187" s="70"/>
      <c r="C187" s="63"/>
      <c r="D187" s="63" t="s">
        <v>3659</v>
      </c>
      <c r="E187" s="64"/>
      <c r="F187" s="303"/>
      <c r="G187" s="303"/>
      <c r="H187" s="303"/>
      <c r="I187" s="303"/>
      <c r="J187" s="303"/>
      <c r="K187" s="303"/>
      <c r="L187" s="303"/>
      <c r="M187" s="303"/>
      <c r="N187" s="303"/>
      <c r="O187" s="303"/>
      <c r="P187" s="60" t="s">
        <v>4499</v>
      </c>
    </row>
    <row r="188" spans="1:16" x14ac:dyDescent="0.25">
      <c r="A188" s="70"/>
      <c r="B188" s="70"/>
      <c r="C188" s="63">
        <v>44251</v>
      </c>
      <c r="D188" s="63" t="s">
        <v>3660</v>
      </c>
      <c r="E188" s="64" t="s">
        <v>3562</v>
      </c>
      <c r="F188" s="303"/>
      <c r="G188" s="303"/>
      <c r="H188" s="303"/>
      <c r="I188" s="303"/>
      <c r="J188" s="303"/>
      <c r="K188" s="303"/>
      <c r="L188" s="303"/>
      <c r="M188" s="303"/>
      <c r="N188" s="303"/>
      <c r="O188" s="303"/>
    </row>
    <row r="189" spans="1:16" x14ac:dyDescent="0.25">
      <c r="A189" s="70"/>
      <c r="B189" s="70"/>
      <c r="C189" s="63"/>
      <c r="D189" s="464" t="s">
        <v>4589</v>
      </c>
      <c r="E189" s="64" t="s">
        <v>3562</v>
      </c>
      <c r="F189" s="303"/>
      <c r="G189" s="303">
        <v>2000000</v>
      </c>
      <c r="H189" s="303">
        <v>2000000</v>
      </c>
      <c r="I189" s="303">
        <v>2000000</v>
      </c>
      <c r="J189" s="303"/>
      <c r="K189" s="303"/>
      <c r="L189" s="303"/>
      <c r="M189" s="303"/>
      <c r="N189" s="303"/>
      <c r="O189" s="303"/>
      <c r="P189" s="60" t="s">
        <v>4588</v>
      </c>
    </row>
    <row r="190" spans="1:16" x14ac:dyDescent="0.25">
      <c r="A190" s="70"/>
      <c r="B190" s="70"/>
      <c r="C190" s="63"/>
      <c r="D190" s="65" t="s">
        <v>3661</v>
      </c>
      <c r="E190" s="64"/>
      <c r="F190" s="303"/>
      <c r="G190" s="303"/>
      <c r="H190" s="303"/>
      <c r="I190" s="303"/>
      <c r="J190" s="303"/>
      <c r="K190" s="303"/>
      <c r="L190" s="303"/>
      <c r="M190" s="303"/>
      <c r="N190" s="303"/>
      <c r="O190" s="303"/>
    </row>
    <row r="191" spans="1:16" x14ac:dyDescent="0.25">
      <c r="A191" s="70"/>
      <c r="B191" s="70"/>
      <c r="C191" s="63"/>
      <c r="D191" s="63" t="s">
        <v>3662</v>
      </c>
      <c r="E191" s="64"/>
      <c r="F191" s="303"/>
      <c r="G191" s="303"/>
      <c r="H191" s="303"/>
      <c r="I191" s="303"/>
      <c r="J191" s="303"/>
      <c r="K191" s="303"/>
      <c r="L191" s="303"/>
      <c r="M191" s="303"/>
      <c r="N191" s="303"/>
      <c r="O191" s="303"/>
    </row>
    <row r="192" spans="1:16" ht="30" x14ac:dyDescent="0.25">
      <c r="A192" s="70"/>
      <c r="B192" s="70"/>
      <c r="C192" s="63"/>
      <c r="D192" s="63" t="s">
        <v>3428</v>
      </c>
      <c r="E192" s="64"/>
      <c r="F192" s="303"/>
      <c r="G192" s="303"/>
      <c r="H192" s="303"/>
      <c r="I192" s="303">
        <v>80000</v>
      </c>
      <c r="J192" s="303">
        <v>80000</v>
      </c>
      <c r="K192" s="303"/>
      <c r="L192" s="303"/>
      <c r="M192" s="303"/>
      <c r="N192" s="303"/>
      <c r="O192" s="303"/>
      <c r="P192" s="60" t="s">
        <v>4496</v>
      </c>
    </row>
    <row r="193" spans="1:16" ht="30" x14ac:dyDescent="0.25">
      <c r="A193" s="70"/>
      <c r="B193" s="70"/>
      <c r="C193" s="63"/>
      <c r="D193" s="63" t="s">
        <v>3663</v>
      </c>
      <c r="E193" s="64"/>
      <c r="F193" s="303">
        <f>109900-109900</f>
        <v>0</v>
      </c>
      <c r="G193" s="303">
        <v>109900</v>
      </c>
      <c r="H193" s="303"/>
      <c r="I193" s="303"/>
      <c r="J193" s="303"/>
      <c r="K193" s="303"/>
      <c r="L193" s="303"/>
      <c r="M193" s="303"/>
      <c r="N193" s="303"/>
      <c r="O193" s="303"/>
      <c r="P193" s="60" t="s">
        <v>4500</v>
      </c>
    </row>
    <row r="194" spans="1:16" x14ac:dyDescent="0.25">
      <c r="A194" s="70"/>
      <c r="B194" s="70"/>
      <c r="C194" s="63"/>
      <c r="D194" s="63"/>
      <c r="E194" s="64"/>
      <c r="F194" s="303"/>
      <c r="G194" s="303"/>
      <c r="H194" s="303"/>
      <c r="I194" s="303"/>
      <c r="J194" s="303"/>
      <c r="K194" s="303"/>
      <c r="L194" s="303"/>
      <c r="M194" s="303"/>
      <c r="N194" s="303"/>
      <c r="O194" s="303"/>
    </row>
    <row r="195" spans="1:16" x14ac:dyDescent="0.25">
      <c r="A195" s="70"/>
      <c r="B195" s="70"/>
      <c r="C195" s="63"/>
      <c r="D195" s="65" t="s">
        <v>3623</v>
      </c>
      <c r="E195" s="64"/>
      <c r="F195" s="303"/>
      <c r="G195" s="303"/>
      <c r="H195" s="303"/>
      <c r="I195" s="303"/>
      <c r="J195" s="303"/>
      <c r="K195" s="303"/>
      <c r="L195" s="303"/>
      <c r="M195" s="303"/>
      <c r="N195" s="303"/>
      <c r="O195" s="303"/>
    </row>
    <row r="196" spans="1:16" x14ac:dyDescent="0.25">
      <c r="A196" s="70"/>
      <c r="B196" s="70"/>
      <c r="C196" s="63">
        <v>44044.023000000001</v>
      </c>
      <c r="D196" s="63" t="s">
        <v>3470</v>
      </c>
      <c r="E196" s="64" t="s">
        <v>3606</v>
      </c>
      <c r="F196" s="303">
        <v>65600</v>
      </c>
      <c r="G196" s="303"/>
      <c r="H196" s="303"/>
      <c r="I196" s="303">
        <v>85000</v>
      </c>
      <c r="J196" s="303">
        <v>90500</v>
      </c>
      <c r="K196" s="303">
        <v>96300</v>
      </c>
      <c r="L196" s="303">
        <v>102300</v>
      </c>
      <c r="M196" s="303">
        <v>108600</v>
      </c>
      <c r="N196" s="303">
        <v>108600</v>
      </c>
      <c r="O196" s="303">
        <v>108600</v>
      </c>
      <c r="P196" s="60" t="s">
        <v>4501</v>
      </c>
    </row>
    <row r="197" spans="1:16" ht="30" x14ac:dyDescent="0.25">
      <c r="A197" s="70"/>
      <c r="B197" s="70"/>
      <c r="C197" s="63">
        <v>44004.010999999999</v>
      </c>
      <c r="D197" s="63" t="s">
        <v>3664</v>
      </c>
      <c r="E197" s="64" t="s">
        <v>3562</v>
      </c>
      <c r="F197" s="303">
        <v>22500</v>
      </c>
      <c r="G197" s="303"/>
      <c r="H197" s="303"/>
      <c r="I197" s="303">
        <v>27600</v>
      </c>
      <c r="J197" s="303">
        <v>29000</v>
      </c>
      <c r="K197" s="303">
        <v>30500</v>
      </c>
      <c r="L197" s="303">
        <v>32100</v>
      </c>
      <c r="M197" s="303">
        <v>33800</v>
      </c>
      <c r="N197" s="303">
        <v>35500</v>
      </c>
      <c r="O197" s="303">
        <v>35500</v>
      </c>
      <c r="P197" s="60" t="s">
        <v>4501</v>
      </c>
    </row>
    <row r="198" spans="1:16" ht="30" x14ac:dyDescent="0.25">
      <c r="A198" s="70"/>
      <c r="B198" s="70"/>
      <c r="C198" s="63">
        <v>44003.000999999997</v>
      </c>
      <c r="D198" s="63" t="s">
        <v>3665</v>
      </c>
      <c r="E198" s="64" t="s">
        <v>3562</v>
      </c>
      <c r="F198" s="303">
        <v>90000</v>
      </c>
      <c r="G198" s="303"/>
      <c r="H198" s="303"/>
      <c r="I198" s="303">
        <v>101400</v>
      </c>
      <c r="J198" s="303">
        <v>104400</v>
      </c>
      <c r="K198" s="303">
        <v>107500</v>
      </c>
      <c r="L198" s="303">
        <v>110700</v>
      </c>
      <c r="M198" s="303">
        <v>116200</v>
      </c>
      <c r="N198" s="303">
        <v>116200</v>
      </c>
      <c r="O198" s="303">
        <v>116200</v>
      </c>
      <c r="P198" s="60" t="s">
        <v>4501</v>
      </c>
    </row>
    <row r="199" spans="1:16" x14ac:dyDescent="0.25">
      <c r="A199" s="70"/>
      <c r="B199" s="70"/>
      <c r="C199" s="63"/>
      <c r="D199" s="65" t="s">
        <v>3649</v>
      </c>
      <c r="E199" s="64"/>
      <c r="F199" s="303"/>
      <c r="G199" s="303"/>
      <c r="H199" s="303"/>
      <c r="I199" s="303"/>
      <c r="J199" s="303"/>
      <c r="K199" s="303"/>
      <c r="L199" s="303"/>
      <c r="M199" s="303"/>
      <c r="N199" s="303"/>
      <c r="O199" s="303"/>
    </row>
    <row r="200" spans="1:16" x14ac:dyDescent="0.25">
      <c r="A200" s="70"/>
      <c r="B200" s="70"/>
      <c r="C200" s="63">
        <v>44003.12</v>
      </c>
      <c r="D200" s="63" t="s">
        <v>3625</v>
      </c>
      <c r="E200" s="64" t="s">
        <v>3606</v>
      </c>
      <c r="F200" s="303">
        <f>250000+145000</f>
        <v>395000</v>
      </c>
      <c r="G200" s="303"/>
      <c r="H200" s="303"/>
      <c r="I200" s="303"/>
      <c r="J200" s="303"/>
      <c r="K200" s="303"/>
      <c r="L200" s="303"/>
      <c r="M200" s="303"/>
      <c r="N200" s="303"/>
      <c r="O200" s="303"/>
    </row>
    <row r="201" spans="1:16" ht="30" x14ac:dyDescent="0.25">
      <c r="A201" s="70"/>
      <c r="B201" s="70"/>
      <c r="C201" s="67">
        <v>44003.14</v>
      </c>
      <c r="D201" s="63" t="s">
        <v>3424</v>
      </c>
      <c r="E201" s="64" t="s">
        <v>3562</v>
      </c>
      <c r="F201" s="303">
        <v>60000</v>
      </c>
      <c r="G201" s="303"/>
      <c r="H201" s="303"/>
      <c r="I201" s="303"/>
      <c r="J201" s="303"/>
      <c r="K201" s="303"/>
      <c r="L201" s="303"/>
      <c r="M201" s="303"/>
      <c r="N201" s="303"/>
      <c r="O201" s="303"/>
    </row>
    <row r="202" spans="1:16" x14ac:dyDescent="0.25">
      <c r="A202" s="70"/>
      <c r="B202" s="70"/>
      <c r="C202" s="63"/>
      <c r="D202" s="65" t="s">
        <v>3666</v>
      </c>
      <c r="E202" s="64"/>
      <c r="F202" s="303"/>
      <c r="G202" s="303"/>
      <c r="H202" s="303"/>
      <c r="I202" s="303"/>
      <c r="J202" s="303"/>
      <c r="K202" s="303"/>
      <c r="L202" s="303"/>
      <c r="M202" s="303"/>
      <c r="N202" s="303"/>
      <c r="O202" s="303"/>
    </row>
    <row r="203" spans="1:16" ht="30" x14ac:dyDescent="0.25">
      <c r="A203" s="70"/>
      <c r="B203" s="70"/>
      <c r="C203" s="63">
        <v>44003.139000000003</v>
      </c>
      <c r="D203" s="63" t="s">
        <v>3423</v>
      </c>
      <c r="E203" s="367" t="s">
        <v>3606</v>
      </c>
      <c r="F203" s="303">
        <v>30000</v>
      </c>
      <c r="G203" s="303"/>
      <c r="H203" s="303" t="s">
        <v>196</v>
      </c>
      <c r="I203" s="303">
        <v>150000</v>
      </c>
      <c r="J203" s="303"/>
      <c r="K203" s="303"/>
      <c r="L203" s="303"/>
      <c r="M203" s="303"/>
      <c r="N203" s="303"/>
      <c r="O203" s="303"/>
      <c r="P203" s="60" t="s">
        <v>4501</v>
      </c>
    </row>
    <row r="204" spans="1:16" x14ac:dyDescent="0.25">
      <c r="A204" s="70"/>
      <c r="B204" s="70"/>
      <c r="C204" s="63"/>
      <c r="D204" s="65" t="s">
        <v>3667</v>
      </c>
      <c r="E204" s="64"/>
      <c r="F204" s="303"/>
      <c r="G204" s="303"/>
      <c r="H204" s="303"/>
      <c r="I204" s="303"/>
      <c r="J204" s="303"/>
      <c r="K204" s="303"/>
      <c r="L204" s="303"/>
      <c r="M204" s="303"/>
      <c r="N204" s="303"/>
      <c r="O204" s="303"/>
    </row>
    <row r="205" spans="1:16" x14ac:dyDescent="0.25">
      <c r="A205" s="70"/>
      <c r="B205" s="70"/>
      <c r="C205" s="63"/>
      <c r="D205" s="63" t="s">
        <v>3668</v>
      </c>
      <c r="E205" s="64" t="s">
        <v>3562</v>
      </c>
      <c r="F205" s="303"/>
      <c r="G205" s="303"/>
      <c r="H205" s="303"/>
      <c r="I205" s="303"/>
      <c r="J205" s="303"/>
      <c r="K205" s="303">
        <v>65000</v>
      </c>
      <c r="L205" s="303"/>
      <c r="M205" s="303"/>
      <c r="N205" s="303"/>
      <c r="O205" s="303"/>
      <c r="P205" s="60" t="s">
        <v>4501</v>
      </c>
    </row>
    <row r="206" spans="1:16" x14ac:dyDescent="0.25">
      <c r="A206" s="70"/>
      <c r="B206" s="70"/>
      <c r="C206" s="63"/>
      <c r="D206" s="65" t="s">
        <v>3669</v>
      </c>
      <c r="E206" s="64"/>
      <c r="F206" s="303"/>
      <c r="G206" s="303"/>
      <c r="H206" s="303"/>
      <c r="I206" s="303"/>
      <c r="J206" s="303"/>
      <c r="K206" s="303"/>
      <c r="L206" s="303"/>
      <c r="M206" s="303"/>
      <c r="N206" s="303"/>
      <c r="O206" s="303"/>
    </row>
    <row r="207" spans="1:16" ht="30" x14ac:dyDescent="0.25">
      <c r="A207" s="70"/>
      <c r="B207" s="70"/>
      <c r="C207" s="63">
        <v>44003.141000000003</v>
      </c>
      <c r="D207" s="63" t="s">
        <v>3670</v>
      </c>
      <c r="E207" s="64" t="s">
        <v>3562</v>
      </c>
      <c r="F207" s="303">
        <v>20000</v>
      </c>
      <c r="G207" s="303"/>
      <c r="H207" s="303"/>
      <c r="I207" s="303"/>
      <c r="J207" s="303"/>
      <c r="K207" s="303"/>
      <c r="L207" s="303"/>
      <c r="M207" s="303"/>
      <c r="N207" s="303"/>
      <c r="O207" s="303"/>
    </row>
    <row r="208" spans="1:16" x14ac:dyDescent="0.25">
      <c r="A208" s="70"/>
      <c r="B208" s="70"/>
      <c r="C208" s="63">
        <v>44242</v>
      </c>
      <c r="D208" s="63" t="s">
        <v>3671</v>
      </c>
      <c r="E208" s="64"/>
      <c r="F208" s="303"/>
      <c r="G208" s="303"/>
      <c r="H208" s="303"/>
      <c r="I208" s="303"/>
      <c r="J208" s="303"/>
      <c r="K208" s="303"/>
      <c r="L208" s="303"/>
      <c r="M208" s="303"/>
      <c r="N208" s="303"/>
      <c r="O208" s="303"/>
    </row>
    <row r="209" spans="1:15" x14ac:dyDescent="0.25">
      <c r="A209" s="70"/>
      <c r="B209" s="70"/>
      <c r="C209" s="63">
        <v>44245</v>
      </c>
      <c r="D209" s="63" t="s">
        <v>3426</v>
      </c>
      <c r="E209" s="64"/>
      <c r="F209" s="303"/>
      <c r="G209" s="303"/>
      <c r="H209" s="303"/>
      <c r="I209" s="303"/>
      <c r="J209" s="303"/>
      <c r="K209" s="303"/>
      <c r="L209" s="303"/>
      <c r="M209" s="303"/>
      <c r="N209" s="303"/>
      <c r="O209" s="303"/>
    </row>
    <row r="210" spans="1:15" x14ac:dyDescent="0.25">
      <c r="A210" s="70"/>
      <c r="B210" s="70"/>
      <c r="C210" s="63"/>
      <c r="D210" s="63"/>
      <c r="E210" s="64"/>
      <c r="F210" s="303"/>
      <c r="G210" s="303"/>
      <c r="H210" s="303"/>
      <c r="I210" s="303"/>
      <c r="J210" s="303"/>
      <c r="K210" s="303"/>
      <c r="L210" s="303"/>
      <c r="M210" s="303"/>
      <c r="N210" s="303"/>
      <c r="O210" s="303"/>
    </row>
    <row r="211" spans="1:15" x14ac:dyDescent="0.25">
      <c r="A211" s="70"/>
      <c r="B211" s="70"/>
      <c r="C211" s="63"/>
      <c r="D211" s="65" t="s">
        <v>3672</v>
      </c>
      <c r="E211" s="64"/>
      <c r="F211" s="303"/>
      <c r="G211" s="303"/>
      <c r="H211" s="303"/>
      <c r="I211" s="303"/>
      <c r="J211" s="303"/>
      <c r="K211" s="303"/>
      <c r="L211" s="303"/>
      <c r="M211" s="303"/>
      <c r="N211" s="303"/>
      <c r="O211" s="303"/>
    </row>
    <row r="212" spans="1:15" x14ac:dyDescent="0.25">
      <c r="A212" s="70"/>
      <c r="B212" s="70"/>
      <c r="C212" s="63">
        <v>44174</v>
      </c>
      <c r="D212" s="62" t="s">
        <v>3673</v>
      </c>
      <c r="E212" s="64"/>
      <c r="F212" s="303"/>
      <c r="G212" s="303"/>
      <c r="H212" s="303"/>
      <c r="I212" s="303"/>
      <c r="J212" s="303"/>
      <c r="K212" s="303"/>
      <c r="L212" s="303"/>
      <c r="M212" s="303"/>
      <c r="N212" s="303"/>
      <c r="O212" s="303"/>
    </row>
    <row r="213" spans="1:15" ht="30" x14ac:dyDescent="0.25">
      <c r="A213" s="70"/>
      <c r="B213" s="70"/>
      <c r="C213" s="63">
        <v>44189</v>
      </c>
      <c r="D213" s="62" t="s">
        <v>3674</v>
      </c>
      <c r="E213" s="64"/>
      <c r="F213" s="303"/>
      <c r="G213" s="303"/>
      <c r="H213" s="303"/>
      <c r="I213" s="303"/>
      <c r="J213" s="303"/>
      <c r="K213" s="303"/>
      <c r="L213" s="303"/>
      <c r="M213" s="303"/>
      <c r="N213" s="303"/>
      <c r="O213" s="303"/>
    </row>
    <row r="214" spans="1:15" x14ac:dyDescent="0.25">
      <c r="A214" s="70"/>
      <c r="B214" s="70"/>
      <c r="C214" s="63">
        <v>44192</v>
      </c>
      <c r="D214" s="62" t="s">
        <v>3675</v>
      </c>
      <c r="E214" s="64" t="s">
        <v>3562</v>
      </c>
      <c r="F214" s="303">
        <v>15000</v>
      </c>
      <c r="G214" s="303"/>
      <c r="H214" s="303"/>
      <c r="I214" s="303"/>
      <c r="J214" s="303"/>
      <c r="K214" s="303"/>
      <c r="L214" s="303"/>
      <c r="M214" s="303"/>
      <c r="N214" s="303"/>
      <c r="O214" s="303"/>
    </row>
    <row r="215" spans="1:15" x14ac:dyDescent="0.25">
      <c r="A215" s="70"/>
      <c r="B215" s="70"/>
      <c r="C215" s="63">
        <v>44246</v>
      </c>
      <c r="D215" s="62" t="s">
        <v>3676</v>
      </c>
      <c r="E215" s="64"/>
      <c r="F215" s="303"/>
      <c r="G215" s="303"/>
      <c r="H215" s="303"/>
      <c r="I215" s="303"/>
      <c r="J215" s="303"/>
      <c r="K215" s="303"/>
      <c r="L215" s="303"/>
      <c r="M215" s="303"/>
      <c r="N215" s="303"/>
      <c r="O215" s="303"/>
    </row>
    <row r="216" spans="1:15" ht="30" x14ac:dyDescent="0.25">
      <c r="A216" s="70"/>
      <c r="B216" s="70"/>
      <c r="C216" s="63">
        <v>44219</v>
      </c>
      <c r="D216" s="63" t="s">
        <v>3677</v>
      </c>
      <c r="E216" s="64"/>
      <c r="F216" s="303"/>
      <c r="G216" s="303"/>
      <c r="H216" s="303"/>
      <c r="I216" s="303"/>
      <c r="J216" s="303"/>
      <c r="K216" s="303"/>
      <c r="L216" s="303"/>
      <c r="M216" s="303"/>
      <c r="N216" s="303"/>
      <c r="O216" s="303"/>
    </row>
    <row r="217" spans="1:15" ht="30" x14ac:dyDescent="0.25">
      <c r="A217" s="70"/>
      <c r="B217" s="70"/>
      <c r="C217" s="63">
        <v>44220</v>
      </c>
      <c r="D217" s="63" t="s">
        <v>3678</v>
      </c>
      <c r="E217" s="64"/>
      <c r="F217" s="303"/>
      <c r="G217" s="303"/>
      <c r="H217" s="303"/>
      <c r="I217" s="303"/>
      <c r="J217" s="303"/>
      <c r="K217" s="303"/>
      <c r="L217" s="303"/>
      <c r="M217" s="303"/>
      <c r="N217" s="303"/>
      <c r="O217" s="303"/>
    </row>
    <row r="218" spans="1:15" x14ac:dyDescent="0.25">
      <c r="A218" s="70"/>
      <c r="B218" s="70"/>
      <c r="C218" s="63">
        <v>44221</v>
      </c>
      <c r="D218" s="63" t="s">
        <v>3679</v>
      </c>
      <c r="E218" s="64"/>
      <c r="F218" s="303"/>
      <c r="G218" s="303"/>
      <c r="H218" s="303"/>
      <c r="I218" s="303"/>
      <c r="J218" s="303"/>
      <c r="K218" s="303"/>
      <c r="L218" s="303"/>
      <c r="M218" s="303"/>
      <c r="N218" s="303"/>
      <c r="O218" s="303"/>
    </row>
    <row r="219" spans="1:15" x14ac:dyDescent="0.25">
      <c r="A219" s="70"/>
      <c r="B219" s="70"/>
      <c r="C219" s="63">
        <v>44222</v>
      </c>
      <c r="D219" s="63" t="s">
        <v>3680</v>
      </c>
      <c r="E219" s="64"/>
      <c r="F219" s="303"/>
      <c r="G219" s="303"/>
      <c r="H219" s="303"/>
      <c r="I219" s="303"/>
      <c r="J219" s="303"/>
      <c r="K219" s="303"/>
      <c r="L219" s="303"/>
      <c r="M219" s="303"/>
      <c r="N219" s="303"/>
      <c r="O219" s="303"/>
    </row>
    <row r="220" spans="1:15" ht="30" x14ac:dyDescent="0.25">
      <c r="A220" s="70"/>
      <c r="B220" s="70"/>
      <c r="C220" s="63">
        <v>44223</v>
      </c>
      <c r="D220" s="63" t="s">
        <v>3681</v>
      </c>
      <c r="E220" s="64"/>
      <c r="F220" s="303"/>
      <c r="G220" s="303"/>
      <c r="H220" s="303"/>
      <c r="I220" s="303"/>
      <c r="J220" s="303"/>
      <c r="K220" s="303"/>
      <c r="L220" s="303"/>
      <c r="M220" s="303"/>
      <c r="N220" s="303"/>
      <c r="O220" s="303"/>
    </row>
    <row r="221" spans="1:15" ht="30" x14ac:dyDescent="0.25">
      <c r="A221" s="70"/>
      <c r="B221" s="70"/>
      <c r="C221" s="63">
        <v>44224</v>
      </c>
      <c r="D221" s="63" t="s">
        <v>3682</v>
      </c>
      <c r="E221" s="64"/>
      <c r="F221" s="303"/>
      <c r="G221" s="303"/>
      <c r="H221" s="303"/>
      <c r="I221" s="303"/>
      <c r="J221" s="303"/>
      <c r="K221" s="303"/>
      <c r="L221" s="303"/>
      <c r="M221" s="303"/>
      <c r="N221" s="303"/>
      <c r="O221" s="303"/>
    </row>
    <row r="222" spans="1:15" x14ac:dyDescent="0.25">
      <c r="A222" s="70"/>
      <c r="B222" s="70"/>
      <c r="C222" s="63">
        <v>44225</v>
      </c>
      <c r="D222" s="63" t="s">
        <v>3683</v>
      </c>
      <c r="E222" s="64"/>
      <c r="F222" s="303"/>
      <c r="G222" s="303"/>
      <c r="H222" s="303"/>
      <c r="I222" s="303"/>
      <c r="J222" s="303"/>
      <c r="K222" s="303"/>
      <c r="L222" s="303"/>
      <c r="M222" s="303"/>
      <c r="N222" s="303"/>
      <c r="O222" s="303"/>
    </row>
    <row r="223" spans="1:15" x14ac:dyDescent="0.25">
      <c r="A223" s="70"/>
      <c r="B223" s="70"/>
      <c r="C223" s="63">
        <v>44226</v>
      </c>
      <c r="D223" s="63" t="s">
        <v>3684</v>
      </c>
      <c r="E223" s="64"/>
      <c r="F223" s="303"/>
      <c r="G223" s="303"/>
      <c r="H223" s="303"/>
      <c r="I223" s="303"/>
      <c r="J223" s="303"/>
      <c r="K223" s="303"/>
      <c r="L223" s="303"/>
      <c r="M223" s="303"/>
      <c r="N223" s="303"/>
      <c r="O223" s="303"/>
    </row>
    <row r="224" spans="1:15" ht="45" x14ac:dyDescent="0.25">
      <c r="A224" s="70"/>
      <c r="B224" s="70"/>
      <c r="C224" s="63">
        <v>44227</v>
      </c>
      <c r="D224" s="63" t="s">
        <v>3685</v>
      </c>
      <c r="E224" s="64"/>
      <c r="F224" s="303"/>
      <c r="G224" s="303"/>
      <c r="H224" s="303"/>
      <c r="I224" s="303"/>
      <c r="J224" s="303"/>
      <c r="K224" s="303"/>
      <c r="L224" s="303"/>
      <c r="M224" s="303"/>
      <c r="N224" s="303"/>
      <c r="O224" s="303"/>
    </row>
    <row r="225" spans="1:16" ht="30" x14ac:dyDescent="0.25">
      <c r="A225" s="70"/>
      <c r="B225" s="70"/>
      <c r="C225" s="63">
        <v>44228</v>
      </c>
      <c r="D225" s="63" t="s">
        <v>3686</v>
      </c>
      <c r="E225" s="64"/>
      <c r="F225" s="303"/>
      <c r="G225" s="303"/>
      <c r="H225" s="303"/>
      <c r="I225" s="303"/>
      <c r="J225" s="303"/>
      <c r="K225" s="303"/>
      <c r="L225" s="303"/>
      <c r="M225" s="303"/>
      <c r="N225" s="303"/>
      <c r="O225" s="303"/>
    </row>
    <row r="226" spans="1:16" x14ac:dyDescent="0.25">
      <c r="A226" s="70"/>
      <c r="B226" s="70"/>
      <c r="C226" s="63">
        <v>44229</v>
      </c>
      <c r="D226" s="63" t="s">
        <v>3687</v>
      </c>
      <c r="E226" s="64"/>
      <c r="F226" s="303"/>
      <c r="G226" s="303"/>
      <c r="H226" s="303"/>
      <c r="I226" s="303"/>
      <c r="J226" s="303"/>
      <c r="K226" s="303"/>
      <c r="L226" s="303"/>
      <c r="M226" s="303"/>
      <c r="N226" s="303"/>
      <c r="O226" s="303"/>
    </row>
    <row r="227" spans="1:16" ht="30" x14ac:dyDescent="0.25">
      <c r="A227" s="70"/>
      <c r="B227" s="70"/>
      <c r="C227" s="63">
        <v>44230</v>
      </c>
      <c r="D227" s="63" t="s">
        <v>3688</v>
      </c>
      <c r="E227" s="64"/>
      <c r="F227" s="303"/>
      <c r="G227" s="303"/>
      <c r="H227" s="303"/>
      <c r="I227" s="303"/>
      <c r="J227" s="303"/>
      <c r="K227" s="303"/>
      <c r="L227" s="303"/>
      <c r="M227" s="303"/>
      <c r="N227" s="303"/>
      <c r="O227" s="303"/>
    </row>
    <row r="228" spans="1:16" ht="30" x14ac:dyDescent="0.25">
      <c r="A228" s="70"/>
      <c r="B228" s="70"/>
      <c r="C228" s="63">
        <v>44231</v>
      </c>
      <c r="D228" s="63" t="s">
        <v>3689</v>
      </c>
      <c r="E228" s="64"/>
      <c r="F228" s="303"/>
      <c r="G228" s="303"/>
      <c r="H228" s="303"/>
      <c r="I228" s="303"/>
      <c r="J228" s="303"/>
      <c r="K228" s="303"/>
      <c r="L228" s="303"/>
      <c r="M228" s="303"/>
      <c r="N228" s="303"/>
      <c r="O228" s="303"/>
    </row>
    <row r="229" spans="1:16" x14ac:dyDescent="0.25">
      <c r="A229" s="70"/>
      <c r="B229" s="70"/>
      <c r="C229" s="63"/>
      <c r="D229" s="65" t="s">
        <v>3649</v>
      </c>
      <c r="E229" s="64"/>
      <c r="F229" s="303"/>
      <c r="G229" s="303"/>
      <c r="H229" s="303"/>
      <c r="I229" s="303"/>
      <c r="J229" s="303"/>
      <c r="K229" s="303"/>
      <c r="L229" s="303"/>
      <c r="M229" s="303"/>
      <c r="N229" s="303"/>
      <c r="O229" s="303"/>
    </row>
    <row r="230" spans="1:16" ht="30" x14ac:dyDescent="0.25">
      <c r="A230" s="70"/>
      <c r="B230" s="70"/>
      <c r="C230" s="63">
        <v>44219.1</v>
      </c>
      <c r="D230" s="63" t="s">
        <v>3677</v>
      </c>
      <c r="E230" s="64" t="s">
        <v>3562</v>
      </c>
      <c r="F230" s="303">
        <v>1000</v>
      </c>
      <c r="G230" s="303">
        <v>1000</v>
      </c>
      <c r="H230" s="303">
        <v>1000</v>
      </c>
      <c r="I230" s="303">
        <v>1000</v>
      </c>
      <c r="J230" s="303">
        <v>1000</v>
      </c>
      <c r="K230" s="303">
        <v>1000</v>
      </c>
      <c r="L230" s="303">
        <v>1000</v>
      </c>
      <c r="M230" s="303">
        <v>1000</v>
      </c>
      <c r="N230" s="303">
        <v>1000</v>
      </c>
      <c r="O230" s="303">
        <v>1000</v>
      </c>
      <c r="P230" s="60" t="s">
        <v>4502</v>
      </c>
    </row>
    <row r="231" spans="1:16" ht="30" x14ac:dyDescent="0.25">
      <c r="A231" s="70"/>
      <c r="B231" s="70"/>
      <c r="C231" s="63">
        <v>44220.1</v>
      </c>
      <c r="D231" s="63" t="s">
        <v>3678</v>
      </c>
      <c r="E231" s="64" t="s">
        <v>3562</v>
      </c>
      <c r="F231" s="303">
        <v>1000</v>
      </c>
      <c r="G231" s="303">
        <v>1000</v>
      </c>
      <c r="H231" s="303">
        <v>1000</v>
      </c>
      <c r="I231" s="303">
        <v>1000</v>
      </c>
      <c r="J231" s="303">
        <v>1000</v>
      </c>
      <c r="K231" s="303">
        <v>1000</v>
      </c>
      <c r="L231" s="303">
        <v>1000</v>
      </c>
      <c r="M231" s="303">
        <v>1000</v>
      </c>
      <c r="N231" s="303">
        <v>1000</v>
      </c>
      <c r="O231" s="303">
        <v>1000</v>
      </c>
      <c r="P231" s="60" t="s">
        <v>4502</v>
      </c>
    </row>
    <row r="232" spans="1:16" ht="30" x14ac:dyDescent="0.25">
      <c r="A232" s="70"/>
      <c r="B232" s="70"/>
      <c r="C232" s="63">
        <v>44223.1</v>
      </c>
      <c r="D232" s="63" t="s">
        <v>3681</v>
      </c>
      <c r="E232" s="64" t="s">
        <v>3606</v>
      </c>
      <c r="F232" s="303">
        <v>50000</v>
      </c>
      <c r="G232" s="303"/>
      <c r="H232" s="303"/>
      <c r="I232" s="303"/>
      <c r="J232" s="303"/>
      <c r="K232" s="303"/>
      <c r="L232" s="303"/>
      <c r="M232" s="303"/>
      <c r="N232" s="303"/>
      <c r="O232" s="303"/>
    </row>
    <row r="233" spans="1:16" ht="30" x14ac:dyDescent="0.25">
      <c r="A233" s="70"/>
      <c r="B233" s="70"/>
      <c r="C233" s="63">
        <v>44255.1</v>
      </c>
      <c r="D233" s="63" t="s">
        <v>3691</v>
      </c>
      <c r="E233" s="64" t="s">
        <v>3692</v>
      </c>
      <c r="F233" s="303">
        <v>10000</v>
      </c>
      <c r="G233" s="303">
        <v>120000</v>
      </c>
      <c r="H233" s="303"/>
      <c r="I233" s="303"/>
      <c r="J233" s="303"/>
      <c r="K233" s="303"/>
      <c r="L233" s="303"/>
      <c r="M233" s="303"/>
      <c r="N233" s="303"/>
      <c r="O233" s="303"/>
      <c r="P233" s="60" t="s">
        <v>4502</v>
      </c>
    </row>
    <row r="234" spans="1:16" ht="30" x14ac:dyDescent="0.25">
      <c r="A234" s="70"/>
      <c r="B234" s="70"/>
      <c r="C234" s="63"/>
      <c r="D234" s="63" t="s">
        <v>3693</v>
      </c>
      <c r="E234" s="64" t="s">
        <v>3606</v>
      </c>
      <c r="F234" s="303"/>
      <c r="G234" s="303">
        <v>10000</v>
      </c>
      <c r="H234" s="303">
        <v>100000</v>
      </c>
      <c r="I234" s="303"/>
      <c r="J234" s="303"/>
      <c r="K234" s="303"/>
      <c r="L234" s="303"/>
      <c r="M234" s="303"/>
      <c r="N234" s="303"/>
      <c r="O234" s="303"/>
      <c r="P234" s="60" t="s">
        <v>4502</v>
      </c>
    </row>
    <row r="235" spans="1:16" x14ac:dyDescent="0.25">
      <c r="A235" s="70"/>
      <c r="B235" s="70"/>
      <c r="C235" s="63"/>
      <c r="D235" s="63" t="s">
        <v>3694</v>
      </c>
      <c r="E235" s="64" t="s">
        <v>3606</v>
      </c>
      <c r="F235" s="303"/>
      <c r="G235" s="303"/>
      <c r="H235" s="303">
        <v>10000</v>
      </c>
      <c r="I235" s="303">
        <v>45000</v>
      </c>
      <c r="J235" s="303"/>
      <c r="K235" s="303"/>
      <c r="L235" s="303"/>
      <c r="M235" s="303"/>
      <c r="N235" s="303"/>
      <c r="O235" s="303"/>
      <c r="P235" s="60" t="s">
        <v>4502</v>
      </c>
    </row>
    <row r="236" spans="1:16" ht="30" x14ac:dyDescent="0.25">
      <c r="A236" s="70"/>
      <c r="B236" s="70"/>
      <c r="C236" s="63"/>
      <c r="D236" s="63" t="s">
        <v>3695</v>
      </c>
      <c r="E236" s="64" t="s">
        <v>3692</v>
      </c>
      <c r="F236" s="303"/>
      <c r="G236" s="303"/>
      <c r="H236" s="303"/>
      <c r="I236" s="303"/>
      <c r="J236" s="303"/>
      <c r="K236" s="303"/>
      <c r="L236" s="303"/>
      <c r="M236" s="303"/>
      <c r="N236" s="303">
        <v>10000</v>
      </c>
      <c r="O236" s="303">
        <v>40000</v>
      </c>
      <c r="P236" s="60" t="s">
        <v>4502</v>
      </c>
    </row>
    <row r="237" spans="1:16" x14ac:dyDescent="0.25">
      <c r="A237" s="70"/>
      <c r="B237" s="70"/>
      <c r="C237" s="63"/>
      <c r="D237" s="63" t="s">
        <v>3696</v>
      </c>
      <c r="E237" s="64" t="s">
        <v>3606</v>
      </c>
      <c r="F237" s="303"/>
      <c r="G237" s="303"/>
      <c r="H237" s="303"/>
      <c r="I237" s="303"/>
      <c r="J237" s="303"/>
      <c r="K237" s="303"/>
      <c r="L237" s="303"/>
      <c r="M237" s="303"/>
      <c r="N237" s="303">
        <v>10000</v>
      </c>
      <c r="O237" s="303">
        <v>60000</v>
      </c>
      <c r="P237" s="60" t="s">
        <v>4502</v>
      </c>
    </row>
    <row r="238" spans="1:16" ht="30" x14ac:dyDescent="0.25">
      <c r="A238" s="70"/>
      <c r="B238" s="70"/>
      <c r="C238" s="63"/>
      <c r="D238" s="63" t="s">
        <v>3697</v>
      </c>
      <c r="E238" s="64" t="s">
        <v>3690</v>
      </c>
      <c r="F238" s="303"/>
      <c r="G238" s="303">
        <v>30000</v>
      </c>
      <c r="H238" s="303"/>
      <c r="I238" s="303"/>
      <c r="J238" s="303"/>
      <c r="K238" s="303"/>
      <c r="L238" s="303"/>
      <c r="M238" s="303"/>
      <c r="N238" s="303"/>
      <c r="O238" s="303"/>
      <c r="P238" s="60" t="s">
        <v>4502</v>
      </c>
    </row>
    <row r="239" spans="1:16" ht="30" x14ac:dyDescent="0.25">
      <c r="A239" s="70"/>
      <c r="B239" s="70"/>
      <c r="C239" s="63"/>
      <c r="D239" s="63" t="s">
        <v>3698</v>
      </c>
      <c r="E239" s="64" t="s">
        <v>3690</v>
      </c>
      <c r="F239" s="303"/>
      <c r="G239" s="303">
        <v>60000</v>
      </c>
      <c r="H239" s="303"/>
      <c r="I239" s="303"/>
      <c r="J239" s="303"/>
      <c r="K239" s="303"/>
      <c r="L239" s="303"/>
      <c r="M239" s="303"/>
      <c r="N239" s="303"/>
      <c r="O239" s="303"/>
      <c r="P239" s="60" t="s">
        <v>4502</v>
      </c>
    </row>
    <row r="240" spans="1:16" x14ac:dyDescent="0.25">
      <c r="A240" s="70"/>
      <c r="B240" s="70"/>
      <c r="C240" s="63"/>
      <c r="D240" s="63" t="s">
        <v>3699</v>
      </c>
      <c r="E240" s="64"/>
      <c r="F240" s="303"/>
      <c r="G240" s="303"/>
      <c r="H240" s="303"/>
      <c r="I240" s="303"/>
      <c r="J240" s="303"/>
      <c r="K240" s="303"/>
      <c r="L240" s="303"/>
      <c r="M240" s="303"/>
      <c r="N240" s="303"/>
      <c r="O240" s="303"/>
      <c r="P240" s="60" t="s">
        <v>4502</v>
      </c>
    </row>
    <row r="241" spans="1:16" x14ac:dyDescent="0.25">
      <c r="A241" s="70"/>
      <c r="B241" s="70"/>
      <c r="C241" s="63"/>
      <c r="D241" s="65" t="s">
        <v>3666</v>
      </c>
      <c r="E241" s="64"/>
      <c r="F241" s="303"/>
      <c r="G241" s="303"/>
      <c r="H241" s="303"/>
      <c r="I241" s="303"/>
      <c r="J241" s="303"/>
      <c r="K241" s="303"/>
      <c r="L241" s="303"/>
      <c r="M241" s="303"/>
      <c r="N241" s="303"/>
      <c r="O241" s="303"/>
      <c r="P241" s="60" t="s">
        <v>4502</v>
      </c>
    </row>
    <row r="242" spans="1:16" x14ac:dyDescent="0.25">
      <c r="A242" s="70"/>
      <c r="B242" s="70"/>
      <c r="C242" s="63"/>
      <c r="D242" s="63" t="s">
        <v>3700</v>
      </c>
      <c r="E242" s="64" t="s">
        <v>3606</v>
      </c>
      <c r="F242" s="303"/>
      <c r="G242" s="303"/>
      <c r="H242" s="303"/>
      <c r="I242" s="303"/>
      <c r="J242" s="303"/>
      <c r="K242" s="303">
        <v>10000</v>
      </c>
      <c r="L242" s="303">
        <v>140000</v>
      </c>
      <c r="M242" s="303"/>
      <c r="N242" s="303"/>
      <c r="O242" s="303"/>
      <c r="P242" s="60" t="s">
        <v>4502</v>
      </c>
    </row>
    <row r="243" spans="1:16" ht="30" x14ac:dyDescent="0.25">
      <c r="A243" s="70"/>
      <c r="B243" s="70"/>
      <c r="C243" s="63"/>
      <c r="D243" s="63" t="s">
        <v>3701</v>
      </c>
      <c r="E243" s="64" t="s">
        <v>3606</v>
      </c>
      <c r="F243" s="303"/>
      <c r="G243" s="303"/>
      <c r="H243" s="303"/>
      <c r="I243" s="303"/>
      <c r="J243" s="303"/>
      <c r="K243" s="303"/>
      <c r="L243" s="303"/>
      <c r="M243" s="303"/>
      <c r="N243" s="303">
        <v>10000</v>
      </c>
      <c r="O243" s="303">
        <v>60000</v>
      </c>
      <c r="P243" s="60" t="s">
        <v>4502</v>
      </c>
    </row>
    <row r="244" spans="1:16" ht="30" x14ac:dyDescent="0.25">
      <c r="A244" s="70"/>
      <c r="B244" s="70"/>
      <c r="C244" s="63"/>
      <c r="D244" s="63" t="s">
        <v>3702</v>
      </c>
      <c r="E244" s="64" t="s">
        <v>3606</v>
      </c>
      <c r="F244" s="303"/>
      <c r="G244" s="303"/>
      <c r="H244" s="303"/>
      <c r="I244" s="303"/>
      <c r="J244" s="303"/>
      <c r="K244" s="303"/>
      <c r="L244" s="303"/>
      <c r="M244" s="303"/>
      <c r="N244" s="303">
        <v>10000</v>
      </c>
      <c r="O244" s="303">
        <v>80000</v>
      </c>
      <c r="P244" s="60" t="s">
        <v>4502</v>
      </c>
    </row>
    <row r="245" spans="1:16" x14ac:dyDescent="0.25">
      <c r="A245" s="70"/>
      <c r="B245" s="70"/>
      <c r="C245" s="63"/>
      <c r="D245" s="63" t="s">
        <v>3703</v>
      </c>
      <c r="E245" s="64" t="s">
        <v>3606</v>
      </c>
      <c r="F245" s="303"/>
      <c r="G245" s="303"/>
      <c r="H245" s="303"/>
      <c r="I245" s="303"/>
      <c r="J245" s="303"/>
      <c r="K245" s="303"/>
      <c r="L245" s="303"/>
      <c r="M245" s="303"/>
      <c r="N245" s="303">
        <v>60000</v>
      </c>
      <c r="O245" s="303">
        <v>80000</v>
      </c>
      <c r="P245" s="60" t="s">
        <v>4502</v>
      </c>
    </row>
    <row r="246" spans="1:16" x14ac:dyDescent="0.25">
      <c r="A246" s="70"/>
      <c r="B246" s="70"/>
      <c r="C246" s="63">
        <v>44225.1</v>
      </c>
      <c r="D246" s="63" t="s">
        <v>3704</v>
      </c>
      <c r="E246" s="64" t="s">
        <v>3606</v>
      </c>
      <c r="F246" s="303">
        <v>203000</v>
      </c>
      <c r="G246" s="303"/>
      <c r="H246" s="303"/>
      <c r="I246" s="303"/>
      <c r="J246" s="303"/>
      <c r="K246" s="303"/>
      <c r="L246" s="303"/>
      <c r="M246" s="303"/>
      <c r="N246" s="303"/>
      <c r="O246" s="303"/>
      <c r="P246" s="60" t="s">
        <v>4502</v>
      </c>
    </row>
    <row r="247" spans="1:16" x14ac:dyDescent="0.25">
      <c r="A247" s="70"/>
      <c r="B247" s="70"/>
      <c r="C247" s="63">
        <v>44256.1</v>
      </c>
      <c r="D247" s="63" t="s">
        <v>3705</v>
      </c>
      <c r="E247" s="64" t="s">
        <v>3606</v>
      </c>
      <c r="F247" s="303">
        <v>179000</v>
      </c>
      <c r="G247" s="303"/>
      <c r="H247" s="303"/>
      <c r="I247" s="303"/>
      <c r="J247" s="303"/>
      <c r="K247" s="303"/>
      <c r="L247" s="303"/>
      <c r="M247" s="303"/>
      <c r="N247" s="303"/>
      <c r="O247" s="303"/>
      <c r="P247" s="60" t="s">
        <v>4502</v>
      </c>
    </row>
    <row r="248" spans="1:16" x14ac:dyDescent="0.25">
      <c r="A248" s="70"/>
      <c r="B248" s="70"/>
      <c r="C248" s="63">
        <v>44257.1</v>
      </c>
      <c r="D248" s="63" t="s">
        <v>3706</v>
      </c>
      <c r="E248" s="64" t="s">
        <v>3606</v>
      </c>
      <c r="F248" s="303">
        <v>15000</v>
      </c>
      <c r="G248" s="303">
        <v>88000</v>
      </c>
      <c r="H248" s="303"/>
      <c r="I248" s="303"/>
      <c r="J248" s="303"/>
      <c r="K248" s="303"/>
      <c r="L248" s="303"/>
      <c r="M248" s="303"/>
      <c r="N248" s="303"/>
      <c r="O248" s="303"/>
      <c r="P248" s="60" t="s">
        <v>4502</v>
      </c>
    </row>
    <row r="249" spans="1:16" x14ac:dyDescent="0.25">
      <c r="A249" s="70"/>
      <c r="B249" s="70"/>
      <c r="C249" s="63"/>
      <c r="D249" s="63" t="s">
        <v>3707</v>
      </c>
      <c r="E249" s="64" t="s">
        <v>3606</v>
      </c>
      <c r="F249" s="303"/>
      <c r="G249" s="303">
        <v>15000</v>
      </c>
      <c r="H249" s="303">
        <v>171000</v>
      </c>
      <c r="I249" s="303"/>
      <c r="J249" s="303"/>
      <c r="K249" s="303"/>
      <c r="L249" s="303"/>
      <c r="M249" s="303"/>
      <c r="N249" s="303"/>
      <c r="O249" s="303"/>
      <c r="P249" s="60" t="s">
        <v>4502</v>
      </c>
    </row>
    <row r="250" spans="1:16" x14ac:dyDescent="0.25">
      <c r="A250" s="70"/>
      <c r="B250" s="70"/>
      <c r="C250" s="63"/>
      <c r="D250" s="63" t="s">
        <v>3708</v>
      </c>
      <c r="E250" s="64" t="s">
        <v>3606</v>
      </c>
      <c r="F250" s="303"/>
      <c r="G250" s="303"/>
      <c r="H250" s="303">
        <v>15000</v>
      </c>
      <c r="I250" s="303">
        <v>41000</v>
      </c>
      <c r="J250" s="303"/>
      <c r="K250" s="303"/>
      <c r="L250" s="303"/>
      <c r="M250" s="303"/>
      <c r="N250" s="303"/>
      <c r="O250" s="303"/>
      <c r="P250" s="60" t="s">
        <v>4502</v>
      </c>
    </row>
    <row r="251" spans="1:16" x14ac:dyDescent="0.25">
      <c r="A251" s="70"/>
      <c r="B251" s="70"/>
      <c r="C251" s="63"/>
      <c r="D251" s="63" t="s">
        <v>3709</v>
      </c>
      <c r="E251" s="64" t="s">
        <v>3606</v>
      </c>
      <c r="F251" s="303"/>
      <c r="G251" s="303"/>
      <c r="H251" s="303">
        <v>15000</v>
      </c>
      <c r="I251" s="303">
        <v>107000</v>
      </c>
      <c r="J251" s="303"/>
      <c r="K251" s="303"/>
      <c r="L251" s="303"/>
      <c r="M251" s="303"/>
      <c r="N251" s="303"/>
      <c r="O251" s="303"/>
      <c r="P251" s="60" t="s">
        <v>4502</v>
      </c>
    </row>
    <row r="252" spans="1:16" x14ac:dyDescent="0.25">
      <c r="A252" s="70"/>
      <c r="B252" s="70"/>
      <c r="C252" s="63"/>
      <c r="D252" s="63" t="s">
        <v>3710</v>
      </c>
      <c r="E252" s="64" t="s">
        <v>3606</v>
      </c>
      <c r="F252" s="303"/>
      <c r="G252" s="303"/>
      <c r="H252" s="303"/>
      <c r="I252" s="303">
        <v>15000</v>
      </c>
      <c r="J252" s="303">
        <v>77000</v>
      </c>
      <c r="K252" s="303"/>
      <c r="L252" s="303"/>
      <c r="M252" s="303"/>
      <c r="N252" s="303"/>
      <c r="O252" s="303"/>
      <c r="P252" s="60" t="s">
        <v>4502</v>
      </c>
    </row>
    <row r="253" spans="1:16" x14ac:dyDescent="0.25">
      <c r="A253" s="70"/>
      <c r="B253" s="70"/>
      <c r="C253" s="63"/>
      <c r="D253" s="63" t="s">
        <v>3711</v>
      </c>
      <c r="E253" s="64" t="s">
        <v>3606</v>
      </c>
      <c r="F253" s="303"/>
      <c r="G253" s="303"/>
      <c r="H253" s="303"/>
      <c r="I253" s="303"/>
      <c r="J253" s="303">
        <v>15000</v>
      </c>
      <c r="K253" s="303">
        <v>203000</v>
      </c>
      <c r="L253" s="303"/>
      <c r="M253" s="303"/>
      <c r="N253" s="303"/>
      <c r="O253" s="303"/>
      <c r="P253" s="60" t="s">
        <v>4502</v>
      </c>
    </row>
    <row r="254" spans="1:16" x14ac:dyDescent="0.25">
      <c r="A254" s="70"/>
      <c r="B254" s="70"/>
      <c r="C254" s="63"/>
      <c r="D254" s="63" t="s">
        <v>3712</v>
      </c>
      <c r="E254" s="64" t="s">
        <v>3606</v>
      </c>
      <c r="F254" s="303"/>
      <c r="G254" s="303"/>
      <c r="H254" s="303"/>
      <c r="I254" s="303"/>
      <c r="J254" s="303"/>
      <c r="K254" s="303">
        <v>15000</v>
      </c>
      <c r="L254" s="303">
        <v>147000</v>
      </c>
      <c r="M254" s="303"/>
      <c r="N254" s="303"/>
      <c r="O254" s="303"/>
      <c r="P254" s="60" t="s">
        <v>4502</v>
      </c>
    </row>
    <row r="255" spans="1:16" ht="30" x14ac:dyDescent="0.25">
      <c r="A255" s="70"/>
      <c r="B255" s="70"/>
      <c r="C255" s="63"/>
      <c r="D255" s="63" t="s">
        <v>3713</v>
      </c>
      <c r="E255" s="64" t="s">
        <v>3606</v>
      </c>
      <c r="F255" s="303"/>
      <c r="G255" s="303"/>
      <c r="H255" s="303"/>
      <c r="I255" s="303"/>
      <c r="J255" s="303"/>
      <c r="K255" s="303"/>
      <c r="L255" s="303">
        <v>15000</v>
      </c>
      <c r="M255" s="303">
        <v>149000</v>
      </c>
      <c r="N255" s="303"/>
      <c r="O255" s="303"/>
      <c r="P255" s="60" t="s">
        <v>4502</v>
      </c>
    </row>
    <row r="256" spans="1:16" ht="30" x14ac:dyDescent="0.25">
      <c r="A256" s="70"/>
      <c r="B256" s="70"/>
      <c r="C256" s="63"/>
      <c r="D256" s="63" t="s">
        <v>3714</v>
      </c>
      <c r="E256" s="64" t="s">
        <v>3562</v>
      </c>
      <c r="F256" s="303"/>
      <c r="G256" s="303"/>
      <c r="H256" s="303"/>
      <c r="I256" s="303"/>
      <c r="J256" s="303"/>
      <c r="K256" s="303"/>
      <c r="L256" s="303"/>
      <c r="M256" s="303">
        <v>15000</v>
      </c>
      <c r="N256" s="303">
        <v>250000</v>
      </c>
      <c r="O256" s="303"/>
      <c r="P256" s="60" t="s">
        <v>4502</v>
      </c>
    </row>
    <row r="257" spans="1:16" ht="30" x14ac:dyDescent="0.25">
      <c r="A257" s="70"/>
      <c r="B257" s="70"/>
      <c r="C257" s="63"/>
      <c r="D257" s="63" t="s">
        <v>3715</v>
      </c>
      <c r="E257" s="64" t="s">
        <v>3562</v>
      </c>
      <c r="F257" s="303"/>
      <c r="G257" s="303"/>
      <c r="H257" s="303"/>
      <c r="I257" s="303"/>
      <c r="J257" s="303"/>
      <c r="K257" s="303"/>
      <c r="L257" s="303"/>
      <c r="M257" s="303"/>
      <c r="N257" s="303">
        <v>15000</v>
      </c>
      <c r="O257" s="303">
        <v>250000</v>
      </c>
      <c r="P257" s="60" t="s">
        <v>4502</v>
      </c>
    </row>
    <row r="258" spans="1:16" x14ac:dyDescent="0.25">
      <c r="A258" s="70"/>
      <c r="B258" s="70"/>
      <c r="C258" s="63"/>
      <c r="D258" s="63" t="s">
        <v>3687</v>
      </c>
      <c r="E258" s="64" t="s">
        <v>3562</v>
      </c>
      <c r="F258" s="303"/>
      <c r="G258" s="303">
        <v>15000</v>
      </c>
      <c r="H258" s="303">
        <v>100000</v>
      </c>
      <c r="I258" s="303"/>
      <c r="J258" s="303"/>
      <c r="K258" s="303"/>
      <c r="L258" s="303"/>
      <c r="M258" s="303"/>
      <c r="N258" s="303"/>
      <c r="O258" s="303"/>
      <c r="P258" s="60" t="s">
        <v>4502</v>
      </c>
    </row>
    <row r="259" spans="1:16" ht="30" x14ac:dyDescent="0.25">
      <c r="A259" s="70"/>
      <c r="B259" s="70"/>
      <c r="C259" s="63"/>
      <c r="D259" s="63" t="s">
        <v>3716</v>
      </c>
      <c r="E259" s="64" t="s">
        <v>3562</v>
      </c>
      <c r="F259" s="303"/>
      <c r="G259" s="303"/>
      <c r="H259" s="303"/>
      <c r="I259" s="303"/>
      <c r="J259" s="303"/>
      <c r="K259" s="303"/>
      <c r="L259" s="303"/>
      <c r="M259" s="303"/>
      <c r="N259" s="303">
        <v>650000</v>
      </c>
      <c r="O259" s="303"/>
      <c r="P259" s="60" t="s">
        <v>4502</v>
      </c>
    </row>
    <row r="260" spans="1:16" ht="30" x14ac:dyDescent="0.25">
      <c r="A260" s="70"/>
      <c r="B260" s="70"/>
      <c r="C260" s="63"/>
      <c r="D260" s="63" t="s">
        <v>3688</v>
      </c>
      <c r="E260" s="64" t="s">
        <v>3562</v>
      </c>
      <c r="F260" s="303"/>
      <c r="G260" s="303">
        <v>10000</v>
      </c>
      <c r="H260" s="303">
        <v>50000</v>
      </c>
      <c r="I260" s="303"/>
      <c r="J260" s="303"/>
      <c r="K260" s="303"/>
      <c r="L260" s="303"/>
      <c r="M260" s="303"/>
      <c r="N260" s="303"/>
      <c r="O260" s="303"/>
      <c r="P260" s="60" t="s">
        <v>4502</v>
      </c>
    </row>
    <row r="261" spans="1:16" ht="30" x14ac:dyDescent="0.25">
      <c r="A261" s="70"/>
      <c r="B261" s="70"/>
      <c r="C261" s="63"/>
      <c r="D261" s="63" t="s">
        <v>3689</v>
      </c>
      <c r="E261" s="64" t="s">
        <v>3562</v>
      </c>
      <c r="F261" s="303"/>
      <c r="G261" s="303">
        <v>10000</v>
      </c>
      <c r="H261" s="303">
        <v>50000</v>
      </c>
      <c r="I261" s="303"/>
      <c r="J261" s="303"/>
      <c r="K261" s="303"/>
      <c r="L261" s="303"/>
      <c r="M261" s="303"/>
      <c r="N261" s="303"/>
      <c r="O261" s="303"/>
      <c r="P261" s="60" t="s">
        <v>4502</v>
      </c>
    </row>
    <row r="262" spans="1:16" x14ac:dyDescent="0.25">
      <c r="A262" s="70"/>
      <c r="B262" s="70"/>
      <c r="C262" s="63"/>
      <c r="D262" s="63" t="s">
        <v>3717</v>
      </c>
      <c r="E262" s="64" t="s">
        <v>3606</v>
      </c>
      <c r="F262" s="303"/>
      <c r="G262" s="303"/>
      <c r="H262" s="303">
        <v>10000</v>
      </c>
      <c r="I262" s="303">
        <v>60000</v>
      </c>
      <c r="J262" s="303"/>
      <c r="K262" s="303"/>
      <c r="L262" s="303"/>
      <c r="M262" s="303"/>
      <c r="N262" s="303"/>
      <c r="O262" s="303"/>
      <c r="P262" s="60" t="s">
        <v>4502</v>
      </c>
    </row>
    <row r="263" spans="1:16" x14ac:dyDescent="0.25">
      <c r="A263" s="70"/>
      <c r="B263" s="70"/>
      <c r="C263" s="63"/>
      <c r="D263" s="65" t="s">
        <v>3718</v>
      </c>
      <c r="E263" s="64"/>
      <c r="F263" s="303"/>
      <c r="G263" s="303"/>
      <c r="H263" s="303"/>
      <c r="I263" s="303"/>
      <c r="J263" s="303"/>
      <c r="K263" s="303"/>
      <c r="L263" s="303"/>
      <c r="M263" s="303"/>
      <c r="N263" s="303"/>
      <c r="O263" s="303"/>
      <c r="P263" s="60" t="s">
        <v>4502</v>
      </c>
    </row>
    <row r="264" spans="1:16" ht="30" x14ac:dyDescent="0.25">
      <c r="A264" s="70"/>
      <c r="B264" s="70"/>
      <c r="C264" s="63">
        <v>44258.1</v>
      </c>
      <c r="D264" s="63" t="s">
        <v>3719</v>
      </c>
      <c r="E264" s="64" t="s">
        <v>3606</v>
      </c>
      <c r="F264" s="303">
        <v>10000</v>
      </c>
      <c r="G264" s="303">
        <v>60000</v>
      </c>
      <c r="H264" s="303"/>
      <c r="I264" s="303"/>
      <c r="J264" s="303"/>
      <c r="K264" s="303"/>
      <c r="L264" s="303"/>
      <c r="M264" s="303"/>
      <c r="N264" s="303"/>
      <c r="O264" s="303"/>
      <c r="P264" s="60" t="s">
        <v>4502</v>
      </c>
    </row>
    <row r="265" spans="1:16" x14ac:dyDescent="0.25">
      <c r="A265" s="70"/>
      <c r="B265" s="70"/>
      <c r="C265" s="63"/>
      <c r="D265" s="63" t="s">
        <v>3720</v>
      </c>
      <c r="E265" s="64" t="s">
        <v>3692</v>
      </c>
      <c r="F265" s="303"/>
      <c r="G265" s="303"/>
      <c r="H265" s="303"/>
      <c r="I265" s="303"/>
      <c r="J265" s="303"/>
      <c r="K265" s="303"/>
      <c r="L265" s="303">
        <v>10000</v>
      </c>
      <c r="M265" s="303">
        <v>100000</v>
      </c>
      <c r="N265" s="303"/>
      <c r="O265" s="303"/>
      <c r="P265" s="60" t="s">
        <v>4502</v>
      </c>
    </row>
    <row r="266" spans="1:16" ht="30" x14ac:dyDescent="0.25">
      <c r="A266" s="70"/>
      <c r="B266" s="70"/>
      <c r="C266" s="63"/>
      <c r="D266" s="63" t="s">
        <v>3721</v>
      </c>
      <c r="E266" s="64" t="s">
        <v>3646</v>
      </c>
      <c r="F266" s="303"/>
      <c r="G266" s="303"/>
      <c r="H266" s="303"/>
      <c r="I266" s="303"/>
      <c r="J266" s="303"/>
      <c r="K266" s="303"/>
      <c r="L266" s="303">
        <v>10000</v>
      </c>
      <c r="M266" s="303">
        <v>100000</v>
      </c>
      <c r="N266" s="303">
        <v>100000</v>
      </c>
      <c r="O266" s="303"/>
      <c r="P266" s="60" t="s">
        <v>4502</v>
      </c>
    </row>
    <row r="267" spans="1:16" ht="30" x14ac:dyDescent="0.25">
      <c r="A267" s="70"/>
      <c r="B267" s="70"/>
      <c r="C267" s="63"/>
      <c r="D267" s="63" t="s">
        <v>3722</v>
      </c>
      <c r="E267" s="64" t="s">
        <v>3692</v>
      </c>
      <c r="F267" s="303"/>
      <c r="G267" s="303"/>
      <c r="H267" s="303"/>
      <c r="I267" s="303"/>
      <c r="J267" s="303"/>
      <c r="K267" s="303"/>
      <c r="L267" s="303"/>
      <c r="M267" s="303">
        <v>100000</v>
      </c>
      <c r="N267" s="303"/>
      <c r="O267" s="303"/>
      <c r="P267" s="60" t="s">
        <v>4502</v>
      </c>
    </row>
    <row r="268" spans="1:16" x14ac:dyDescent="0.25">
      <c r="A268" s="70"/>
      <c r="B268" s="70"/>
      <c r="C268" s="63"/>
      <c r="D268" s="65" t="s">
        <v>3667</v>
      </c>
      <c r="E268" s="64"/>
      <c r="F268" s="303"/>
      <c r="G268" s="303"/>
      <c r="H268" s="303"/>
      <c r="I268" s="303"/>
      <c r="J268" s="303"/>
      <c r="K268" s="303"/>
      <c r="L268" s="303"/>
      <c r="M268" s="303"/>
      <c r="N268" s="303"/>
      <c r="O268" s="303"/>
      <c r="P268" s="60" t="s">
        <v>4502</v>
      </c>
    </row>
    <row r="269" spans="1:16" ht="30" x14ac:dyDescent="0.25">
      <c r="A269" s="70"/>
      <c r="B269" s="70"/>
      <c r="C269" s="63"/>
      <c r="D269" s="63" t="s">
        <v>3723</v>
      </c>
      <c r="E269" s="64" t="s">
        <v>3606</v>
      </c>
      <c r="F269" s="303"/>
      <c r="G269" s="303"/>
      <c r="H269" s="303"/>
      <c r="I269" s="303">
        <v>10000</v>
      </c>
      <c r="J269" s="303">
        <v>120000</v>
      </c>
      <c r="K269" s="303"/>
      <c r="L269" s="303"/>
      <c r="M269" s="303"/>
      <c r="N269" s="303"/>
      <c r="O269" s="303"/>
      <c r="P269" s="60" t="s">
        <v>4502</v>
      </c>
    </row>
    <row r="270" spans="1:16" ht="30" x14ac:dyDescent="0.25">
      <c r="A270" s="70"/>
      <c r="B270" s="70"/>
      <c r="C270" s="63"/>
      <c r="D270" s="63" t="s">
        <v>3724</v>
      </c>
      <c r="E270" s="64" t="s">
        <v>3692</v>
      </c>
      <c r="F270" s="303"/>
      <c r="G270" s="303"/>
      <c r="H270" s="303"/>
      <c r="I270" s="303"/>
      <c r="J270" s="303">
        <v>10000</v>
      </c>
      <c r="K270" s="303">
        <v>110000</v>
      </c>
      <c r="L270" s="303"/>
      <c r="M270" s="303"/>
      <c r="N270" s="303"/>
      <c r="O270" s="303"/>
      <c r="P270" s="60" t="s">
        <v>4502</v>
      </c>
    </row>
    <row r="271" spans="1:16" ht="30" x14ac:dyDescent="0.25">
      <c r="A271" s="70"/>
      <c r="B271" s="70"/>
      <c r="C271" s="63"/>
      <c r="D271" s="63" t="s">
        <v>3725</v>
      </c>
      <c r="E271" s="64" t="s">
        <v>3692</v>
      </c>
      <c r="F271" s="303"/>
      <c r="G271" s="303"/>
      <c r="H271" s="303"/>
      <c r="I271" s="303"/>
      <c r="J271" s="303"/>
      <c r="K271" s="303"/>
      <c r="L271" s="303"/>
      <c r="M271" s="303"/>
      <c r="N271" s="303">
        <v>10000</v>
      </c>
      <c r="O271" s="303">
        <v>130000</v>
      </c>
      <c r="P271" s="60" t="s">
        <v>4502</v>
      </c>
    </row>
    <row r="272" spans="1:16" ht="30" x14ac:dyDescent="0.25">
      <c r="A272" s="70"/>
      <c r="B272" s="70"/>
      <c r="C272" s="63"/>
      <c r="D272" s="63" t="s">
        <v>3726</v>
      </c>
      <c r="E272" s="64" t="s">
        <v>3646</v>
      </c>
      <c r="F272" s="303"/>
      <c r="G272" s="303"/>
      <c r="H272" s="303"/>
      <c r="I272" s="303"/>
      <c r="J272" s="303"/>
      <c r="K272" s="303"/>
      <c r="L272" s="303"/>
      <c r="M272" s="303"/>
      <c r="N272" s="303">
        <v>15000</v>
      </c>
      <c r="O272" s="303">
        <v>100000</v>
      </c>
      <c r="P272" s="60" t="s">
        <v>4502</v>
      </c>
    </row>
    <row r="273" spans="1:16" x14ac:dyDescent="0.25">
      <c r="A273" s="70"/>
      <c r="B273" s="70"/>
      <c r="C273" s="63"/>
      <c r="D273" s="63" t="s">
        <v>3727</v>
      </c>
      <c r="E273" s="64" t="s">
        <v>3692</v>
      </c>
      <c r="F273" s="303"/>
      <c r="G273" s="303"/>
      <c r="H273" s="303"/>
      <c r="I273" s="303"/>
      <c r="J273" s="303"/>
      <c r="K273" s="303"/>
      <c r="L273" s="303"/>
      <c r="M273" s="303"/>
      <c r="N273" s="303">
        <v>20000</v>
      </c>
      <c r="O273" s="303">
        <v>125000</v>
      </c>
      <c r="P273" s="60" t="s">
        <v>4502</v>
      </c>
    </row>
    <row r="274" spans="1:16" ht="30" x14ac:dyDescent="0.25">
      <c r="A274" s="70"/>
      <c r="B274" s="70"/>
      <c r="C274" s="63">
        <v>44259.1</v>
      </c>
      <c r="D274" s="63" t="s">
        <v>3728</v>
      </c>
      <c r="E274" s="64" t="s">
        <v>3562</v>
      </c>
      <c r="F274" s="303">
        <v>15000</v>
      </c>
      <c r="G274" s="303">
        <v>0</v>
      </c>
      <c r="H274" s="303"/>
      <c r="I274" s="303">
        <v>280000</v>
      </c>
      <c r="J274" s="303"/>
      <c r="K274" s="303"/>
      <c r="L274" s="303"/>
      <c r="M274" s="303"/>
      <c r="N274" s="303"/>
      <c r="O274" s="303"/>
      <c r="P274" s="60" t="s">
        <v>4502</v>
      </c>
    </row>
    <row r="275" spans="1:16" x14ac:dyDescent="0.25">
      <c r="A275" s="70"/>
      <c r="B275" s="70"/>
      <c r="C275" s="63"/>
      <c r="D275" s="65" t="s">
        <v>3669</v>
      </c>
      <c r="E275" s="64"/>
      <c r="F275" s="303"/>
      <c r="G275" s="303"/>
      <c r="H275" s="303"/>
      <c r="I275" s="303"/>
      <c r="J275" s="303"/>
      <c r="K275" s="303"/>
      <c r="L275" s="303"/>
      <c r="M275" s="303"/>
      <c r="N275" s="303"/>
      <c r="O275" s="303"/>
      <c r="P275" s="60" t="s">
        <v>4502</v>
      </c>
    </row>
    <row r="276" spans="1:16" ht="30" x14ac:dyDescent="0.25">
      <c r="A276" s="70"/>
      <c r="B276" s="70"/>
      <c r="C276" s="63">
        <v>3161.1080000000002</v>
      </c>
      <c r="D276" s="63" t="s">
        <v>3729</v>
      </c>
      <c r="E276" s="64" t="s">
        <v>3690</v>
      </c>
      <c r="F276" s="303">
        <v>2000</v>
      </c>
      <c r="G276" s="303">
        <v>2000</v>
      </c>
      <c r="H276" s="303">
        <v>2000</v>
      </c>
      <c r="I276" s="303">
        <v>2000</v>
      </c>
      <c r="J276" s="303">
        <v>2000</v>
      </c>
      <c r="K276" s="303">
        <v>2000</v>
      </c>
      <c r="L276" s="303">
        <v>2000</v>
      </c>
      <c r="M276" s="303">
        <v>2000</v>
      </c>
      <c r="N276" s="303">
        <v>2000</v>
      </c>
      <c r="O276" s="303">
        <v>2000</v>
      </c>
      <c r="P276" s="60" t="s">
        <v>4502</v>
      </c>
    </row>
    <row r="277" spans="1:16" x14ac:dyDescent="0.25">
      <c r="A277" s="70"/>
      <c r="B277" s="70"/>
      <c r="C277" s="63">
        <v>44260.1</v>
      </c>
      <c r="D277" s="63" t="s">
        <v>3730</v>
      </c>
      <c r="E277" s="64" t="s">
        <v>3606</v>
      </c>
      <c r="F277" s="303">
        <v>55000</v>
      </c>
      <c r="G277" s="303"/>
      <c r="H277" s="303"/>
      <c r="I277" s="303"/>
      <c r="J277" s="303"/>
      <c r="K277" s="303"/>
      <c r="L277" s="303"/>
      <c r="M277" s="303"/>
      <c r="N277" s="303"/>
      <c r="O277" s="303"/>
      <c r="P277" s="60" t="s">
        <v>4502</v>
      </c>
    </row>
    <row r="278" spans="1:16" x14ac:dyDescent="0.25">
      <c r="A278" s="70"/>
      <c r="B278" s="70"/>
      <c r="C278" s="63"/>
      <c r="D278" s="63" t="s">
        <v>3731</v>
      </c>
      <c r="E278" s="64" t="s">
        <v>3562</v>
      </c>
      <c r="F278" s="303"/>
      <c r="G278" s="303">
        <v>100000</v>
      </c>
      <c r="H278" s="303"/>
      <c r="I278" s="303"/>
      <c r="J278" s="303"/>
      <c r="K278" s="303"/>
      <c r="L278" s="303"/>
      <c r="M278" s="303"/>
      <c r="N278" s="303"/>
      <c r="O278" s="303"/>
      <c r="P278" s="60" t="s">
        <v>4502</v>
      </c>
    </row>
    <row r="279" spans="1:16" x14ac:dyDescent="0.25">
      <c r="A279" s="70"/>
      <c r="B279" s="70"/>
      <c r="C279" s="63"/>
      <c r="D279" s="65" t="s">
        <v>3732</v>
      </c>
      <c r="E279" s="64"/>
      <c r="F279" s="303"/>
      <c r="G279" s="303"/>
      <c r="H279" s="303"/>
      <c r="I279" s="303"/>
      <c r="J279" s="303"/>
      <c r="K279" s="303"/>
      <c r="L279" s="303"/>
      <c r="M279" s="303"/>
      <c r="N279" s="303"/>
      <c r="O279" s="303"/>
      <c r="P279" s="60" t="s">
        <v>4502</v>
      </c>
    </row>
    <row r="280" spans="1:16" x14ac:dyDescent="0.25">
      <c r="A280" s="70"/>
      <c r="B280" s="70"/>
      <c r="C280" s="63"/>
      <c r="D280" s="63" t="s">
        <v>3733</v>
      </c>
      <c r="E280" s="64" t="s">
        <v>3692</v>
      </c>
      <c r="F280" s="303">
        <v>0</v>
      </c>
      <c r="G280" s="303"/>
      <c r="H280" s="303"/>
      <c r="I280" s="303"/>
      <c r="J280" s="303"/>
      <c r="K280" s="303"/>
      <c r="L280" s="303"/>
      <c r="M280" s="303"/>
      <c r="N280" s="303"/>
      <c r="O280" s="303"/>
      <c r="P280" s="60" t="s">
        <v>4502</v>
      </c>
    </row>
    <row r="281" spans="1:16" x14ac:dyDescent="0.25">
      <c r="A281" s="70"/>
      <c r="B281" s="70"/>
      <c r="C281" s="63"/>
      <c r="D281" s="63" t="s">
        <v>3734</v>
      </c>
      <c r="E281" s="64" t="s">
        <v>3692</v>
      </c>
      <c r="F281" s="303"/>
      <c r="G281" s="303">
        <v>30000</v>
      </c>
      <c r="H281" s="303">
        <v>450000</v>
      </c>
      <c r="I281" s="303"/>
      <c r="J281" s="303"/>
      <c r="K281" s="303"/>
      <c r="L281" s="303"/>
      <c r="M281" s="303"/>
      <c r="N281" s="303"/>
      <c r="O281" s="303"/>
      <c r="P281" s="60" t="s">
        <v>4502</v>
      </c>
    </row>
    <row r="282" spans="1:16" x14ac:dyDescent="0.25">
      <c r="A282" s="70"/>
      <c r="B282" s="70"/>
      <c r="C282" s="63"/>
      <c r="D282" s="63" t="s">
        <v>3735</v>
      </c>
      <c r="E282" s="64" t="s">
        <v>3692</v>
      </c>
      <c r="F282" s="303"/>
      <c r="G282" s="303"/>
      <c r="H282" s="303">
        <v>30000</v>
      </c>
      <c r="I282" s="303">
        <v>500000</v>
      </c>
      <c r="J282" s="303"/>
      <c r="K282" s="303"/>
      <c r="L282" s="303"/>
      <c r="M282" s="303"/>
      <c r="N282" s="303"/>
      <c r="O282" s="303"/>
      <c r="P282" s="60" t="s">
        <v>4502</v>
      </c>
    </row>
    <row r="283" spans="1:16" x14ac:dyDescent="0.25">
      <c r="A283" s="70"/>
      <c r="B283" s="70"/>
      <c r="C283" s="63"/>
      <c r="D283" s="65" t="s">
        <v>3652</v>
      </c>
      <c r="E283" s="64"/>
      <c r="F283" s="303"/>
      <c r="G283" s="303"/>
      <c r="H283" s="303"/>
      <c r="I283" s="303"/>
      <c r="J283" s="303"/>
      <c r="K283" s="303"/>
      <c r="L283" s="303"/>
      <c r="M283" s="303"/>
      <c r="N283" s="303"/>
      <c r="O283" s="303"/>
      <c r="P283" s="60" t="s">
        <v>4502</v>
      </c>
    </row>
    <row r="284" spans="1:16" x14ac:dyDescent="0.25">
      <c r="A284" s="70"/>
      <c r="B284" s="70"/>
      <c r="C284" s="63">
        <v>44095.1</v>
      </c>
      <c r="D284" s="63" t="s">
        <v>3736</v>
      </c>
      <c r="E284" s="64" t="s">
        <v>3562</v>
      </c>
      <c r="F284" s="303">
        <v>10000</v>
      </c>
      <c r="G284" s="303">
        <v>9000</v>
      </c>
      <c r="H284" s="303">
        <v>10000</v>
      </c>
      <c r="I284" s="303">
        <v>20000</v>
      </c>
      <c r="J284" s="303">
        <v>20000</v>
      </c>
      <c r="K284" s="303">
        <v>20000</v>
      </c>
      <c r="L284" s="303">
        <v>20000</v>
      </c>
      <c r="M284" s="303">
        <v>20000</v>
      </c>
      <c r="N284" s="303">
        <v>20000</v>
      </c>
      <c r="O284" s="303">
        <v>20000</v>
      </c>
      <c r="P284" s="60" t="s">
        <v>4502</v>
      </c>
    </row>
    <row r="285" spans="1:16" x14ac:dyDescent="0.25">
      <c r="A285" s="70"/>
      <c r="B285" s="70"/>
      <c r="C285" s="63"/>
      <c r="D285" s="63" t="s">
        <v>4494</v>
      </c>
      <c r="E285" s="64" t="s">
        <v>3692</v>
      </c>
      <c r="F285" s="303"/>
      <c r="G285" s="303"/>
      <c r="H285" s="303">
        <v>-723000</v>
      </c>
      <c r="I285" s="303">
        <v>-790000</v>
      </c>
      <c r="J285" s="303"/>
      <c r="K285" s="303">
        <v>-70000</v>
      </c>
      <c r="L285" s="303">
        <v>-54000</v>
      </c>
      <c r="M285" s="303">
        <v>-196000</v>
      </c>
      <c r="N285" s="303">
        <v>-895000</v>
      </c>
      <c r="O285" s="303">
        <v>-657000</v>
      </c>
      <c r="P285" s="60" t="s">
        <v>4502</v>
      </c>
    </row>
    <row r="286" spans="1:16" x14ac:dyDescent="0.25">
      <c r="A286" s="70"/>
      <c r="B286" s="70"/>
      <c r="C286" s="63"/>
      <c r="D286" s="63"/>
      <c r="E286" s="64"/>
      <c r="F286" s="303"/>
      <c r="G286" s="303"/>
      <c r="H286" s="303"/>
      <c r="I286" s="303"/>
      <c r="J286" s="303"/>
      <c r="K286" s="303"/>
      <c r="L286" s="303"/>
      <c r="M286" s="303"/>
      <c r="N286" s="303"/>
      <c r="O286" s="303"/>
    </row>
    <row r="287" spans="1:16" x14ac:dyDescent="0.25">
      <c r="A287" s="70"/>
      <c r="B287" s="70"/>
      <c r="C287" s="63"/>
      <c r="D287" s="65" t="s">
        <v>3737</v>
      </c>
      <c r="E287" s="64"/>
      <c r="F287" s="303"/>
      <c r="G287" s="303">
        <v>472900</v>
      </c>
      <c r="H287" s="303"/>
      <c r="I287" s="303">
        <v>159900</v>
      </c>
      <c r="J287" s="303">
        <v>554000</v>
      </c>
      <c r="K287" s="303">
        <v>703200</v>
      </c>
      <c r="L287" s="303">
        <v>929100</v>
      </c>
      <c r="M287" s="303">
        <v>1087800</v>
      </c>
      <c r="N287" s="303">
        <v>1399100</v>
      </c>
      <c r="O287" s="303">
        <v>1515500</v>
      </c>
      <c r="P287" s="60" t="s">
        <v>4496</v>
      </c>
    </row>
    <row r="288" spans="1:16" x14ac:dyDescent="0.25">
      <c r="A288" s="70"/>
      <c r="B288" s="70"/>
      <c r="C288" s="63"/>
      <c r="D288" s="63" t="s">
        <v>3738</v>
      </c>
      <c r="E288" s="64"/>
      <c r="F288" s="303">
        <v>0</v>
      </c>
      <c r="G288" s="303"/>
      <c r="H288" s="303"/>
      <c r="I288" s="303"/>
      <c r="J288" s="303"/>
      <c r="K288" s="303"/>
      <c r="L288" s="303"/>
      <c r="M288" s="303"/>
      <c r="N288" s="303"/>
      <c r="O288" s="303"/>
    </row>
    <row r="289" spans="1:15" x14ac:dyDescent="0.25">
      <c r="A289" s="70"/>
      <c r="B289" s="70"/>
      <c r="C289" s="63">
        <v>4338.46</v>
      </c>
      <c r="D289" s="63" t="s">
        <v>3739</v>
      </c>
      <c r="E289" s="64"/>
      <c r="F289" s="303"/>
      <c r="G289" s="303"/>
      <c r="H289" s="303"/>
      <c r="I289" s="303"/>
      <c r="J289" s="303"/>
      <c r="K289" s="303"/>
      <c r="L289" s="303"/>
      <c r="M289" s="303"/>
      <c r="N289" s="303"/>
      <c r="O289" s="303"/>
    </row>
    <row r="290" spans="1:15" x14ac:dyDescent="0.25">
      <c r="A290" s="70"/>
      <c r="B290" s="70"/>
      <c r="C290" s="63">
        <v>4338.47</v>
      </c>
      <c r="D290" s="63" t="s">
        <v>3457</v>
      </c>
      <c r="E290" s="64"/>
      <c r="F290" s="303"/>
      <c r="G290" s="303"/>
      <c r="H290" s="303"/>
      <c r="I290" s="303"/>
      <c r="J290" s="303"/>
      <c r="K290" s="303"/>
      <c r="L290" s="303"/>
      <c r="M290" s="303"/>
      <c r="N290" s="303"/>
      <c r="O290" s="303"/>
    </row>
    <row r="291" spans="1:15" x14ac:dyDescent="0.25">
      <c r="A291" s="70"/>
      <c r="B291" s="70"/>
      <c r="C291" s="63">
        <v>4338.4799999999996</v>
      </c>
      <c r="D291" s="63" t="s">
        <v>3458</v>
      </c>
      <c r="E291" s="64"/>
      <c r="F291" s="303"/>
      <c r="G291" s="303"/>
      <c r="H291" s="303"/>
      <c r="I291" s="303"/>
      <c r="J291" s="303"/>
      <c r="K291" s="303"/>
      <c r="L291" s="303"/>
      <c r="M291" s="303"/>
      <c r="N291" s="303"/>
      <c r="O291" s="303"/>
    </row>
    <row r="292" spans="1:15" x14ac:dyDescent="0.25">
      <c r="A292" s="70"/>
      <c r="B292" s="70"/>
      <c r="C292" s="63">
        <v>4338.49</v>
      </c>
      <c r="D292" s="63" t="s">
        <v>3740</v>
      </c>
      <c r="E292" s="64"/>
      <c r="F292" s="303"/>
      <c r="G292" s="303"/>
      <c r="H292" s="303"/>
      <c r="I292" s="303"/>
      <c r="J292" s="303"/>
      <c r="K292" s="303"/>
      <c r="L292" s="303"/>
      <c r="M292" s="303"/>
      <c r="N292" s="303"/>
      <c r="O292" s="303"/>
    </row>
    <row r="293" spans="1:15" x14ac:dyDescent="0.25">
      <c r="A293" s="70"/>
      <c r="B293" s="70"/>
      <c r="C293" s="68">
        <v>4338.5</v>
      </c>
      <c r="D293" s="63" t="s">
        <v>3741</v>
      </c>
      <c r="E293" s="64"/>
      <c r="F293" s="303"/>
      <c r="G293" s="303"/>
      <c r="H293" s="303"/>
      <c r="I293" s="303"/>
      <c r="J293" s="303"/>
      <c r="K293" s="303"/>
      <c r="L293" s="303"/>
      <c r="M293" s="303"/>
      <c r="N293" s="303"/>
      <c r="O293" s="303"/>
    </row>
    <row r="294" spans="1:15" x14ac:dyDescent="0.25">
      <c r="A294" s="70"/>
      <c r="B294" s="70"/>
      <c r="C294" s="63">
        <v>4338.51</v>
      </c>
      <c r="D294" s="63" t="s">
        <v>3742</v>
      </c>
      <c r="E294" s="64"/>
      <c r="F294" s="303"/>
      <c r="G294" s="303"/>
      <c r="H294" s="303"/>
      <c r="I294" s="303"/>
      <c r="J294" s="303"/>
      <c r="K294" s="303"/>
      <c r="L294" s="303"/>
      <c r="M294" s="303"/>
      <c r="N294" s="303"/>
      <c r="O294" s="303"/>
    </row>
    <row r="295" spans="1:15" ht="30" x14ac:dyDescent="0.25">
      <c r="A295" s="70"/>
      <c r="B295" s="70"/>
      <c r="C295" s="63">
        <v>4338.5200000000004</v>
      </c>
      <c r="D295" s="63" t="s">
        <v>3743</v>
      </c>
      <c r="E295" s="64"/>
      <c r="F295" s="303"/>
      <c r="G295" s="303"/>
      <c r="H295" s="303"/>
      <c r="I295" s="303"/>
      <c r="J295" s="303"/>
      <c r="K295" s="303"/>
      <c r="L295" s="303"/>
      <c r="M295" s="303"/>
      <c r="N295" s="303"/>
      <c r="O295" s="303"/>
    </row>
    <row r="296" spans="1:15" x14ac:dyDescent="0.25">
      <c r="A296" s="70"/>
      <c r="B296" s="70"/>
      <c r="C296" s="63">
        <v>4338.53</v>
      </c>
      <c r="D296" s="63" t="s">
        <v>3744</v>
      </c>
      <c r="E296" s="64"/>
      <c r="F296" s="303"/>
      <c r="G296" s="303"/>
      <c r="H296" s="303"/>
      <c r="I296" s="303"/>
      <c r="J296" s="303"/>
      <c r="K296" s="303"/>
      <c r="L296" s="303"/>
      <c r="M296" s="303"/>
      <c r="N296" s="303"/>
      <c r="O296" s="303"/>
    </row>
    <row r="297" spans="1:15" x14ac:dyDescent="0.25">
      <c r="A297" s="70"/>
      <c r="B297" s="70"/>
      <c r="C297" s="63">
        <v>4338.54</v>
      </c>
      <c r="D297" s="63" t="s">
        <v>3745</v>
      </c>
      <c r="E297" s="64"/>
      <c r="F297" s="303"/>
      <c r="G297" s="303"/>
      <c r="H297" s="303"/>
      <c r="I297" s="303"/>
      <c r="J297" s="303"/>
      <c r="K297" s="303"/>
      <c r="L297" s="303"/>
      <c r="M297" s="303"/>
      <c r="N297" s="303"/>
      <c r="O297" s="303"/>
    </row>
    <row r="298" spans="1:15" x14ac:dyDescent="0.25">
      <c r="A298" s="70"/>
      <c r="B298" s="70"/>
      <c r="C298" s="63">
        <v>4338.55</v>
      </c>
      <c r="D298" s="63" t="s">
        <v>3746</v>
      </c>
      <c r="E298" s="64"/>
      <c r="F298" s="303"/>
      <c r="G298" s="303"/>
      <c r="H298" s="303"/>
      <c r="I298" s="303"/>
      <c r="J298" s="303"/>
      <c r="K298" s="303"/>
      <c r="L298" s="303"/>
      <c r="M298" s="303"/>
      <c r="N298" s="303"/>
      <c r="O298" s="303"/>
    </row>
    <row r="299" spans="1:15" x14ac:dyDescent="0.25">
      <c r="A299" s="70"/>
      <c r="B299" s="70"/>
      <c r="C299" s="63">
        <v>4338.5600000000004</v>
      </c>
      <c r="D299" s="63" t="s">
        <v>3747</v>
      </c>
      <c r="E299" s="64"/>
      <c r="F299" s="303"/>
      <c r="G299" s="303"/>
      <c r="H299" s="303"/>
      <c r="I299" s="303"/>
      <c r="J299" s="303"/>
      <c r="K299" s="303"/>
      <c r="L299" s="303"/>
      <c r="M299" s="303"/>
      <c r="N299" s="303"/>
      <c r="O299" s="303"/>
    </row>
    <row r="300" spans="1:15" x14ac:dyDescent="0.25">
      <c r="A300" s="70"/>
      <c r="B300" s="70"/>
      <c r="C300" s="63">
        <f>C299+0.01</f>
        <v>4338.5700000000006</v>
      </c>
      <c r="D300" s="63" t="s">
        <v>3748</v>
      </c>
      <c r="E300" s="64"/>
      <c r="F300" s="303"/>
      <c r="G300" s="303"/>
      <c r="H300" s="303"/>
      <c r="I300" s="303"/>
      <c r="J300" s="303"/>
      <c r="K300" s="303"/>
      <c r="L300" s="303"/>
      <c r="M300" s="303"/>
      <c r="N300" s="303"/>
      <c r="O300" s="303"/>
    </row>
    <row r="301" spans="1:15" x14ac:dyDescent="0.25">
      <c r="A301" s="70"/>
      <c r="B301" s="70"/>
      <c r="C301" s="63">
        <f t="shared" ref="C301:C333" si="7">C300+0.01</f>
        <v>4338.5800000000008</v>
      </c>
      <c r="D301" s="63" t="s">
        <v>3748</v>
      </c>
      <c r="E301" s="64"/>
      <c r="F301" s="303"/>
      <c r="G301" s="303"/>
      <c r="H301" s="303"/>
      <c r="I301" s="303"/>
      <c r="J301" s="303"/>
      <c r="K301" s="303"/>
      <c r="L301" s="303"/>
      <c r="M301" s="303"/>
      <c r="N301" s="303"/>
      <c r="O301" s="303"/>
    </row>
    <row r="302" spans="1:15" x14ac:dyDescent="0.25">
      <c r="A302" s="70"/>
      <c r="B302" s="70"/>
      <c r="C302" s="63">
        <f t="shared" si="7"/>
        <v>4338.5900000000011</v>
      </c>
      <c r="D302" s="63" t="s">
        <v>3749</v>
      </c>
      <c r="E302" s="64"/>
      <c r="F302" s="303"/>
      <c r="G302" s="303"/>
      <c r="H302" s="303"/>
      <c r="I302" s="303"/>
      <c r="J302" s="303"/>
      <c r="K302" s="303"/>
      <c r="L302" s="303"/>
      <c r="M302" s="303"/>
      <c r="N302" s="303"/>
      <c r="O302" s="303"/>
    </row>
    <row r="303" spans="1:15" x14ac:dyDescent="0.25">
      <c r="A303" s="70"/>
      <c r="B303" s="70"/>
      <c r="C303" s="68">
        <f t="shared" si="7"/>
        <v>4338.6000000000013</v>
      </c>
      <c r="D303" s="63" t="s">
        <v>3750</v>
      </c>
      <c r="E303" s="64"/>
      <c r="F303" s="303"/>
      <c r="G303" s="303"/>
      <c r="H303" s="303"/>
      <c r="I303" s="303"/>
      <c r="J303" s="303"/>
      <c r="K303" s="303"/>
      <c r="L303" s="303"/>
      <c r="M303" s="303"/>
      <c r="N303" s="303"/>
      <c r="O303" s="303"/>
    </row>
    <row r="304" spans="1:15" x14ac:dyDescent="0.25">
      <c r="A304" s="70"/>
      <c r="B304" s="70"/>
      <c r="C304" s="63">
        <f t="shared" si="7"/>
        <v>4338.6100000000015</v>
      </c>
      <c r="D304" s="63" t="s">
        <v>3751</v>
      </c>
      <c r="E304" s="64"/>
      <c r="F304" s="303"/>
      <c r="G304" s="303"/>
      <c r="H304" s="303"/>
      <c r="I304" s="303"/>
      <c r="J304" s="303"/>
      <c r="K304" s="303"/>
      <c r="L304" s="303"/>
      <c r="M304" s="303"/>
      <c r="N304" s="303"/>
      <c r="O304" s="303"/>
    </row>
    <row r="305" spans="1:15" x14ac:dyDescent="0.25">
      <c r="A305" s="70"/>
      <c r="B305" s="70"/>
      <c r="C305" s="63">
        <f t="shared" si="7"/>
        <v>4338.6200000000017</v>
      </c>
      <c r="D305" s="63" t="s">
        <v>3751</v>
      </c>
      <c r="E305" s="64"/>
      <c r="F305" s="303"/>
      <c r="G305" s="303"/>
      <c r="H305" s="303"/>
      <c r="I305" s="303"/>
      <c r="J305" s="303"/>
      <c r="K305" s="303"/>
      <c r="L305" s="303"/>
      <c r="M305" s="303"/>
      <c r="N305" s="303"/>
      <c r="O305" s="303"/>
    </row>
    <row r="306" spans="1:15" x14ac:dyDescent="0.25">
      <c r="A306" s="70"/>
      <c r="B306" s="70"/>
      <c r="C306" s="63">
        <f t="shared" si="7"/>
        <v>4338.6300000000019</v>
      </c>
      <c r="D306" s="63" t="s">
        <v>3751</v>
      </c>
      <c r="E306" s="64"/>
      <c r="F306" s="303"/>
      <c r="G306" s="303"/>
      <c r="H306" s="303"/>
      <c r="I306" s="303"/>
      <c r="J306" s="303"/>
      <c r="K306" s="303"/>
      <c r="L306" s="303"/>
      <c r="M306" s="303"/>
      <c r="N306" s="303"/>
      <c r="O306" s="303"/>
    </row>
    <row r="307" spans="1:15" x14ac:dyDescent="0.25">
      <c r="A307" s="70"/>
      <c r="B307" s="70"/>
      <c r="C307" s="63">
        <f t="shared" si="7"/>
        <v>4338.6400000000021</v>
      </c>
      <c r="D307" s="63" t="s">
        <v>3750</v>
      </c>
      <c r="E307" s="64"/>
      <c r="F307" s="303"/>
      <c r="G307" s="303"/>
      <c r="H307" s="303"/>
      <c r="I307" s="303"/>
      <c r="J307" s="303"/>
      <c r="K307" s="303"/>
      <c r="L307" s="303"/>
      <c r="M307" s="303"/>
      <c r="N307" s="303"/>
      <c r="O307" s="303"/>
    </row>
    <row r="308" spans="1:15" x14ac:dyDescent="0.25">
      <c r="A308" s="70"/>
      <c r="B308" s="70"/>
      <c r="C308" s="63">
        <f t="shared" si="7"/>
        <v>4338.6500000000024</v>
      </c>
      <c r="D308" s="63" t="s">
        <v>3750</v>
      </c>
      <c r="E308" s="64"/>
      <c r="F308" s="303"/>
      <c r="G308" s="303"/>
      <c r="H308" s="303"/>
      <c r="I308" s="303"/>
      <c r="J308" s="303"/>
      <c r="K308" s="303"/>
      <c r="L308" s="303"/>
      <c r="M308" s="303"/>
      <c r="N308" s="303"/>
      <c r="O308" s="303"/>
    </row>
    <row r="309" spans="1:15" x14ac:dyDescent="0.25">
      <c r="A309" s="70"/>
      <c r="B309" s="70"/>
      <c r="C309" s="63">
        <f t="shared" si="7"/>
        <v>4338.6600000000026</v>
      </c>
      <c r="D309" s="63" t="s">
        <v>3748</v>
      </c>
      <c r="E309" s="64"/>
      <c r="F309" s="303"/>
      <c r="G309" s="303"/>
      <c r="H309" s="303"/>
      <c r="I309" s="303"/>
      <c r="J309" s="303"/>
      <c r="K309" s="303"/>
      <c r="L309" s="303"/>
      <c r="M309" s="303"/>
      <c r="N309" s="303"/>
      <c r="O309" s="303"/>
    </row>
    <row r="310" spans="1:15" x14ac:dyDescent="0.25">
      <c r="A310" s="70"/>
      <c r="B310" s="70"/>
      <c r="C310" s="63">
        <f t="shared" si="7"/>
        <v>4338.6700000000028</v>
      </c>
      <c r="D310" s="63" t="s">
        <v>3748</v>
      </c>
      <c r="E310" s="64"/>
      <c r="F310" s="303"/>
      <c r="G310" s="303"/>
      <c r="H310" s="303"/>
      <c r="I310" s="303"/>
      <c r="J310" s="303"/>
      <c r="K310" s="303"/>
      <c r="L310" s="303"/>
      <c r="M310" s="303"/>
      <c r="N310" s="303"/>
      <c r="O310" s="303"/>
    </row>
    <row r="311" spans="1:15" x14ac:dyDescent="0.25">
      <c r="A311" s="70"/>
      <c r="B311" s="70"/>
      <c r="C311" s="63">
        <f t="shared" si="7"/>
        <v>4338.680000000003</v>
      </c>
      <c r="D311" s="63" t="s">
        <v>3748</v>
      </c>
      <c r="E311" s="64"/>
      <c r="F311" s="303"/>
      <c r="G311" s="303"/>
      <c r="H311" s="303"/>
      <c r="I311" s="303"/>
      <c r="J311" s="303"/>
      <c r="K311" s="303"/>
      <c r="L311" s="303"/>
      <c r="M311" s="303"/>
      <c r="N311" s="303"/>
      <c r="O311" s="303"/>
    </row>
    <row r="312" spans="1:15" x14ac:dyDescent="0.25">
      <c r="A312" s="70"/>
      <c r="B312" s="70"/>
      <c r="C312" s="63">
        <f t="shared" si="7"/>
        <v>4338.6900000000032</v>
      </c>
      <c r="D312" s="63" t="s">
        <v>3752</v>
      </c>
      <c r="E312" s="64"/>
      <c r="F312" s="303"/>
      <c r="G312" s="303"/>
      <c r="H312" s="303"/>
      <c r="I312" s="303"/>
      <c r="J312" s="303"/>
      <c r="K312" s="303"/>
      <c r="L312" s="303"/>
      <c r="M312" s="303"/>
      <c r="N312" s="303"/>
      <c r="O312" s="303"/>
    </row>
    <row r="313" spans="1:15" x14ac:dyDescent="0.25">
      <c r="A313" s="70"/>
      <c r="B313" s="70"/>
      <c r="C313" s="68">
        <f t="shared" si="7"/>
        <v>4338.7000000000035</v>
      </c>
      <c r="D313" s="63" t="s">
        <v>3751</v>
      </c>
      <c r="E313" s="64"/>
      <c r="F313" s="303"/>
      <c r="G313" s="303"/>
      <c r="H313" s="303"/>
      <c r="I313" s="303"/>
      <c r="J313" s="303"/>
      <c r="K313" s="303"/>
      <c r="L313" s="303"/>
      <c r="M313" s="303"/>
      <c r="N313" s="303"/>
      <c r="O313" s="303"/>
    </row>
    <row r="314" spans="1:15" x14ac:dyDescent="0.25">
      <c r="A314" s="70"/>
      <c r="B314" s="70"/>
      <c r="C314" s="63">
        <f t="shared" si="7"/>
        <v>4338.7100000000037</v>
      </c>
      <c r="D314" s="63" t="s">
        <v>3751</v>
      </c>
      <c r="E314" s="64"/>
      <c r="F314" s="303"/>
      <c r="G314" s="303"/>
      <c r="H314" s="303"/>
      <c r="I314" s="303"/>
      <c r="J314" s="303"/>
      <c r="K314" s="303"/>
      <c r="L314" s="303"/>
      <c r="M314" s="303"/>
      <c r="N314" s="303"/>
      <c r="O314" s="303"/>
    </row>
    <row r="315" spans="1:15" x14ac:dyDescent="0.25">
      <c r="A315" s="70"/>
      <c r="B315" s="70"/>
      <c r="C315" s="63">
        <f t="shared" si="7"/>
        <v>4338.7200000000039</v>
      </c>
      <c r="D315" s="63" t="s">
        <v>3751</v>
      </c>
      <c r="E315" s="64"/>
      <c r="F315" s="303"/>
      <c r="G315" s="303"/>
      <c r="H315" s="303"/>
      <c r="I315" s="303"/>
      <c r="J315" s="303"/>
      <c r="K315" s="303"/>
      <c r="L315" s="303"/>
      <c r="M315" s="303"/>
      <c r="N315" s="303"/>
      <c r="O315" s="303"/>
    </row>
    <row r="316" spans="1:15" x14ac:dyDescent="0.25">
      <c r="A316" s="70"/>
      <c r="B316" s="70"/>
      <c r="C316" s="63">
        <f t="shared" si="7"/>
        <v>4338.7300000000041</v>
      </c>
      <c r="D316" s="63" t="s">
        <v>3751</v>
      </c>
      <c r="E316" s="64"/>
      <c r="F316" s="303"/>
      <c r="G316" s="303"/>
      <c r="H316" s="303"/>
      <c r="I316" s="303"/>
      <c r="J316" s="303"/>
      <c r="K316" s="303"/>
      <c r="L316" s="303"/>
      <c r="M316" s="303"/>
      <c r="N316" s="303"/>
      <c r="O316" s="303"/>
    </row>
    <row r="317" spans="1:15" x14ac:dyDescent="0.25">
      <c r="A317" s="70"/>
      <c r="B317" s="70"/>
      <c r="C317" s="63">
        <f t="shared" si="7"/>
        <v>4338.7400000000043</v>
      </c>
      <c r="D317" s="63" t="s">
        <v>3751</v>
      </c>
      <c r="E317" s="64"/>
      <c r="F317" s="303"/>
      <c r="G317" s="303"/>
      <c r="H317" s="303"/>
      <c r="I317" s="303"/>
      <c r="J317" s="303"/>
      <c r="K317" s="303"/>
      <c r="L317" s="303"/>
      <c r="M317" s="303"/>
      <c r="N317" s="303"/>
      <c r="O317" s="303"/>
    </row>
    <row r="318" spans="1:15" x14ac:dyDescent="0.25">
      <c r="A318" s="70"/>
      <c r="B318" s="70"/>
      <c r="C318" s="63">
        <f t="shared" si="7"/>
        <v>4338.7500000000045</v>
      </c>
      <c r="D318" s="63" t="s">
        <v>3753</v>
      </c>
      <c r="E318" s="64"/>
      <c r="F318" s="303"/>
      <c r="G318" s="303"/>
      <c r="H318" s="303"/>
      <c r="I318" s="303"/>
      <c r="J318" s="303"/>
      <c r="K318" s="303"/>
      <c r="L318" s="303"/>
      <c r="M318" s="303"/>
      <c r="N318" s="303"/>
      <c r="O318" s="303"/>
    </row>
    <row r="319" spans="1:15" x14ac:dyDescent="0.25">
      <c r="A319" s="70"/>
      <c r="B319" s="70"/>
      <c r="C319" s="63">
        <f t="shared" si="7"/>
        <v>4338.7600000000048</v>
      </c>
      <c r="D319" s="63" t="s">
        <v>3754</v>
      </c>
      <c r="E319" s="64"/>
      <c r="F319" s="303"/>
      <c r="G319" s="303"/>
      <c r="H319" s="303"/>
      <c r="I319" s="303"/>
      <c r="J319" s="303"/>
      <c r="K319" s="303"/>
      <c r="L319" s="303"/>
      <c r="M319" s="303"/>
      <c r="N319" s="303"/>
      <c r="O319" s="303"/>
    </row>
    <row r="320" spans="1:15" x14ac:dyDescent="0.25">
      <c r="A320" s="70"/>
      <c r="B320" s="70"/>
      <c r="C320" s="63">
        <f t="shared" si="7"/>
        <v>4338.770000000005</v>
      </c>
      <c r="D320" s="63" t="s">
        <v>3755</v>
      </c>
      <c r="E320" s="64"/>
      <c r="F320" s="303"/>
      <c r="G320" s="303"/>
      <c r="H320" s="303"/>
      <c r="I320" s="303"/>
      <c r="J320" s="303"/>
      <c r="K320" s="303"/>
      <c r="L320" s="303"/>
      <c r="M320" s="303"/>
      <c r="N320" s="303"/>
      <c r="O320" s="303"/>
    </row>
    <row r="321" spans="1:15" x14ac:dyDescent="0.25">
      <c r="A321" s="70"/>
      <c r="B321" s="70"/>
      <c r="C321" s="63">
        <f t="shared" si="7"/>
        <v>4338.7800000000052</v>
      </c>
      <c r="D321" s="63" t="s">
        <v>3755</v>
      </c>
      <c r="E321" s="64"/>
      <c r="F321" s="303"/>
      <c r="G321" s="303"/>
      <c r="H321" s="303"/>
      <c r="I321" s="303"/>
      <c r="J321" s="303"/>
      <c r="K321" s="303"/>
      <c r="L321" s="303"/>
      <c r="M321" s="303"/>
      <c r="N321" s="303"/>
      <c r="O321" s="303"/>
    </row>
    <row r="322" spans="1:15" x14ac:dyDescent="0.25">
      <c r="A322" s="70"/>
      <c r="B322" s="70"/>
      <c r="C322" s="63">
        <f t="shared" si="7"/>
        <v>4338.7900000000054</v>
      </c>
      <c r="D322" s="63" t="s">
        <v>3756</v>
      </c>
      <c r="E322" s="64"/>
      <c r="F322" s="303"/>
      <c r="G322" s="303"/>
      <c r="H322" s="303"/>
      <c r="I322" s="303"/>
      <c r="J322" s="303"/>
      <c r="K322" s="303"/>
      <c r="L322" s="303"/>
      <c r="M322" s="303"/>
      <c r="N322" s="303"/>
      <c r="O322" s="303"/>
    </row>
    <row r="323" spans="1:15" x14ac:dyDescent="0.25">
      <c r="A323" s="70"/>
      <c r="B323" s="70"/>
      <c r="C323" s="68">
        <f t="shared" si="7"/>
        <v>4338.8000000000056</v>
      </c>
      <c r="D323" s="63" t="s">
        <v>3756</v>
      </c>
      <c r="E323" s="64"/>
      <c r="F323" s="303"/>
      <c r="G323" s="303"/>
      <c r="H323" s="303"/>
      <c r="I323" s="303"/>
      <c r="J323" s="303"/>
      <c r="K323" s="303"/>
      <c r="L323" s="303"/>
      <c r="M323" s="303"/>
      <c r="N323" s="303"/>
      <c r="O323" s="303"/>
    </row>
    <row r="324" spans="1:15" x14ac:dyDescent="0.25">
      <c r="A324" s="70"/>
      <c r="B324" s="70"/>
      <c r="C324" s="63">
        <f t="shared" si="7"/>
        <v>4338.8100000000059</v>
      </c>
      <c r="D324" s="63" t="s">
        <v>3752</v>
      </c>
      <c r="E324" s="64"/>
      <c r="F324" s="303"/>
      <c r="G324" s="303"/>
      <c r="H324" s="303"/>
      <c r="I324" s="303"/>
      <c r="J324" s="303"/>
      <c r="K324" s="303"/>
      <c r="L324" s="303"/>
      <c r="M324" s="303"/>
      <c r="N324" s="303"/>
      <c r="O324" s="303"/>
    </row>
    <row r="325" spans="1:15" x14ac:dyDescent="0.25">
      <c r="A325" s="70"/>
      <c r="B325" s="70"/>
      <c r="C325" s="63">
        <f t="shared" si="7"/>
        <v>4338.8200000000061</v>
      </c>
      <c r="D325" s="63" t="s">
        <v>3748</v>
      </c>
      <c r="E325" s="64"/>
      <c r="F325" s="303"/>
      <c r="G325" s="303"/>
      <c r="H325" s="303"/>
      <c r="I325" s="303"/>
      <c r="J325" s="303"/>
      <c r="K325" s="303"/>
      <c r="L325" s="303"/>
      <c r="M325" s="303"/>
      <c r="N325" s="303"/>
      <c r="O325" s="303"/>
    </row>
    <row r="326" spans="1:15" x14ac:dyDescent="0.25">
      <c r="A326" s="70"/>
      <c r="B326" s="70"/>
      <c r="C326" s="63">
        <v>4338.84</v>
      </c>
      <c r="D326" s="63" t="s">
        <v>3757</v>
      </c>
      <c r="E326" s="64"/>
      <c r="F326" s="303"/>
      <c r="G326" s="303"/>
      <c r="H326" s="303"/>
      <c r="I326" s="303"/>
      <c r="J326" s="303"/>
      <c r="K326" s="303"/>
      <c r="L326" s="303"/>
      <c r="M326" s="303"/>
      <c r="N326" s="303"/>
      <c r="O326" s="303"/>
    </row>
    <row r="327" spans="1:15" x14ac:dyDescent="0.25">
      <c r="A327" s="70"/>
      <c r="B327" s="70"/>
      <c r="C327" s="63">
        <v>4338.88</v>
      </c>
      <c r="D327" s="63" t="s">
        <v>3755</v>
      </c>
      <c r="E327" s="64"/>
      <c r="F327" s="303"/>
      <c r="G327" s="303"/>
      <c r="H327" s="303"/>
      <c r="I327" s="303"/>
      <c r="J327" s="303"/>
      <c r="K327" s="303"/>
      <c r="L327" s="303"/>
      <c r="M327" s="303"/>
      <c r="N327" s="303"/>
      <c r="O327" s="303"/>
    </row>
    <row r="328" spans="1:15" x14ac:dyDescent="0.25">
      <c r="A328" s="70"/>
      <c r="B328" s="70"/>
      <c r="C328" s="63">
        <f t="shared" si="7"/>
        <v>4338.8900000000003</v>
      </c>
      <c r="D328" s="63" t="s">
        <v>3755</v>
      </c>
      <c r="E328" s="64"/>
      <c r="F328" s="303"/>
      <c r="G328" s="303"/>
      <c r="H328" s="303"/>
      <c r="I328" s="303"/>
      <c r="J328" s="303"/>
      <c r="K328" s="303"/>
      <c r="L328" s="303"/>
      <c r="M328" s="303"/>
      <c r="N328" s="303"/>
      <c r="O328" s="303"/>
    </row>
    <row r="329" spans="1:15" x14ac:dyDescent="0.25">
      <c r="A329" s="70"/>
      <c r="B329" s="70"/>
      <c r="C329" s="68">
        <v>4338.8999999999996</v>
      </c>
      <c r="D329" s="63" t="s">
        <v>3755</v>
      </c>
      <c r="E329" s="64"/>
      <c r="F329" s="303"/>
      <c r="G329" s="303"/>
      <c r="H329" s="303"/>
      <c r="I329" s="303"/>
      <c r="J329" s="303"/>
      <c r="K329" s="303"/>
      <c r="L329" s="303"/>
      <c r="M329" s="303"/>
      <c r="N329" s="303"/>
      <c r="O329" s="303"/>
    </row>
    <row r="330" spans="1:15" x14ac:dyDescent="0.25">
      <c r="A330" s="70"/>
      <c r="B330" s="70"/>
      <c r="C330" s="63">
        <v>4338.93</v>
      </c>
      <c r="D330" s="63" t="s">
        <v>3753</v>
      </c>
      <c r="E330" s="64"/>
      <c r="F330" s="303"/>
      <c r="G330" s="303"/>
      <c r="H330" s="303"/>
      <c r="I330" s="303"/>
      <c r="J330" s="303"/>
      <c r="K330" s="303"/>
      <c r="L330" s="303"/>
      <c r="M330" s="303"/>
      <c r="N330" s="303"/>
      <c r="O330" s="303"/>
    </row>
    <row r="331" spans="1:15" x14ac:dyDescent="0.25">
      <c r="A331" s="70"/>
      <c r="B331" s="70"/>
      <c r="C331" s="63">
        <v>4338.95</v>
      </c>
      <c r="D331" s="63" t="s">
        <v>3754</v>
      </c>
      <c r="E331" s="64"/>
      <c r="F331" s="303"/>
      <c r="G331" s="303"/>
      <c r="H331" s="303"/>
      <c r="I331" s="303"/>
      <c r="J331" s="303"/>
      <c r="K331" s="303"/>
      <c r="L331" s="303"/>
      <c r="M331" s="303"/>
      <c r="N331" s="303"/>
      <c r="O331" s="303"/>
    </row>
    <row r="332" spans="1:15" x14ac:dyDescent="0.25">
      <c r="A332" s="70"/>
      <c r="B332" s="70"/>
      <c r="C332" s="63">
        <v>4338.97</v>
      </c>
      <c r="D332" s="63" t="s">
        <v>3754</v>
      </c>
      <c r="E332" s="64"/>
      <c r="F332" s="303"/>
      <c r="G332" s="303"/>
      <c r="H332" s="303"/>
      <c r="I332" s="303"/>
      <c r="J332" s="303"/>
      <c r="K332" s="303"/>
      <c r="L332" s="303"/>
      <c r="M332" s="303"/>
      <c r="N332" s="303"/>
      <c r="O332" s="303"/>
    </row>
    <row r="333" spans="1:15" x14ac:dyDescent="0.25">
      <c r="A333" s="70"/>
      <c r="B333" s="70"/>
      <c r="C333" s="63">
        <f t="shared" si="7"/>
        <v>4338.9800000000005</v>
      </c>
      <c r="D333" s="63" t="s">
        <v>3754</v>
      </c>
      <c r="E333" s="64"/>
      <c r="F333" s="303"/>
      <c r="G333" s="303"/>
      <c r="H333" s="303"/>
      <c r="I333" s="303"/>
      <c r="J333" s="303"/>
      <c r="K333" s="303"/>
      <c r="L333" s="303"/>
      <c r="M333" s="303"/>
      <c r="N333" s="303"/>
      <c r="O333" s="303"/>
    </row>
    <row r="334" spans="1:15" x14ac:dyDescent="0.25">
      <c r="A334" s="70"/>
      <c r="B334" s="70"/>
      <c r="C334" s="63">
        <v>4338.1009999999997</v>
      </c>
      <c r="D334" s="63" t="s">
        <v>3758</v>
      </c>
      <c r="E334" s="64"/>
      <c r="F334" s="303"/>
      <c r="G334" s="303"/>
      <c r="H334" s="303"/>
      <c r="I334" s="303"/>
      <c r="J334" s="303"/>
      <c r="K334" s="303"/>
      <c r="L334" s="303"/>
      <c r="M334" s="303"/>
      <c r="N334" s="303"/>
      <c r="O334" s="303"/>
    </row>
    <row r="335" spans="1:15" x14ac:dyDescent="0.25">
      <c r="A335" s="70"/>
      <c r="B335" s="70"/>
      <c r="C335" s="63">
        <v>4338.1019999999999</v>
      </c>
      <c r="D335" s="63" t="s">
        <v>3759</v>
      </c>
      <c r="E335" s="64" t="s">
        <v>3562</v>
      </c>
      <c r="F335" s="303">
        <v>106200</v>
      </c>
      <c r="G335" s="303"/>
      <c r="H335" s="303"/>
      <c r="I335" s="303"/>
      <c r="J335" s="303"/>
      <c r="K335" s="303"/>
      <c r="L335" s="303"/>
      <c r="M335" s="303"/>
      <c r="N335" s="303"/>
      <c r="O335" s="303"/>
    </row>
    <row r="336" spans="1:15" x14ac:dyDescent="0.25">
      <c r="A336" s="70"/>
      <c r="B336" s="70"/>
      <c r="C336" s="63">
        <v>4338.1030000000001</v>
      </c>
      <c r="D336" s="63" t="s">
        <v>3759</v>
      </c>
      <c r="E336" s="64" t="s">
        <v>3562</v>
      </c>
      <c r="F336" s="303">
        <v>60100</v>
      </c>
      <c r="G336" s="303"/>
      <c r="H336" s="303"/>
      <c r="I336" s="303"/>
      <c r="J336" s="303"/>
      <c r="K336" s="303"/>
      <c r="L336" s="303"/>
      <c r="M336" s="303"/>
      <c r="N336" s="303"/>
      <c r="O336" s="303"/>
    </row>
    <row r="337" spans="1:16" x14ac:dyDescent="0.25">
      <c r="A337" s="70"/>
      <c r="B337" s="70"/>
      <c r="C337" s="63">
        <v>4338.1040000000003</v>
      </c>
      <c r="D337" s="63" t="s">
        <v>3759</v>
      </c>
      <c r="E337" s="64" t="s">
        <v>3562</v>
      </c>
      <c r="F337" s="303">
        <v>42900</v>
      </c>
      <c r="G337" s="303"/>
      <c r="H337" s="303"/>
      <c r="I337" s="303"/>
      <c r="J337" s="303"/>
      <c r="K337" s="303"/>
      <c r="L337" s="303"/>
      <c r="M337" s="303"/>
      <c r="N337" s="303"/>
      <c r="O337" s="303"/>
    </row>
    <row r="338" spans="1:16" x14ac:dyDescent="0.25">
      <c r="A338" s="70"/>
      <c r="B338" s="70"/>
      <c r="C338" s="63">
        <v>4338.1049999999996</v>
      </c>
      <c r="D338" s="63" t="s">
        <v>3760</v>
      </c>
      <c r="E338" s="64" t="s">
        <v>3562</v>
      </c>
      <c r="F338" s="303">
        <v>211900</v>
      </c>
      <c r="G338" s="303"/>
      <c r="H338" s="303"/>
      <c r="I338" s="303"/>
      <c r="J338" s="303"/>
      <c r="K338" s="303"/>
      <c r="L338" s="303"/>
      <c r="M338" s="303"/>
      <c r="N338" s="303"/>
      <c r="O338" s="303"/>
    </row>
    <row r="339" spans="1:16" x14ac:dyDescent="0.25">
      <c r="A339" s="70"/>
      <c r="B339" s="70"/>
      <c r="C339" s="63">
        <v>4338.1059999999998</v>
      </c>
      <c r="D339" s="63" t="s">
        <v>3761</v>
      </c>
      <c r="E339" s="64" t="s">
        <v>3562</v>
      </c>
      <c r="F339" s="303">
        <v>137000</v>
      </c>
      <c r="G339" s="303"/>
      <c r="H339" s="303"/>
      <c r="I339" s="303"/>
      <c r="J339" s="303"/>
      <c r="K339" s="303"/>
      <c r="L339" s="303"/>
      <c r="M339" s="303"/>
      <c r="N339" s="303"/>
      <c r="O339" s="303"/>
    </row>
    <row r="340" spans="1:16" x14ac:dyDescent="0.25">
      <c r="A340" s="70"/>
      <c r="B340" s="70"/>
      <c r="C340" s="63">
        <v>4338.107</v>
      </c>
      <c r="D340" s="63" t="s">
        <v>3762</v>
      </c>
      <c r="E340" s="64" t="s">
        <v>3562</v>
      </c>
      <c r="F340" s="303">
        <v>91900</v>
      </c>
      <c r="G340" s="303"/>
      <c r="H340" s="303"/>
      <c r="I340" s="303"/>
      <c r="J340" s="303"/>
      <c r="K340" s="303"/>
      <c r="L340" s="303"/>
      <c r="M340" s="303"/>
      <c r="N340" s="303"/>
      <c r="O340" s="303"/>
    </row>
    <row r="341" spans="1:16" x14ac:dyDescent="0.25">
      <c r="A341" s="70"/>
      <c r="B341" s="70"/>
      <c r="C341" s="63"/>
      <c r="D341" s="63"/>
      <c r="E341" s="64"/>
      <c r="F341" s="303"/>
      <c r="G341" s="303"/>
      <c r="H341" s="303"/>
      <c r="I341" s="303"/>
      <c r="J341" s="303"/>
      <c r="K341" s="303"/>
      <c r="L341" s="303"/>
      <c r="M341" s="303"/>
      <c r="N341" s="303"/>
      <c r="O341" s="303"/>
    </row>
    <row r="342" spans="1:16" x14ac:dyDescent="0.25">
      <c r="A342" s="70"/>
      <c r="B342" s="70"/>
      <c r="C342" s="63"/>
      <c r="D342" s="65" t="s">
        <v>3626</v>
      </c>
      <c r="E342" s="64"/>
      <c r="F342" s="303"/>
      <c r="G342" s="303"/>
      <c r="H342" s="303"/>
      <c r="I342" s="303"/>
      <c r="J342" s="303"/>
      <c r="K342" s="303"/>
      <c r="L342" s="303"/>
      <c r="M342" s="303"/>
      <c r="N342" s="303"/>
      <c r="O342" s="303"/>
    </row>
    <row r="343" spans="1:16" x14ac:dyDescent="0.25">
      <c r="A343" s="70"/>
      <c r="B343" s="70"/>
      <c r="C343" s="63"/>
      <c r="D343" s="63" t="s">
        <v>3763</v>
      </c>
      <c r="E343" s="64" t="s">
        <v>3562</v>
      </c>
      <c r="F343" s="303"/>
      <c r="G343" s="303"/>
      <c r="H343" s="303"/>
      <c r="I343" s="303"/>
      <c r="J343" s="303"/>
      <c r="K343" s="303"/>
      <c r="L343" s="303"/>
      <c r="M343" s="303"/>
      <c r="N343" s="303"/>
      <c r="O343" s="303"/>
      <c r="P343" s="60" t="s">
        <v>4496</v>
      </c>
    </row>
    <row r="344" spans="1:16" ht="30" x14ac:dyDescent="0.25">
      <c r="A344" s="70"/>
      <c r="B344" s="70"/>
      <c r="C344" s="63">
        <v>45477</v>
      </c>
      <c r="D344" s="63" t="s">
        <v>3764</v>
      </c>
      <c r="E344" s="64"/>
      <c r="F344" s="303"/>
      <c r="G344" s="303"/>
      <c r="H344" s="303"/>
      <c r="I344" s="303"/>
      <c r="J344" s="303"/>
      <c r="K344" s="303"/>
      <c r="L344" s="303"/>
      <c r="M344" s="303"/>
      <c r="N344" s="303"/>
      <c r="O344" s="303"/>
    </row>
    <row r="345" spans="1:16" ht="30" x14ac:dyDescent="0.25">
      <c r="A345" s="70"/>
      <c r="B345" s="70"/>
      <c r="C345" s="63">
        <v>45484</v>
      </c>
      <c r="D345" s="63" t="s">
        <v>3765</v>
      </c>
      <c r="E345" s="64"/>
      <c r="F345" s="303"/>
      <c r="G345" s="303"/>
      <c r="H345" s="303"/>
      <c r="I345" s="303"/>
      <c r="J345" s="303"/>
      <c r="K345" s="303"/>
      <c r="L345" s="303"/>
      <c r="M345" s="303"/>
      <c r="N345" s="303"/>
      <c r="O345" s="303"/>
    </row>
    <row r="346" spans="1:16" x14ac:dyDescent="0.25">
      <c r="A346" s="70"/>
      <c r="B346" s="70"/>
      <c r="C346" s="63">
        <v>44197</v>
      </c>
      <c r="D346" s="63" t="s">
        <v>3432</v>
      </c>
      <c r="E346" s="64"/>
      <c r="F346" s="303"/>
      <c r="G346" s="303"/>
      <c r="H346" s="303"/>
      <c r="I346" s="303"/>
      <c r="J346" s="303"/>
      <c r="K346" s="303"/>
      <c r="L346" s="303"/>
      <c r="M346" s="303"/>
      <c r="N346" s="303"/>
      <c r="O346" s="303"/>
    </row>
    <row r="347" spans="1:16" x14ac:dyDescent="0.25">
      <c r="A347" s="70"/>
      <c r="B347" s="70"/>
      <c r="C347" s="63">
        <v>44198</v>
      </c>
      <c r="D347" s="63" t="s">
        <v>3433</v>
      </c>
      <c r="E347" s="64" t="s">
        <v>3562</v>
      </c>
      <c r="F347" s="303">
        <v>730000</v>
      </c>
      <c r="G347" s="303"/>
      <c r="H347" s="303"/>
      <c r="I347" s="303"/>
      <c r="J347" s="303"/>
      <c r="K347" s="303"/>
      <c r="L347" s="303"/>
      <c r="M347" s="303"/>
      <c r="N347" s="303"/>
      <c r="O347" s="303"/>
    </row>
    <row r="348" spans="1:16" x14ac:dyDescent="0.25">
      <c r="A348" s="70"/>
      <c r="B348" s="70"/>
      <c r="C348" s="63">
        <v>44232</v>
      </c>
      <c r="D348" s="63" t="s">
        <v>3766</v>
      </c>
      <c r="E348" s="64"/>
      <c r="F348" s="303"/>
      <c r="G348" s="303"/>
      <c r="H348" s="303"/>
      <c r="I348" s="303"/>
      <c r="J348" s="303"/>
      <c r="K348" s="303"/>
      <c r="L348" s="303"/>
      <c r="M348" s="303"/>
      <c r="N348" s="303"/>
      <c r="O348" s="303"/>
    </row>
    <row r="349" spans="1:16" ht="30" x14ac:dyDescent="0.25">
      <c r="A349" s="70"/>
      <c r="B349" s="70"/>
      <c r="C349" s="63">
        <v>45493</v>
      </c>
      <c r="D349" s="63" t="s">
        <v>3767</v>
      </c>
      <c r="E349" s="64"/>
      <c r="F349" s="303"/>
      <c r="G349" s="303"/>
      <c r="H349" s="303"/>
      <c r="I349" s="303"/>
      <c r="J349" s="303"/>
      <c r="K349" s="303"/>
      <c r="L349" s="303"/>
      <c r="M349" s="303"/>
      <c r="N349" s="303"/>
      <c r="O349" s="303"/>
    </row>
    <row r="350" spans="1:16" x14ac:dyDescent="0.25">
      <c r="A350" s="70"/>
      <c r="B350" s="70"/>
      <c r="C350" s="63">
        <v>44233</v>
      </c>
      <c r="D350" s="63" t="s">
        <v>3472</v>
      </c>
      <c r="E350" s="64"/>
      <c r="F350" s="303"/>
      <c r="G350" s="303"/>
      <c r="H350" s="303"/>
      <c r="I350" s="303"/>
      <c r="J350" s="303"/>
      <c r="K350" s="303"/>
      <c r="L350" s="303"/>
      <c r="M350" s="303"/>
      <c r="N350" s="303"/>
      <c r="O350" s="303"/>
    </row>
    <row r="351" spans="1:16" x14ac:dyDescent="0.25">
      <c r="A351" s="70"/>
      <c r="B351" s="70"/>
      <c r="C351" s="63"/>
      <c r="D351" s="65" t="s">
        <v>3634</v>
      </c>
      <c r="E351" s="64"/>
      <c r="F351" s="303"/>
      <c r="G351" s="303"/>
      <c r="H351" s="303"/>
      <c r="I351" s="303"/>
      <c r="J351" s="303"/>
      <c r="K351" s="303"/>
      <c r="L351" s="303"/>
      <c r="M351" s="303"/>
      <c r="N351" s="303"/>
      <c r="O351" s="303"/>
    </row>
    <row r="352" spans="1:16" x14ac:dyDescent="0.25">
      <c r="A352" s="70"/>
      <c r="B352" s="70"/>
      <c r="C352" s="63">
        <v>45499</v>
      </c>
      <c r="D352" s="63" t="s">
        <v>3420</v>
      </c>
      <c r="E352" s="64" t="s">
        <v>3562</v>
      </c>
      <c r="F352" s="303">
        <v>50000</v>
      </c>
      <c r="G352" s="303"/>
      <c r="H352" s="303"/>
      <c r="I352" s="303">
        <v>811000</v>
      </c>
      <c r="J352" s="303"/>
      <c r="K352" s="303"/>
      <c r="L352" s="303"/>
      <c r="M352" s="303"/>
      <c r="N352" s="303"/>
      <c r="O352" s="303"/>
      <c r="P352" s="60" t="s">
        <v>4503</v>
      </c>
    </row>
    <row r="353" spans="1:16" x14ac:dyDescent="0.25">
      <c r="A353" s="70"/>
      <c r="B353" s="70"/>
      <c r="C353" s="63">
        <v>44261</v>
      </c>
      <c r="D353" s="63" t="s">
        <v>3768</v>
      </c>
      <c r="E353" s="64" t="s">
        <v>3562</v>
      </c>
      <c r="F353" s="303">
        <v>30000</v>
      </c>
      <c r="G353" s="303">
        <v>0</v>
      </c>
      <c r="H353" s="303"/>
      <c r="I353" s="303"/>
      <c r="J353" s="303"/>
      <c r="K353" s="303"/>
      <c r="L353" s="303"/>
      <c r="M353" s="303"/>
      <c r="N353" s="303"/>
      <c r="O353" s="303"/>
    </row>
    <row r="354" spans="1:16" x14ac:dyDescent="0.25">
      <c r="A354" s="70"/>
      <c r="B354" s="70"/>
      <c r="C354" s="63">
        <v>44262</v>
      </c>
      <c r="D354" s="63" t="s">
        <v>3766</v>
      </c>
      <c r="E354" s="64" t="s">
        <v>3606</v>
      </c>
      <c r="F354" s="303">
        <v>100000</v>
      </c>
      <c r="G354" s="303"/>
      <c r="H354" s="303"/>
      <c r="I354" s="303"/>
      <c r="J354" s="303"/>
      <c r="K354" s="303"/>
      <c r="L354" s="303"/>
      <c r="M354" s="303"/>
      <c r="N354" s="303"/>
      <c r="O354" s="303"/>
    </row>
    <row r="355" spans="1:16" x14ac:dyDescent="0.25">
      <c r="A355" s="70"/>
      <c r="B355" s="70"/>
      <c r="C355" s="63"/>
      <c r="D355" s="63" t="s">
        <v>3748</v>
      </c>
      <c r="E355" s="64" t="s">
        <v>3562</v>
      </c>
      <c r="F355" s="303"/>
      <c r="G355" s="303"/>
      <c r="H355" s="303"/>
      <c r="I355" s="303"/>
      <c r="J355" s="303"/>
      <c r="K355" s="303"/>
      <c r="L355" s="303"/>
      <c r="M355" s="303"/>
      <c r="N355" s="303"/>
      <c r="O355" s="303"/>
      <c r="P355" s="60" t="s">
        <v>4497</v>
      </c>
    </row>
    <row r="356" spans="1:16" x14ac:dyDescent="0.25">
      <c r="A356" s="70"/>
      <c r="B356" s="70"/>
      <c r="C356" s="63"/>
      <c r="D356" s="63" t="s">
        <v>3434</v>
      </c>
      <c r="E356" s="64" t="s">
        <v>3562</v>
      </c>
      <c r="F356" s="303">
        <v>0</v>
      </c>
      <c r="G356" s="303">
        <v>660000</v>
      </c>
      <c r="H356" s="303"/>
      <c r="I356" s="303"/>
      <c r="J356" s="303"/>
      <c r="K356" s="303"/>
      <c r="L356" s="303"/>
      <c r="M356" s="303"/>
      <c r="N356" s="303"/>
      <c r="O356" s="303"/>
      <c r="P356" s="60" t="s">
        <v>3429</v>
      </c>
    </row>
    <row r="357" spans="1:16" x14ac:dyDescent="0.25">
      <c r="A357" s="70"/>
      <c r="B357" s="70"/>
      <c r="C357" s="63"/>
      <c r="D357" s="65" t="s">
        <v>3644</v>
      </c>
      <c r="E357" s="64"/>
      <c r="F357" s="303"/>
      <c r="G357" s="303"/>
      <c r="H357" s="303"/>
      <c r="I357" s="303"/>
      <c r="J357" s="303"/>
      <c r="K357" s="303"/>
      <c r="L357" s="303"/>
      <c r="M357" s="303"/>
      <c r="N357" s="303"/>
      <c r="O357" s="303"/>
    </row>
    <row r="358" spans="1:16" ht="30" x14ac:dyDescent="0.25">
      <c r="A358" s="70"/>
      <c r="B358" s="70"/>
      <c r="C358" s="63"/>
      <c r="D358" s="63" t="s">
        <v>3769</v>
      </c>
      <c r="E358" s="64" t="s">
        <v>3562</v>
      </c>
      <c r="F358" s="303">
        <v>0</v>
      </c>
      <c r="G358" s="303">
        <v>0</v>
      </c>
      <c r="H358" s="303">
        <v>500000</v>
      </c>
      <c r="I358" s="303"/>
      <c r="J358" s="303"/>
      <c r="K358" s="303"/>
      <c r="L358" s="303"/>
      <c r="M358" s="303"/>
      <c r="N358" s="303"/>
      <c r="O358" s="303"/>
      <c r="P358" s="60" t="s">
        <v>3429</v>
      </c>
    </row>
    <row r="359" spans="1:16" ht="30" x14ac:dyDescent="0.25">
      <c r="A359" s="70"/>
      <c r="B359" s="70"/>
      <c r="C359" s="63">
        <v>45493</v>
      </c>
      <c r="D359" s="63" t="s">
        <v>3767</v>
      </c>
      <c r="E359" s="64" t="s">
        <v>3692</v>
      </c>
      <c r="F359" s="303">
        <v>54800</v>
      </c>
      <c r="G359" s="303">
        <v>441200</v>
      </c>
      <c r="H359" s="303"/>
      <c r="I359" s="303"/>
      <c r="J359" s="303"/>
      <c r="K359" s="303"/>
      <c r="L359" s="303"/>
      <c r="M359" s="303"/>
      <c r="N359" s="303"/>
      <c r="O359" s="303"/>
      <c r="P359" s="60" t="s">
        <v>4506</v>
      </c>
    </row>
    <row r="360" spans="1:16" x14ac:dyDescent="0.25">
      <c r="A360" s="70"/>
      <c r="B360" s="70"/>
      <c r="C360" s="63">
        <v>44263</v>
      </c>
      <c r="D360" s="63" t="s">
        <v>3770</v>
      </c>
      <c r="E360" s="64" t="s">
        <v>3562</v>
      </c>
      <c r="F360" s="303">
        <v>600000</v>
      </c>
      <c r="G360" s="303">
        <v>600000</v>
      </c>
      <c r="H360" s="303"/>
      <c r="I360" s="303"/>
      <c r="J360" s="303"/>
      <c r="K360" s="303"/>
      <c r="L360" s="303"/>
      <c r="M360" s="303"/>
      <c r="N360" s="303"/>
      <c r="O360" s="303"/>
      <c r="P360" s="60" t="s">
        <v>4509</v>
      </c>
    </row>
    <row r="361" spans="1:16" x14ac:dyDescent="0.25">
      <c r="A361" s="70"/>
      <c r="B361" s="70"/>
      <c r="C361" s="63"/>
      <c r="D361" s="63"/>
      <c r="E361" s="64"/>
      <c r="F361" s="303"/>
      <c r="G361" s="303"/>
      <c r="H361" s="303"/>
      <c r="I361" s="303"/>
      <c r="J361" s="303"/>
      <c r="K361" s="303"/>
      <c r="L361" s="303"/>
      <c r="M361" s="303"/>
      <c r="N361" s="303"/>
      <c r="O361" s="303"/>
    </row>
    <row r="362" spans="1:16" x14ac:dyDescent="0.25">
      <c r="A362" s="70"/>
      <c r="B362" s="70"/>
      <c r="C362" s="63"/>
      <c r="D362" s="65" t="s">
        <v>3628</v>
      </c>
      <c r="E362" s="64"/>
      <c r="F362" s="303"/>
      <c r="G362" s="303"/>
      <c r="H362" s="303"/>
      <c r="I362" s="303"/>
      <c r="J362" s="303"/>
      <c r="K362" s="303"/>
      <c r="L362" s="303"/>
      <c r="M362" s="303"/>
      <c r="N362" s="303"/>
      <c r="O362" s="303"/>
    </row>
    <row r="363" spans="1:16" x14ac:dyDescent="0.25">
      <c r="A363" s="70"/>
      <c r="B363" s="70"/>
      <c r="C363" s="63"/>
      <c r="D363" s="65" t="s">
        <v>3649</v>
      </c>
      <c r="E363" s="64"/>
      <c r="F363" s="303"/>
      <c r="G363" s="303"/>
      <c r="H363" s="303"/>
      <c r="I363" s="303"/>
      <c r="J363" s="303"/>
      <c r="K363" s="303"/>
      <c r="L363" s="303"/>
      <c r="M363" s="303"/>
      <c r="N363" s="303"/>
      <c r="O363" s="303"/>
    </row>
    <row r="364" spans="1:16" x14ac:dyDescent="0.25">
      <c r="A364" s="70"/>
      <c r="B364" s="70"/>
      <c r="C364" s="63">
        <v>45480</v>
      </c>
      <c r="D364" s="63" t="s">
        <v>3413</v>
      </c>
      <c r="E364" s="64" t="s">
        <v>3606</v>
      </c>
      <c r="F364" s="303">
        <v>11950000</v>
      </c>
      <c r="G364" s="303"/>
      <c r="H364" s="303"/>
      <c r="I364" s="303"/>
      <c r="J364" s="303"/>
      <c r="K364" s="303"/>
      <c r="L364" s="303"/>
      <c r="M364" s="303"/>
      <c r="N364" s="303"/>
      <c r="O364" s="303"/>
    </row>
    <row r="365" spans="1:16" x14ac:dyDescent="0.25">
      <c r="A365" s="70"/>
      <c r="B365" s="70"/>
      <c r="C365" s="63">
        <v>45481</v>
      </c>
      <c r="D365" s="63" t="s">
        <v>3771</v>
      </c>
      <c r="E365" s="64"/>
      <c r="F365" s="303"/>
      <c r="G365" s="303"/>
      <c r="H365" s="303"/>
      <c r="I365" s="303"/>
      <c r="J365" s="303"/>
      <c r="K365" s="303"/>
      <c r="L365" s="303"/>
      <c r="M365" s="303"/>
      <c r="N365" s="303"/>
      <c r="O365" s="303"/>
    </row>
    <row r="366" spans="1:16" ht="30" x14ac:dyDescent="0.25">
      <c r="A366" s="70"/>
      <c r="B366" s="70"/>
      <c r="C366" s="63"/>
      <c r="D366" s="63" t="s">
        <v>3772</v>
      </c>
      <c r="E366" s="64" t="s">
        <v>3562</v>
      </c>
      <c r="F366" s="303"/>
      <c r="G366" s="303"/>
      <c r="H366" s="303"/>
      <c r="I366" s="303"/>
      <c r="J366" s="303"/>
      <c r="K366" s="303"/>
      <c r="L366" s="303"/>
      <c r="M366" s="303"/>
      <c r="N366" s="303"/>
      <c r="O366" s="303"/>
      <c r="P366" s="60" t="s">
        <v>4496</v>
      </c>
    </row>
    <row r="367" spans="1:16" ht="60" x14ac:dyDescent="0.25">
      <c r="A367" s="70"/>
      <c r="B367" s="70"/>
      <c r="C367" s="63"/>
      <c r="D367" s="63" t="s">
        <v>3773</v>
      </c>
      <c r="E367" s="64" t="s">
        <v>3562</v>
      </c>
      <c r="F367" s="303">
        <v>0</v>
      </c>
      <c r="G367" s="303">
        <v>0</v>
      </c>
      <c r="H367" s="303">
        <v>700000</v>
      </c>
      <c r="I367" s="303">
        <v>650000</v>
      </c>
      <c r="J367" s="303">
        <v>700000</v>
      </c>
      <c r="K367" s="303">
        <v>1550000</v>
      </c>
      <c r="L367" s="303">
        <v>1600000</v>
      </c>
      <c r="M367" s="303">
        <v>1650000</v>
      </c>
      <c r="N367" s="303">
        <v>1700000</v>
      </c>
      <c r="O367" s="303">
        <v>1750000</v>
      </c>
      <c r="P367" s="60" t="s">
        <v>4509</v>
      </c>
    </row>
    <row r="368" spans="1:16" x14ac:dyDescent="0.25">
      <c r="A368" s="70"/>
      <c r="B368" s="70"/>
      <c r="C368" s="63"/>
      <c r="D368" s="63" t="s">
        <v>3774</v>
      </c>
      <c r="E368" s="64" t="s">
        <v>3562</v>
      </c>
      <c r="F368" s="303"/>
      <c r="G368" s="303">
        <v>750000</v>
      </c>
      <c r="H368" s="303"/>
      <c r="I368" s="303"/>
      <c r="J368" s="303"/>
      <c r="K368" s="303"/>
      <c r="L368" s="303"/>
      <c r="M368" s="303"/>
      <c r="N368" s="303"/>
      <c r="O368" s="303"/>
      <c r="P368" s="60" t="s">
        <v>4509</v>
      </c>
    </row>
    <row r="369" spans="1:16" x14ac:dyDescent="0.25">
      <c r="A369" s="70"/>
      <c r="B369" s="70"/>
      <c r="C369" s="63"/>
      <c r="D369" s="63" t="s">
        <v>3775</v>
      </c>
      <c r="E369" s="64" t="s">
        <v>3562</v>
      </c>
      <c r="F369" s="303"/>
      <c r="G369" s="303">
        <v>0</v>
      </c>
      <c r="H369" s="303">
        <v>200000</v>
      </c>
      <c r="I369" s="303"/>
      <c r="J369" s="303"/>
      <c r="K369" s="303"/>
      <c r="L369" s="303"/>
      <c r="M369" s="303"/>
      <c r="N369" s="303"/>
      <c r="O369" s="303"/>
      <c r="P369" s="60" t="s">
        <v>4509</v>
      </c>
    </row>
    <row r="370" spans="1:16" ht="30" x14ac:dyDescent="0.25">
      <c r="A370" s="70"/>
      <c r="B370" s="70"/>
      <c r="C370" s="63">
        <v>45483</v>
      </c>
      <c r="D370" s="63" t="s">
        <v>3468</v>
      </c>
      <c r="E370" s="64" t="s">
        <v>3692</v>
      </c>
      <c r="F370" s="303">
        <f>1351300-768100+548700</f>
        <v>1131900</v>
      </c>
      <c r="G370" s="303"/>
      <c r="H370" s="303"/>
      <c r="I370" s="303"/>
      <c r="J370" s="303"/>
      <c r="K370" s="303"/>
      <c r="L370" s="303"/>
      <c r="M370" s="303"/>
      <c r="N370" s="303"/>
      <c r="O370" s="303"/>
    </row>
    <row r="371" spans="1:16" x14ac:dyDescent="0.25">
      <c r="A371" s="70"/>
      <c r="B371" s="70"/>
      <c r="C371" s="63">
        <v>44264</v>
      </c>
      <c r="D371" s="63" t="s">
        <v>3776</v>
      </c>
      <c r="E371" s="64" t="s">
        <v>3606</v>
      </c>
      <c r="F371" s="303">
        <v>250000</v>
      </c>
      <c r="G371" s="303"/>
      <c r="H371" s="303"/>
      <c r="I371" s="303"/>
      <c r="J371" s="303"/>
      <c r="K371" s="303"/>
      <c r="L371" s="303"/>
      <c r="M371" s="303"/>
      <c r="N371" s="303"/>
      <c r="O371" s="303"/>
    </row>
    <row r="372" spans="1:16" x14ac:dyDescent="0.25">
      <c r="A372" s="70"/>
      <c r="B372" s="70"/>
      <c r="C372" s="63">
        <v>44265</v>
      </c>
      <c r="D372" s="63" t="s">
        <v>3777</v>
      </c>
      <c r="E372" s="64" t="s">
        <v>3562</v>
      </c>
      <c r="F372" s="303">
        <v>645000</v>
      </c>
      <c r="G372" s="303"/>
      <c r="H372" s="303"/>
      <c r="I372" s="303"/>
      <c r="J372" s="303"/>
      <c r="K372" s="303"/>
      <c r="L372" s="303"/>
      <c r="M372" s="303"/>
      <c r="N372" s="303"/>
      <c r="O372" s="303"/>
    </row>
    <row r="373" spans="1:16" x14ac:dyDescent="0.25">
      <c r="A373" s="70"/>
      <c r="B373" s="70"/>
      <c r="C373" s="63"/>
      <c r="D373" s="65" t="s">
        <v>3666</v>
      </c>
      <c r="E373" s="64"/>
      <c r="F373" s="303"/>
      <c r="G373" s="303"/>
      <c r="H373" s="303"/>
      <c r="I373" s="303"/>
      <c r="J373" s="303"/>
      <c r="K373" s="303"/>
      <c r="L373" s="303"/>
      <c r="M373" s="303"/>
      <c r="N373" s="303"/>
      <c r="O373" s="303"/>
    </row>
    <row r="374" spans="1:16" x14ac:dyDescent="0.25">
      <c r="A374" s="70"/>
      <c r="B374" s="70"/>
      <c r="C374" s="63">
        <v>44194</v>
      </c>
      <c r="D374" s="63" t="s">
        <v>3778</v>
      </c>
      <c r="E374" s="64"/>
      <c r="F374" s="303"/>
      <c r="G374" s="303"/>
      <c r="H374" s="303"/>
      <c r="I374" s="303"/>
      <c r="J374" s="303"/>
      <c r="K374" s="303"/>
      <c r="L374" s="303"/>
      <c r="M374" s="303"/>
      <c r="N374" s="303"/>
      <c r="O374" s="303"/>
    </row>
    <row r="375" spans="1:16" ht="30" x14ac:dyDescent="0.25">
      <c r="A375" s="70"/>
      <c r="B375" s="70"/>
      <c r="C375" s="63">
        <v>44196</v>
      </c>
      <c r="D375" s="63" t="s">
        <v>3779</v>
      </c>
      <c r="E375" s="64"/>
      <c r="F375" s="303"/>
      <c r="G375" s="303"/>
      <c r="H375" s="303"/>
      <c r="I375" s="303"/>
      <c r="J375" s="303"/>
      <c r="K375" s="303"/>
      <c r="L375" s="303"/>
      <c r="M375" s="303"/>
      <c r="N375" s="303"/>
      <c r="O375" s="303"/>
    </row>
    <row r="376" spans="1:16" x14ac:dyDescent="0.25">
      <c r="A376" s="70"/>
      <c r="B376" s="70"/>
      <c r="C376" s="63"/>
      <c r="D376" s="63" t="s">
        <v>3780</v>
      </c>
      <c r="E376" s="64" t="s">
        <v>3562</v>
      </c>
      <c r="F376" s="303"/>
      <c r="G376" s="303"/>
      <c r="H376" s="303"/>
      <c r="I376" s="303"/>
      <c r="J376" s="303"/>
      <c r="K376" s="303"/>
      <c r="L376" s="303"/>
      <c r="M376" s="303"/>
      <c r="N376" s="303"/>
      <c r="O376" s="303"/>
    </row>
    <row r="377" spans="1:16" x14ac:dyDescent="0.25">
      <c r="A377" s="70"/>
      <c r="B377" s="70"/>
      <c r="C377" s="63"/>
      <c r="D377" s="63" t="s">
        <v>3630</v>
      </c>
      <c r="E377" s="64" t="s">
        <v>3562</v>
      </c>
      <c r="F377" s="303"/>
      <c r="G377" s="303"/>
      <c r="H377" s="303"/>
      <c r="I377" s="303"/>
      <c r="J377" s="303"/>
      <c r="K377" s="303"/>
      <c r="L377" s="303"/>
      <c r="M377" s="303"/>
      <c r="N377" s="303"/>
      <c r="O377" s="303"/>
    </row>
    <row r="378" spans="1:16" x14ac:dyDescent="0.25">
      <c r="A378" s="70"/>
      <c r="B378" s="70"/>
      <c r="C378" s="63">
        <v>44266</v>
      </c>
      <c r="D378" s="63" t="s">
        <v>3781</v>
      </c>
      <c r="E378" s="64" t="s">
        <v>3562</v>
      </c>
      <c r="F378" s="303">
        <f>2841400-152600-F384-F385-F386-F387-F388</f>
        <v>0</v>
      </c>
      <c r="G378" s="303"/>
      <c r="H378" s="303"/>
      <c r="I378" s="303"/>
      <c r="J378" s="303"/>
      <c r="K378" s="303"/>
      <c r="L378" s="303"/>
      <c r="M378" s="303"/>
      <c r="N378" s="303"/>
      <c r="O378" s="303"/>
    </row>
    <row r="379" spans="1:16" x14ac:dyDescent="0.25">
      <c r="A379" s="70"/>
      <c r="B379" s="70"/>
      <c r="C379" s="63"/>
      <c r="D379" s="65" t="s">
        <v>3718</v>
      </c>
      <c r="E379" s="64"/>
      <c r="F379" s="303"/>
      <c r="G379" s="303"/>
      <c r="H379" s="303"/>
      <c r="I379" s="303"/>
      <c r="J379" s="303"/>
      <c r="K379" s="303"/>
      <c r="L379" s="303"/>
      <c r="M379" s="303"/>
      <c r="N379" s="303"/>
      <c r="O379" s="303"/>
    </row>
    <row r="380" spans="1:16" x14ac:dyDescent="0.25">
      <c r="A380" s="70"/>
      <c r="B380" s="70"/>
      <c r="C380" s="63"/>
      <c r="D380" s="63" t="s">
        <v>3782</v>
      </c>
      <c r="E380" s="64" t="s">
        <v>3562</v>
      </c>
      <c r="F380" s="303"/>
      <c r="G380" s="303"/>
      <c r="H380" s="303"/>
      <c r="I380" s="303"/>
      <c r="J380" s="303"/>
      <c r="K380" s="303"/>
      <c r="L380" s="303"/>
      <c r="M380" s="303"/>
      <c r="N380" s="303"/>
      <c r="O380" s="303"/>
      <c r="P380" s="60" t="s">
        <v>4497</v>
      </c>
    </row>
    <row r="381" spans="1:16" x14ac:dyDescent="0.25">
      <c r="A381" s="70"/>
      <c r="B381" s="70"/>
      <c r="C381" s="63"/>
      <c r="D381" s="63" t="s">
        <v>3783</v>
      </c>
      <c r="E381" s="64" t="s">
        <v>3562</v>
      </c>
      <c r="F381" s="303"/>
      <c r="G381" s="303"/>
      <c r="H381" s="303">
        <v>535000</v>
      </c>
      <c r="I381" s="303"/>
      <c r="J381" s="303"/>
      <c r="K381" s="303"/>
      <c r="L381" s="303"/>
      <c r="M381" s="303"/>
      <c r="N381" s="303"/>
      <c r="O381" s="303"/>
      <c r="P381" s="60" t="s">
        <v>4509</v>
      </c>
    </row>
    <row r="382" spans="1:16" x14ac:dyDescent="0.25">
      <c r="A382" s="70"/>
      <c r="B382" s="70"/>
      <c r="C382" s="63"/>
      <c r="D382" s="65" t="s">
        <v>3667</v>
      </c>
      <c r="E382" s="64"/>
      <c r="F382" s="303"/>
      <c r="G382" s="303"/>
      <c r="H382" s="303"/>
      <c r="I382" s="303"/>
      <c r="J382" s="303"/>
      <c r="K382" s="303"/>
      <c r="L382" s="303"/>
      <c r="M382" s="303"/>
      <c r="N382" s="303"/>
      <c r="O382" s="303"/>
    </row>
    <row r="383" spans="1:16" x14ac:dyDescent="0.25">
      <c r="A383" s="70"/>
      <c r="B383" s="70"/>
      <c r="C383" s="63"/>
      <c r="D383" s="63" t="s">
        <v>3784</v>
      </c>
      <c r="E383" s="64" t="s">
        <v>3562</v>
      </c>
      <c r="F383" s="303"/>
      <c r="G383" s="303"/>
      <c r="H383" s="303">
        <v>330000</v>
      </c>
      <c r="I383" s="303"/>
      <c r="J383" s="303"/>
      <c r="K383" s="303"/>
      <c r="L383" s="303"/>
      <c r="M383" s="303"/>
      <c r="N383" s="303"/>
      <c r="O383" s="303"/>
      <c r="P383" s="60" t="s">
        <v>4509</v>
      </c>
    </row>
    <row r="384" spans="1:16" x14ac:dyDescent="0.25">
      <c r="A384" s="70"/>
      <c r="B384" s="70"/>
      <c r="C384" s="63">
        <v>44268</v>
      </c>
      <c r="D384" s="63" t="s">
        <v>3785</v>
      </c>
      <c r="E384" s="64" t="s">
        <v>3562</v>
      </c>
      <c r="F384" s="303">
        <v>307200</v>
      </c>
      <c r="G384" s="303"/>
      <c r="H384" s="303"/>
      <c r="I384" s="303"/>
      <c r="J384" s="303"/>
      <c r="K384" s="303"/>
      <c r="L384" s="303"/>
      <c r="M384" s="303"/>
      <c r="N384" s="303"/>
      <c r="O384" s="303"/>
    </row>
    <row r="385" spans="1:16" x14ac:dyDescent="0.25">
      <c r="A385" s="70"/>
      <c r="B385" s="70"/>
      <c r="C385" s="63">
        <v>44269</v>
      </c>
      <c r="D385" s="63" t="s">
        <v>3786</v>
      </c>
      <c r="E385" s="64" t="s">
        <v>3562</v>
      </c>
      <c r="F385" s="303">
        <v>216000</v>
      </c>
      <c r="G385" s="303"/>
      <c r="H385" s="303"/>
      <c r="I385" s="303"/>
      <c r="J385" s="303"/>
      <c r="K385" s="303"/>
      <c r="L385" s="303"/>
      <c r="M385" s="303"/>
      <c r="N385" s="303"/>
      <c r="O385" s="303"/>
    </row>
    <row r="386" spans="1:16" x14ac:dyDescent="0.25">
      <c r="A386" s="70"/>
      <c r="B386" s="70"/>
      <c r="C386" s="63">
        <v>44270</v>
      </c>
      <c r="D386" s="63" t="s">
        <v>3787</v>
      </c>
      <c r="E386" s="64" t="s">
        <v>3562</v>
      </c>
      <c r="F386" s="303">
        <v>1040000</v>
      </c>
      <c r="G386" s="303"/>
      <c r="H386" s="303"/>
      <c r="I386" s="303"/>
      <c r="J386" s="303"/>
      <c r="K386" s="303"/>
      <c r="L386" s="303"/>
      <c r="M386" s="303"/>
      <c r="N386" s="303"/>
      <c r="O386" s="303"/>
    </row>
    <row r="387" spans="1:16" x14ac:dyDescent="0.25">
      <c r="A387" s="70"/>
      <c r="B387" s="70"/>
      <c r="C387" s="63">
        <v>44271</v>
      </c>
      <c r="D387" s="63" t="s">
        <v>3780</v>
      </c>
      <c r="E387" s="64" t="s">
        <v>3562</v>
      </c>
      <c r="F387" s="303">
        <v>466800</v>
      </c>
      <c r="G387" s="303"/>
      <c r="H387" s="303"/>
      <c r="I387" s="303"/>
      <c r="J387" s="303"/>
      <c r="K387" s="303"/>
      <c r="L387" s="303"/>
      <c r="M387" s="303"/>
      <c r="N387" s="303"/>
      <c r="O387" s="303"/>
    </row>
    <row r="388" spans="1:16" x14ac:dyDescent="0.25">
      <c r="A388" s="70"/>
      <c r="B388" s="70"/>
      <c r="C388" s="63">
        <v>44272</v>
      </c>
      <c r="D388" s="63" t="s">
        <v>3788</v>
      </c>
      <c r="E388" s="64" t="s">
        <v>3562</v>
      </c>
      <c r="F388" s="303">
        <f>503300+155500</f>
        <v>658800</v>
      </c>
      <c r="G388" s="303"/>
      <c r="H388" s="303"/>
      <c r="I388" s="303"/>
      <c r="J388" s="303"/>
      <c r="K388" s="303"/>
      <c r="L388" s="303"/>
      <c r="M388" s="303"/>
      <c r="N388" s="303"/>
      <c r="O388" s="303"/>
    </row>
    <row r="389" spans="1:16" x14ac:dyDescent="0.25">
      <c r="A389" s="70"/>
      <c r="B389" s="70"/>
      <c r="C389" s="63"/>
      <c r="D389" s="65" t="s">
        <v>3732</v>
      </c>
      <c r="E389" s="64"/>
      <c r="F389" s="303"/>
      <c r="G389" s="303"/>
      <c r="H389" s="303"/>
      <c r="I389" s="303"/>
      <c r="J389" s="303"/>
      <c r="K389" s="303"/>
      <c r="L389" s="303"/>
      <c r="M389" s="303"/>
      <c r="N389" s="303"/>
      <c r="O389" s="303"/>
    </row>
    <row r="390" spans="1:16" ht="45" x14ac:dyDescent="0.25">
      <c r="A390" s="70"/>
      <c r="B390" s="70"/>
      <c r="C390" s="63">
        <v>45485</v>
      </c>
      <c r="D390" s="63" t="s">
        <v>3789</v>
      </c>
      <c r="E390" s="64" t="s">
        <v>3692</v>
      </c>
      <c r="F390" s="303">
        <f>1200000+200000</f>
        <v>1400000</v>
      </c>
      <c r="G390" s="303"/>
      <c r="H390" s="303"/>
      <c r="I390" s="303"/>
      <c r="J390" s="303"/>
      <c r="K390" s="303"/>
      <c r="L390" s="303"/>
      <c r="M390" s="303"/>
      <c r="N390" s="303"/>
      <c r="O390" s="303"/>
    </row>
    <row r="391" spans="1:16" x14ac:dyDescent="0.25">
      <c r="A391" s="70"/>
      <c r="B391" s="70"/>
      <c r="C391" s="63"/>
      <c r="D391" s="65" t="s">
        <v>3652</v>
      </c>
      <c r="E391" s="64"/>
      <c r="F391" s="303"/>
      <c r="G391" s="303"/>
      <c r="H391" s="303"/>
      <c r="I391" s="303"/>
      <c r="J391" s="303"/>
      <c r="K391" s="303"/>
      <c r="L391" s="303"/>
      <c r="M391" s="303"/>
      <c r="N391" s="303"/>
      <c r="O391" s="303"/>
    </row>
    <row r="392" spans="1:16" ht="45" x14ac:dyDescent="0.25">
      <c r="A392" s="70"/>
      <c r="B392" s="70"/>
      <c r="C392" s="63"/>
      <c r="D392" s="63" t="s">
        <v>3790</v>
      </c>
      <c r="E392" s="64" t="s">
        <v>3562</v>
      </c>
      <c r="F392" s="303"/>
      <c r="G392" s="303"/>
      <c r="H392" s="303">
        <v>0</v>
      </c>
      <c r="I392" s="303">
        <f>1450000-700000</f>
        <v>750000</v>
      </c>
      <c r="J392" s="303">
        <v>1200000</v>
      </c>
      <c r="K392" s="303">
        <v>300000</v>
      </c>
      <c r="L392" s="303">
        <v>400000</v>
      </c>
      <c r="M392" s="303">
        <v>250000</v>
      </c>
      <c r="N392" s="303">
        <v>200000</v>
      </c>
      <c r="O392" s="303">
        <v>450000</v>
      </c>
      <c r="P392" s="60" t="s">
        <v>4509</v>
      </c>
    </row>
    <row r="393" spans="1:16" ht="30" x14ac:dyDescent="0.25">
      <c r="A393" s="70"/>
      <c r="B393" s="70"/>
      <c r="C393" s="63"/>
      <c r="D393" s="63" t="s">
        <v>3791</v>
      </c>
      <c r="E393" s="64" t="s">
        <v>3562</v>
      </c>
      <c r="F393" s="303"/>
      <c r="G393" s="303"/>
      <c r="H393" s="303">
        <v>0</v>
      </c>
      <c r="I393" s="303"/>
      <c r="J393" s="303"/>
      <c r="K393" s="303"/>
      <c r="L393" s="303"/>
      <c r="M393" s="303"/>
      <c r="N393" s="303"/>
      <c r="O393" s="303"/>
    </row>
    <row r="394" spans="1:16" x14ac:dyDescent="0.25">
      <c r="A394" s="70"/>
      <c r="B394" s="70"/>
      <c r="C394" s="63"/>
      <c r="D394" s="63"/>
      <c r="E394" s="64"/>
      <c r="F394" s="303"/>
      <c r="G394" s="303"/>
      <c r="H394" s="303"/>
      <c r="I394" s="303"/>
      <c r="J394" s="303"/>
      <c r="K394" s="303"/>
      <c r="L394" s="303"/>
      <c r="M394" s="303"/>
      <c r="N394" s="303"/>
      <c r="O394" s="303"/>
    </row>
    <row r="395" spans="1:16" x14ac:dyDescent="0.25">
      <c r="A395" s="70"/>
      <c r="B395" s="70"/>
      <c r="C395" s="63"/>
      <c r="D395" s="65" t="s">
        <v>3792</v>
      </c>
      <c r="E395" s="64"/>
      <c r="F395" s="303"/>
      <c r="G395" s="303"/>
      <c r="H395" s="303"/>
      <c r="I395" s="303"/>
      <c r="J395" s="303"/>
      <c r="K395" s="303"/>
      <c r="L395" s="303"/>
      <c r="M395" s="303"/>
      <c r="N395" s="303"/>
      <c r="O395" s="303"/>
    </row>
    <row r="396" spans="1:16" ht="30" x14ac:dyDescent="0.25">
      <c r="A396" s="70"/>
      <c r="B396" s="70"/>
      <c r="C396" s="63">
        <v>44234</v>
      </c>
      <c r="D396" s="63" t="s">
        <v>3482</v>
      </c>
      <c r="E396" s="64"/>
      <c r="F396" s="303"/>
      <c r="G396" s="303"/>
      <c r="H396" s="303"/>
      <c r="I396" s="303"/>
      <c r="J396" s="303"/>
      <c r="K396" s="303"/>
      <c r="L396" s="303"/>
      <c r="M396" s="303"/>
      <c r="N396" s="303"/>
      <c r="O396" s="303"/>
    </row>
    <row r="397" spans="1:16" ht="30" x14ac:dyDescent="0.25">
      <c r="A397" s="70"/>
      <c r="B397" s="70"/>
      <c r="C397" s="63">
        <v>44210</v>
      </c>
      <c r="D397" s="63" t="s">
        <v>3483</v>
      </c>
      <c r="E397" s="64"/>
      <c r="F397" s="303"/>
      <c r="G397" s="303"/>
      <c r="H397" s="303"/>
      <c r="I397" s="303"/>
      <c r="J397" s="303"/>
      <c r="K397" s="303"/>
      <c r="L397" s="303"/>
      <c r="M397" s="303"/>
      <c r="N397" s="303"/>
      <c r="O397" s="303"/>
    </row>
    <row r="398" spans="1:16" x14ac:dyDescent="0.25">
      <c r="A398" s="70"/>
      <c r="B398" s="70"/>
      <c r="C398" s="63"/>
      <c r="D398" s="63"/>
      <c r="E398" s="64"/>
      <c r="F398" s="303"/>
      <c r="G398" s="303"/>
      <c r="H398" s="303"/>
      <c r="I398" s="303"/>
      <c r="J398" s="303"/>
      <c r="K398" s="303"/>
      <c r="L398" s="303"/>
      <c r="M398" s="303"/>
      <c r="N398" s="303"/>
      <c r="O398" s="303"/>
    </row>
    <row r="399" spans="1:16" x14ac:dyDescent="0.25">
      <c r="A399" s="70"/>
      <c r="B399" s="70"/>
      <c r="C399" s="63"/>
      <c r="D399" s="65" t="s">
        <v>3793</v>
      </c>
      <c r="E399" s="64"/>
      <c r="F399" s="303"/>
      <c r="G399" s="303"/>
      <c r="H399" s="303"/>
      <c r="I399" s="303"/>
      <c r="J399" s="303"/>
      <c r="K399" s="303"/>
      <c r="L399" s="303"/>
      <c r="M399" s="303"/>
      <c r="N399" s="303"/>
      <c r="O399" s="303"/>
    </row>
    <row r="400" spans="1:16" x14ac:dyDescent="0.25">
      <c r="A400" s="70"/>
      <c r="B400" s="70"/>
      <c r="C400" s="63">
        <v>44247</v>
      </c>
      <c r="D400" s="63" t="s">
        <v>3794</v>
      </c>
      <c r="E400" s="64"/>
      <c r="F400" s="303"/>
      <c r="G400" s="303"/>
      <c r="H400" s="303"/>
      <c r="I400" s="303"/>
      <c r="J400" s="303"/>
      <c r="K400" s="303"/>
      <c r="L400" s="303"/>
      <c r="M400" s="303"/>
      <c r="N400" s="303"/>
      <c r="O400" s="303"/>
    </row>
    <row r="401" spans="1:15" x14ac:dyDescent="0.25">
      <c r="A401" s="70"/>
      <c r="B401" s="70"/>
      <c r="C401" s="63"/>
      <c r="D401" s="65" t="s">
        <v>3649</v>
      </c>
      <c r="E401" s="64"/>
      <c r="F401" s="303"/>
      <c r="G401" s="303"/>
      <c r="H401" s="303"/>
      <c r="I401" s="303"/>
      <c r="J401" s="303"/>
      <c r="K401" s="303"/>
      <c r="L401" s="303"/>
      <c r="M401" s="303"/>
      <c r="N401" s="303"/>
      <c r="O401" s="303"/>
    </row>
    <row r="402" spans="1:15" ht="30" x14ac:dyDescent="0.25">
      <c r="A402" s="70"/>
      <c r="B402" s="70"/>
      <c r="C402" s="63">
        <v>45487</v>
      </c>
      <c r="D402" s="63" t="s">
        <v>3795</v>
      </c>
      <c r="E402" s="64" t="s">
        <v>3606</v>
      </c>
      <c r="F402" s="303">
        <f>2500000+200000</f>
        <v>2700000</v>
      </c>
      <c r="G402" s="303"/>
      <c r="H402" s="303"/>
      <c r="I402" s="303"/>
      <c r="J402" s="303"/>
      <c r="K402" s="303"/>
      <c r="L402" s="303"/>
      <c r="M402" s="303"/>
      <c r="N402" s="303"/>
      <c r="O402" s="303"/>
    </row>
    <row r="403" spans="1:15" x14ac:dyDescent="0.25">
      <c r="A403" s="70"/>
      <c r="B403" s="70"/>
      <c r="C403" s="63">
        <v>44267</v>
      </c>
      <c r="D403" s="63" t="s">
        <v>3796</v>
      </c>
      <c r="E403" s="64" t="s">
        <v>3606</v>
      </c>
      <c r="F403" s="303">
        <v>100000</v>
      </c>
      <c r="G403" s="303"/>
      <c r="H403" s="303"/>
      <c r="I403" s="303"/>
      <c r="J403" s="303"/>
      <c r="K403" s="303"/>
      <c r="L403" s="303"/>
      <c r="M403" s="303"/>
      <c r="N403" s="303"/>
      <c r="O403" s="303"/>
    </row>
    <row r="404" spans="1:15" x14ac:dyDescent="0.25">
      <c r="A404" s="70"/>
      <c r="B404" s="70"/>
      <c r="C404" s="63"/>
      <c r="D404" s="65" t="s">
        <v>3718</v>
      </c>
      <c r="E404" s="64"/>
      <c r="F404" s="303"/>
      <c r="G404" s="303"/>
      <c r="H404" s="303"/>
      <c r="I404" s="303"/>
      <c r="J404" s="303"/>
      <c r="K404" s="303"/>
      <c r="L404" s="303"/>
      <c r="M404" s="303"/>
      <c r="N404" s="303"/>
      <c r="O404" s="303"/>
    </row>
    <row r="405" spans="1:15" x14ac:dyDescent="0.25">
      <c r="A405" s="70"/>
      <c r="B405" s="70"/>
      <c r="C405" s="63"/>
      <c r="D405" s="65" t="s">
        <v>3667</v>
      </c>
      <c r="E405" s="64"/>
      <c r="F405" s="303"/>
      <c r="G405" s="303"/>
      <c r="H405" s="303"/>
      <c r="I405" s="303"/>
      <c r="J405" s="303"/>
      <c r="K405" s="303"/>
      <c r="L405" s="303"/>
      <c r="M405" s="303"/>
      <c r="N405" s="303"/>
      <c r="O405" s="303"/>
    </row>
    <row r="406" spans="1:15" ht="30" x14ac:dyDescent="0.25">
      <c r="A406" s="70"/>
      <c r="B406" s="70"/>
      <c r="C406" s="63"/>
      <c r="D406" s="63" t="s">
        <v>3797</v>
      </c>
      <c r="E406" s="64" t="s">
        <v>3690</v>
      </c>
      <c r="F406" s="303"/>
      <c r="G406" s="303"/>
      <c r="H406" s="303"/>
      <c r="I406" s="303"/>
      <c r="J406" s="303"/>
      <c r="K406" s="303"/>
      <c r="L406" s="303"/>
      <c r="M406" s="303"/>
      <c r="N406" s="303"/>
      <c r="O406" s="303"/>
    </row>
    <row r="407" spans="1:15" x14ac:dyDescent="0.25">
      <c r="A407" s="70"/>
      <c r="B407" s="70"/>
      <c r="C407" s="63"/>
      <c r="D407" s="65" t="s">
        <v>3669</v>
      </c>
      <c r="E407" s="64"/>
      <c r="F407" s="303"/>
      <c r="G407" s="303"/>
      <c r="H407" s="303"/>
      <c r="I407" s="303"/>
      <c r="J407" s="303"/>
      <c r="K407" s="303"/>
      <c r="L407" s="303"/>
      <c r="M407" s="303"/>
      <c r="N407" s="303"/>
      <c r="O407" s="303"/>
    </row>
    <row r="408" spans="1:15" x14ac:dyDescent="0.25">
      <c r="A408" s="70"/>
      <c r="B408" s="70"/>
      <c r="C408" s="63">
        <v>44103</v>
      </c>
      <c r="D408" s="63" t="s">
        <v>3798</v>
      </c>
      <c r="E408" s="64"/>
      <c r="F408" s="303"/>
      <c r="G408" s="303"/>
      <c r="H408" s="303"/>
      <c r="I408" s="303"/>
      <c r="J408" s="303"/>
      <c r="K408" s="303"/>
      <c r="L408" s="303"/>
      <c r="M408" s="303"/>
      <c r="N408" s="303"/>
      <c r="O408" s="303"/>
    </row>
    <row r="409" spans="1:15" x14ac:dyDescent="0.25">
      <c r="A409" s="70"/>
      <c r="B409" s="70"/>
      <c r="C409" s="63">
        <v>45489</v>
      </c>
      <c r="D409" s="63" t="s">
        <v>3799</v>
      </c>
      <c r="E409" s="64"/>
      <c r="F409" s="303"/>
      <c r="G409" s="303"/>
      <c r="H409" s="303"/>
      <c r="I409" s="303"/>
      <c r="J409" s="303"/>
      <c r="K409" s="303"/>
      <c r="L409" s="303"/>
      <c r="M409" s="303"/>
      <c r="N409" s="303"/>
      <c r="O409" s="303"/>
    </row>
    <row r="410" spans="1:15" x14ac:dyDescent="0.25">
      <c r="A410" s="70"/>
      <c r="B410" s="70"/>
      <c r="C410" s="63">
        <v>44207</v>
      </c>
      <c r="D410" s="63" t="s">
        <v>3800</v>
      </c>
      <c r="E410" s="64"/>
      <c r="F410" s="303"/>
      <c r="G410" s="303"/>
      <c r="H410" s="303"/>
      <c r="I410" s="303"/>
      <c r="J410" s="303"/>
      <c r="K410" s="303"/>
      <c r="L410" s="303"/>
      <c r="M410" s="303"/>
      <c r="N410" s="303"/>
      <c r="O410" s="303"/>
    </row>
    <row r="411" spans="1:15" x14ac:dyDescent="0.25">
      <c r="A411" s="70"/>
      <c r="B411" s="70"/>
      <c r="C411" s="63">
        <v>44212</v>
      </c>
      <c r="D411" s="63" t="s">
        <v>3801</v>
      </c>
      <c r="E411" s="64"/>
      <c r="F411" s="303"/>
      <c r="G411" s="303"/>
      <c r="H411" s="303"/>
      <c r="I411" s="303"/>
      <c r="J411" s="303"/>
      <c r="K411" s="303"/>
      <c r="L411" s="303"/>
      <c r="M411" s="303"/>
      <c r="N411" s="303"/>
      <c r="O411" s="303"/>
    </row>
    <row r="412" spans="1:15" x14ac:dyDescent="0.25">
      <c r="A412" s="70"/>
      <c r="B412" s="70"/>
      <c r="C412" s="63">
        <v>44243</v>
      </c>
      <c r="D412" s="63" t="s">
        <v>3802</v>
      </c>
      <c r="E412" s="64"/>
      <c r="F412" s="303"/>
      <c r="G412" s="303"/>
      <c r="H412" s="303"/>
      <c r="I412" s="303"/>
      <c r="J412" s="303"/>
      <c r="K412" s="303"/>
      <c r="L412" s="303"/>
      <c r="M412" s="303"/>
      <c r="N412" s="303"/>
      <c r="O412" s="303"/>
    </row>
    <row r="413" spans="1:15" x14ac:dyDescent="0.25">
      <c r="A413" s="70"/>
      <c r="B413" s="70"/>
      <c r="C413" s="63"/>
      <c r="D413" s="63"/>
      <c r="E413" s="64"/>
      <c r="F413" s="303"/>
      <c r="G413" s="303"/>
      <c r="H413" s="303"/>
      <c r="I413" s="303"/>
      <c r="J413" s="303"/>
      <c r="K413" s="303"/>
      <c r="L413" s="303"/>
      <c r="M413" s="303"/>
      <c r="N413" s="303"/>
      <c r="O413" s="303"/>
    </row>
    <row r="414" spans="1:15" x14ac:dyDescent="0.25">
      <c r="A414" s="70"/>
      <c r="B414" s="70"/>
      <c r="C414" s="63"/>
      <c r="D414" s="464" t="s">
        <v>4621</v>
      </c>
      <c r="E414" s="64" t="s">
        <v>3562</v>
      </c>
      <c r="F414" s="303"/>
      <c r="G414" s="303">
        <f>'reservecalc-internal'!B1526+'reservecalc-internal'!B1527+'reservecalc-internal'!B1528</f>
        <v>801500</v>
      </c>
      <c r="H414" s="303">
        <f>'reservecalc-internal'!C1526+'reservecalc-internal'!C1527+'reservecalc-internal'!C1528</f>
        <v>1539700</v>
      </c>
      <c r="I414" s="303">
        <f>'reservecalc-internal'!D1526+'reservecalc-internal'!D1527+'reservecalc-internal'!D1528</f>
        <v>2350100</v>
      </c>
      <c r="J414" s="303">
        <f>'reservecalc-internal'!E1526+'reservecalc-internal'!E1527+'reservecalc-internal'!E1528</f>
        <v>3238800</v>
      </c>
      <c r="K414" s="303">
        <f>'reservecalc-internal'!F1526+'reservecalc-internal'!F1527+'reservecalc-internal'!F1528</f>
        <v>3319700</v>
      </c>
      <c r="L414" s="303">
        <f>'reservecalc-internal'!G1526+'reservecalc-internal'!G1527+'reservecalc-internal'!G1528</f>
        <v>3402600</v>
      </c>
      <c r="M414" s="303">
        <f>'reservecalc-internal'!H1526+'reservecalc-internal'!H1527+'reservecalc-internal'!H1528</f>
        <v>3487900</v>
      </c>
      <c r="N414" s="303">
        <f>'reservecalc-internal'!I1526+'reservecalc-internal'!I1527+'reservecalc-internal'!I1528</f>
        <v>3575000</v>
      </c>
      <c r="O414" s="303">
        <f>'reservecalc-internal'!J1526+'reservecalc-internal'!J1527+'reservecalc-internal'!J1528</f>
        <v>3664400</v>
      </c>
    </row>
    <row r="415" spans="1:15" x14ac:dyDescent="0.25">
      <c r="A415" s="70"/>
      <c r="B415" s="70"/>
      <c r="C415" s="63"/>
      <c r="D415" s="63"/>
      <c r="E415" s="64"/>
      <c r="F415" s="303"/>
      <c r="G415" s="303"/>
      <c r="H415" s="303"/>
      <c r="I415" s="303"/>
      <c r="J415" s="303"/>
      <c r="K415" s="303"/>
      <c r="L415" s="303"/>
      <c r="M415" s="303"/>
      <c r="N415" s="303"/>
      <c r="O415" s="303"/>
    </row>
    <row r="416" spans="1:15" x14ac:dyDescent="0.25">
      <c r="A416" s="70"/>
      <c r="B416" s="70"/>
      <c r="C416" s="65"/>
      <c r="D416" s="61" t="s">
        <v>3803</v>
      </c>
      <c r="E416" s="64"/>
      <c r="F416" s="305">
        <f t="shared" ref="F416:O416" si="8">SUM(F111:F415)</f>
        <v>27107400</v>
      </c>
      <c r="G416" s="305">
        <f t="shared" si="8"/>
        <v>8951500</v>
      </c>
      <c r="H416" s="305">
        <f t="shared" si="8"/>
        <v>6856700</v>
      </c>
      <c r="I416" s="305">
        <f t="shared" si="8"/>
        <v>8116300</v>
      </c>
      <c r="J416" s="305">
        <f t="shared" si="8"/>
        <v>6625300</v>
      </c>
      <c r="K416" s="305">
        <f t="shared" si="8"/>
        <v>6980200</v>
      </c>
      <c r="L416" s="305">
        <f t="shared" si="8"/>
        <v>7038400</v>
      </c>
      <c r="M416" s="305">
        <f t="shared" si="8"/>
        <v>7199300</v>
      </c>
      <c r="N416" s="305">
        <f t="shared" si="8"/>
        <v>7596400</v>
      </c>
      <c r="O416" s="305">
        <f t="shared" si="8"/>
        <v>8105200</v>
      </c>
    </row>
    <row r="417" spans="1:16" x14ac:dyDescent="0.25">
      <c r="A417" s="70"/>
      <c r="B417" s="70"/>
      <c r="C417" s="65"/>
      <c r="D417" s="61"/>
      <c r="E417" s="64"/>
      <c r="F417" s="304"/>
      <c r="G417" s="304"/>
      <c r="H417" s="304"/>
      <c r="I417" s="304"/>
      <c r="J417" s="304"/>
      <c r="K417" s="304"/>
      <c r="L417" s="304"/>
      <c r="M417" s="304"/>
      <c r="N417" s="304"/>
      <c r="O417" s="304"/>
    </row>
    <row r="418" spans="1:16" x14ac:dyDescent="0.25">
      <c r="A418" s="70"/>
      <c r="B418" s="70"/>
      <c r="C418" s="63"/>
      <c r="D418" s="65" t="s">
        <v>3469</v>
      </c>
      <c r="E418" s="64"/>
      <c r="F418" s="303"/>
      <c r="G418" s="303"/>
      <c r="H418" s="303"/>
      <c r="I418" s="303"/>
      <c r="J418" s="303"/>
      <c r="K418" s="303"/>
      <c r="L418" s="303"/>
      <c r="M418" s="303"/>
      <c r="N418" s="303"/>
      <c r="O418" s="303"/>
    </row>
    <row r="419" spans="1:16" ht="45" x14ac:dyDescent="0.25">
      <c r="A419" s="70"/>
      <c r="B419" s="70"/>
      <c r="C419" s="63">
        <v>4802.1000000000004</v>
      </c>
      <c r="D419" s="63" t="s">
        <v>3484</v>
      </c>
      <c r="E419" s="64" t="s">
        <v>3562</v>
      </c>
      <c r="F419" s="303"/>
      <c r="G419" s="303">
        <v>298600</v>
      </c>
      <c r="H419" s="303">
        <v>306600</v>
      </c>
      <c r="I419" s="303">
        <v>316600</v>
      </c>
      <c r="J419" s="303">
        <v>329300</v>
      </c>
      <c r="K419" s="303">
        <v>342600</v>
      </c>
      <c r="L419" s="303">
        <v>356200</v>
      </c>
      <c r="M419" s="303">
        <v>370400</v>
      </c>
      <c r="N419" s="303">
        <v>385200</v>
      </c>
      <c r="O419" s="303"/>
    </row>
    <row r="420" spans="1:16" ht="45" x14ac:dyDescent="0.25">
      <c r="A420" s="70"/>
      <c r="B420" s="70"/>
      <c r="C420" s="63">
        <v>4821</v>
      </c>
      <c r="D420" s="63" t="s">
        <v>3485</v>
      </c>
      <c r="E420" s="64" t="s">
        <v>3562</v>
      </c>
      <c r="F420" s="303">
        <v>311000</v>
      </c>
      <c r="G420" s="303"/>
      <c r="H420" s="303"/>
      <c r="I420" s="303"/>
      <c r="J420" s="303"/>
      <c r="K420" s="303"/>
      <c r="L420" s="303"/>
      <c r="M420" s="303"/>
      <c r="N420" s="303"/>
      <c r="O420" s="303"/>
    </row>
    <row r="421" spans="1:16" x14ac:dyDescent="0.25">
      <c r="A421" s="70"/>
      <c r="B421" s="70"/>
      <c r="C421" s="63">
        <v>4822</v>
      </c>
      <c r="D421" s="63" t="s">
        <v>3804</v>
      </c>
      <c r="E421" s="64"/>
      <c r="F421" s="303"/>
      <c r="G421" s="303"/>
      <c r="H421" s="303"/>
      <c r="I421" s="303"/>
      <c r="J421" s="303"/>
      <c r="K421" s="303"/>
      <c r="L421" s="303"/>
      <c r="M421" s="303"/>
      <c r="N421" s="303"/>
      <c r="O421" s="303"/>
    </row>
    <row r="422" spans="1:16" ht="30" x14ac:dyDescent="0.25">
      <c r="A422" s="70"/>
      <c r="B422" s="70"/>
      <c r="C422" s="63">
        <v>4823</v>
      </c>
      <c r="D422" s="63" t="s">
        <v>3805</v>
      </c>
      <c r="E422" s="64"/>
      <c r="F422" s="303"/>
      <c r="G422" s="303"/>
      <c r="H422" s="303"/>
      <c r="I422" s="303"/>
      <c r="J422" s="303"/>
      <c r="K422" s="303"/>
      <c r="L422" s="303"/>
      <c r="M422" s="303"/>
      <c r="N422" s="303"/>
      <c r="O422" s="303"/>
    </row>
    <row r="423" spans="1:16" x14ac:dyDescent="0.25">
      <c r="A423" s="70"/>
      <c r="B423" s="70"/>
      <c r="C423" s="63">
        <v>4824</v>
      </c>
      <c r="D423" s="63" t="s">
        <v>3806</v>
      </c>
      <c r="E423" s="64" t="s">
        <v>3562</v>
      </c>
      <c r="F423" s="303">
        <v>60000</v>
      </c>
      <c r="G423" s="303"/>
      <c r="H423" s="303"/>
      <c r="I423" s="303"/>
      <c r="J423" s="303"/>
      <c r="K423" s="303"/>
      <c r="L423" s="303"/>
      <c r="M423" s="303"/>
      <c r="N423" s="303"/>
      <c r="O423" s="303"/>
    </row>
    <row r="424" spans="1:16" x14ac:dyDescent="0.25">
      <c r="A424" s="70"/>
      <c r="B424" s="70"/>
      <c r="C424" s="63"/>
      <c r="D424" s="63"/>
      <c r="E424" s="64"/>
      <c r="F424" s="303"/>
      <c r="G424" s="303"/>
      <c r="H424" s="303"/>
      <c r="I424" s="303"/>
      <c r="J424" s="303"/>
      <c r="K424" s="303"/>
      <c r="L424" s="303"/>
      <c r="M424" s="303"/>
      <c r="N424" s="303"/>
      <c r="O424" s="303"/>
    </row>
    <row r="425" spans="1:16" x14ac:dyDescent="0.25">
      <c r="A425" s="70"/>
      <c r="B425" s="70"/>
      <c r="C425" s="65"/>
      <c r="D425" s="65" t="s">
        <v>3807</v>
      </c>
      <c r="E425" s="64"/>
      <c r="F425" s="305">
        <f t="shared" ref="F425:O425" si="9">SUM(F419:F424)</f>
        <v>371000</v>
      </c>
      <c r="G425" s="305">
        <f t="shared" si="9"/>
        <v>298600</v>
      </c>
      <c r="H425" s="305">
        <f t="shared" si="9"/>
        <v>306600</v>
      </c>
      <c r="I425" s="305">
        <f t="shared" si="9"/>
        <v>316600</v>
      </c>
      <c r="J425" s="305">
        <f t="shared" si="9"/>
        <v>329300</v>
      </c>
      <c r="K425" s="305">
        <f t="shared" si="9"/>
        <v>342600</v>
      </c>
      <c r="L425" s="305">
        <f t="shared" si="9"/>
        <v>356200</v>
      </c>
      <c r="M425" s="305">
        <f t="shared" si="9"/>
        <v>370400</v>
      </c>
      <c r="N425" s="305">
        <f t="shared" si="9"/>
        <v>385200</v>
      </c>
      <c r="O425" s="305">
        <f t="shared" si="9"/>
        <v>0</v>
      </c>
    </row>
    <row r="426" spans="1:16" x14ac:dyDescent="0.25">
      <c r="A426" s="70"/>
      <c r="B426" s="70"/>
      <c r="C426" s="63"/>
      <c r="D426" s="63"/>
      <c r="E426" s="64"/>
      <c r="F426" s="303"/>
      <c r="G426" s="303"/>
      <c r="H426" s="303"/>
      <c r="I426" s="303"/>
      <c r="J426" s="303"/>
      <c r="K426" s="303"/>
      <c r="L426" s="303"/>
      <c r="M426" s="303"/>
      <c r="N426" s="303"/>
      <c r="O426" s="303"/>
    </row>
    <row r="427" spans="1:16" x14ac:dyDescent="0.25">
      <c r="A427" s="70"/>
      <c r="B427" s="70"/>
      <c r="C427" s="63"/>
      <c r="D427" s="61" t="s">
        <v>3808</v>
      </c>
      <c r="E427" s="64"/>
      <c r="F427" s="303"/>
      <c r="G427" s="303"/>
      <c r="H427" s="303"/>
      <c r="I427" s="303"/>
      <c r="J427" s="303"/>
      <c r="K427" s="303"/>
      <c r="L427" s="303"/>
      <c r="M427" s="303"/>
      <c r="N427" s="303"/>
      <c r="O427" s="303"/>
    </row>
    <row r="428" spans="1:16" x14ac:dyDescent="0.25">
      <c r="A428" s="70"/>
      <c r="B428" s="70"/>
      <c r="C428" s="63"/>
      <c r="D428" s="61" t="s">
        <v>3649</v>
      </c>
      <c r="E428" s="64"/>
      <c r="F428" s="303"/>
      <c r="G428" s="303"/>
      <c r="H428" s="303"/>
      <c r="I428" s="303"/>
      <c r="J428" s="303"/>
      <c r="K428" s="303"/>
      <c r="L428" s="303"/>
      <c r="M428" s="303"/>
      <c r="N428" s="303"/>
      <c r="O428" s="303"/>
    </row>
    <row r="429" spans="1:16" x14ac:dyDescent="0.25">
      <c r="A429" s="70"/>
      <c r="B429" s="70"/>
      <c r="C429" s="63">
        <v>4835.1149999999998</v>
      </c>
      <c r="D429" s="63" t="s">
        <v>3809</v>
      </c>
      <c r="E429" s="69" t="s">
        <v>3692</v>
      </c>
      <c r="F429" s="303">
        <f>100000+350000</f>
        <v>450000</v>
      </c>
      <c r="G429" s="303">
        <v>100000</v>
      </c>
      <c r="H429" s="303">
        <v>100000</v>
      </c>
      <c r="I429" s="303">
        <v>100000</v>
      </c>
      <c r="J429" s="303">
        <v>100000</v>
      </c>
      <c r="K429" s="303">
        <v>100000</v>
      </c>
      <c r="L429" s="303">
        <v>100000</v>
      </c>
      <c r="M429" s="303"/>
      <c r="N429" s="303"/>
      <c r="O429" s="303"/>
      <c r="P429" s="60" t="s">
        <v>4420</v>
      </c>
    </row>
    <row r="430" spans="1:16" x14ac:dyDescent="0.25">
      <c r="A430" s="70"/>
      <c r="B430" s="70"/>
      <c r="C430" s="63">
        <v>4835.1310000000003</v>
      </c>
      <c r="D430" s="63" t="s">
        <v>3810</v>
      </c>
      <c r="E430" s="64"/>
      <c r="F430" s="303"/>
      <c r="G430" s="303"/>
      <c r="H430" s="303"/>
      <c r="I430" s="303"/>
      <c r="J430" s="303"/>
      <c r="K430" s="303"/>
      <c r="L430" s="303"/>
      <c r="M430" s="303"/>
      <c r="N430" s="303"/>
      <c r="O430" s="303"/>
    </row>
    <row r="431" spans="1:16" ht="30" x14ac:dyDescent="0.25">
      <c r="A431" s="70"/>
      <c r="B431" s="70"/>
      <c r="C431" s="67">
        <v>4835.13</v>
      </c>
      <c r="D431" s="63" t="s">
        <v>3811</v>
      </c>
      <c r="E431" s="64"/>
      <c r="F431" s="303"/>
      <c r="G431" s="303"/>
      <c r="H431" s="303"/>
      <c r="I431" s="303"/>
      <c r="J431" s="303"/>
      <c r="K431" s="303"/>
      <c r="L431" s="303"/>
      <c r="M431" s="303"/>
      <c r="N431" s="303"/>
      <c r="O431" s="303"/>
    </row>
    <row r="432" spans="1:16" ht="30" x14ac:dyDescent="0.25">
      <c r="A432" s="70"/>
      <c r="B432" s="70"/>
      <c r="C432" s="63">
        <v>4841.0010000000002</v>
      </c>
      <c r="D432" s="63" t="s">
        <v>3812</v>
      </c>
      <c r="E432" s="64" t="s">
        <v>3606</v>
      </c>
      <c r="F432" s="303">
        <v>53000</v>
      </c>
      <c r="G432" s="303">
        <v>57900</v>
      </c>
      <c r="H432" s="303">
        <v>59600</v>
      </c>
      <c r="I432" s="303">
        <v>61400</v>
      </c>
      <c r="J432" s="303">
        <v>63200</v>
      </c>
      <c r="K432" s="303">
        <v>65100</v>
      </c>
      <c r="L432" s="303">
        <v>67100</v>
      </c>
      <c r="M432" s="303">
        <v>70500</v>
      </c>
      <c r="N432" s="303">
        <v>70500</v>
      </c>
      <c r="O432" s="303">
        <v>70500</v>
      </c>
      <c r="P432" s="60" t="s">
        <v>4496</v>
      </c>
    </row>
    <row r="433" spans="1:16" x14ac:dyDescent="0.25">
      <c r="A433" s="70"/>
      <c r="B433" s="70"/>
      <c r="C433" s="67">
        <v>4835.1099999999997</v>
      </c>
      <c r="D433" s="63" t="s">
        <v>3813</v>
      </c>
      <c r="E433" s="64"/>
      <c r="F433" s="303"/>
      <c r="G433" s="303"/>
      <c r="H433" s="303"/>
      <c r="I433" s="303"/>
      <c r="J433" s="303"/>
      <c r="K433" s="303"/>
      <c r="L433" s="303"/>
      <c r="M433" s="303"/>
      <c r="N433" s="303"/>
      <c r="O433" s="303"/>
    </row>
    <row r="434" spans="1:16" ht="30" x14ac:dyDescent="0.25">
      <c r="A434" s="70"/>
      <c r="B434" s="70"/>
      <c r="C434" s="63">
        <v>4835.1239999999998</v>
      </c>
      <c r="D434" s="63" t="s">
        <v>3814</v>
      </c>
      <c r="E434" s="64"/>
      <c r="F434" s="303"/>
      <c r="G434" s="303"/>
      <c r="H434" s="303"/>
      <c r="I434" s="303"/>
      <c r="J434" s="303"/>
      <c r="K434" s="303"/>
      <c r="L434" s="303"/>
      <c r="M434" s="303"/>
      <c r="N434" s="303"/>
      <c r="O434" s="303"/>
    </row>
    <row r="435" spans="1:16" x14ac:dyDescent="0.25">
      <c r="A435" s="70"/>
      <c r="B435" s="70"/>
      <c r="C435" s="63">
        <v>4835.125</v>
      </c>
      <c r="D435" s="63" t="s">
        <v>3815</v>
      </c>
      <c r="E435" s="64"/>
      <c r="F435" s="303"/>
      <c r="G435" s="303"/>
      <c r="H435" s="303"/>
      <c r="I435" s="303"/>
      <c r="J435" s="303"/>
      <c r="K435" s="303"/>
      <c r="L435" s="303"/>
      <c r="M435" s="303"/>
      <c r="N435" s="303"/>
      <c r="O435" s="303"/>
    </row>
    <row r="436" spans="1:16" x14ac:dyDescent="0.25">
      <c r="A436" s="70"/>
      <c r="B436" s="70"/>
      <c r="C436" s="63">
        <v>4835.1229999999996</v>
      </c>
      <c r="D436" s="63" t="s">
        <v>3487</v>
      </c>
      <c r="E436" s="64"/>
      <c r="F436" s="303"/>
      <c r="G436" s="303"/>
      <c r="H436" s="303"/>
      <c r="I436" s="303"/>
      <c r="J436" s="303"/>
      <c r="K436" s="303"/>
      <c r="L436" s="303"/>
      <c r="M436" s="303"/>
      <c r="N436" s="303"/>
      <c r="O436" s="303"/>
    </row>
    <row r="437" spans="1:16" x14ac:dyDescent="0.25">
      <c r="A437" s="70"/>
      <c r="B437" s="70"/>
      <c r="C437" s="63">
        <v>4835.1279999999997</v>
      </c>
      <c r="D437" s="63" t="s">
        <v>3488</v>
      </c>
      <c r="E437" s="64"/>
      <c r="F437" s="303"/>
      <c r="G437" s="303"/>
      <c r="H437" s="303"/>
      <c r="I437" s="303"/>
      <c r="J437" s="303"/>
      <c r="K437" s="303"/>
      <c r="L437" s="303"/>
      <c r="M437" s="303"/>
      <c r="N437" s="303"/>
      <c r="O437" s="303"/>
    </row>
    <row r="438" spans="1:16" x14ac:dyDescent="0.25">
      <c r="A438" s="70"/>
      <c r="B438" s="70"/>
      <c r="C438" s="63">
        <v>4835.1289999999999</v>
      </c>
      <c r="D438" s="63" t="s">
        <v>3816</v>
      </c>
      <c r="E438" s="64"/>
      <c r="F438" s="303"/>
      <c r="G438" s="303"/>
      <c r="H438" s="303"/>
      <c r="I438" s="303"/>
      <c r="J438" s="303"/>
      <c r="K438" s="303"/>
      <c r="L438" s="303"/>
      <c r="M438" s="303"/>
      <c r="N438" s="303"/>
      <c r="O438" s="303"/>
    </row>
    <row r="439" spans="1:16" x14ac:dyDescent="0.25">
      <c r="A439" s="70"/>
      <c r="B439" s="70"/>
      <c r="C439" s="63">
        <v>4835.1319999999996</v>
      </c>
      <c r="D439" s="63" t="s">
        <v>3817</v>
      </c>
      <c r="E439" s="64"/>
      <c r="F439" s="303"/>
      <c r="G439" s="303"/>
      <c r="H439" s="303"/>
      <c r="I439" s="303"/>
      <c r="J439" s="303"/>
      <c r="K439" s="303"/>
      <c r="L439" s="303"/>
      <c r="M439" s="303"/>
      <c r="N439" s="303"/>
      <c r="O439" s="303"/>
    </row>
    <row r="440" spans="1:16" x14ac:dyDescent="0.25">
      <c r="A440" s="70"/>
      <c r="B440" s="70"/>
      <c r="C440" s="63">
        <v>4835.1329999999998</v>
      </c>
      <c r="D440" s="63" t="s">
        <v>3818</v>
      </c>
      <c r="E440" s="64"/>
      <c r="F440" s="303"/>
      <c r="G440" s="303"/>
      <c r="H440" s="303"/>
      <c r="I440" s="303"/>
      <c r="J440" s="303"/>
      <c r="K440" s="303"/>
      <c r="L440" s="303"/>
      <c r="M440" s="303"/>
      <c r="N440" s="303"/>
      <c r="O440" s="303"/>
    </row>
    <row r="441" spans="1:16" x14ac:dyDescent="0.25">
      <c r="A441" s="70"/>
      <c r="B441" s="70"/>
      <c r="C441" s="63">
        <v>4835.1360000000004</v>
      </c>
      <c r="D441" s="63" t="s">
        <v>3489</v>
      </c>
      <c r="E441" s="64"/>
      <c r="F441" s="303"/>
      <c r="G441" s="303"/>
      <c r="H441" s="303"/>
      <c r="I441" s="303"/>
      <c r="J441" s="303"/>
      <c r="K441" s="303"/>
      <c r="L441" s="303"/>
      <c r="M441" s="303"/>
      <c r="N441" s="303"/>
      <c r="O441" s="303"/>
    </row>
    <row r="442" spans="1:16" x14ac:dyDescent="0.25">
      <c r="A442" s="70"/>
      <c r="B442" s="70"/>
      <c r="C442" s="63"/>
      <c r="D442" s="63" t="s">
        <v>3502</v>
      </c>
      <c r="E442" s="64" t="s">
        <v>3606</v>
      </c>
      <c r="F442" s="303"/>
      <c r="G442" s="303"/>
      <c r="H442" s="303"/>
      <c r="I442" s="303">
        <v>200000</v>
      </c>
      <c r="J442" s="303"/>
      <c r="K442" s="303"/>
      <c r="L442" s="303"/>
      <c r="M442" s="303"/>
      <c r="N442" s="303"/>
      <c r="O442" s="303"/>
      <c r="P442" s="60" t="s">
        <v>4504</v>
      </c>
    </row>
    <row r="443" spans="1:16" x14ac:dyDescent="0.25">
      <c r="A443" s="70"/>
      <c r="B443" s="70"/>
      <c r="C443" s="63"/>
      <c r="D443" s="63" t="s">
        <v>3819</v>
      </c>
      <c r="E443" s="64"/>
      <c r="F443" s="303"/>
      <c r="G443" s="303"/>
      <c r="H443" s="303"/>
      <c r="I443" s="303"/>
      <c r="J443" s="303"/>
      <c r="K443" s="303"/>
      <c r="L443" s="303"/>
      <c r="M443" s="303"/>
      <c r="N443" s="303"/>
      <c r="O443" s="303"/>
    </row>
    <row r="444" spans="1:16" x14ac:dyDescent="0.25">
      <c r="A444" s="70"/>
      <c r="B444" s="70"/>
      <c r="C444" s="63"/>
      <c r="D444" s="63" t="s">
        <v>3491</v>
      </c>
      <c r="E444" s="64" t="s">
        <v>3692</v>
      </c>
      <c r="F444" s="303"/>
      <c r="G444" s="303"/>
      <c r="H444" s="303"/>
      <c r="I444" s="303"/>
      <c r="J444" s="303">
        <v>250000</v>
      </c>
      <c r="K444" s="303"/>
      <c r="L444" s="303"/>
      <c r="M444" s="303"/>
      <c r="N444" s="303"/>
      <c r="O444" s="303"/>
      <c r="P444" s="60" t="s">
        <v>4505</v>
      </c>
    </row>
    <row r="445" spans="1:16" ht="30" x14ac:dyDescent="0.25">
      <c r="A445" s="70"/>
      <c r="B445" s="70"/>
      <c r="C445" s="63">
        <v>4835.1490000000003</v>
      </c>
      <c r="D445" s="63" t="s">
        <v>3820</v>
      </c>
      <c r="E445" s="64" t="s">
        <v>3562</v>
      </c>
      <c r="F445" s="303">
        <v>60000</v>
      </c>
      <c r="G445" s="303">
        <v>60000</v>
      </c>
      <c r="H445" s="303">
        <v>60000</v>
      </c>
      <c r="I445" s="303">
        <v>60000</v>
      </c>
      <c r="J445" s="303">
        <v>60000</v>
      </c>
      <c r="K445" s="303"/>
      <c r="L445" s="303"/>
      <c r="M445" s="303"/>
      <c r="N445" s="303"/>
      <c r="O445" s="303"/>
      <c r="P445" s="60" t="s">
        <v>4508</v>
      </c>
    </row>
    <row r="446" spans="1:16" x14ac:dyDescent="0.25">
      <c r="A446" s="70"/>
      <c r="B446" s="70"/>
      <c r="C446" s="63">
        <v>4835.1530000000002</v>
      </c>
      <c r="D446" s="63" t="s">
        <v>3821</v>
      </c>
      <c r="E446" s="69" t="s">
        <v>3692</v>
      </c>
      <c r="F446" s="303">
        <v>20000</v>
      </c>
      <c r="G446" s="303"/>
      <c r="H446" s="303"/>
      <c r="I446" s="303"/>
      <c r="J446" s="303"/>
      <c r="K446" s="303"/>
      <c r="L446" s="303"/>
      <c r="M446" s="303"/>
      <c r="N446" s="303"/>
      <c r="O446" s="303"/>
    </row>
    <row r="447" spans="1:16" ht="30" x14ac:dyDescent="0.25">
      <c r="A447" s="70"/>
      <c r="B447" s="70"/>
      <c r="C447" s="63">
        <v>4835.1540000000005</v>
      </c>
      <c r="D447" s="63" t="s">
        <v>3822</v>
      </c>
      <c r="E447" s="69" t="s">
        <v>3692</v>
      </c>
      <c r="F447" s="303">
        <v>50000</v>
      </c>
      <c r="G447" s="303"/>
      <c r="H447" s="303"/>
      <c r="I447" s="303"/>
      <c r="J447" s="303"/>
      <c r="K447" s="303"/>
      <c r="L447" s="303"/>
      <c r="M447" s="303"/>
      <c r="N447" s="303"/>
      <c r="O447" s="303"/>
    </row>
    <row r="448" spans="1:16" x14ac:dyDescent="0.25">
      <c r="A448" s="70"/>
      <c r="B448" s="70"/>
      <c r="C448" s="63"/>
      <c r="D448" s="65" t="s">
        <v>3718</v>
      </c>
      <c r="E448" s="69"/>
      <c r="F448" s="303"/>
      <c r="G448" s="303"/>
      <c r="H448" s="303"/>
      <c r="I448" s="303"/>
      <c r="J448" s="303"/>
      <c r="K448" s="303"/>
      <c r="L448" s="303"/>
      <c r="M448" s="303"/>
      <c r="N448" s="303"/>
      <c r="O448" s="303"/>
    </row>
    <row r="449" spans="1:16" x14ac:dyDescent="0.25">
      <c r="A449" s="70"/>
      <c r="B449" s="70"/>
      <c r="C449" s="63"/>
      <c r="D449" s="63" t="s">
        <v>3823</v>
      </c>
      <c r="E449" s="69" t="s">
        <v>3606</v>
      </c>
      <c r="F449" s="303">
        <f>57000-57000</f>
        <v>0</v>
      </c>
      <c r="G449" s="303">
        <v>57000</v>
      </c>
      <c r="H449" s="303"/>
      <c r="I449" s="303"/>
      <c r="J449" s="303"/>
      <c r="K449" s="303"/>
      <c r="L449" s="303"/>
      <c r="M449" s="303"/>
      <c r="N449" s="303"/>
      <c r="O449" s="303"/>
      <c r="P449" s="60" t="s">
        <v>4420</v>
      </c>
    </row>
    <row r="450" spans="1:16" ht="30" x14ac:dyDescent="0.25">
      <c r="A450" s="70"/>
      <c r="B450" s="70"/>
      <c r="C450" s="63"/>
      <c r="D450" s="63" t="s">
        <v>3824</v>
      </c>
      <c r="E450" s="69" t="s">
        <v>3692</v>
      </c>
      <c r="F450" s="303">
        <f>47000-47000</f>
        <v>0</v>
      </c>
      <c r="G450" s="303">
        <v>47000</v>
      </c>
      <c r="H450" s="303"/>
      <c r="I450" s="303"/>
      <c r="J450" s="303"/>
      <c r="K450" s="303"/>
      <c r="L450" s="303"/>
      <c r="M450" s="303"/>
      <c r="N450" s="303"/>
      <c r="O450" s="303"/>
      <c r="P450" s="60" t="s">
        <v>4420</v>
      </c>
    </row>
    <row r="451" spans="1:16" ht="30" x14ac:dyDescent="0.25">
      <c r="A451" s="70"/>
      <c r="B451" s="70"/>
      <c r="C451" s="63">
        <v>4835.1549999999997</v>
      </c>
      <c r="D451" s="63" t="s">
        <v>3825</v>
      </c>
      <c r="E451" s="69" t="s">
        <v>3692</v>
      </c>
      <c r="F451" s="303">
        <v>47000</v>
      </c>
      <c r="G451" s="303"/>
      <c r="H451" s="303"/>
      <c r="I451" s="303"/>
      <c r="J451" s="303"/>
      <c r="K451" s="303"/>
      <c r="L451" s="303"/>
      <c r="M451" s="303"/>
      <c r="N451" s="303"/>
      <c r="O451" s="303"/>
    </row>
    <row r="452" spans="1:16" x14ac:dyDescent="0.25">
      <c r="A452" s="70"/>
      <c r="B452" s="70"/>
      <c r="C452" s="63">
        <v>4835.1459999999997</v>
      </c>
      <c r="D452" s="63" t="s">
        <v>3501</v>
      </c>
      <c r="E452" s="64" t="s">
        <v>3562</v>
      </c>
      <c r="F452" s="303">
        <v>30000</v>
      </c>
      <c r="G452" s="303"/>
      <c r="H452" s="303"/>
      <c r="I452" s="303"/>
      <c r="J452" s="303"/>
      <c r="K452" s="303"/>
      <c r="L452" s="303"/>
      <c r="M452" s="303"/>
      <c r="N452" s="303"/>
      <c r="O452" s="303"/>
    </row>
    <row r="453" spans="1:16" x14ac:dyDescent="0.25">
      <c r="A453" s="70"/>
      <c r="B453" s="70"/>
      <c r="C453" s="63">
        <v>4835.1559999999999</v>
      </c>
      <c r="D453" s="63" t="s">
        <v>3826</v>
      </c>
      <c r="E453" s="69" t="s">
        <v>3692</v>
      </c>
      <c r="F453" s="303">
        <v>57000</v>
      </c>
      <c r="G453" s="303"/>
      <c r="H453" s="303"/>
      <c r="I453" s="303"/>
      <c r="J453" s="303"/>
      <c r="K453" s="303"/>
      <c r="L453" s="303"/>
      <c r="M453" s="303"/>
      <c r="N453" s="303"/>
      <c r="O453" s="303"/>
    </row>
    <row r="454" spans="1:16" x14ac:dyDescent="0.25">
      <c r="A454" s="70"/>
      <c r="B454" s="70"/>
      <c r="C454" s="63">
        <v>4835.1570000000002</v>
      </c>
      <c r="D454" s="63" t="s">
        <v>3503</v>
      </c>
      <c r="E454" s="69" t="s">
        <v>3692</v>
      </c>
      <c r="F454" s="303">
        <v>30000</v>
      </c>
      <c r="G454" s="303"/>
      <c r="H454" s="303"/>
      <c r="I454" s="303"/>
      <c r="J454" s="303"/>
      <c r="K454" s="303"/>
      <c r="L454" s="303"/>
      <c r="M454" s="303"/>
      <c r="N454" s="303"/>
      <c r="O454" s="303"/>
    </row>
    <row r="455" spans="1:16" x14ac:dyDescent="0.25">
      <c r="A455" s="70"/>
      <c r="B455" s="70"/>
      <c r="C455" s="63"/>
      <c r="D455" s="65" t="s">
        <v>3667</v>
      </c>
      <c r="E455" s="69"/>
      <c r="F455" s="303"/>
      <c r="G455" s="303"/>
      <c r="H455" s="303"/>
      <c r="I455" s="303"/>
      <c r="J455" s="303"/>
      <c r="K455" s="303"/>
      <c r="L455" s="303"/>
      <c r="M455" s="303"/>
      <c r="N455" s="303"/>
      <c r="O455" s="303"/>
    </row>
    <row r="456" spans="1:16" ht="30" x14ac:dyDescent="0.25">
      <c r="A456" s="70"/>
      <c r="B456" s="70"/>
      <c r="C456" s="67">
        <v>4835.1400000000003</v>
      </c>
      <c r="D456" s="63" t="s">
        <v>3492</v>
      </c>
      <c r="E456" s="64" t="s">
        <v>3606</v>
      </c>
      <c r="F456" s="303">
        <v>37000</v>
      </c>
      <c r="G456" s="303"/>
      <c r="H456" s="303"/>
      <c r="I456" s="303"/>
      <c r="J456" s="303"/>
      <c r="K456" s="303"/>
      <c r="L456" s="303"/>
      <c r="M456" s="303"/>
      <c r="N456" s="303"/>
      <c r="O456" s="303"/>
    </row>
    <row r="457" spans="1:16" ht="30" x14ac:dyDescent="0.25">
      <c r="A457" s="70"/>
      <c r="B457" s="70"/>
      <c r="C457" s="63">
        <v>4835.1580000000004</v>
      </c>
      <c r="D457" s="63" t="s">
        <v>3493</v>
      </c>
      <c r="E457" s="64" t="s">
        <v>3692</v>
      </c>
      <c r="F457" s="303">
        <v>5000</v>
      </c>
      <c r="G457" s="303">
        <v>55000</v>
      </c>
      <c r="H457" s="303"/>
      <c r="I457" s="303"/>
      <c r="J457" s="303"/>
      <c r="K457" s="303"/>
      <c r="L457" s="303"/>
      <c r="M457" s="303"/>
      <c r="N457" s="303"/>
      <c r="O457" s="303"/>
      <c r="P457" s="60" t="s">
        <v>4505</v>
      </c>
    </row>
    <row r="458" spans="1:16" ht="30" x14ac:dyDescent="0.25">
      <c r="A458" s="70"/>
      <c r="B458" s="70"/>
      <c r="C458" s="63">
        <v>4835.1409999999996</v>
      </c>
      <c r="D458" s="63" t="s">
        <v>3494</v>
      </c>
      <c r="E458" s="64"/>
      <c r="F458" s="303"/>
      <c r="G458" s="303"/>
      <c r="H458" s="303"/>
      <c r="I458" s="303"/>
      <c r="J458" s="303"/>
      <c r="K458" s="303"/>
      <c r="L458" s="303"/>
      <c r="M458" s="303"/>
      <c r="N458" s="303"/>
      <c r="O458" s="303"/>
    </row>
    <row r="459" spans="1:16" x14ac:dyDescent="0.25">
      <c r="A459" s="70"/>
      <c r="B459" s="70"/>
      <c r="C459" s="63">
        <v>4835.1589999999997</v>
      </c>
      <c r="D459" s="63" t="s">
        <v>3827</v>
      </c>
      <c r="E459" s="69" t="s">
        <v>3562</v>
      </c>
      <c r="F459" s="303">
        <v>26000</v>
      </c>
      <c r="G459" s="303"/>
      <c r="H459" s="303"/>
      <c r="I459" s="303"/>
      <c r="J459" s="303"/>
      <c r="K459" s="303"/>
      <c r="L459" s="303"/>
      <c r="M459" s="303"/>
      <c r="N459" s="303"/>
      <c r="O459" s="303"/>
    </row>
    <row r="460" spans="1:16" x14ac:dyDescent="0.25">
      <c r="A460" s="70"/>
      <c r="B460" s="70"/>
      <c r="C460" s="67">
        <v>4835.16</v>
      </c>
      <c r="D460" s="63" t="s">
        <v>3828</v>
      </c>
      <c r="E460" s="69" t="s">
        <v>3606</v>
      </c>
      <c r="F460" s="303">
        <v>100000</v>
      </c>
      <c r="G460" s="303"/>
      <c r="H460" s="303"/>
      <c r="I460" s="303"/>
      <c r="J460" s="303"/>
      <c r="K460" s="303"/>
      <c r="L460" s="303"/>
      <c r="M460" s="303"/>
      <c r="N460" s="303"/>
      <c r="O460" s="303"/>
    </row>
    <row r="461" spans="1:16" x14ac:dyDescent="0.25">
      <c r="A461" s="70"/>
      <c r="B461" s="70"/>
      <c r="C461" s="63"/>
      <c r="D461" s="63" t="s">
        <v>3829</v>
      </c>
      <c r="E461" s="69" t="s">
        <v>3692</v>
      </c>
      <c r="F461" s="303"/>
      <c r="G461" s="303"/>
      <c r="H461" s="303"/>
      <c r="I461" s="303"/>
      <c r="J461" s="303"/>
      <c r="K461" s="303"/>
      <c r="L461" s="303"/>
      <c r="M461" s="303"/>
      <c r="N461" s="303"/>
      <c r="O461" s="303"/>
    </row>
    <row r="462" spans="1:16" x14ac:dyDescent="0.25">
      <c r="A462" s="70"/>
      <c r="B462" s="70"/>
      <c r="C462" s="63"/>
      <c r="D462" s="65" t="s">
        <v>3669</v>
      </c>
      <c r="E462" s="69"/>
      <c r="F462" s="303"/>
      <c r="G462" s="303"/>
      <c r="H462" s="303"/>
      <c r="I462" s="303"/>
      <c r="J462" s="303"/>
      <c r="K462" s="303"/>
      <c r="L462" s="303"/>
      <c r="M462" s="303"/>
      <c r="N462" s="303"/>
      <c r="O462" s="303"/>
    </row>
    <row r="463" spans="1:16" x14ac:dyDescent="0.25">
      <c r="A463" s="70"/>
      <c r="B463" s="70"/>
      <c r="C463" s="63">
        <v>4835.1610000000001</v>
      </c>
      <c r="D463" s="63" t="s">
        <v>3830</v>
      </c>
      <c r="E463" s="69" t="s">
        <v>3606</v>
      </c>
      <c r="F463" s="303">
        <v>5000</v>
      </c>
      <c r="G463" s="303">
        <v>5000</v>
      </c>
      <c r="H463" s="303">
        <v>35000</v>
      </c>
      <c r="I463" s="303"/>
      <c r="J463" s="303"/>
      <c r="K463" s="303"/>
      <c r="L463" s="303"/>
      <c r="M463" s="303"/>
      <c r="N463" s="303"/>
      <c r="O463" s="303"/>
      <c r="P463" s="60" t="s">
        <v>4496</v>
      </c>
    </row>
    <row r="464" spans="1:16" x14ac:dyDescent="0.25">
      <c r="A464" s="70"/>
      <c r="B464" s="70"/>
      <c r="C464" s="63">
        <v>4835.1620000000003</v>
      </c>
      <c r="D464" s="63" t="s">
        <v>3831</v>
      </c>
      <c r="E464" s="69" t="s">
        <v>3692</v>
      </c>
      <c r="F464" s="303">
        <v>30000</v>
      </c>
      <c r="G464" s="303"/>
      <c r="H464" s="303"/>
      <c r="I464" s="303"/>
      <c r="J464" s="303"/>
      <c r="K464" s="303"/>
      <c r="L464" s="303"/>
      <c r="M464" s="303"/>
      <c r="N464" s="303"/>
      <c r="O464" s="303"/>
    </row>
    <row r="465" spans="1:16" x14ac:dyDescent="0.25">
      <c r="A465" s="70"/>
      <c r="B465" s="70"/>
      <c r="C465" s="63"/>
      <c r="D465" s="63" t="s">
        <v>3832</v>
      </c>
      <c r="E465" s="69" t="s">
        <v>3692</v>
      </c>
      <c r="F465" s="303"/>
      <c r="G465" s="303"/>
      <c r="H465" s="303"/>
      <c r="I465" s="303"/>
      <c r="J465" s="303"/>
      <c r="K465" s="303"/>
      <c r="L465" s="303"/>
      <c r="M465" s="303"/>
      <c r="N465" s="303"/>
      <c r="O465" s="303"/>
    </row>
    <row r="466" spans="1:16" x14ac:dyDescent="0.25">
      <c r="A466" s="70"/>
      <c r="B466" s="70"/>
      <c r="C466" s="63">
        <v>4835.1629999999996</v>
      </c>
      <c r="D466" s="63" t="s">
        <v>3833</v>
      </c>
      <c r="E466" s="69" t="s">
        <v>3692</v>
      </c>
      <c r="F466" s="303">
        <v>25000</v>
      </c>
      <c r="G466" s="303"/>
      <c r="H466" s="303"/>
      <c r="I466" s="303"/>
      <c r="J466" s="303"/>
      <c r="K466" s="303"/>
      <c r="L466" s="303"/>
      <c r="M466" s="303"/>
      <c r="N466" s="303"/>
      <c r="O466" s="303"/>
    </row>
    <row r="467" spans="1:16" x14ac:dyDescent="0.25">
      <c r="A467" s="70"/>
      <c r="B467" s="70"/>
      <c r="C467" s="63">
        <v>4835.1329999999998</v>
      </c>
      <c r="D467" s="63" t="s">
        <v>3834</v>
      </c>
      <c r="E467" s="69" t="s">
        <v>3562</v>
      </c>
      <c r="F467" s="303">
        <f>150000+26000</f>
        <v>176000</v>
      </c>
      <c r="G467" s="303"/>
      <c r="H467" s="303"/>
      <c r="I467" s="303"/>
      <c r="J467" s="303"/>
      <c r="K467" s="303"/>
      <c r="L467" s="303"/>
      <c r="M467" s="303"/>
      <c r="N467" s="303"/>
      <c r="O467" s="303"/>
    </row>
    <row r="468" spans="1:16" x14ac:dyDescent="0.25">
      <c r="A468" s="70"/>
      <c r="B468" s="70"/>
      <c r="C468" s="63"/>
      <c r="D468" s="63" t="s">
        <v>3835</v>
      </c>
      <c r="E468" s="69" t="s">
        <v>3606</v>
      </c>
      <c r="F468" s="303"/>
      <c r="G468" s="303"/>
      <c r="H468" s="303"/>
      <c r="I468" s="303"/>
      <c r="J468" s="303"/>
      <c r="K468" s="303"/>
      <c r="L468" s="303"/>
      <c r="M468" s="303"/>
      <c r="N468" s="303"/>
      <c r="O468" s="303"/>
    </row>
    <row r="469" spans="1:16" x14ac:dyDescent="0.25">
      <c r="A469" s="70"/>
      <c r="B469" s="70"/>
      <c r="C469" s="63"/>
      <c r="D469" s="63" t="s">
        <v>3836</v>
      </c>
      <c r="E469" s="69" t="s">
        <v>3606</v>
      </c>
      <c r="F469" s="303"/>
      <c r="G469" s="303"/>
      <c r="H469" s="303"/>
      <c r="I469" s="303"/>
      <c r="J469" s="303"/>
      <c r="K469" s="303"/>
      <c r="L469" s="303"/>
      <c r="M469" s="303"/>
      <c r="N469" s="303"/>
      <c r="O469" s="303"/>
    </row>
    <row r="470" spans="1:16" x14ac:dyDescent="0.25">
      <c r="A470" s="70"/>
      <c r="B470" s="70"/>
      <c r="C470" s="63"/>
      <c r="D470" s="65" t="s">
        <v>3666</v>
      </c>
      <c r="E470" s="69"/>
      <c r="F470" s="303"/>
      <c r="G470" s="303"/>
      <c r="H470" s="303"/>
      <c r="I470" s="303"/>
      <c r="J470" s="303"/>
      <c r="K470" s="303"/>
      <c r="L470" s="303"/>
      <c r="M470" s="303"/>
      <c r="N470" s="303"/>
      <c r="O470" s="303"/>
    </row>
    <row r="471" spans="1:16" x14ac:dyDescent="0.25">
      <c r="A471" s="70"/>
      <c r="B471" s="70"/>
      <c r="C471" s="63"/>
      <c r="D471" s="63" t="s">
        <v>3837</v>
      </c>
      <c r="E471" s="69" t="s">
        <v>3606</v>
      </c>
      <c r="F471" s="303"/>
      <c r="G471" s="303"/>
      <c r="H471" s="303"/>
      <c r="I471" s="303"/>
      <c r="J471" s="303"/>
      <c r="K471" s="303"/>
      <c r="L471" s="303"/>
      <c r="M471" s="303"/>
      <c r="N471" s="303"/>
      <c r="O471" s="303"/>
    </row>
    <row r="472" spans="1:16" x14ac:dyDescent="0.25">
      <c r="A472" s="70"/>
      <c r="B472" s="70"/>
      <c r="C472" s="63">
        <v>4835.1639999999998</v>
      </c>
      <c r="D472" s="63" t="s">
        <v>3838</v>
      </c>
      <c r="E472" s="69" t="s">
        <v>3692</v>
      </c>
      <c r="F472" s="303">
        <v>41000</v>
      </c>
      <c r="G472" s="303"/>
      <c r="H472" s="303"/>
      <c r="I472" s="303"/>
      <c r="J472" s="303"/>
      <c r="K472" s="303"/>
      <c r="L472" s="303"/>
      <c r="M472" s="303"/>
      <c r="N472" s="303"/>
      <c r="O472" s="303"/>
    </row>
    <row r="473" spans="1:16" x14ac:dyDescent="0.25">
      <c r="A473" s="70"/>
      <c r="B473" s="70"/>
      <c r="C473" s="63">
        <v>4835.1440000000002</v>
      </c>
      <c r="D473" s="63" t="s">
        <v>3497</v>
      </c>
      <c r="E473" s="69" t="s">
        <v>3606</v>
      </c>
      <c r="F473" s="303">
        <v>8000</v>
      </c>
      <c r="G473" s="303"/>
      <c r="H473" s="303"/>
      <c r="I473" s="303"/>
      <c r="J473" s="303"/>
      <c r="K473" s="303"/>
      <c r="L473" s="303"/>
      <c r="M473" s="303"/>
      <c r="N473" s="303"/>
      <c r="O473" s="303"/>
    </row>
    <row r="474" spans="1:16" ht="30" x14ac:dyDescent="0.25">
      <c r="A474" s="70"/>
      <c r="B474" s="70"/>
      <c r="C474" s="63"/>
      <c r="D474" s="63" t="s">
        <v>3498</v>
      </c>
      <c r="E474" s="64" t="s">
        <v>3692</v>
      </c>
      <c r="F474" s="303"/>
      <c r="G474" s="303">
        <v>5000</v>
      </c>
      <c r="H474" s="303">
        <v>75000</v>
      </c>
      <c r="I474" s="303"/>
      <c r="J474" s="303"/>
      <c r="K474" s="303"/>
      <c r="L474" s="303"/>
      <c r="M474" s="303"/>
      <c r="N474" s="303"/>
      <c r="O474" s="303"/>
      <c r="P474" s="60" t="s">
        <v>4505</v>
      </c>
    </row>
    <row r="475" spans="1:16" x14ac:dyDescent="0.25">
      <c r="A475" s="70"/>
      <c r="B475" s="70"/>
      <c r="C475" s="63">
        <v>4835.1270000000004</v>
      </c>
      <c r="D475" s="63" t="s">
        <v>3839</v>
      </c>
      <c r="E475" s="69" t="s">
        <v>3606</v>
      </c>
      <c r="F475" s="303">
        <v>733000</v>
      </c>
      <c r="G475" s="303"/>
      <c r="H475" s="303">
        <v>0</v>
      </c>
      <c r="I475" s="303">
        <v>0</v>
      </c>
      <c r="J475" s="303">
        <v>0</v>
      </c>
      <c r="K475" s="303"/>
      <c r="L475" s="303"/>
      <c r="M475" s="303"/>
      <c r="N475" s="303"/>
      <c r="O475" s="303"/>
    </row>
    <row r="476" spans="1:16" ht="30" x14ac:dyDescent="0.25">
      <c r="A476" s="70"/>
      <c r="B476" s="70"/>
      <c r="C476" s="63">
        <v>4835.1450000000004</v>
      </c>
      <c r="D476" s="63" t="s">
        <v>3499</v>
      </c>
      <c r="E476" s="64" t="s">
        <v>3692</v>
      </c>
      <c r="F476" s="303">
        <v>15000</v>
      </c>
      <c r="G476" s="303">
        <v>15000</v>
      </c>
      <c r="H476" s="303">
        <v>15000</v>
      </c>
      <c r="I476" s="303"/>
      <c r="J476" s="303"/>
      <c r="K476" s="303"/>
      <c r="L476" s="303"/>
      <c r="M476" s="303"/>
      <c r="N476" s="303"/>
      <c r="O476" s="303"/>
      <c r="P476" s="60" t="s">
        <v>4505</v>
      </c>
    </row>
    <row r="477" spans="1:16" ht="45" x14ac:dyDescent="0.25">
      <c r="A477" s="70"/>
      <c r="B477" s="70"/>
      <c r="C477" s="63"/>
      <c r="D477" s="63" t="s">
        <v>3500</v>
      </c>
      <c r="E477" s="64" t="s">
        <v>3692</v>
      </c>
      <c r="F477" s="303"/>
      <c r="G477" s="303">
        <v>5000</v>
      </c>
      <c r="H477" s="303">
        <v>75000</v>
      </c>
      <c r="I477" s="303"/>
      <c r="J477" s="303"/>
      <c r="K477" s="303"/>
      <c r="L477" s="303"/>
      <c r="M477" s="303"/>
      <c r="N477" s="303"/>
      <c r="O477" s="303"/>
      <c r="P477" s="60" t="s">
        <v>4505</v>
      </c>
    </row>
    <row r="478" spans="1:16" x14ac:dyDescent="0.25">
      <c r="A478" s="70"/>
      <c r="B478" s="70"/>
      <c r="C478" s="63">
        <v>4835.1469999999999</v>
      </c>
      <c r="D478" s="63" t="s">
        <v>3840</v>
      </c>
      <c r="E478" s="64"/>
      <c r="F478" s="303"/>
      <c r="G478" s="303"/>
      <c r="H478" s="303"/>
      <c r="I478" s="303"/>
      <c r="J478" s="303"/>
      <c r="K478" s="303"/>
      <c r="L478" s="303"/>
      <c r="M478" s="303"/>
      <c r="N478" s="303"/>
      <c r="O478" s="303"/>
    </row>
    <row r="479" spans="1:16" ht="30" x14ac:dyDescent="0.25">
      <c r="A479" s="70"/>
      <c r="B479" s="70"/>
      <c r="C479" s="63">
        <v>4835.1260000000002</v>
      </c>
      <c r="D479" s="63" t="s">
        <v>3841</v>
      </c>
      <c r="E479" s="64"/>
      <c r="F479" s="303"/>
      <c r="G479" s="303"/>
      <c r="H479" s="303"/>
      <c r="I479" s="303"/>
      <c r="J479" s="303"/>
      <c r="K479" s="303"/>
      <c r="L479" s="303"/>
      <c r="M479" s="303"/>
      <c r="N479" s="303"/>
      <c r="O479" s="303"/>
    </row>
    <row r="480" spans="1:16" ht="30" x14ac:dyDescent="0.25">
      <c r="A480" s="70"/>
      <c r="B480" s="70"/>
      <c r="C480" s="63">
        <v>4835.1480000000001</v>
      </c>
      <c r="D480" s="63" t="s">
        <v>3842</v>
      </c>
      <c r="E480" s="64"/>
      <c r="F480" s="303"/>
      <c r="G480" s="306"/>
      <c r="H480" s="303"/>
      <c r="I480" s="303"/>
      <c r="J480" s="303"/>
      <c r="K480" s="303"/>
      <c r="L480" s="303"/>
      <c r="M480" s="303"/>
      <c r="N480" s="303"/>
      <c r="O480" s="303"/>
    </row>
    <row r="481" spans="1:16" ht="30" x14ac:dyDescent="0.25">
      <c r="A481" s="70"/>
      <c r="B481" s="70"/>
      <c r="C481" s="67">
        <v>4835.1499999999996</v>
      </c>
      <c r="D481" s="63" t="s">
        <v>3843</v>
      </c>
      <c r="E481" s="64"/>
      <c r="F481" s="303"/>
      <c r="G481" s="303"/>
      <c r="H481" s="303"/>
      <c r="I481" s="303"/>
      <c r="J481" s="303"/>
      <c r="K481" s="303"/>
      <c r="L481" s="303"/>
      <c r="M481" s="303"/>
      <c r="N481" s="303"/>
      <c r="O481" s="303"/>
    </row>
    <row r="482" spans="1:16" x14ac:dyDescent="0.25">
      <c r="A482" s="70"/>
      <c r="B482" s="70"/>
      <c r="C482" s="63">
        <v>4835.152</v>
      </c>
      <c r="D482" s="63" t="s">
        <v>3844</v>
      </c>
      <c r="E482" s="69" t="s">
        <v>3606</v>
      </c>
      <c r="F482" s="303">
        <f>55000+50000</f>
        <v>105000</v>
      </c>
      <c r="G482" s="303">
        <v>58000</v>
      </c>
      <c r="H482" s="303"/>
      <c r="I482" s="303"/>
      <c r="J482" s="303"/>
      <c r="K482" s="303"/>
      <c r="L482" s="303"/>
      <c r="M482" s="303"/>
      <c r="N482" s="303"/>
      <c r="O482" s="303"/>
      <c r="P482" s="60" t="s">
        <v>4507</v>
      </c>
    </row>
    <row r="483" spans="1:16" x14ac:dyDescent="0.25">
      <c r="A483" s="70"/>
      <c r="B483" s="70"/>
      <c r="C483" s="63"/>
      <c r="D483" s="63" t="s">
        <v>3845</v>
      </c>
      <c r="E483" s="69" t="s">
        <v>3606</v>
      </c>
      <c r="F483" s="303"/>
      <c r="G483" s="303"/>
      <c r="H483" s="303"/>
      <c r="I483" s="303"/>
      <c r="J483" s="303"/>
      <c r="K483" s="303"/>
      <c r="L483" s="303"/>
      <c r="M483" s="303"/>
      <c r="N483" s="303"/>
      <c r="O483" s="303"/>
    </row>
    <row r="484" spans="1:16" x14ac:dyDescent="0.25">
      <c r="A484" s="70"/>
      <c r="B484" s="70"/>
      <c r="C484" s="63"/>
      <c r="D484" s="63" t="s">
        <v>3846</v>
      </c>
      <c r="E484" s="69" t="s">
        <v>3606</v>
      </c>
      <c r="F484" s="303"/>
      <c r="G484" s="303"/>
      <c r="H484" s="303"/>
      <c r="I484" s="303"/>
      <c r="J484" s="303"/>
      <c r="K484" s="303"/>
      <c r="L484" s="303"/>
      <c r="M484" s="303"/>
      <c r="N484" s="303"/>
      <c r="O484" s="303"/>
    </row>
    <row r="485" spans="1:16" x14ac:dyDescent="0.25">
      <c r="A485" s="70"/>
      <c r="B485" s="70"/>
      <c r="C485" s="63"/>
      <c r="D485" s="63" t="s">
        <v>3847</v>
      </c>
      <c r="E485" s="69" t="s">
        <v>3606</v>
      </c>
      <c r="F485" s="303"/>
      <c r="G485" s="303"/>
      <c r="H485" s="303"/>
      <c r="I485" s="303"/>
      <c r="J485" s="303"/>
      <c r="K485" s="303"/>
      <c r="L485" s="303"/>
      <c r="M485" s="303"/>
      <c r="N485" s="303"/>
      <c r="O485" s="303"/>
    </row>
    <row r="486" spans="1:16" x14ac:dyDescent="0.25">
      <c r="A486" s="70"/>
      <c r="B486" s="70"/>
      <c r="C486" s="63">
        <v>4835.165</v>
      </c>
      <c r="D486" s="63" t="s">
        <v>3848</v>
      </c>
      <c r="E486" s="69" t="s">
        <v>3562</v>
      </c>
      <c r="F486" s="303">
        <v>332700</v>
      </c>
      <c r="G486" s="303"/>
      <c r="H486" s="303"/>
      <c r="I486" s="303"/>
      <c r="J486" s="303"/>
      <c r="K486" s="303"/>
      <c r="L486" s="303"/>
      <c r="M486" s="303"/>
      <c r="N486" s="303"/>
      <c r="O486" s="303"/>
    </row>
    <row r="487" spans="1:16" x14ac:dyDescent="0.25">
      <c r="A487" s="70"/>
      <c r="B487" s="70"/>
      <c r="C487" s="63"/>
      <c r="D487" s="65" t="s">
        <v>3849</v>
      </c>
      <c r="E487" s="69"/>
      <c r="F487" s="303"/>
      <c r="G487" s="303"/>
      <c r="H487" s="303"/>
      <c r="I487" s="303"/>
      <c r="J487" s="303"/>
      <c r="K487" s="303"/>
      <c r="L487" s="303"/>
      <c r="M487" s="303"/>
      <c r="N487" s="303"/>
      <c r="O487" s="303"/>
    </row>
    <row r="488" spans="1:16" x14ac:dyDescent="0.25">
      <c r="A488" s="70"/>
      <c r="B488" s="70"/>
      <c r="C488" s="63">
        <v>4835.1509999999998</v>
      </c>
      <c r="D488" s="63" t="s">
        <v>3850</v>
      </c>
      <c r="E488" s="64" t="s">
        <v>3562</v>
      </c>
      <c r="F488" s="303">
        <v>40000</v>
      </c>
      <c r="G488" s="303">
        <v>40000</v>
      </c>
      <c r="H488" s="303"/>
      <c r="I488" s="303"/>
      <c r="J488" s="303"/>
      <c r="K488" s="303"/>
      <c r="L488" s="303"/>
      <c r="M488" s="303"/>
      <c r="N488" s="303"/>
      <c r="O488" s="303"/>
      <c r="P488" s="60" t="s">
        <v>4506</v>
      </c>
    </row>
    <row r="489" spans="1:16" x14ac:dyDescent="0.25">
      <c r="A489" s="70"/>
      <c r="B489" s="70"/>
      <c r="C489" s="63">
        <v>4835.1390000000001</v>
      </c>
      <c r="D489" s="63" t="s">
        <v>3851</v>
      </c>
      <c r="E489" s="69" t="s">
        <v>3606</v>
      </c>
      <c r="F489" s="303"/>
      <c r="G489" s="303"/>
      <c r="H489" s="303"/>
      <c r="I489" s="303"/>
      <c r="J489" s="303"/>
      <c r="K489" s="303"/>
      <c r="L489" s="303"/>
      <c r="M489" s="303"/>
      <c r="N489" s="303"/>
      <c r="O489" s="303"/>
    </row>
    <row r="490" spans="1:16" x14ac:dyDescent="0.25">
      <c r="A490" s="70"/>
      <c r="B490" s="70"/>
      <c r="C490" s="63"/>
      <c r="D490" s="63" t="s">
        <v>3505</v>
      </c>
      <c r="E490" s="69" t="s">
        <v>3606</v>
      </c>
      <c r="F490" s="303"/>
      <c r="G490" s="303"/>
      <c r="H490" s="303"/>
      <c r="I490" s="303">
        <v>68000</v>
      </c>
      <c r="J490" s="303"/>
      <c r="K490" s="303"/>
      <c r="L490" s="303"/>
      <c r="M490" s="303"/>
      <c r="N490" s="303"/>
      <c r="O490" s="303"/>
      <c r="P490" s="60" t="s">
        <v>4505</v>
      </c>
    </row>
    <row r="491" spans="1:16" x14ac:dyDescent="0.25">
      <c r="A491" s="70"/>
      <c r="B491" s="70"/>
      <c r="C491" s="63"/>
      <c r="D491" s="63" t="s">
        <v>3852</v>
      </c>
      <c r="E491" s="69" t="s">
        <v>3606</v>
      </c>
      <c r="F491" s="303"/>
      <c r="G491" s="303"/>
      <c r="H491" s="303"/>
      <c r="I491" s="303"/>
      <c r="J491" s="303"/>
      <c r="K491" s="303"/>
      <c r="L491" s="303"/>
      <c r="M491" s="303"/>
      <c r="N491" s="303"/>
      <c r="O491" s="303"/>
      <c r="P491" s="60" t="s">
        <v>4496</v>
      </c>
    </row>
    <row r="492" spans="1:16" x14ac:dyDescent="0.25">
      <c r="A492" s="70"/>
      <c r="B492" s="70"/>
      <c r="C492" s="63"/>
      <c r="D492" s="63" t="s">
        <v>3853</v>
      </c>
      <c r="E492" s="69" t="s">
        <v>3692</v>
      </c>
      <c r="F492" s="303"/>
      <c r="G492" s="303"/>
      <c r="H492" s="303"/>
      <c r="I492" s="303"/>
      <c r="J492" s="303"/>
      <c r="K492" s="303"/>
      <c r="L492" s="303"/>
      <c r="M492" s="303"/>
      <c r="N492" s="303"/>
      <c r="O492" s="303"/>
      <c r="P492" s="60" t="s">
        <v>4496</v>
      </c>
    </row>
    <row r="493" spans="1:16" x14ac:dyDescent="0.25">
      <c r="A493" s="70"/>
      <c r="B493" s="70"/>
      <c r="C493" s="63">
        <v>4835.1660000000002</v>
      </c>
      <c r="D493" s="63" t="s">
        <v>3854</v>
      </c>
      <c r="E493" s="69" t="s">
        <v>3562</v>
      </c>
      <c r="F493" s="303">
        <v>26000</v>
      </c>
      <c r="G493" s="303"/>
      <c r="H493" s="303"/>
      <c r="I493" s="303"/>
      <c r="J493" s="303"/>
      <c r="K493" s="303"/>
      <c r="L493" s="303"/>
      <c r="M493" s="303"/>
      <c r="N493" s="303"/>
      <c r="O493" s="303"/>
    </row>
    <row r="494" spans="1:16" x14ac:dyDescent="0.25">
      <c r="A494" s="70"/>
      <c r="B494" s="70"/>
      <c r="C494" s="63"/>
      <c r="D494" s="63" t="s">
        <v>4599</v>
      </c>
      <c r="E494" s="64" t="s">
        <v>3562</v>
      </c>
      <c r="F494" s="303"/>
      <c r="G494" s="303"/>
      <c r="H494" s="303">
        <v>-78700</v>
      </c>
      <c r="I494" s="303"/>
      <c r="J494" s="303"/>
      <c r="K494" s="303"/>
      <c r="L494" s="303"/>
      <c r="M494" s="303"/>
      <c r="N494" s="303"/>
      <c r="O494" s="303"/>
    </row>
    <row r="495" spans="1:16" x14ac:dyDescent="0.25">
      <c r="A495" s="70"/>
      <c r="B495" s="70"/>
      <c r="C495" s="63"/>
      <c r="D495" s="63"/>
      <c r="E495" s="64"/>
      <c r="F495" s="303"/>
      <c r="G495" s="303"/>
      <c r="H495" s="303"/>
      <c r="I495" s="303"/>
      <c r="J495" s="303"/>
      <c r="K495" s="303"/>
      <c r="L495" s="303"/>
      <c r="M495" s="303"/>
      <c r="N495" s="303"/>
      <c r="O495" s="303"/>
    </row>
    <row r="496" spans="1:16" x14ac:dyDescent="0.25">
      <c r="A496" s="70"/>
      <c r="B496" s="70"/>
      <c r="C496" s="63"/>
      <c r="D496" s="464" t="s">
        <v>4621</v>
      </c>
      <c r="E496" s="64" t="s">
        <v>3562</v>
      </c>
      <c r="F496" s="303"/>
      <c r="G496" s="303">
        <f>'reservecalc-internal'!B1530</f>
        <v>60900</v>
      </c>
      <c r="H496" s="303">
        <f>'reservecalc-internal'!C1530</f>
        <v>116900</v>
      </c>
      <c r="I496" s="303">
        <f>'reservecalc-internal'!D1530</f>
        <v>178500</v>
      </c>
      <c r="J496" s="303">
        <f>'reservecalc-internal'!E1530</f>
        <v>246000</v>
      </c>
      <c r="K496" s="303">
        <f>'reservecalc-internal'!F1530</f>
        <v>252200</v>
      </c>
      <c r="L496" s="303">
        <f>'reservecalc-internal'!G1530</f>
        <v>258500</v>
      </c>
      <c r="M496" s="303">
        <f>'reservecalc-internal'!H1530</f>
        <v>264900</v>
      </c>
      <c r="N496" s="303">
        <f>'reservecalc-internal'!I1530</f>
        <v>271500</v>
      </c>
      <c r="O496" s="303">
        <f>'reservecalc-internal'!J1530</f>
        <v>278300</v>
      </c>
    </row>
    <row r="497" spans="1:15" x14ac:dyDescent="0.25">
      <c r="A497" s="70"/>
      <c r="B497" s="70"/>
      <c r="C497" s="63"/>
      <c r="D497" s="63"/>
      <c r="E497" s="64"/>
      <c r="F497" s="303"/>
      <c r="G497" s="303"/>
      <c r="H497" s="303"/>
      <c r="I497" s="303"/>
      <c r="J497" s="303"/>
      <c r="K497" s="303"/>
      <c r="L497" s="303"/>
      <c r="M497" s="303"/>
      <c r="N497" s="303"/>
      <c r="O497" s="303"/>
    </row>
    <row r="498" spans="1:15" x14ac:dyDescent="0.25">
      <c r="A498" s="70"/>
      <c r="B498" s="70"/>
      <c r="C498" s="65"/>
      <c r="D498" s="61" t="s">
        <v>3855</v>
      </c>
      <c r="E498" s="64"/>
      <c r="F498" s="305">
        <f t="shared" ref="F498:O498" si="10">SUM(F429:F494)</f>
        <v>2501700</v>
      </c>
      <c r="G498" s="305">
        <f t="shared" si="10"/>
        <v>504900</v>
      </c>
      <c r="H498" s="305">
        <f t="shared" si="10"/>
        <v>340900</v>
      </c>
      <c r="I498" s="305">
        <f t="shared" si="10"/>
        <v>489400</v>
      </c>
      <c r="J498" s="305">
        <f t="shared" si="10"/>
        <v>473200</v>
      </c>
      <c r="K498" s="305">
        <f t="shared" si="10"/>
        <v>165100</v>
      </c>
      <c r="L498" s="305">
        <f t="shared" si="10"/>
        <v>167100</v>
      </c>
      <c r="M498" s="305">
        <f t="shared" si="10"/>
        <v>70500</v>
      </c>
      <c r="N498" s="305">
        <f t="shared" si="10"/>
        <v>70500</v>
      </c>
      <c r="O498" s="305">
        <f t="shared" si="10"/>
        <v>70500</v>
      </c>
    </row>
    <row r="499" spans="1:15" x14ac:dyDescent="0.25">
      <c r="A499" s="70"/>
      <c r="B499" s="70"/>
      <c r="C499" s="65"/>
      <c r="D499" s="61"/>
      <c r="E499" s="64"/>
      <c r="F499" s="304"/>
      <c r="G499" s="304"/>
      <c r="H499" s="304"/>
      <c r="I499" s="304"/>
      <c r="J499" s="304"/>
      <c r="K499" s="304"/>
      <c r="L499" s="304"/>
      <c r="M499" s="304"/>
      <c r="N499" s="304"/>
      <c r="O499" s="304"/>
    </row>
    <row r="500" spans="1:15" x14ac:dyDescent="0.25">
      <c r="A500" s="70"/>
      <c r="B500" s="70"/>
      <c r="C500" s="65"/>
      <c r="D500" s="61" t="s">
        <v>2193</v>
      </c>
      <c r="E500" s="64"/>
      <c r="F500" s="304"/>
      <c r="G500" s="304"/>
      <c r="H500" s="304"/>
      <c r="I500" s="304"/>
      <c r="J500" s="304"/>
      <c r="K500" s="304"/>
      <c r="L500" s="304"/>
      <c r="M500" s="304"/>
      <c r="N500" s="304"/>
      <c r="O500" s="304"/>
    </row>
    <row r="501" spans="1:15" x14ac:dyDescent="0.25">
      <c r="A501" s="70"/>
      <c r="B501" s="70"/>
      <c r="C501" s="63">
        <v>4644.0010000000002</v>
      </c>
      <c r="D501" s="62" t="s">
        <v>3856</v>
      </c>
      <c r="E501" s="64"/>
      <c r="F501" s="303"/>
      <c r="G501" s="303"/>
      <c r="H501" s="303"/>
      <c r="I501" s="303"/>
      <c r="J501" s="303"/>
      <c r="K501" s="303"/>
      <c r="L501" s="303"/>
      <c r="M501" s="303"/>
      <c r="N501" s="303"/>
      <c r="O501" s="303"/>
    </row>
    <row r="502" spans="1:15" x14ac:dyDescent="0.25">
      <c r="A502" s="70"/>
      <c r="B502" s="70"/>
      <c r="C502" s="63">
        <v>4644.0020000000004</v>
      </c>
      <c r="D502" s="62" t="s">
        <v>3857</v>
      </c>
      <c r="E502" s="64"/>
      <c r="F502" s="303">
        <v>913000</v>
      </c>
      <c r="G502" s="306"/>
      <c r="H502" s="303"/>
      <c r="I502" s="303"/>
      <c r="J502" s="303"/>
      <c r="K502" s="303"/>
      <c r="L502" s="303"/>
      <c r="M502" s="303"/>
      <c r="N502" s="303"/>
      <c r="O502" s="303"/>
    </row>
    <row r="503" spans="1:15" x14ac:dyDescent="0.25">
      <c r="A503" s="70"/>
      <c r="B503" s="70"/>
      <c r="C503" s="63">
        <v>4644.0029999999997</v>
      </c>
      <c r="D503" s="62" t="s">
        <v>3858</v>
      </c>
      <c r="E503" s="64"/>
      <c r="F503" s="303">
        <v>220000</v>
      </c>
      <c r="G503" s="303"/>
      <c r="H503" s="303"/>
      <c r="I503" s="303"/>
      <c r="J503" s="303"/>
      <c r="K503" s="303"/>
      <c r="L503" s="303"/>
      <c r="M503" s="303"/>
      <c r="N503" s="303"/>
      <c r="O503" s="303"/>
    </row>
    <row r="504" spans="1:15" x14ac:dyDescent="0.25">
      <c r="A504" s="70"/>
      <c r="B504" s="70"/>
      <c r="C504" s="63">
        <v>4644.0039999999999</v>
      </c>
      <c r="D504" s="62" t="s">
        <v>3859</v>
      </c>
      <c r="E504" s="64"/>
      <c r="F504" s="303">
        <v>50000</v>
      </c>
      <c r="G504" s="416"/>
      <c r="H504" s="303"/>
      <c r="I504" s="303"/>
      <c r="J504" s="303"/>
      <c r="K504" s="303"/>
      <c r="L504" s="303"/>
      <c r="M504" s="303"/>
      <c r="N504" s="303"/>
      <c r="O504" s="303"/>
    </row>
    <row r="505" spans="1:15" x14ac:dyDescent="0.25">
      <c r="A505" s="70"/>
      <c r="B505" s="70"/>
      <c r="C505" s="63">
        <v>4644.0050000000001</v>
      </c>
      <c r="D505" s="62" t="s">
        <v>3860</v>
      </c>
      <c r="E505" s="64"/>
      <c r="F505" s="303">
        <f>50000+10000</f>
        <v>60000</v>
      </c>
      <c r="G505" s="303"/>
      <c r="H505" s="303"/>
      <c r="I505" s="303"/>
      <c r="J505" s="303"/>
      <c r="K505" s="303"/>
      <c r="L505" s="303"/>
      <c r="M505" s="303"/>
      <c r="N505" s="303"/>
      <c r="O505" s="303"/>
    </row>
    <row r="506" spans="1:15" x14ac:dyDescent="0.25">
      <c r="A506" s="70"/>
      <c r="B506" s="70"/>
      <c r="C506" s="63">
        <v>4644.0060000000003</v>
      </c>
      <c r="D506" s="62" t="s">
        <v>3861</v>
      </c>
      <c r="E506" s="64"/>
      <c r="F506" s="303">
        <v>10000</v>
      </c>
      <c r="G506" s="303"/>
      <c r="H506" s="303"/>
      <c r="I506" s="303"/>
      <c r="J506" s="303"/>
      <c r="K506" s="303"/>
      <c r="L506" s="303"/>
      <c r="M506" s="303"/>
      <c r="N506" s="303"/>
      <c r="O506" s="303"/>
    </row>
    <row r="507" spans="1:15" x14ac:dyDescent="0.25">
      <c r="A507" s="70"/>
      <c r="B507" s="70"/>
      <c r="C507" s="63">
        <v>4644.0069999999996</v>
      </c>
      <c r="D507" s="62" t="s">
        <v>3862</v>
      </c>
      <c r="E507" s="64"/>
      <c r="F507" s="303">
        <v>100000</v>
      </c>
      <c r="G507" s="303"/>
      <c r="H507" s="303"/>
      <c r="I507" s="303"/>
      <c r="J507" s="303"/>
      <c r="K507" s="303"/>
      <c r="L507" s="303"/>
      <c r="M507" s="303"/>
      <c r="N507" s="303"/>
      <c r="O507" s="303"/>
    </row>
    <row r="508" spans="1:15" x14ac:dyDescent="0.25">
      <c r="A508" s="70"/>
      <c r="B508" s="70"/>
      <c r="C508" s="63"/>
      <c r="D508" s="62"/>
      <c r="E508" s="64"/>
      <c r="F508" s="303"/>
      <c r="G508" s="303"/>
      <c r="H508" s="303"/>
      <c r="I508" s="303"/>
      <c r="J508" s="303"/>
      <c r="K508" s="303"/>
      <c r="L508" s="303"/>
      <c r="M508" s="303"/>
      <c r="N508" s="303"/>
      <c r="O508" s="303"/>
    </row>
    <row r="509" spans="1:15" x14ac:dyDescent="0.25">
      <c r="A509" s="70"/>
      <c r="B509" s="70"/>
      <c r="C509" s="65"/>
      <c r="D509" s="61" t="s">
        <v>3863</v>
      </c>
      <c r="E509" s="64"/>
      <c r="F509" s="305">
        <f>SUM(F501:F508)</f>
        <v>1353000</v>
      </c>
      <c r="G509" s="305">
        <f t="shared" ref="G509:O509" si="11">SUM(G501:G508)</f>
        <v>0</v>
      </c>
      <c r="H509" s="305">
        <f t="shared" si="11"/>
        <v>0</v>
      </c>
      <c r="I509" s="305">
        <f t="shared" si="11"/>
        <v>0</v>
      </c>
      <c r="J509" s="305">
        <f t="shared" si="11"/>
        <v>0</v>
      </c>
      <c r="K509" s="305">
        <f t="shared" si="11"/>
        <v>0</v>
      </c>
      <c r="L509" s="305">
        <f t="shared" si="11"/>
        <v>0</v>
      </c>
      <c r="M509" s="305">
        <f t="shared" si="11"/>
        <v>0</v>
      </c>
      <c r="N509" s="305">
        <f t="shared" si="11"/>
        <v>0</v>
      </c>
      <c r="O509" s="305">
        <f t="shared" si="11"/>
        <v>0</v>
      </c>
    </row>
    <row r="510" spans="1:15" x14ac:dyDescent="0.25">
      <c r="A510" s="70"/>
      <c r="B510" s="70"/>
      <c r="C510" s="63"/>
      <c r="D510" s="63"/>
      <c r="E510" s="64"/>
      <c r="F510" s="303"/>
      <c r="G510" s="303"/>
      <c r="H510" s="303"/>
      <c r="I510" s="303"/>
      <c r="J510" s="303"/>
      <c r="K510" s="303"/>
      <c r="L510" s="303"/>
      <c r="M510" s="303"/>
      <c r="N510" s="303"/>
      <c r="O510" s="303"/>
    </row>
    <row r="511" spans="1:15" x14ac:dyDescent="0.25">
      <c r="A511" s="70"/>
      <c r="B511" s="70"/>
      <c r="C511" s="63"/>
      <c r="D511" s="65" t="s">
        <v>3864</v>
      </c>
      <c r="E511" s="64"/>
      <c r="F511" s="303"/>
      <c r="G511" s="303"/>
      <c r="H511" s="303"/>
      <c r="I511" s="303"/>
      <c r="J511" s="303"/>
      <c r="K511" s="303"/>
      <c r="L511" s="303"/>
      <c r="M511" s="303"/>
      <c r="N511" s="303"/>
      <c r="O511" s="303"/>
    </row>
    <row r="512" spans="1:15" x14ac:dyDescent="0.25">
      <c r="A512" s="70"/>
      <c r="B512" s="70"/>
      <c r="C512" s="63"/>
      <c r="D512" s="63"/>
      <c r="E512" s="64"/>
      <c r="F512" s="303"/>
      <c r="G512" s="303"/>
      <c r="H512" s="303"/>
      <c r="I512" s="303"/>
      <c r="J512" s="303"/>
      <c r="K512" s="303"/>
      <c r="L512" s="303"/>
      <c r="M512" s="303"/>
      <c r="N512" s="303"/>
      <c r="O512" s="303"/>
    </row>
    <row r="513" spans="1:15" x14ac:dyDescent="0.25">
      <c r="A513" s="70"/>
      <c r="B513" s="70"/>
      <c r="C513" s="63">
        <v>4859.0259999999998</v>
      </c>
      <c r="D513" s="63" t="s">
        <v>3865</v>
      </c>
      <c r="E513" s="64"/>
      <c r="F513" s="303"/>
      <c r="G513" s="303"/>
      <c r="H513" s="303"/>
      <c r="I513" s="303"/>
      <c r="J513" s="303"/>
      <c r="K513" s="303"/>
      <c r="L513" s="303"/>
      <c r="M513" s="303"/>
      <c r="N513" s="303"/>
      <c r="O513" s="303"/>
    </row>
    <row r="514" spans="1:15" x14ac:dyDescent="0.25">
      <c r="A514" s="70"/>
      <c r="B514" s="70"/>
      <c r="C514" s="63">
        <v>4859.0280000000002</v>
      </c>
      <c r="D514" s="63" t="s">
        <v>3866</v>
      </c>
      <c r="E514" s="64"/>
      <c r="F514" s="303">
        <v>13400</v>
      </c>
      <c r="G514" s="303"/>
      <c r="H514" s="303"/>
      <c r="I514" s="303"/>
      <c r="J514" s="303"/>
      <c r="K514" s="303"/>
      <c r="L514" s="303"/>
      <c r="M514" s="303"/>
      <c r="N514" s="303"/>
      <c r="O514" s="303"/>
    </row>
    <row r="515" spans="1:15" x14ac:dyDescent="0.25">
      <c r="A515" s="70"/>
      <c r="B515" s="70"/>
      <c r="C515" s="63">
        <v>4859.0309999999999</v>
      </c>
      <c r="D515" s="63" t="s">
        <v>3867</v>
      </c>
      <c r="E515" s="64"/>
      <c r="F515" s="303"/>
      <c r="G515" s="303">
        <v>250000</v>
      </c>
      <c r="H515" s="303">
        <v>250000</v>
      </c>
      <c r="I515" s="303">
        <v>50000</v>
      </c>
      <c r="J515" s="303"/>
      <c r="K515" s="303"/>
      <c r="L515" s="303"/>
      <c r="M515" s="303"/>
      <c r="N515" s="303">
        <v>250000</v>
      </c>
      <c r="O515" s="303"/>
    </row>
    <row r="516" spans="1:15" x14ac:dyDescent="0.25">
      <c r="A516" s="70"/>
      <c r="B516" s="70"/>
      <c r="C516" s="63">
        <v>4859.0469999999996</v>
      </c>
      <c r="D516" s="63" t="s">
        <v>3868</v>
      </c>
      <c r="E516" s="64"/>
      <c r="F516" s="303"/>
      <c r="G516" s="303"/>
      <c r="H516" s="303">
        <v>50000</v>
      </c>
      <c r="I516" s="303">
        <v>500000</v>
      </c>
      <c r="J516" s="303"/>
      <c r="K516" s="303"/>
      <c r="L516" s="303"/>
      <c r="M516" s="303"/>
      <c r="N516" s="303"/>
      <c r="O516" s="303"/>
    </row>
    <row r="517" spans="1:15" x14ac:dyDescent="0.25">
      <c r="A517" s="70"/>
      <c r="B517" s="70"/>
      <c r="C517" s="63">
        <v>4859.0479999999998</v>
      </c>
      <c r="D517" s="63" t="s">
        <v>3869</v>
      </c>
      <c r="E517" s="64"/>
      <c r="F517" s="303">
        <v>48100</v>
      </c>
      <c r="G517" s="303"/>
      <c r="H517" s="303"/>
      <c r="I517" s="303"/>
      <c r="J517" s="303"/>
      <c r="K517" s="303"/>
      <c r="L517" s="303"/>
      <c r="M517" s="303"/>
      <c r="N517" s="303"/>
      <c r="O517" s="303"/>
    </row>
    <row r="518" spans="1:15" x14ac:dyDescent="0.25">
      <c r="A518" s="70"/>
      <c r="B518" s="70"/>
      <c r="C518" s="63">
        <v>4859.0510000000004</v>
      </c>
      <c r="D518" s="63" t="s">
        <v>3870</v>
      </c>
      <c r="E518" s="64"/>
      <c r="F518" s="303">
        <v>40000</v>
      </c>
      <c r="G518" s="303"/>
      <c r="H518" s="303"/>
      <c r="I518" s="303"/>
      <c r="J518" s="303"/>
      <c r="K518" s="303"/>
      <c r="L518" s="303"/>
      <c r="M518" s="303"/>
      <c r="N518" s="303"/>
      <c r="O518" s="303"/>
    </row>
    <row r="519" spans="1:15" x14ac:dyDescent="0.25">
      <c r="A519" s="70"/>
      <c r="B519" s="70"/>
      <c r="C519" s="63">
        <v>4859.0519999999997</v>
      </c>
      <c r="D519" s="63" t="s">
        <v>3871</v>
      </c>
      <c r="E519" s="64"/>
      <c r="F519" s="303">
        <v>45000</v>
      </c>
      <c r="G519" s="303"/>
      <c r="H519" s="303"/>
      <c r="I519" s="303"/>
      <c r="J519" s="303"/>
      <c r="K519" s="303"/>
      <c r="L519" s="303"/>
      <c r="M519" s="303"/>
      <c r="N519" s="303"/>
      <c r="O519" s="303"/>
    </row>
    <row r="520" spans="1:15" x14ac:dyDescent="0.25">
      <c r="A520" s="70"/>
      <c r="B520" s="70"/>
      <c r="C520" s="63">
        <v>4859.0529999999999</v>
      </c>
      <c r="D520" s="63" t="s">
        <v>3872</v>
      </c>
      <c r="E520" s="64"/>
      <c r="F520" s="303">
        <v>82000</v>
      </c>
      <c r="G520" s="303"/>
      <c r="H520" s="303"/>
      <c r="I520" s="303"/>
      <c r="J520" s="303"/>
      <c r="K520" s="303"/>
      <c r="L520" s="303"/>
      <c r="M520" s="303"/>
      <c r="N520" s="303"/>
      <c r="O520" s="303"/>
    </row>
    <row r="521" spans="1:15" x14ac:dyDescent="0.25">
      <c r="A521" s="70"/>
      <c r="B521" s="70"/>
      <c r="C521" s="63">
        <v>4859.0540000000001</v>
      </c>
      <c r="D521" s="63" t="s">
        <v>3873</v>
      </c>
      <c r="E521" s="64"/>
      <c r="F521" s="303">
        <v>30000</v>
      </c>
      <c r="G521" s="303"/>
      <c r="H521" s="303"/>
      <c r="I521" s="303"/>
      <c r="J521" s="303"/>
      <c r="K521" s="303"/>
      <c r="L521" s="303"/>
      <c r="M521" s="303"/>
      <c r="N521" s="303"/>
      <c r="O521" s="303"/>
    </row>
    <row r="522" spans="1:15" x14ac:dyDescent="0.25">
      <c r="A522" s="70"/>
      <c r="B522" s="70"/>
      <c r="C522" s="63">
        <v>4859.49</v>
      </c>
      <c r="D522" s="63" t="s">
        <v>3874</v>
      </c>
      <c r="E522" s="64"/>
      <c r="F522" s="303">
        <v>50000</v>
      </c>
      <c r="G522" s="303"/>
      <c r="H522" s="303"/>
      <c r="I522" s="303"/>
      <c r="J522" s="303"/>
      <c r="K522" s="303"/>
      <c r="L522" s="303"/>
      <c r="M522" s="303"/>
      <c r="N522" s="303"/>
      <c r="O522" s="303"/>
    </row>
    <row r="523" spans="1:15" x14ac:dyDescent="0.25">
      <c r="A523" s="70"/>
      <c r="B523" s="70"/>
      <c r="C523" s="63">
        <v>4859.55</v>
      </c>
      <c r="D523" s="63" t="s">
        <v>3875</v>
      </c>
      <c r="E523" s="64"/>
      <c r="F523" s="303"/>
      <c r="G523" s="303"/>
      <c r="H523" s="303"/>
      <c r="I523" s="303"/>
      <c r="J523" s="303"/>
      <c r="K523" s="303"/>
      <c r="L523" s="303"/>
      <c r="M523" s="303"/>
      <c r="N523" s="303"/>
      <c r="O523" s="303"/>
    </row>
    <row r="524" spans="1:15" x14ac:dyDescent="0.25">
      <c r="A524" s="70"/>
      <c r="B524" s="70"/>
      <c r="C524" s="63">
        <v>4859.5600000000004</v>
      </c>
      <c r="D524" s="63" t="s">
        <v>3876</v>
      </c>
      <c r="E524" s="64"/>
      <c r="F524" s="303"/>
      <c r="G524" s="303"/>
      <c r="H524" s="303"/>
      <c r="I524" s="303"/>
      <c r="J524" s="303"/>
      <c r="K524" s="303"/>
      <c r="L524" s="303"/>
      <c r="M524" s="303"/>
      <c r="N524" s="303"/>
      <c r="O524" s="303"/>
    </row>
    <row r="525" spans="1:15" x14ac:dyDescent="0.25">
      <c r="A525" s="70"/>
      <c r="B525" s="70"/>
      <c r="C525" s="63"/>
      <c r="D525" s="63" t="s">
        <v>3877</v>
      </c>
      <c r="E525" s="64"/>
      <c r="F525" s="303"/>
      <c r="G525" s="303"/>
      <c r="H525" s="303"/>
      <c r="I525" s="303"/>
      <c r="J525" s="303"/>
      <c r="K525" s="303"/>
      <c r="L525" s="303"/>
      <c r="M525" s="303"/>
      <c r="N525" s="303"/>
      <c r="O525" s="303"/>
    </row>
    <row r="526" spans="1:15" x14ac:dyDescent="0.25">
      <c r="A526" s="70"/>
      <c r="B526" s="70"/>
      <c r="C526" s="63">
        <v>4859.3999999999996</v>
      </c>
      <c r="D526" s="63" t="s">
        <v>3878</v>
      </c>
      <c r="E526" s="64"/>
      <c r="F526" s="303">
        <v>80000</v>
      </c>
      <c r="G526" s="303"/>
      <c r="H526" s="303"/>
      <c r="I526" s="303">
        <v>3000000</v>
      </c>
      <c r="J526" s="303"/>
      <c r="K526" s="303"/>
      <c r="L526" s="303"/>
      <c r="M526" s="303"/>
      <c r="N526" s="303"/>
      <c r="O526" s="303"/>
    </row>
    <row r="527" spans="1:15" x14ac:dyDescent="0.25">
      <c r="A527" s="70"/>
      <c r="B527" s="70"/>
      <c r="C527" s="63">
        <v>4859.59</v>
      </c>
      <c r="D527" s="63" t="s">
        <v>3508</v>
      </c>
      <c r="E527" s="64"/>
      <c r="F527" s="303">
        <v>150000</v>
      </c>
      <c r="G527" s="303">
        <v>10000000</v>
      </c>
      <c r="H527" s="303"/>
      <c r="I527" s="303"/>
      <c r="J527" s="303"/>
      <c r="K527" s="303"/>
      <c r="L527" s="303"/>
      <c r="M527" s="303"/>
      <c r="N527" s="303"/>
      <c r="O527" s="303"/>
    </row>
    <row r="528" spans="1:15" x14ac:dyDescent="0.25">
      <c r="A528" s="70"/>
      <c r="B528" s="70"/>
      <c r="C528" s="63"/>
      <c r="D528" s="63" t="s">
        <v>4494</v>
      </c>
      <c r="E528" s="64"/>
      <c r="F528" s="303"/>
      <c r="G528" s="303">
        <v>-7500000</v>
      </c>
      <c r="H528" s="303"/>
      <c r="I528" s="303">
        <v>-2000000</v>
      </c>
      <c r="J528" s="303"/>
      <c r="K528" s="303"/>
      <c r="L528" s="303"/>
      <c r="M528" s="303"/>
      <c r="N528" s="303"/>
      <c r="O528" s="303"/>
    </row>
    <row r="529" spans="1:15" x14ac:dyDescent="0.25">
      <c r="A529" s="70"/>
      <c r="B529" s="70"/>
      <c r="C529" s="63"/>
      <c r="D529" s="63"/>
      <c r="E529" s="64"/>
      <c r="F529" s="303"/>
      <c r="G529" s="303"/>
      <c r="H529" s="303"/>
      <c r="I529" s="303"/>
      <c r="J529" s="303"/>
      <c r="K529" s="303"/>
      <c r="L529" s="303"/>
      <c r="M529" s="303"/>
      <c r="N529" s="303"/>
      <c r="O529" s="303"/>
    </row>
    <row r="530" spans="1:15" x14ac:dyDescent="0.25">
      <c r="A530" s="70"/>
      <c r="B530" s="70"/>
      <c r="C530" s="65"/>
      <c r="D530" s="61" t="s">
        <v>3879</v>
      </c>
      <c r="E530" s="64"/>
      <c r="F530" s="305">
        <f t="shared" ref="F530:O530" si="12">SUM(F513:F529)</f>
        <v>538500</v>
      </c>
      <c r="G530" s="305">
        <f t="shared" si="12"/>
        <v>2750000</v>
      </c>
      <c r="H530" s="305">
        <f t="shared" si="12"/>
        <v>300000</v>
      </c>
      <c r="I530" s="305">
        <f t="shared" si="12"/>
        <v>1550000</v>
      </c>
      <c r="J530" s="305">
        <f t="shared" si="12"/>
        <v>0</v>
      </c>
      <c r="K530" s="305">
        <f t="shared" si="12"/>
        <v>0</v>
      </c>
      <c r="L530" s="305">
        <f t="shared" si="12"/>
        <v>0</v>
      </c>
      <c r="M530" s="305">
        <f t="shared" si="12"/>
        <v>0</v>
      </c>
      <c r="N530" s="305">
        <f t="shared" si="12"/>
        <v>250000</v>
      </c>
      <c r="O530" s="305">
        <f t="shared" si="12"/>
        <v>0</v>
      </c>
    </row>
    <row r="531" spans="1:15" x14ac:dyDescent="0.25">
      <c r="A531" s="70"/>
      <c r="B531" s="70"/>
      <c r="C531" s="65"/>
      <c r="D531" s="61"/>
      <c r="E531" s="64"/>
      <c r="F531" s="304"/>
      <c r="G531" s="304"/>
      <c r="H531" s="304"/>
      <c r="I531" s="304"/>
      <c r="J531" s="304"/>
      <c r="K531" s="304"/>
      <c r="L531" s="304"/>
      <c r="M531" s="304"/>
      <c r="N531" s="304"/>
      <c r="O531" s="304"/>
    </row>
    <row r="532" spans="1:15" x14ac:dyDescent="0.25">
      <c r="A532" s="70"/>
      <c r="B532" s="70"/>
      <c r="C532" s="63"/>
      <c r="D532" s="61" t="s">
        <v>3880</v>
      </c>
      <c r="E532" s="366"/>
      <c r="F532" s="303"/>
      <c r="G532" s="303"/>
      <c r="H532" s="303"/>
      <c r="I532" s="303"/>
      <c r="J532" s="303"/>
      <c r="K532" s="303"/>
      <c r="L532" s="303"/>
      <c r="M532" s="303"/>
      <c r="N532" s="303"/>
      <c r="O532" s="303"/>
    </row>
    <row r="533" spans="1:15" x14ac:dyDescent="0.25">
      <c r="A533" s="70"/>
      <c r="B533" s="70"/>
      <c r="C533" s="63">
        <v>4240.0159999999996</v>
      </c>
      <c r="D533" s="62" t="s">
        <v>3881</v>
      </c>
      <c r="E533" s="69"/>
      <c r="F533" s="303"/>
      <c r="G533" s="303"/>
      <c r="H533" s="303">
        <v>100000</v>
      </c>
      <c r="I533" s="303"/>
      <c r="J533" s="303"/>
      <c r="K533" s="303"/>
      <c r="L533" s="303"/>
      <c r="M533" s="303"/>
      <c r="N533" s="303"/>
      <c r="O533" s="303"/>
    </row>
    <row r="534" spans="1:15" ht="30" x14ac:dyDescent="0.25">
      <c r="A534" s="70"/>
      <c r="B534" s="70"/>
      <c r="C534" s="63">
        <v>4240.018</v>
      </c>
      <c r="D534" s="62" t="s">
        <v>3511</v>
      </c>
      <c r="E534" s="69"/>
      <c r="F534" s="303"/>
      <c r="G534" s="303"/>
      <c r="H534" s="303"/>
      <c r="I534" s="303"/>
      <c r="J534" s="303"/>
      <c r="K534" s="303"/>
      <c r="L534" s="303">
        <v>1300000</v>
      </c>
      <c r="M534" s="303"/>
      <c r="N534" s="303"/>
      <c r="O534" s="303"/>
    </row>
    <row r="535" spans="1:15" x14ac:dyDescent="0.25">
      <c r="A535" s="70"/>
      <c r="B535" s="70"/>
      <c r="C535" s="63">
        <v>4122.0029999999997</v>
      </c>
      <c r="D535" s="62" t="s">
        <v>3509</v>
      </c>
      <c r="E535" s="69"/>
      <c r="F535" s="303"/>
      <c r="G535" s="306"/>
      <c r="H535" s="303"/>
      <c r="I535" s="303"/>
      <c r="J535" s="303"/>
      <c r="K535" s="303"/>
      <c r="L535" s="303"/>
      <c r="M535" s="303"/>
      <c r="N535" s="303"/>
      <c r="O535" s="303"/>
    </row>
    <row r="536" spans="1:15" x14ac:dyDescent="0.25">
      <c r="A536" s="70"/>
      <c r="B536" s="70"/>
      <c r="C536" s="63"/>
      <c r="D536" s="62" t="s">
        <v>3882</v>
      </c>
      <c r="E536" s="69"/>
      <c r="F536" s="303"/>
      <c r="G536" s="303"/>
      <c r="H536" s="303"/>
      <c r="I536" s="303"/>
      <c r="J536" s="303"/>
      <c r="K536" s="303">
        <v>250000</v>
      </c>
      <c r="L536" s="303"/>
      <c r="M536" s="303"/>
      <c r="N536" s="303"/>
      <c r="O536" s="303"/>
    </row>
    <row r="537" spans="1:15" x14ac:dyDescent="0.25">
      <c r="A537" s="70"/>
      <c r="B537" s="70"/>
      <c r="C537" s="63"/>
      <c r="D537" s="62" t="s">
        <v>3883</v>
      </c>
      <c r="E537" s="69"/>
      <c r="F537" s="303"/>
      <c r="G537" s="303"/>
      <c r="H537" s="303"/>
      <c r="I537" s="303"/>
      <c r="J537" s="303">
        <v>200000</v>
      </c>
      <c r="K537" s="303"/>
      <c r="L537" s="303"/>
      <c r="M537" s="303"/>
      <c r="N537" s="303"/>
      <c r="O537" s="303"/>
    </row>
    <row r="538" spans="1:15" ht="45" x14ac:dyDescent="0.25">
      <c r="A538" s="70"/>
      <c r="B538" s="70"/>
      <c r="C538" s="63"/>
      <c r="D538" s="62" t="s">
        <v>3884</v>
      </c>
      <c r="E538" s="69"/>
      <c r="F538" s="303"/>
      <c r="G538" s="303"/>
      <c r="H538" s="303"/>
      <c r="I538" s="303">
        <v>500000</v>
      </c>
      <c r="J538" s="303"/>
      <c r="K538" s="303"/>
      <c r="L538" s="303"/>
      <c r="M538" s="303"/>
      <c r="N538" s="303"/>
      <c r="O538" s="303"/>
    </row>
    <row r="539" spans="1:15" x14ac:dyDescent="0.25">
      <c r="A539" s="70"/>
      <c r="B539" s="70"/>
      <c r="C539" s="63"/>
      <c r="D539" s="62" t="s">
        <v>3513</v>
      </c>
      <c r="E539" s="69"/>
      <c r="F539" s="303"/>
      <c r="G539" s="303">
        <v>250000</v>
      </c>
      <c r="H539" s="303"/>
      <c r="I539" s="303"/>
      <c r="J539" s="303"/>
      <c r="K539" s="303"/>
      <c r="L539" s="303"/>
      <c r="M539" s="303"/>
      <c r="N539" s="303"/>
      <c r="O539" s="303"/>
    </row>
    <row r="540" spans="1:15" x14ac:dyDescent="0.25">
      <c r="A540" s="70"/>
      <c r="B540" s="70"/>
      <c r="C540" s="63"/>
      <c r="D540" s="62" t="s">
        <v>3885</v>
      </c>
      <c r="E540" s="69"/>
      <c r="F540" s="303"/>
      <c r="G540" s="303"/>
      <c r="H540" s="303"/>
      <c r="I540" s="303">
        <v>100000</v>
      </c>
      <c r="J540" s="303"/>
      <c r="K540" s="303"/>
      <c r="L540" s="303"/>
      <c r="M540" s="303"/>
      <c r="N540" s="303"/>
      <c r="O540" s="303"/>
    </row>
    <row r="541" spans="1:15" ht="30" x14ac:dyDescent="0.25">
      <c r="A541" s="70"/>
      <c r="B541" s="70"/>
      <c r="C541" s="63">
        <v>4122.0039999999999</v>
      </c>
      <c r="D541" s="62" t="s">
        <v>3886</v>
      </c>
      <c r="E541" s="69"/>
      <c r="F541" s="303"/>
      <c r="G541" s="303"/>
      <c r="H541" s="303"/>
      <c r="I541" s="303"/>
      <c r="J541" s="303"/>
      <c r="K541" s="303"/>
      <c r="L541" s="303"/>
      <c r="M541" s="303"/>
      <c r="N541" s="303"/>
      <c r="O541" s="303"/>
    </row>
    <row r="542" spans="1:15" ht="30" x14ac:dyDescent="0.25">
      <c r="A542" s="70"/>
      <c r="B542" s="70"/>
      <c r="C542" s="63"/>
      <c r="D542" s="62" t="s">
        <v>3887</v>
      </c>
      <c r="E542" s="69"/>
      <c r="F542" s="303"/>
      <c r="G542" s="303"/>
      <c r="H542" s="303"/>
      <c r="I542" s="303"/>
      <c r="J542" s="303"/>
      <c r="K542" s="303"/>
      <c r="L542" s="303"/>
      <c r="M542" s="303"/>
      <c r="N542" s="303"/>
      <c r="O542" s="303"/>
    </row>
    <row r="543" spans="1:15" ht="30" x14ac:dyDescent="0.25">
      <c r="A543" s="70"/>
      <c r="B543" s="70"/>
      <c r="C543" s="63">
        <v>4240.0209999999997</v>
      </c>
      <c r="D543" s="62" t="s">
        <v>3888</v>
      </c>
      <c r="E543" s="69"/>
      <c r="F543" s="303"/>
      <c r="G543" s="303">
        <v>55000</v>
      </c>
      <c r="H543" s="303"/>
      <c r="I543" s="303"/>
      <c r="J543" s="303"/>
      <c r="K543" s="303"/>
      <c r="L543" s="303"/>
      <c r="M543" s="303"/>
      <c r="N543" s="303"/>
      <c r="O543" s="303"/>
    </row>
    <row r="544" spans="1:15" ht="45" x14ac:dyDescent="0.25">
      <c r="A544" s="70"/>
      <c r="B544" s="70"/>
      <c r="C544" s="63">
        <v>4122.0050000000001</v>
      </c>
      <c r="D544" s="62" t="s">
        <v>3889</v>
      </c>
      <c r="E544" s="69"/>
      <c r="F544" s="303"/>
      <c r="G544" s="303">
        <v>47700</v>
      </c>
      <c r="H544" s="303"/>
      <c r="I544" s="303">
        <v>48900</v>
      </c>
      <c r="J544" s="303"/>
      <c r="K544" s="303">
        <v>50100</v>
      </c>
      <c r="L544" s="303"/>
      <c r="M544" s="303"/>
      <c r="N544" s="303"/>
      <c r="O544" s="303"/>
    </row>
    <row r="545" spans="1:15" ht="30" x14ac:dyDescent="0.25">
      <c r="A545" s="70"/>
      <c r="B545" s="70"/>
      <c r="C545" s="63"/>
      <c r="D545" s="62" t="s">
        <v>3512</v>
      </c>
      <c r="E545" s="69"/>
      <c r="F545" s="303"/>
      <c r="G545" s="303"/>
      <c r="H545" s="303">
        <v>60000</v>
      </c>
      <c r="I545" s="303">
        <v>6000</v>
      </c>
      <c r="J545" s="303"/>
      <c r="K545" s="303"/>
      <c r="L545" s="303"/>
      <c r="M545" s="303"/>
      <c r="N545" s="303"/>
      <c r="O545" s="303"/>
    </row>
    <row r="546" spans="1:15" ht="30" x14ac:dyDescent="0.25">
      <c r="A546" s="70"/>
      <c r="B546" s="70"/>
      <c r="C546" s="63"/>
      <c r="D546" s="62" t="s">
        <v>3890</v>
      </c>
      <c r="E546" s="69"/>
      <c r="F546" s="303"/>
      <c r="G546" s="303">
        <v>100000</v>
      </c>
      <c r="H546" s="303"/>
      <c r="I546" s="303"/>
      <c r="J546" s="303"/>
      <c r="K546" s="303"/>
      <c r="L546" s="303"/>
      <c r="M546" s="303"/>
      <c r="N546" s="303"/>
      <c r="O546" s="303"/>
    </row>
    <row r="547" spans="1:15" ht="30" x14ac:dyDescent="0.25">
      <c r="A547" s="70"/>
      <c r="B547" s="70"/>
      <c r="C547" s="63"/>
      <c r="D547" s="62" t="s">
        <v>3891</v>
      </c>
      <c r="E547" s="69"/>
      <c r="F547" s="303"/>
      <c r="G547" s="303"/>
      <c r="H547" s="303"/>
      <c r="I547" s="303"/>
      <c r="J547" s="303"/>
      <c r="K547" s="303"/>
      <c r="L547" s="303"/>
      <c r="M547" s="303">
        <v>100000</v>
      </c>
      <c r="N547" s="303"/>
      <c r="O547" s="303"/>
    </row>
    <row r="548" spans="1:15" ht="45" x14ac:dyDescent="0.25">
      <c r="A548" s="70"/>
      <c r="B548" s="70"/>
      <c r="C548" s="63"/>
      <c r="D548" s="62" t="s">
        <v>3892</v>
      </c>
      <c r="E548" s="69"/>
      <c r="F548" s="303"/>
      <c r="G548" s="303">
        <v>390000</v>
      </c>
      <c r="H548" s="303"/>
      <c r="I548" s="303"/>
      <c r="J548" s="303"/>
      <c r="K548" s="303"/>
      <c r="L548" s="303"/>
      <c r="M548" s="303"/>
      <c r="N548" s="303"/>
      <c r="O548" s="303"/>
    </row>
    <row r="549" spans="1:15" ht="45" x14ac:dyDescent="0.25">
      <c r="A549" s="70"/>
      <c r="B549" s="70"/>
      <c r="C549" s="63"/>
      <c r="D549" s="62" t="s">
        <v>3893</v>
      </c>
      <c r="E549" s="69"/>
      <c r="F549" s="303"/>
      <c r="G549" s="303"/>
      <c r="H549" s="303"/>
      <c r="I549" s="303"/>
      <c r="J549" s="303"/>
      <c r="K549" s="303"/>
      <c r="L549" s="303"/>
      <c r="M549" s="303"/>
      <c r="N549" s="303">
        <v>400000</v>
      </c>
      <c r="O549" s="303"/>
    </row>
    <row r="550" spans="1:15" x14ac:dyDescent="0.25">
      <c r="A550" s="70"/>
      <c r="B550" s="70"/>
      <c r="C550" s="63">
        <v>4122.0060000000003</v>
      </c>
      <c r="D550" s="62" t="s">
        <v>3894</v>
      </c>
      <c r="E550" s="69"/>
      <c r="F550" s="303"/>
      <c r="G550" s="303"/>
      <c r="H550" s="303"/>
      <c r="I550" s="303"/>
      <c r="J550" s="303"/>
      <c r="K550" s="303"/>
      <c r="L550" s="303"/>
      <c r="M550" s="303"/>
      <c r="N550" s="303"/>
      <c r="O550" s="303"/>
    </row>
    <row r="551" spans="1:15" x14ac:dyDescent="0.25">
      <c r="A551" s="70"/>
      <c r="B551" s="70"/>
      <c r="C551" s="63"/>
      <c r="D551" s="62" t="s">
        <v>3510</v>
      </c>
      <c r="E551" s="69"/>
      <c r="F551" s="303"/>
      <c r="G551" s="303">
        <v>80000</v>
      </c>
      <c r="H551" s="303"/>
      <c r="I551" s="303"/>
      <c r="J551" s="303"/>
      <c r="K551" s="303"/>
      <c r="L551" s="303"/>
      <c r="M551" s="303"/>
      <c r="N551" s="303"/>
      <c r="O551" s="303"/>
    </row>
    <row r="552" spans="1:15" ht="30" x14ac:dyDescent="0.25">
      <c r="A552" s="70"/>
      <c r="B552" s="70"/>
      <c r="C552" s="63"/>
      <c r="D552" s="415" t="s">
        <v>3895</v>
      </c>
      <c r="E552" s="69"/>
      <c r="F552" s="303"/>
      <c r="G552" s="303"/>
      <c r="H552" s="303"/>
      <c r="I552" s="303"/>
      <c r="J552" s="303"/>
      <c r="K552" s="303"/>
      <c r="L552" s="303"/>
      <c r="M552" s="303"/>
      <c r="N552" s="303"/>
      <c r="O552" s="303"/>
    </row>
    <row r="553" spans="1:15" x14ac:dyDescent="0.25">
      <c r="A553" s="70"/>
      <c r="B553" s="70"/>
      <c r="C553" s="63">
        <v>4122.2</v>
      </c>
      <c r="D553" s="415" t="s">
        <v>3896</v>
      </c>
      <c r="E553" s="69"/>
      <c r="F553" s="303"/>
      <c r="G553" s="303"/>
      <c r="H553" s="303"/>
      <c r="I553" s="303"/>
      <c r="J553" s="303"/>
      <c r="K553" s="303"/>
      <c r="L553" s="303"/>
      <c r="M553" s="303"/>
      <c r="N553" s="303"/>
      <c r="O553" s="303"/>
    </row>
    <row r="554" spans="1:15" x14ac:dyDescent="0.25">
      <c r="A554" s="70"/>
      <c r="B554" s="70"/>
      <c r="C554" s="63">
        <v>4122.0069999999996</v>
      </c>
      <c r="D554" s="415" t="s">
        <v>3897</v>
      </c>
      <c r="E554" s="69"/>
      <c r="F554" s="303"/>
      <c r="G554" s="303"/>
      <c r="H554" s="303"/>
      <c r="I554" s="303"/>
      <c r="J554" s="303"/>
      <c r="K554" s="303"/>
      <c r="L554" s="303"/>
      <c r="M554" s="303"/>
      <c r="N554" s="303"/>
      <c r="O554" s="303"/>
    </row>
    <row r="555" spans="1:15" x14ac:dyDescent="0.25">
      <c r="A555" s="70"/>
      <c r="B555" s="70"/>
      <c r="C555" s="63"/>
      <c r="D555" s="415" t="s">
        <v>3898</v>
      </c>
      <c r="E555" s="69"/>
      <c r="F555" s="303"/>
      <c r="G555" s="303"/>
      <c r="H555" s="303"/>
      <c r="I555" s="303"/>
      <c r="J555" s="303"/>
      <c r="K555" s="303"/>
      <c r="L555" s="303"/>
      <c r="M555" s="303"/>
      <c r="N555" s="303"/>
      <c r="O555" s="303"/>
    </row>
    <row r="556" spans="1:15" x14ac:dyDescent="0.25">
      <c r="A556" s="70"/>
      <c r="B556" s="70"/>
      <c r="C556" s="63">
        <v>4122.0079999999998</v>
      </c>
      <c r="D556" s="415" t="s">
        <v>3899</v>
      </c>
      <c r="E556" s="69" t="s">
        <v>3606</v>
      </c>
      <c r="F556" s="303">
        <v>35000</v>
      </c>
      <c r="G556" s="303"/>
      <c r="H556" s="303"/>
      <c r="I556" s="303"/>
      <c r="J556" s="303"/>
      <c r="K556" s="303"/>
      <c r="L556" s="303"/>
      <c r="M556" s="303"/>
      <c r="N556" s="303"/>
      <c r="O556" s="303"/>
    </row>
    <row r="557" spans="1:15" x14ac:dyDescent="0.25">
      <c r="A557" s="70"/>
      <c r="B557" s="70"/>
      <c r="C557" s="63"/>
      <c r="D557" s="415" t="s">
        <v>3900</v>
      </c>
      <c r="E557" s="69"/>
      <c r="F557" s="303"/>
      <c r="G557" s="303"/>
      <c r="H557" s="303"/>
      <c r="I557" s="303"/>
      <c r="J557" s="303"/>
      <c r="K557" s="303"/>
      <c r="L557" s="303"/>
      <c r="M557" s="303"/>
      <c r="N557" s="303"/>
      <c r="O557" s="303"/>
    </row>
    <row r="558" spans="1:15" x14ac:dyDescent="0.25">
      <c r="A558" s="70"/>
      <c r="B558" s="70"/>
      <c r="C558" s="63"/>
      <c r="D558" s="415" t="s">
        <v>3901</v>
      </c>
      <c r="E558" s="69"/>
      <c r="F558" s="303"/>
      <c r="G558" s="303"/>
      <c r="H558" s="303"/>
      <c r="I558" s="303"/>
      <c r="J558" s="303"/>
      <c r="K558" s="303"/>
      <c r="L558" s="303"/>
      <c r="M558" s="303"/>
      <c r="N558" s="303"/>
      <c r="O558" s="303"/>
    </row>
    <row r="559" spans="1:15" x14ac:dyDescent="0.25">
      <c r="A559" s="70"/>
      <c r="B559" s="70"/>
      <c r="C559" s="63"/>
      <c r="D559" s="415" t="s">
        <v>3902</v>
      </c>
      <c r="E559" s="69"/>
      <c r="F559" s="303"/>
      <c r="G559" s="303"/>
      <c r="H559" s="303"/>
      <c r="I559" s="303"/>
      <c r="J559" s="303"/>
      <c r="K559" s="303"/>
      <c r="L559" s="303"/>
      <c r="M559" s="303"/>
      <c r="N559" s="303"/>
      <c r="O559" s="303"/>
    </row>
    <row r="560" spans="1:15" x14ac:dyDescent="0.25">
      <c r="A560" s="70"/>
      <c r="B560" s="70"/>
      <c r="C560" s="63"/>
      <c r="D560" s="415" t="s">
        <v>3514</v>
      </c>
      <c r="E560" s="69"/>
      <c r="F560" s="303"/>
      <c r="G560" s="303">
        <v>200000</v>
      </c>
      <c r="H560" s="303"/>
      <c r="I560" s="303"/>
      <c r="J560" s="303"/>
      <c r="K560" s="303"/>
      <c r="L560" s="303"/>
      <c r="M560" s="303"/>
      <c r="N560" s="303"/>
      <c r="O560" s="303"/>
    </row>
    <row r="561" spans="1:15" x14ac:dyDescent="0.25">
      <c r="A561" s="70"/>
      <c r="B561" s="70"/>
      <c r="C561" s="63"/>
      <c r="D561" s="415" t="s">
        <v>3903</v>
      </c>
      <c r="E561" s="69"/>
      <c r="F561" s="303"/>
      <c r="G561" s="303"/>
      <c r="H561" s="303"/>
      <c r="I561" s="303"/>
      <c r="J561" s="303"/>
      <c r="K561" s="303"/>
      <c r="L561" s="303"/>
      <c r="M561" s="303"/>
      <c r="N561" s="303"/>
      <c r="O561" s="303"/>
    </row>
    <row r="562" spans="1:15" x14ac:dyDescent="0.25">
      <c r="A562" s="70"/>
      <c r="B562" s="70"/>
      <c r="C562" s="63">
        <v>4122.009</v>
      </c>
      <c r="D562" s="415" t="s">
        <v>3904</v>
      </c>
      <c r="E562" s="69" t="s">
        <v>3562</v>
      </c>
      <c r="F562" s="303">
        <f>22000-7000</f>
        <v>15000</v>
      </c>
      <c r="G562" s="303"/>
      <c r="H562" s="303"/>
      <c r="I562" s="303"/>
      <c r="J562" s="303"/>
      <c r="K562" s="303"/>
      <c r="L562" s="303"/>
      <c r="M562" s="303"/>
      <c r="N562" s="303"/>
      <c r="O562" s="303"/>
    </row>
    <row r="563" spans="1:15" x14ac:dyDescent="0.25">
      <c r="A563" s="70"/>
      <c r="B563" s="70"/>
      <c r="C563" s="63"/>
      <c r="D563" s="415" t="s">
        <v>3905</v>
      </c>
      <c r="E563" s="69"/>
      <c r="F563" s="303"/>
      <c r="G563" s="303"/>
      <c r="H563" s="303"/>
      <c r="I563" s="303"/>
      <c r="J563" s="303"/>
      <c r="K563" s="303"/>
      <c r="L563" s="303"/>
      <c r="M563" s="303"/>
      <c r="N563" s="303"/>
      <c r="O563" s="303"/>
    </row>
    <row r="564" spans="1:15" x14ac:dyDescent="0.25">
      <c r="A564" s="70"/>
      <c r="B564" s="70"/>
      <c r="C564" s="413"/>
      <c r="D564" s="62" t="s">
        <v>4495</v>
      </c>
      <c r="E564" s="64"/>
      <c r="F564" s="303"/>
      <c r="G564" s="303">
        <f>-SUM(G533:G563)</f>
        <v>-1122700</v>
      </c>
      <c r="H564" s="303">
        <f t="shared" ref="H564:O564" si="13">-SUM(H533:H563)</f>
        <v>-160000</v>
      </c>
      <c r="I564" s="303">
        <f t="shared" si="13"/>
        <v>-654900</v>
      </c>
      <c r="J564" s="303">
        <f t="shared" si="13"/>
        <v>-200000</v>
      </c>
      <c r="K564" s="303">
        <f t="shared" si="13"/>
        <v>-300100</v>
      </c>
      <c r="L564" s="303">
        <f t="shared" si="13"/>
        <v>-1300000</v>
      </c>
      <c r="M564" s="303">
        <f t="shared" si="13"/>
        <v>-100000</v>
      </c>
      <c r="N564" s="303">
        <f t="shared" si="13"/>
        <v>-400000</v>
      </c>
      <c r="O564" s="303">
        <f t="shared" si="13"/>
        <v>0</v>
      </c>
    </row>
    <row r="565" spans="1:15" x14ac:dyDescent="0.25">
      <c r="A565" s="70"/>
      <c r="B565" s="70"/>
      <c r="C565" s="63"/>
      <c r="D565" s="61" t="s">
        <v>3906</v>
      </c>
      <c r="E565" s="64"/>
      <c r="F565" s="305">
        <f t="shared" ref="F565:O565" si="14">SUM(F533:F564)</f>
        <v>50000</v>
      </c>
      <c r="G565" s="305">
        <f t="shared" si="14"/>
        <v>0</v>
      </c>
      <c r="H565" s="305">
        <f t="shared" si="14"/>
        <v>0</v>
      </c>
      <c r="I565" s="305">
        <f t="shared" si="14"/>
        <v>0</v>
      </c>
      <c r="J565" s="305">
        <f t="shared" si="14"/>
        <v>0</v>
      </c>
      <c r="K565" s="305">
        <f t="shared" si="14"/>
        <v>0</v>
      </c>
      <c r="L565" s="305">
        <f t="shared" si="14"/>
        <v>0</v>
      </c>
      <c r="M565" s="305">
        <f t="shared" si="14"/>
        <v>0</v>
      </c>
      <c r="N565" s="305">
        <f t="shared" si="14"/>
        <v>0</v>
      </c>
      <c r="O565" s="305">
        <f t="shared" si="14"/>
        <v>0</v>
      </c>
    </row>
    <row r="566" spans="1:15" x14ac:dyDescent="0.25">
      <c r="A566" s="70"/>
      <c r="B566" s="70"/>
      <c r="C566" s="63"/>
      <c r="D566" s="61"/>
      <c r="E566" s="64"/>
      <c r="F566" s="304"/>
      <c r="G566" s="304"/>
      <c r="H566" s="304"/>
      <c r="I566" s="304"/>
      <c r="J566" s="304"/>
      <c r="K566" s="304"/>
      <c r="L566" s="304"/>
      <c r="M566" s="304"/>
      <c r="N566" s="304"/>
      <c r="O566" s="304"/>
    </row>
    <row r="567" spans="1:15" x14ac:dyDescent="0.25">
      <c r="A567" s="70"/>
      <c r="B567" s="70"/>
      <c r="C567" s="417"/>
      <c r="D567" s="61" t="s">
        <v>3907</v>
      </c>
      <c r="E567" s="418"/>
      <c r="F567" s="303"/>
      <c r="G567" s="303"/>
      <c r="H567" s="303"/>
      <c r="I567" s="303"/>
      <c r="J567" s="303"/>
      <c r="K567" s="303"/>
      <c r="L567" s="303"/>
      <c r="M567" s="303"/>
      <c r="N567" s="303"/>
      <c r="O567" s="303"/>
    </row>
    <row r="568" spans="1:15" x14ac:dyDescent="0.25">
      <c r="A568" s="70"/>
      <c r="B568" s="70"/>
      <c r="C568" s="413"/>
      <c r="D568" s="61" t="s">
        <v>3908</v>
      </c>
      <c r="E568" s="64"/>
      <c r="F568" s="304"/>
      <c r="G568" s="304"/>
      <c r="H568" s="304"/>
      <c r="I568" s="304"/>
      <c r="J568" s="304"/>
      <c r="K568" s="304"/>
      <c r="L568" s="304"/>
      <c r="M568" s="304"/>
      <c r="N568" s="303"/>
      <c r="O568" s="304"/>
    </row>
    <row r="569" spans="1:15" x14ac:dyDescent="0.25">
      <c r="A569" s="70"/>
      <c r="B569" s="70"/>
      <c r="C569" s="417">
        <v>4264.0010000000002</v>
      </c>
      <c r="D569" s="62" t="s">
        <v>3909</v>
      </c>
      <c r="E569" s="64" t="s">
        <v>3562</v>
      </c>
      <c r="F569" s="303">
        <v>0</v>
      </c>
      <c r="G569" s="303">
        <v>0</v>
      </c>
      <c r="H569" s="303">
        <v>10000</v>
      </c>
      <c r="I569" s="303">
        <v>10000</v>
      </c>
      <c r="J569" s="303">
        <v>10000</v>
      </c>
      <c r="K569" s="303">
        <v>10000</v>
      </c>
      <c r="L569" s="303">
        <v>10000</v>
      </c>
      <c r="M569" s="303">
        <v>10000</v>
      </c>
      <c r="N569" s="303">
        <v>10000</v>
      </c>
      <c r="O569" s="303">
        <v>10000</v>
      </c>
    </row>
    <row r="570" spans="1:15" x14ac:dyDescent="0.25">
      <c r="A570" s="70"/>
      <c r="B570" s="70"/>
      <c r="C570" s="417">
        <v>4264.0029999999997</v>
      </c>
      <c r="D570" s="62" t="s">
        <v>3910</v>
      </c>
      <c r="E570" s="64" t="s">
        <v>3562</v>
      </c>
      <c r="F570" s="303">
        <v>200000</v>
      </c>
      <c r="G570" s="303">
        <v>100000</v>
      </c>
      <c r="H570" s="303">
        <v>100000</v>
      </c>
      <c r="I570" s="303">
        <v>100000</v>
      </c>
      <c r="J570" s="303">
        <v>100000</v>
      </c>
      <c r="K570" s="303">
        <v>100000</v>
      </c>
      <c r="L570" s="303">
        <v>100000</v>
      </c>
      <c r="M570" s="303">
        <v>100000</v>
      </c>
      <c r="N570" s="303">
        <v>100000</v>
      </c>
      <c r="O570" s="303">
        <v>100000</v>
      </c>
    </row>
    <row r="571" spans="1:15" x14ac:dyDescent="0.25">
      <c r="A571" s="70"/>
      <c r="B571" s="70"/>
      <c r="C571" s="417">
        <v>4264.0039999999999</v>
      </c>
      <c r="D571" s="62" t="s">
        <v>3672</v>
      </c>
      <c r="E571" s="64" t="s">
        <v>3562</v>
      </c>
      <c r="F571" s="303">
        <v>0</v>
      </c>
      <c r="G571" s="303">
        <v>0</v>
      </c>
      <c r="H571" s="303">
        <v>5000</v>
      </c>
      <c r="I571" s="303">
        <v>5000</v>
      </c>
      <c r="J571" s="303">
        <v>5000</v>
      </c>
      <c r="K571" s="303">
        <v>5000</v>
      </c>
      <c r="L571" s="303">
        <v>5000</v>
      </c>
      <c r="M571" s="303">
        <v>5000</v>
      </c>
      <c r="N571" s="303">
        <v>5000</v>
      </c>
      <c r="O571" s="303">
        <v>5000</v>
      </c>
    </row>
    <row r="572" spans="1:15" x14ac:dyDescent="0.25">
      <c r="A572" s="70"/>
      <c r="B572" s="70"/>
      <c r="C572" s="417">
        <v>4264.0050000000001</v>
      </c>
      <c r="D572" s="62" t="s">
        <v>3911</v>
      </c>
      <c r="E572" s="64" t="s">
        <v>3562</v>
      </c>
      <c r="F572" s="303">
        <v>0</v>
      </c>
      <c r="G572" s="303">
        <v>0</v>
      </c>
      <c r="H572" s="303">
        <v>5000</v>
      </c>
      <c r="I572" s="303">
        <v>5000</v>
      </c>
      <c r="J572" s="303">
        <v>5000</v>
      </c>
      <c r="K572" s="303">
        <v>5000</v>
      </c>
      <c r="L572" s="303">
        <v>5000</v>
      </c>
      <c r="M572" s="303">
        <v>5000</v>
      </c>
      <c r="N572" s="303">
        <v>5000</v>
      </c>
      <c r="O572" s="303">
        <v>5000</v>
      </c>
    </row>
    <row r="573" spans="1:15" x14ac:dyDescent="0.25">
      <c r="A573" s="70"/>
      <c r="B573" s="70"/>
      <c r="C573" s="417">
        <v>4264.0069999999996</v>
      </c>
      <c r="D573" s="62" t="s">
        <v>3912</v>
      </c>
      <c r="E573" s="64" t="s">
        <v>3562</v>
      </c>
      <c r="F573" s="303">
        <v>0</v>
      </c>
      <c r="G573" s="303">
        <v>0</v>
      </c>
      <c r="H573" s="303">
        <v>0</v>
      </c>
      <c r="I573" s="303">
        <v>0</v>
      </c>
      <c r="J573" s="303">
        <v>5000</v>
      </c>
      <c r="K573" s="303">
        <v>0</v>
      </c>
      <c r="L573" s="303">
        <v>0</v>
      </c>
      <c r="M573" s="303">
        <v>0</v>
      </c>
      <c r="N573" s="303"/>
      <c r="O573" s="303">
        <v>0</v>
      </c>
    </row>
    <row r="574" spans="1:15" x14ac:dyDescent="0.25">
      <c r="A574" s="70"/>
      <c r="B574" s="70"/>
      <c r="C574" s="417">
        <v>4264.009</v>
      </c>
      <c r="D574" s="62" t="s">
        <v>3913</v>
      </c>
      <c r="E574" s="64"/>
      <c r="F574" s="303">
        <v>0</v>
      </c>
      <c r="G574" s="303">
        <v>0</v>
      </c>
      <c r="H574" s="303">
        <v>0</v>
      </c>
      <c r="I574" s="303">
        <v>0</v>
      </c>
      <c r="J574" s="303">
        <v>0</v>
      </c>
      <c r="K574" s="303">
        <v>0</v>
      </c>
      <c r="L574" s="303">
        <v>0</v>
      </c>
      <c r="M574" s="303">
        <v>0</v>
      </c>
      <c r="N574" s="303">
        <v>0</v>
      </c>
      <c r="O574" s="303">
        <v>0</v>
      </c>
    </row>
    <row r="575" spans="1:15" x14ac:dyDescent="0.25">
      <c r="A575" s="70"/>
      <c r="B575" s="70"/>
      <c r="C575" s="417">
        <v>4264.0110000000004</v>
      </c>
      <c r="D575" s="62" t="s">
        <v>3914</v>
      </c>
      <c r="E575" s="64" t="s">
        <v>3562</v>
      </c>
      <c r="F575" s="303">
        <v>60000</v>
      </c>
      <c r="G575" s="303">
        <v>60000</v>
      </c>
      <c r="H575" s="303">
        <v>10000</v>
      </c>
      <c r="I575" s="303">
        <v>10000</v>
      </c>
      <c r="J575" s="303">
        <v>10000</v>
      </c>
      <c r="K575" s="303">
        <v>10000</v>
      </c>
      <c r="L575" s="303">
        <v>10000</v>
      </c>
      <c r="M575" s="303">
        <v>10000</v>
      </c>
      <c r="N575" s="303">
        <v>10000</v>
      </c>
      <c r="O575" s="303">
        <v>10000</v>
      </c>
    </row>
    <row r="576" spans="1:15" x14ac:dyDescent="0.25">
      <c r="A576" s="70"/>
      <c r="B576" s="70"/>
      <c r="C576" s="417">
        <v>4264.0169999999998</v>
      </c>
      <c r="D576" s="62" t="s">
        <v>3915</v>
      </c>
      <c r="E576" s="64" t="s">
        <v>3692</v>
      </c>
      <c r="F576" s="303">
        <v>50000</v>
      </c>
      <c r="G576" s="303"/>
      <c r="H576" s="303"/>
      <c r="I576" s="303"/>
      <c r="J576" s="303"/>
      <c r="K576" s="303"/>
      <c r="L576" s="303"/>
      <c r="M576" s="303"/>
      <c r="N576" s="303"/>
      <c r="O576" s="303"/>
    </row>
    <row r="577" spans="1:15" x14ac:dyDescent="0.25">
      <c r="A577" s="70"/>
      <c r="B577" s="70"/>
      <c r="C577" s="417">
        <v>4264.0190000000002</v>
      </c>
      <c r="D577" s="62" t="s">
        <v>3916</v>
      </c>
      <c r="E577" s="64" t="s">
        <v>3562</v>
      </c>
      <c r="F577" s="303">
        <v>0</v>
      </c>
      <c r="G577" s="303">
        <v>0</v>
      </c>
      <c r="H577" s="303">
        <v>0</v>
      </c>
      <c r="I577" s="303">
        <v>50000</v>
      </c>
      <c r="J577" s="303">
        <v>0</v>
      </c>
      <c r="K577" s="303">
        <v>0</v>
      </c>
      <c r="L577" s="303">
        <v>0</v>
      </c>
      <c r="M577" s="303">
        <v>0</v>
      </c>
      <c r="N577" s="303">
        <v>0</v>
      </c>
      <c r="O577" s="303"/>
    </row>
    <row r="578" spans="1:15" x14ac:dyDescent="0.25">
      <c r="A578" s="70"/>
      <c r="B578" s="70"/>
      <c r="C578" s="417">
        <v>4265.0020000000004</v>
      </c>
      <c r="D578" s="62" t="s">
        <v>3917</v>
      </c>
      <c r="E578" s="64" t="s">
        <v>3692</v>
      </c>
      <c r="F578" s="303">
        <v>75000</v>
      </c>
      <c r="G578" s="303">
        <v>75000</v>
      </c>
      <c r="H578" s="303">
        <v>30000</v>
      </c>
      <c r="I578" s="303">
        <v>32000</v>
      </c>
      <c r="J578" s="303">
        <v>34000</v>
      </c>
      <c r="K578" s="303">
        <v>36000</v>
      </c>
      <c r="L578" s="303">
        <v>38000</v>
      </c>
      <c r="M578" s="303">
        <v>38000</v>
      </c>
      <c r="N578" s="303">
        <v>38000</v>
      </c>
      <c r="O578" s="303">
        <v>38000</v>
      </c>
    </row>
    <row r="579" spans="1:15" x14ac:dyDescent="0.25">
      <c r="A579" s="70"/>
      <c r="B579" s="70"/>
      <c r="C579" s="417">
        <v>4265.0029999999997</v>
      </c>
      <c r="D579" s="62" t="s">
        <v>3918</v>
      </c>
      <c r="E579" s="64" t="s">
        <v>3692</v>
      </c>
      <c r="F579" s="303">
        <v>230000</v>
      </c>
      <c r="G579" s="303">
        <v>0</v>
      </c>
      <c r="H579" s="303">
        <v>0</v>
      </c>
      <c r="I579" s="303">
        <v>0</v>
      </c>
      <c r="J579" s="303">
        <v>0</v>
      </c>
      <c r="K579" s="303">
        <v>0</v>
      </c>
      <c r="L579" s="303">
        <v>0</v>
      </c>
      <c r="M579" s="303">
        <v>0</v>
      </c>
      <c r="N579" s="303">
        <v>0</v>
      </c>
      <c r="O579" s="303"/>
    </row>
    <row r="580" spans="1:15" x14ac:dyDescent="0.25">
      <c r="A580" s="70"/>
      <c r="B580" s="70"/>
      <c r="C580" s="417">
        <v>4265.0039999999999</v>
      </c>
      <c r="D580" s="62" t="s">
        <v>3919</v>
      </c>
      <c r="E580" s="64" t="s">
        <v>3692</v>
      </c>
      <c r="F580" s="303">
        <v>50000</v>
      </c>
      <c r="G580" s="303"/>
      <c r="H580" s="303"/>
      <c r="I580" s="303"/>
      <c r="J580" s="303"/>
      <c r="K580" s="303"/>
      <c r="L580" s="303"/>
      <c r="M580" s="303"/>
      <c r="N580" s="303"/>
      <c r="O580" s="303"/>
    </row>
    <row r="581" spans="1:15" x14ac:dyDescent="0.25">
      <c r="A581" s="70"/>
      <c r="B581" s="70"/>
      <c r="C581" s="417">
        <v>4265.0050000000001</v>
      </c>
      <c r="D581" s="62" t="s">
        <v>3920</v>
      </c>
      <c r="E581" s="64" t="s">
        <v>3692</v>
      </c>
      <c r="F581" s="303">
        <v>7000</v>
      </c>
      <c r="G581" s="303"/>
      <c r="H581" s="303"/>
      <c r="I581" s="303"/>
      <c r="J581" s="303"/>
      <c r="K581" s="303"/>
      <c r="L581" s="303"/>
      <c r="M581" s="303"/>
      <c r="N581" s="303"/>
      <c r="O581" s="303"/>
    </row>
    <row r="582" spans="1:15" x14ac:dyDescent="0.25">
      <c r="A582" s="70"/>
      <c r="B582" s="70"/>
      <c r="C582" s="417"/>
      <c r="D582" s="62"/>
      <c r="E582" s="64"/>
      <c r="F582" s="303"/>
      <c r="G582" s="303"/>
      <c r="H582" s="303"/>
      <c r="I582" s="303"/>
      <c r="J582" s="303"/>
      <c r="K582" s="303"/>
      <c r="L582" s="303"/>
      <c r="M582" s="303"/>
      <c r="N582" s="303"/>
      <c r="O582" s="303"/>
    </row>
    <row r="583" spans="1:15" x14ac:dyDescent="0.25">
      <c r="A583" s="70"/>
      <c r="B583" s="70"/>
      <c r="C583" s="413"/>
      <c r="D583" s="61" t="s">
        <v>3921</v>
      </c>
      <c r="E583" s="64"/>
      <c r="F583" s="419">
        <f t="shared" ref="F583:O583" si="15">SUM(F569:F582)</f>
        <v>672000</v>
      </c>
      <c r="G583" s="419">
        <f t="shared" si="15"/>
        <v>235000</v>
      </c>
      <c r="H583" s="419">
        <f t="shared" si="15"/>
        <v>160000</v>
      </c>
      <c r="I583" s="419">
        <f t="shared" si="15"/>
        <v>212000</v>
      </c>
      <c r="J583" s="419">
        <f t="shared" si="15"/>
        <v>169000</v>
      </c>
      <c r="K583" s="419">
        <f t="shared" si="15"/>
        <v>166000</v>
      </c>
      <c r="L583" s="419">
        <f t="shared" si="15"/>
        <v>168000</v>
      </c>
      <c r="M583" s="419">
        <f t="shared" si="15"/>
        <v>168000</v>
      </c>
      <c r="N583" s="419">
        <f t="shared" si="15"/>
        <v>168000</v>
      </c>
      <c r="O583" s="419">
        <f t="shared" si="15"/>
        <v>168000</v>
      </c>
    </row>
    <row r="584" spans="1:15" x14ac:dyDescent="0.25">
      <c r="A584" s="70"/>
      <c r="B584" s="70"/>
      <c r="C584" s="417"/>
      <c r="D584" s="62"/>
      <c r="E584" s="64"/>
      <c r="F584" s="303"/>
      <c r="G584" s="303"/>
      <c r="H584" s="303"/>
      <c r="I584" s="303"/>
      <c r="J584" s="303"/>
      <c r="K584" s="303"/>
      <c r="L584" s="303"/>
      <c r="M584" s="303"/>
      <c r="N584" s="303"/>
      <c r="O584" s="303"/>
    </row>
    <row r="585" spans="1:15" x14ac:dyDescent="0.25">
      <c r="A585" s="70"/>
      <c r="B585" s="70"/>
      <c r="C585" s="413"/>
      <c r="D585" s="61" t="s">
        <v>3518</v>
      </c>
      <c r="E585" s="64"/>
      <c r="F585" s="304"/>
      <c r="G585" s="304"/>
      <c r="H585" s="304"/>
      <c r="I585" s="304"/>
      <c r="J585" s="304"/>
      <c r="K585" s="304"/>
      <c r="L585" s="304"/>
      <c r="M585" s="304"/>
      <c r="N585" s="303"/>
      <c r="O585" s="304"/>
    </row>
    <row r="586" spans="1:15" x14ac:dyDescent="0.25">
      <c r="A586" s="70"/>
      <c r="B586" s="70"/>
      <c r="C586" s="417">
        <v>4269.0029999999997</v>
      </c>
      <c r="D586" s="62" t="s">
        <v>3910</v>
      </c>
      <c r="E586" s="64" t="s">
        <v>3692</v>
      </c>
      <c r="F586" s="303">
        <v>540000</v>
      </c>
      <c r="G586" s="303">
        <v>0</v>
      </c>
      <c r="H586" s="303"/>
      <c r="I586" s="303">
        <v>0</v>
      </c>
      <c r="J586" s="303"/>
      <c r="K586" s="303"/>
      <c r="L586" s="303"/>
      <c r="M586" s="303"/>
      <c r="N586" s="303"/>
      <c r="O586" s="303"/>
    </row>
    <row r="587" spans="1:15" x14ac:dyDescent="0.25">
      <c r="A587" s="70"/>
      <c r="B587" s="70"/>
      <c r="C587" s="417">
        <v>4269.0230000000001</v>
      </c>
      <c r="D587" s="62" t="s">
        <v>3915</v>
      </c>
      <c r="E587" s="64" t="s">
        <v>3692</v>
      </c>
      <c r="F587" s="303">
        <v>50000</v>
      </c>
      <c r="G587" s="303"/>
      <c r="H587" s="303"/>
      <c r="I587" s="303">
        <v>100000</v>
      </c>
      <c r="J587" s="303"/>
      <c r="K587" s="303"/>
      <c r="L587" s="303">
        <v>100000</v>
      </c>
      <c r="M587" s="303"/>
      <c r="N587" s="303"/>
      <c r="O587" s="303"/>
    </row>
    <row r="588" spans="1:15" x14ac:dyDescent="0.25">
      <c r="A588" s="70"/>
      <c r="B588" s="70"/>
      <c r="C588" s="417">
        <v>4269.0320000000002</v>
      </c>
      <c r="D588" s="62" t="s">
        <v>3922</v>
      </c>
      <c r="E588" s="64" t="s">
        <v>3692</v>
      </c>
      <c r="F588" s="303">
        <v>350000</v>
      </c>
      <c r="G588" s="303"/>
      <c r="H588" s="303"/>
      <c r="I588" s="303"/>
      <c r="J588" s="303"/>
      <c r="K588" s="303"/>
      <c r="L588" s="303"/>
      <c r="M588" s="303"/>
      <c r="N588" s="303"/>
      <c r="O588" s="303"/>
    </row>
    <row r="589" spans="1:15" x14ac:dyDescent="0.25">
      <c r="A589" s="70"/>
      <c r="B589" s="70"/>
      <c r="C589" s="420">
        <v>4270.0020000000004</v>
      </c>
      <c r="D589" s="62" t="s">
        <v>3917</v>
      </c>
      <c r="E589" s="64" t="s">
        <v>3562</v>
      </c>
      <c r="F589" s="303">
        <v>50000</v>
      </c>
      <c r="G589" s="303">
        <v>100000</v>
      </c>
      <c r="H589" s="303">
        <v>40000</v>
      </c>
      <c r="I589" s="303">
        <v>42000</v>
      </c>
      <c r="J589" s="303">
        <v>44000</v>
      </c>
      <c r="K589" s="303">
        <v>46000</v>
      </c>
      <c r="L589" s="303">
        <v>48000</v>
      </c>
      <c r="M589" s="303">
        <v>48000</v>
      </c>
      <c r="N589" s="303">
        <v>48000</v>
      </c>
      <c r="O589" s="303">
        <v>48000</v>
      </c>
    </row>
    <row r="590" spans="1:15" x14ac:dyDescent="0.25">
      <c r="A590" s="70"/>
      <c r="B590" s="70"/>
      <c r="C590" s="420"/>
      <c r="D590" s="62"/>
      <c r="E590" s="64"/>
      <c r="F590" s="303"/>
      <c r="G590" s="303"/>
      <c r="H590" s="303"/>
      <c r="I590" s="303"/>
      <c r="J590" s="303"/>
      <c r="K590" s="303"/>
      <c r="L590" s="303"/>
      <c r="M590" s="303"/>
      <c r="N590" s="303"/>
      <c r="O590" s="303"/>
    </row>
    <row r="591" spans="1:15" x14ac:dyDescent="0.25">
      <c r="A591" s="70"/>
      <c r="B591" s="70"/>
      <c r="C591" s="417"/>
      <c r="D591" s="61" t="s">
        <v>3921</v>
      </c>
      <c r="E591" s="64"/>
      <c r="F591" s="419">
        <f t="shared" ref="F591:O591" si="16">SUM(F586:F590)</f>
        <v>990000</v>
      </c>
      <c r="G591" s="419">
        <f t="shared" si="16"/>
        <v>100000</v>
      </c>
      <c r="H591" s="419">
        <f t="shared" si="16"/>
        <v>40000</v>
      </c>
      <c r="I591" s="419">
        <f t="shared" si="16"/>
        <v>142000</v>
      </c>
      <c r="J591" s="419">
        <f t="shared" si="16"/>
        <v>44000</v>
      </c>
      <c r="K591" s="419">
        <f t="shared" si="16"/>
        <v>46000</v>
      </c>
      <c r="L591" s="419">
        <f t="shared" si="16"/>
        <v>148000</v>
      </c>
      <c r="M591" s="419">
        <f t="shared" si="16"/>
        <v>48000</v>
      </c>
      <c r="N591" s="419">
        <f t="shared" si="16"/>
        <v>48000</v>
      </c>
      <c r="O591" s="419">
        <f t="shared" si="16"/>
        <v>48000</v>
      </c>
    </row>
    <row r="592" spans="1:15" x14ac:dyDescent="0.25">
      <c r="A592" s="70"/>
      <c r="B592" s="70"/>
      <c r="C592" s="417"/>
      <c r="D592" s="62"/>
      <c r="E592" s="64"/>
      <c r="F592" s="303"/>
      <c r="G592" s="303"/>
      <c r="H592" s="303"/>
      <c r="I592" s="303"/>
      <c r="J592" s="303"/>
      <c r="K592" s="303"/>
      <c r="L592" s="303"/>
      <c r="M592" s="303"/>
      <c r="N592" s="303"/>
      <c r="O592" s="303"/>
    </row>
    <row r="593" spans="1:16" x14ac:dyDescent="0.25">
      <c r="A593" s="70"/>
      <c r="B593" s="70"/>
      <c r="C593" s="417"/>
      <c r="D593" s="61" t="s">
        <v>3923</v>
      </c>
      <c r="E593" s="64"/>
      <c r="F593" s="305">
        <f t="shared" ref="F593:O593" si="17">SUM(F583,F591)</f>
        <v>1662000</v>
      </c>
      <c r="G593" s="305">
        <f t="shared" si="17"/>
        <v>335000</v>
      </c>
      <c r="H593" s="305">
        <f t="shared" si="17"/>
        <v>200000</v>
      </c>
      <c r="I593" s="305">
        <f t="shared" si="17"/>
        <v>354000</v>
      </c>
      <c r="J593" s="305">
        <f t="shared" si="17"/>
        <v>213000</v>
      </c>
      <c r="K593" s="305">
        <f t="shared" si="17"/>
        <v>212000</v>
      </c>
      <c r="L593" s="305">
        <f t="shared" si="17"/>
        <v>316000</v>
      </c>
      <c r="M593" s="305">
        <f t="shared" si="17"/>
        <v>216000</v>
      </c>
      <c r="N593" s="305">
        <f t="shared" si="17"/>
        <v>216000</v>
      </c>
      <c r="O593" s="305">
        <f t="shared" si="17"/>
        <v>216000</v>
      </c>
    </row>
    <row r="594" spans="1:16" x14ac:dyDescent="0.25">
      <c r="A594" s="70"/>
      <c r="B594" s="70"/>
      <c r="C594" s="63"/>
      <c r="D594" s="61"/>
      <c r="E594" s="64"/>
      <c r="F594" s="304"/>
      <c r="G594" s="304"/>
      <c r="H594" s="304"/>
      <c r="I594" s="304"/>
      <c r="J594" s="304"/>
      <c r="K594" s="304"/>
      <c r="L594" s="304"/>
      <c r="M594" s="304"/>
      <c r="N594" s="304"/>
      <c r="O594" s="304"/>
    </row>
    <row r="595" spans="1:16" x14ac:dyDescent="0.25">
      <c r="A595" s="70"/>
      <c r="B595" s="70"/>
      <c r="C595" s="63"/>
      <c r="D595" s="61" t="s">
        <v>3924</v>
      </c>
      <c r="E595" s="366"/>
      <c r="F595" s="303"/>
      <c r="G595" s="303"/>
      <c r="H595" s="303"/>
      <c r="I595" s="303"/>
      <c r="J595" s="303"/>
      <c r="K595" s="303"/>
      <c r="L595" s="303"/>
      <c r="M595" s="303"/>
      <c r="N595" s="303"/>
      <c r="O595" s="303"/>
    </row>
    <row r="596" spans="1:16" x14ac:dyDescent="0.25">
      <c r="A596" s="70"/>
      <c r="B596" s="70"/>
      <c r="C596" s="63"/>
      <c r="D596" s="61"/>
      <c r="E596" s="366"/>
      <c r="F596" s="303"/>
      <c r="G596" s="303"/>
      <c r="H596" s="303"/>
      <c r="I596" s="303"/>
      <c r="J596" s="303"/>
      <c r="K596" s="303"/>
      <c r="L596" s="303"/>
      <c r="M596" s="303"/>
      <c r="N596" s="303"/>
      <c r="O596" s="303"/>
    </row>
    <row r="597" spans="1:16" x14ac:dyDescent="0.25">
      <c r="A597" s="70"/>
      <c r="B597" s="70"/>
      <c r="C597" s="63">
        <v>4191.0020000000004</v>
      </c>
      <c r="D597" s="62" t="s">
        <v>3925</v>
      </c>
      <c r="E597" s="69" t="s">
        <v>3562</v>
      </c>
      <c r="F597" s="303">
        <v>70200</v>
      </c>
      <c r="G597" s="303">
        <v>23200</v>
      </c>
      <c r="H597" s="303">
        <v>23900</v>
      </c>
      <c r="I597" s="303">
        <v>24600</v>
      </c>
      <c r="J597" s="303">
        <v>25300</v>
      </c>
      <c r="K597" s="303">
        <v>26100</v>
      </c>
      <c r="L597" s="303">
        <v>26100</v>
      </c>
      <c r="M597" s="303">
        <v>26100</v>
      </c>
      <c r="N597" s="303">
        <v>26100</v>
      </c>
      <c r="O597" s="303">
        <v>26100</v>
      </c>
      <c r="P597" s="60" t="s">
        <v>4496</v>
      </c>
    </row>
    <row r="598" spans="1:16" x14ac:dyDescent="0.25">
      <c r="A598" s="70"/>
      <c r="B598" s="70"/>
      <c r="C598" s="63"/>
      <c r="D598" s="415" t="s">
        <v>3926</v>
      </c>
      <c r="E598" s="69"/>
      <c r="F598" s="303"/>
      <c r="G598" s="303"/>
      <c r="H598" s="303"/>
      <c r="I598" s="303"/>
      <c r="J598" s="303"/>
      <c r="K598" s="303"/>
      <c r="L598" s="303"/>
      <c r="M598" s="303"/>
      <c r="N598" s="303"/>
      <c r="O598" s="303"/>
    </row>
    <row r="599" spans="1:16" x14ac:dyDescent="0.25">
      <c r="A599" s="70"/>
      <c r="B599" s="70"/>
      <c r="C599" s="63"/>
      <c r="D599" s="415" t="s">
        <v>3927</v>
      </c>
      <c r="E599" s="69"/>
      <c r="F599" s="303"/>
      <c r="G599" s="303"/>
      <c r="H599" s="303"/>
      <c r="I599" s="303"/>
      <c r="J599" s="303"/>
      <c r="K599" s="303"/>
      <c r="L599" s="303"/>
      <c r="M599" s="303"/>
      <c r="N599" s="303"/>
      <c r="O599" s="303"/>
    </row>
    <row r="600" spans="1:16" x14ac:dyDescent="0.25">
      <c r="A600" s="70"/>
      <c r="B600" s="70"/>
      <c r="C600" s="63">
        <v>4191.0029999999997</v>
      </c>
      <c r="D600" s="415" t="s">
        <v>3928</v>
      </c>
      <c r="E600" s="69" t="s">
        <v>3562</v>
      </c>
      <c r="F600" s="303">
        <v>21600</v>
      </c>
      <c r="G600" s="303">
        <v>23200</v>
      </c>
      <c r="H600" s="303">
        <v>23900</v>
      </c>
      <c r="I600" s="303">
        <v>24600</v>
      </c>
      <c r="J600" s="303">
        <v>25300</v>
      </c>
      <c r="K600" s="303">
        <v>26100</v>
      </c>
      <c r="L600" s="303">
        <v>26100</v>
      </c>
      <c r="M600" s="303">
        <v>26100</v>
      </c>
      <c r="N600" s="303">
        <v>26100</v>
      </c>
      <c r="O600" s="303">
        <v>26100</v>
      </c>
      <c r="P600" s="60" t="s">
        <v>4496</v>
      </c>
    </row>
    <row r="601" spans="1:16" x14ac:dyDescent="0.25">
      <c r="A601" s="70"/>
      <c r="B601" s="70"/>
      <c r="C601" s="63"/>
      <c r="D601" s="415" t="s">
        <v>3929</v>
      </c>
      <c r="E601" s="69"/>
      <c r="F601" s="303"/>
      <c r="G601" s="303"/>
      <c r="H601" s="303"/>
      <c r="I601" s="303"/>
      <c r="J601" s="303"/>
      <c r="K601" s="303"/>
      <c r="L601" s="303"/>
      <c r="M601" s="303"/>
      <c r="N601" s="303"/>
      <c r="O601" s="303"/>
    </row>
    <row r="602" spans="1:16" x14ac:dyDescent="0.25">
      <c r="A602" s="70"/>
      <c r="B602" s="70"/>
      <c r="C602" s="63"/>
      <c r="D602" s="415" t="s">
        <v>3930</v>
      </c>
      <c r="E602" s="69"/>
      <c r="F602" s="303"/>
      <c r="G602" s="303"/>
      <c r="H602" s="303"/>
      <c r="I602" s="303"/>
      <c r="J602" s="303"/>
      <c r="K602" s="303"/>
      <c r="L602" s="303"/>
      <c r="M602" s="303"/>
      <c r="N602" s="303"/>
      <c r="O602" s="303"/>
    </row>
    <row r="603" spans="1:16" x14ac:dyDescent="0.25">
      <c r="A603" s="70"/>
      <c r="B603" s="70"/>
      <c r="C603" s="63"/>
      <c r="D603" s="415" t="s">
        <v>3931</v>
      </c>
      <c r="E603" s="69"/>
      <c r="F603" s="303"/>
      <c r="G603" s="303"/>
      <c r="H603" s="303"/>
      <c r="I603" s="303"/>
      <c r="J603" s="303"/>
      <c r="K603" s="303"/>
      <c r="L603" s="303"/>
      <c r="M603" s="303"/>
      <c r="N603" s="303"/>
      <c r="O603" s="303"/>
    </row>
    <row r="604" spans="1:16" x14ac:dyDescent="0.25">
      <c r="A604" s="70"/>
      <c r="B604" s="70"/>
      <c r="C604" s="421">
        <v>4191.0569999999998</v>
      </c>
      <c r="D604" s="62" t="s">
        <v>3932</v>
      </c>
      <c r="E604" s="69"/>
      <c r="F604" s="303"/>
      <c r="G604" s="303"/>
      <c r="H604" s="303"/>
      <c r="I604" s="303"/>
      <c r="J604" s="303"/>
      <c r="K604" s="303"/>
      <c r="L604" s="303"/>
      <c r="M604" s="303"/>
      <c r="N604" s="303"/>
      <c r="O604" s="303"/>
    </row>
    <row r="605" spans="1:16" x14ac:dyDescent="0.25">
      <c r="A605" s="70"/>
      <c r="B605" s="70"/>
      <c r="C605" s="421">
        <v>4191.0640000000003</v>
      </c>
      <c r="D605" s="62" t="s">
        <v>3933</v>
      </c>
      <c r="E605" s="69"/>
      <c r="F605" s="303"/>
      <c r="G605" s="303"/>
      <c r="H605" s="303"/>
      <c r="I605" s="303"/>
      <c r="J605" s="303"/>
      <c r="K605" s="303"/>
      <c r="L605" s="303"/>
      <c r="M605" s="303"/>
      <c r="N605" s="303"/>
      <c r="O605" s="303"/>
    </row>
    <row r="606" spans="1:16" x14ac:dyDescent="0.25">
      <c r="A606" s="70"/>
      <c r="B606" s="70"/>
      <c r="C606" s="421">
        <v>4191.0649999999996</v>
      </c>
      <c r="D606" s="62" t="s">
        <v>3934</v>
      </c>
      <c r="E606" s="69"/>
      <c r="F606" s="303"/>
      <c r="G606" s="303"/>
      <c r="H606" s="303"/>
      <c r="I606" s="303"/>
      <c r="J606" s="303"/>
      <c r="K606" s="303"/>
      <c r="L606" s="303"/>
      <c r="M606" s="303"/>
      <c r="N606" s="303"/>
      <c r="O606" s="303"/>
    </row>
    <row r="607" spans="1:16" x14ac:dyDescent="0.25">
      <c r="A607" s="70"/>
      <c r="B607" s="70"/>
      <c r="C607" s="421">
        <v>4191.0659999999998</v>
      </c>
      <c r="D607" s="62" t="s">
        <v>3935</v>
      </c>
      <c r="E607" s="69" t="s">
        <v>3692</v>
      </c>
      <c r="F607" s="303">
        <v>300000</v>
      </c>
      <c r="G607" s="303"/>
      <c r="H607" s="303"/>
      <c r="I607" s="303"/>
      <c r="J607" s="303"/>
      <c r="K607" s="303"/>
      <c r="L607" s="303"/>
      <c r="M607" s="303"/>
      <c r="N607" s="303"/>
      <c r="O607" s="303"/>
    </row>
    <row r="608" spans="1:16" x14ac:dyDescent="0.25">
      <c r="A608" s="70"/>
      <c r="B608" s="70"/>
      <c r="C608" s="421">
        <v>4195.0110000000004</v>
      </c>
      <c r="D608" s="62" t="s">
        <v>3936</v>
      </c>
      <c r="E608" s="69" t="s">
        <v>3562</v>
      </c>
      <c r="F608" s="303">
        <f>45400+86100+23200-45400+2000-50000</f>
        <v>61300</v>
      </c>
      <c r="G608" s="303">
        <v>115800</v>
      </c>
      <c r="H608" s="303">
        <v>120400</v>
      </c>
      <c r="I608" s="303">
        <v>125200</v>
      </c>
      <c r="J608" s="303">
        <v>130200</v>
      </c>
      <c r="K608" s="303">
        <v>135400</v>
      </c>
      <c r="L608" s="303">
        <v>140800</v>
      </c>
      <c r="M608" s="303">
        <v>146400</v>
      </c>
      <c r="N608" s="303">
        <v>152300</v>
      </c>
      <c r="O608" s="303">
        <v>158400</v>
      </c>
      <c r="P608" s="60" t="s">
        <v>4496</v>
      </c>
    </row>
    <row r="609" spans="1:15" ht="30" x14ac:dyDescent="0.25">
      <c r="A609" s="70"/>
      <c r="B609" s="70"/>
      <c r="C609" s="421">
        <v>4195.018</v>
      </c>
      <c r="D609" s="62" t="s">
        <v>3937</v>
      </c>
      <c r="E609" s="69"/>
      <c r="F609" s="303"/>
      <c r="G609" s="303"/>
      <c r="H609" s="303"/>
      <c r="I609" s="303"/>
      <c r="J609" s="303"/>
      <c r="K609" s="303"/>
      <c r="L609" s="303"/>
      <c r="M609" s="303"/>
      <c r="N609" s="303"/>
      <c r="O609" s="303"/>
    </row>
    <row r="610" spans="1:15" ht="30" x14ac:dyDescent="0.25">
      <c r="A610" s="70"/>
      <c r="B610" s="70"/>
      <c r="C610" s="421">
        <v>4195.0190000000002</v>
      </c>
      <c r="D610" s="62" t="s">
        <v>3938</v>
      </c>
      <c r="E610" s="69"/>
      <c r="F610" s="303"/>
      <c r="G610" s="303"/>
      <c r="H610" s="303"/>
      <c r="I610" s="303"/>
      <c r="J610" s="303"/>
      <c r="K610" s="303"/>
      <c r="L610" s="303"/>
      <c r="M610" s="303"/>
      <c r="N610" s="303"/>
      <c r="O610" s="303"/>
    </row>
    <row r="611" spans="1:15" ht="30" x14ac:dyDescent="0.25">
      <c r="A611" s="70"/>
      <c r="B611" s="70"/>
      <c r="C611" s="421"/>
      <c r="D611" s="62" t="s">
        <v>3939</v>
      </c>
      <c r="E611" s="69"/>
      <c r="F611" s="303">
        <f>86100-86100</f>
        <v>0</v>
      </c>
      <c r="G611" s="303"/>
      <c r="H611" s="303"/>
      <c r="I611" s="303"/>
      <c r="J611" s="303"/>
      <c r="K611" s="303"/>
      <c r="L611" s="303"/>
      <c r="M611" s="303"/>
      <c r="N611" s="303"/>
      <c r="O611" s="303"/>
    </row>
    <row r="612" spans="1:15" ht="30" x14ac:dyDescent="0.25">
      <c r="A612" s="70"/>
      <c r="B612" s="70"/>
      <c r="C612" s="421"/>
      <c r="D612" s="62" t="s">
        <v>3940</v>
      </c>
      <c r="E612" s="69"/>
      <c r="F612" s="303">
        <f>23200-23200</f>
        <v>0</v>
      </c>
      <c r="G612" s="303"/>
      <c r="H612" s="303"/>
      <c r="I612" s="303"/>
      <c r="J612" s="303"/>
      <c r="K612" s="303"/>
      <c r="L612" s="303"/>
      <c r="M612" s="303"/>
      <c r="N612" s="303"/>
      <c r="O612" s="303"/>
    </row>
    <row r="613" spans="1:15" x14ac:dyDescent="0.25">
      <c r="A613" s="70"/>
      <c r="B613" s="70"/>
      <c r="C613" s="421">
        <v>4195.0050000000001</v>
      </c>
      <c r="D613" s="62" t="s">
        <v>3941</v>
      </c>
      <c r="E613" s="69"/>
      <c r="F613" s="303"/>
      <c r="G613" s="303"/>
      <c r="H613" s="303"/>
      <c r="I613" s="303"/>
      <c r="J613" s="303"/>
      <c r="K613" s="303"/>
      <c r="L613" s="303"/>
      <c r="M613" s="303"/>
      <c r="N613" s="303"/>
      <c r="O613" s="303"/>
    </row>
    <row r="614" spans="1:15" x14ac:dyDescent="0.25">
      <c r="A614" s="70"/>
      <c r="B614" s="70"/>
      <c r="C614" s="421">
        <v>4195.0159999999996</v>
      </c>
      <c r="D614" s="62" t="s">
        <v>3942</v>
      </c>
      <c r="E614" s="69"/>
      <c r="F614" s="303"/>
      <c r="G614" s="303"/>
      <c r="H614" s="303"/>
      <c r="I614" s="303"/>
      <c r="J614" s="303"/>
      <c r="K614" s="303"/>
      <c r="L614" s="303"/>
      <c r="M614" s="303"/>
      <c r="N614" s="303"/>
      <c r="O614" s="303"/>
    </row>
    <row r="615" spans="1:15" x14ac:dyDescent="0.25">
      <c r="A615" s="70"/>
      <c r="B615" s="70"/>
      <c r="C615" s="421">
        <v>4195.0230000000001</v>
      </c>
      <c r="D615" s="63" t="s">
        <v>3832</v>
      </c>
      <c r="E615" s="69" t="s">
        <v>3692</v>
      </c>
      <c r="F615" s="303">
        <v>50000</v>
      </c>
      <c r="G615" s="303"/>
      <c r="H615" s="303"/>
      <c r="I615" s="303"/>
      <c r="J615" s="303"/>
      <c r="K615" s="303"/>
      <c r="L615" s="303"/>
      <c r="M615" s="303"/>
      <c r="N615" s="303"/>
      <c r="O615" s="303"/>
    </row>
    <row r="616" spans="1:15" x14ac:dyDescent="0.25">
      <c r="A616" s="70"/>
      <c r="B616" s="70"/>
      <c r="C616" s="63">
        <v>4253</v>
      </c>
      <c r="D616" s="62" t="s">
        <v>3943</v>
      </c>
      <c r="E616" s="69" t="s">
        <v>3692</v>
      </c>
      <c r="F616" s="303">
        <f>250000-200000</f>
        <v>50000</v>
      </c>
      <c r="G616" s="303"/>
      <c r="H616" s="303"/>
      <c r="I616" s="303"/>
      <c r="J616" s="303"/>
      <c r="K616" s="303"/>
      <c r="L616" s="303"/>
      <c r="M616" s="303"/>
      <c r="N616" s="303"/>
      <c r="O616" s="303"/>
    </row>
    <row r="617" spans="1:15" x14ac:dyDescent="0.25">
      <c r="A617" s="70"/>
      <c r="B617" s="70"/>
      <c r="C617" s="63">
        <v>4254</v>
      </c>
      <c r="D617" s="62" t="s">
        <v>3944</v>
      </c>
      <c r="E617" s="69"/>
      <c r="F617" s="303"/>
      <c r="G617" s="303"/>
      <c r="H617" s="303"/>
      <c r="I617" s="303"/>
      <c r="J617" s="303"/>
      <c r="K617" s="303"/>
      <c r="L617" s="303"/>
      <c r="M617" s="303"/>
      <c r="N617" s="303"/>
      <c r="O617" s="303"/>
    </row>
    <row r="618" spans="1:15" x14ac:dyDescent="0.25">
      <c r="A618" s="70"/>
      <c r="B618" s="70"/>
      <c r="C618" s="63">
        <v>4197</v>
      </c>
      <c r="D618" s="62" t="s">
        <v>3945</v>
      </c>
      <c r="E618" s="69" t="s">
        <v>3692</v>
      </c>
      <c r="F618" s="303">
        <f>79000-47400</f>
        <v>31600</v>
      </c>
      <c r="G618" s="303"/>
      <c r="H618" s="303"/>
      <c r="I618" s="303"/>
      <c r="J618" s="303"/>
      <c r="K618" s="303"/>
      <c r="L618" s="303"/>
      <c r="M618" s="303"/>
      <c r="N618" s="303"/>
      <c r="O618" s="303"/>
    </row>
    <row r="619" spans="1:15" x14ac:dyDescent="0.25">
      <c r="A619" s="70"/>
      <c r="B619" s="70"/>
      <c r="C619" s="63">
        <v>4197.0010000000002</v>
      </c>
      <c r="D619" s="422"/>
      <c r="E619" s="69"/>
      <c r="F619" s="303"/>
      <c r="G619" s="303"/>
      <c r="H619" s="303"/>
      <c r="I619" s="303"/>
      <c r="J619" s="303"/>
      <c r="K619" s="303"/>
      <c r="L619" s="303"/>
      <c r="M619" s="303"/>
      <c r="N619" s="303"/>
      <c r="O619" s="303"/>
    </row>
    <row r="620" spans="1:15" x14ac:dyDescent="0.25">
      <c r="A620" s="70"/>
      <c r="B620" s="70"/>
      <c r="C620" s="63">
        <v>4197.0020000000004</v>
      </c>
      <c r="D620" s="415" t="s">
        <v>3946</v>
      </c>
      <c r="E620" s="69"/>
      <c r="F620" s="303"/>
      <c r="G620" s="303"/>
      <c r="H620" s="303"/>
      <c r="I620" s="303"/>
      <c r="J620" s="303"/>
      <c r="K620" s="303"/>
      <c r="L620" s="303"/>
      <c r="M620" s="303"/>
      <c r="N620" s="303"/>
      <c r="O620" s="303"/>
    </row>
    <row r="621" spans="1:15" x14ac:dyDescent="0.25">
      <c r="A621" s="70"/>
      <c r="B621" s="70"/>
      <c r="C621" s="63">
        <v>4197.0029999999997</v>
      </c>
      <c r="D621" s="415" t="s">
        <v>3947</v>
      </c>
      <c r="E621" s="69" t="s">
        <v>3562</v>
      </c>
      <c r="F621" s="303">
        <v>53400</v>
      </c>
      <c r="G621" s="303"/>
      <c r="H621" s="303"/>
      <c r="I621" s="303"/>
      <c r="J621" s="303"/>
      <c r="K621" s="303"/>
      <c r="L621" s="303"/>
      <c r="M621" s="303"/>
      <c r="N621" s="303"/>
      <c r="O621" s="303"/>
    </row>
    <row r="622" spans="1:15" x14ac:dyDescent="0.25">
      <c r="A622" s="70"/>
      <c r="B622" s="70"/>
      <c r="C622" s="63">
        <v>4197.0039999999999</v>
      </c>
      <c r="D622" s="415" t="s">
        <v>3948</v>
      </c>
      <c r="E622" s="69" t="s">
        <v>3562</v>
      </c>
      <c r="F622" s="303">
        <v>20000</v>
      </c>
      <c r="G622" s="303"/>
      <c r="H622" s="303"/>
      <c r="I622" s="303"/>
      <c r="J622" s="303"/>
      <c r="K622" s="303"/>
      <c r="L622" s="303"/>
      <c r="M622" s="303"/>
      <c r="N622" s="303"/>
      <c r="O622" s="303"/>
    </row>
    <row r="623" spans="1:15" x14ac:dyDescent="0.25">
      <c r="A623" s="70"/>
      <c r="B623" s="70"/>
      <c r="C623" s="63"/>
      <c r="D623" s="415"/>
      <c r="E623" s="69"/>
      <c r="F623" s="303"/>
      <c r="G623" s="303"/>
      <c r="H623" s="303"/>
      <c r="I623" s="303"/>
      <c r="J623" s="303"/>
      <c r="K623" s="303"/>
      <c r="L623" s="303"/>
      <c r="M623" s="303"/>
      <c r="N623" s="303"/>
      <c r="O623" s="303"/>
    </row>
    <row r="624" spans="1:15" x14ac:dyDescent="0.25">
      <c r="A624" s="70"/>
      <c r="B624" s="70"/>
      <c r="C624" s="63"/>
      <c r="D624" s="468" t="s">
        <v>4621</v>
      </c>
      <c r="E624" s="69" t="s">
        <v>3562</v>
      </c>
      <c r="F624" s="303"/>
      <c r="G624" s="303">
        <f>'reservecalc-internal'!B1529</f>
        <v>219100</v>
      </c>
      <c r="H624" s="303">
        <f>'reservecalc-internal'!C1529</f>
        <v>421000</v>
      </c>
      <c r="I624" s="303">
        <f>'reservecalc-internal'!D1529</f>
        <v>642600</v>
      </c>
      <c r="J624" s="303">
        <f>'reservecalc-internal'!E1529</f>
        <v>885600</v>
      </c>
      <c r="K624" s="303">
        <f>'reservecalc-internal'!F1529</f>
        <v>907700</v>
      </c>
      <c r="L624" s="303">
        <f>'reservecalc-internal'!G1529</f>
        <v>930400</v>
      </c>
      <c r="M624" s="303">
        <f>'reservecalc-internal'!H1529</f>
        <v>953700</v>
      </c>
      <c r="N624" s="303">
        <f>'reservecalc-internal'!I1529</f>
        <v>977600</v>
      </c>
      <c r="O624" s="303">
        <f>'reservecalc-internal'!J1529</f>
        <v>1002000</v>
      </c>
    </row>
    <row r="625" spans="1:15" x14ac:dyDescent="0.25">
      <c r="A625" s="70"/>
      <c r="B625" s="70"/>
      <c r="C625" s="63"/>
      <c r="D625" s="415"/>
      <c r="E625" s="69"/>
      <c r="F625" s="303"/>
      <c r="G625" s="303"/>
      <c r="H625" s="303"/>
      <c r="I625" s="303"/>
      <c r="J625" s="303"/>
      <c r="K625" s="303"/>
      <c r="L625" s="303"/>
      <c r="M625" s="303"/>
      <c r="N625" s="303"/>
      <c r="O625" s="303"/>
    </row>
    <row r="626" spans="1:15" x14ac:dyDescent="0.25">
      <c r="A626" s="70"/>
      <c r="B626" s="70"/>
      <c r="C626" s="413"/>
      <c r="D626" s="61" t="s">
        <v>3949</v>
      </c>
      <c r="E626" s="64"/>
      <c r="F626" s="305">
        <f t="shared" ref="F626:O626" si="18">SUM(F597:F622)</f>
        <v>658100</v>
      </c>
      <c r="G626" s="305">
        <f t="shared" si="18"/>
        <v>162200</v>
      </c>
      <c r="H626" s="305">
        <f t="shared" si="18"/>
        <v>168200</v>
      </c>
      <c r="I626" s="305">
        <f t="shared" si="18"/>
        <v>174400</v>
      </c>
      <c r="J626" s="305">
        <f t="shared" si="18"/>
        <v>180800</v>
      </c>
      <c r="K626" s="305">
        <f t="shared" si="18"/>
        <v>187600</v>
      </c>
      <c r="L626" s="305">
        <f t="shared" si="18"/>
        <v>193000</v>
      </c>
      <c r="M626" s="305">
        <f t="shared" si="18"/>
        <v>198600</v>
      </c>
      <c r="N626" s="305">
        <f t="shared" si="18"/>
        <v>204500</v>
      </c>
      <c r="O626" s="305">
        <f t="shared" si="18"/>
        <v>210600</v>
      </c>
    </row>
    <row r="627" spans="1:15" x14ac:dyDescent="0.25">
      <c r="A627" s="70"/>
      <c r="B627" s="70"/>
      <c r="C627" s="63"/>
      <c r="D627" s="63"/>
      <c r="E627" s="64"/>
      <c r="F627" s="303"/>
      <c r="G627" s="303"/>
      <c r="H627" s="303"/>
      <c r="I627" s="303"/>
      <c r="J627" s="303"/>
      <c r="K627" s="303"/>
      <c r="L627" s="303"/>
      <c r="M627" s="303"/>
      <c r="N627" s="303"/>
      <c r="O627" s="303"/>
    </row>
    <row r="628" spans="1:15" ht="15.75" thickBot="1" x14ac:dyDescent="0.3">
      <c r="A628" s="70"/>
      <c r="B628" s="70"/>
      <c r="C628" s="65"/>
      <c r="D628" s="65" t="s">
        <v>3950</v>
      </c>
      <c r="E628" s="64"/>
      <c r="F628" s="307">
        <f t="shared" ref="F628:O628" si="19">SUM(F10,F22,F27,F626,F32,F43,F107,F416,F425,F498,F509,F530,F565,F593)</f>
        <v>35318700</v>
      </c>
      <c r="G628" s="307">
        <f t="shared" si="19"/>
        <v>13969200</v>
      </c>
      <c r="H628" s="307">
        <f t="shared" si="19"/>
        <v>9251400</v>
      </c>
      <c r="I628" s="307">
        <f t="shared" si="19"/>
        <v>11967301</v>
      </c>
      <c r="J628" s="307">
        <f t="shared" si="19"/>
        <v>8508100</v>
      </c>
      <c r="K628" s="307">
        <f t="shared" si="19"/>
        <v>8590000</v>
      </c>
      <c r="L628" s="307">
        <f t="shared" si="19"/>
        <v>8789500</v>
      </c>
      <c r="M628" s="307">
        <f t="shared" si="19"/>
        <v>8790100</v>
      </c>
      <c r="N628" s="307">
        <f t="shared" si="19"/>
        <v>9474900</v>
      </c>
      <c r="O628" s="307">
        <f t="shared" si="19"/>
        <v>9372300</v>
      </c>
    </row>
    <row r="629" spans="1:15" s="70" customFormat="1" ht="15.75" thickTop="1" x14ac:dyDescent="0.25">
      <c r="C629" s="65"/>
      <c r="D629" s="65"/>
      <c r="E629" s="64"/>
      <c r="F629" s="304"/>
      <c r="G629" s="304"/>
      <c r="H629" s="304"/>
      <c r="I629" s="304"/>
      <c r="J629" s="304"/>
      <c r="K629" s="304"/>
      <c r="L629" s="304"/>
      <c r="M629" s="304"/>
      <c r="N629" s="304"/>
      <c r="O629" s="304"/>
    </row>
    <row r="630" spans="1:15" s="70" customFormat="1" x14ac:dyDescent="0.25">
      <c r="C630" s="423" t="s">
        <v>3303</v>
      </c>
      <c r="E630" s="424"/>
      <c r="F630" s="294"/>
      <c r="G630" s="294">
        <f>G628-G43-G107</f>
        <v>13002200</v>
      </c>
      <c r="H630" s="294">
        <f t="shared" ref="H630:O630" si="20">H628-H43-H107</f>
        <v>8172400</v>
      </c>
      <c r="I630" s="294">
        <f t="shared" si="20"/>
        <v>11000700</v>
      </c>
      <c r="J630" s="294">
        <f t="shared" si="20"/>
        <v>7821600</v>
      </c>
      <c r="K630" s="294">
        <f t="shared" si="20"/>
        <v>7887500</v>
      </c>
      <c r="L630" s="294">
        <f t="shared" si="20"/>
        <v>8070700</v>
      </c>
      <c r="M630" s="294">
        <f t="shared" si="20"/>
        <v>8054800</v>
      </c>
      <c r="N630" s="294">
        <f t="shared" si="20"/>
        <v>8722600</v>
      </c>
      <c r="O630" s="294">
        <f t="shared" si="20"/>
        <v>8602300</v>
      </c>
    </row>
    <row r="631" spans="1:15" s="70" customFormat="1" x14ac:dyDescent="0.25">
      <c r="C631" s="425"/>
      <c r="E631" s="294"/>
      <c r="F631" s="426"/>
      <c r="G631" s="426"/>
      <c r="H631" s="426"/>
      <c r="I631" s="426"/>
      <c r="J631" s="426"/>
      <c r="K631" s="426"/>
      <c r="L631" s="426"/>
      <c r="M631" s="426"/>
      <c r="N631" s="426"/>
      <c r="O631" s="426"/>
    </row>
    <row r="632" spans="1:15" s="70" customFormat="1" x14ac:dyDescent="0.25">
      <c r="C632" s="71"/>
      <c r="D632" s="427" t="s">
        <v>4048</v>
      </c>
      <c r="E632" s="428"/>
      <c r="F632" s="429"/>
      <c r="G632" s="429"/>
      <c r="H632" s="429"/>
      <c r="I632" s="429"/>
      <c r="J632" s="429"/>
      <c r="K632" s="429"/>
      <c r="L632" s="429"/>
      <c r="M632" s="429"/>
      <c r="N632" s="429"/>
      <c r="O632" s="429"/>
    </row>
    <row r="633" spans="1:15" s="70" customFormat="1" x14ac:dyDescent="0.25">
      <c r="C633" s="430">
        <v>6456.0020000000004</v>
      </c>
      <c r="D633" s="431" t="s">
        <v>3954</v>
      </c>
      <c r="E633" s="431" t="s">
        <v>3692</v>
      </c>
      <c r="F633" s="432">
        <f>437000+134400</f>
        <v>571400</v>
      </c>
      <c r="G633" s="432"/>
      <c r="H633" s="432"/>
      <c r="I633" s="432"/>
      <c r="J633" s="432"/>
      <c r="K633" s="432"/>
      <c r="L633" s="432"/>
      <c r="M633" s="432"/>
      <c r="N633" s="432"/>
      <c r="O633" s="432"/>
    </row>
    <row r="634" spans="1:15" s="70" customFormat="1" x14ac:dyDescent="0.25">
      <c r="C634" s="430">
        <v>6455.0010000000002</v>
      </c>
      <c r="D634" s="431" t="s">
        <v>3955</v>
      </c>
      <c r="E634" s="431" t="s">
        <v>3692</v>
      </c>
      <c r="F634" s="308"/>
      <c r="G634" s="308"/>
      <c r="H634" s="308"/>
      <c r="I634" s="308"/>
      <c r="J634" s="308"/>
      <c r="K634" s="308"/>
      <c r="L634" s="308"/>
      <c r="M634" s="308"/>
      <c r="N634" s="308"/>
      <c r="O634" s="308"/>
    </row>
    <row r="635" spans="1:15" s="70" customFormat="1" x14ac:dyDescent="0.25">
      <c r="C635" s="430"/>
      <c r="D635" s="428" t="s">
        <v>3956</v>
      </c>
      <c r="E635" s="428" t="s">
        <v>3562</v>
      </c>
      <c r="F635" s="308"/>
      <c r="G635" s="308"/>
      <c r="H635" s="308"/>
      <c r="I635" s="308"/>
      <c r="J635" s="308"/>
      <c r="K635" s="308"/>
      <c r="L635" s="308"/>
      <c r="M635" s="308"/>
      <c r="N635" s="308"/>
      <c r="O635" s="308"/>
    </row>
    <row r="636" spans="1:15" s="70" customFormat="1" x14ac:dyDescent="0.25">
      <c r="C636" s="71"/>
      <c r="D636" s="431"/>
      <c r="E636" s="431"/>
      <c r="F636" s="432"/>
      <c r="G636" s="432"/>
      <c r="H636" s="432"/>
      <c r="I636" s="432"/>
      <c r="J636" s="432"/>
      <c r="K636" s="432"/>
      <c r="L636" s="432"/>
      <c r="M636" s="432"/>
      <c r="N636" s="432"/>
      <c r="O636" s="432"/>
    </row>
    <row r="637" spans="1:15" s="70" customFormat="1" x14ac:dyDescent="0.25">
      <c r="C637" s="71"/>
      <c r="D637" s="427" t="s">
        <v>4033</v>
      </c>
      <c r="E637" s="428"/>
      <c r="F637" s="433">
        <f t="shared" ref="F637:O637" si="21">SUM(F632:F636)</f>
        <v>571400</v>
      </c>
      <c r="G637" s="433">
        <f t="shared" si="21"/>
        <v>0</v>
      </c>
      <c r="H637" s="433">
        <f t="shared" si="21"/>
        <v>0</v>
      </c>
      <c r="I637" s="433">
        <f t="shared" si="21"/>
        <v>0</v>
      </c>
      <c r="J637" s="433">
        <f t="shared" si="21"/>
        <v>0</v>
      </c>
      <c r="K637" s="433">
        <f t="shared" si="21"/>
        <v>0</v>
      </c>
      <c r="L637" s="433">
        <f t="shared" si="21"/>
        <v>0</v>
      </c>
      <c r="M637" s="433">
        <f t="shared" si="21"/>
        <v>0</v>
      </c>
      <c r="N637" s="433">
        <f t="shared" si="21"/>
        <v>0</v>
      </c>
      <c r="O637" s="433">
        <f t="shared" si="21"/>
        <v>0</v>
      </c>
    </row>
    <row r="638" spans="1:15" s="70" customFormat="1" x14ac:dyDescent="0.25">
      <c r="C638" s="71"/>
      <c r="D638" s="427"/>
      <c r="E638" s="428"/>
      <c r="F638" s="309"/>
      <c r="G638" s="309"/>
      <c r="H638" s="309"/>
      <c r="I638" s="309"/>
      <c r="J638" s="309"/>
      <c r="K638" s="309"/>
      <c r="L638" s="309"/>
      <c r="M638" s="309"/>
      <c r="N638" s="309"/>
      <c r="O638" s="309"/>
    </row>
    <row r="639" spans="1:15" s="70" customFormat="1" x14ac:dyDescent="0.25">
      <c r="C639" s="71"/>
      <c r="D639" s="427" t="s">
        <v>4047</v>
      </c>
      <c r="E639" s="428"/>
      <c r="F639" s="432"/>
      <c r="G639" s="432"/>
      <c r="H639" s="432"/>
      <c r="I639" s="432"/>
      <c r="J639" s="432"/>
      <c r="K639" s="432"/>
      <c r="L639" s="432"/>
      <c r="M639" s="432"/>
      <c r="N639" s="432"/>
      <c r="O639" s="432"/>
    </row>
    <row r="640" spans="1:15" s="70" customFormat="1" x14ac:dyDescent="0.25">
      <c r="C640" s="430">
        <v>6555.0010000000002</v>
      </c>
      <c r="D640" s="431" t="s">
        <v>3957</v>
      </c>
      <c r="E640" s="431" t="s">
        <v>3562</v>
      </c>
      <c r="F640" s="432"/>
      <c r="G640" s="432"/>
      <c r="H640" s="432"/>
      <c r="I640" s="432"/>
      <c r="J640" s="432"/>
      <c r="K640" s="432"/>
      <c r="L640" s="432"/>
      <c r="M640" s="432"/>
      <c r="N640" s="432"/>
      <c r="O640" s="432"/>
    </row>
    <row r="641" spans="3:15" s="70" customFormat="1" x14ac:dyDescent="0.25">
      <c r="C641" s="430">
        <v>6559.0010000000002</v>
      </c>
      <c r="D641" s="431" t="s">
        <v>3958</v>
      </c>
      <c r="E641" s="431" t="s">
        <v>3562</v>
      </c>
      <c r="F641" s="432">
        <v>30000</v>
      </c>
      <c r="G641" s="432"/>
      <c r="H641" s="432"/>
      <c r="I641" s="432"/>
      <c r="J641" s="432"/>
      <c r="K641" s="432"/>
      <c r="L641" s="432"/>
      <c r="M641" s="432"/>
      <c r="N641" s="432"/>
      <c r="O641" s="432"/>
    </row>
    <row r="642" spans="3:15" s="70" customFormat="1" x14ac:dyDescent="0.25">
      <c r="C642" s="71"/>
      <c r="D642" s="431"/>
      <c r="E642" s="431"/>
      <c r="F642" s="432"/>
      <c r="G642" s="432"/>
      <c r="H642" s="432"/>
      <c r="I642" s="432"/>
      <c r="J642" s="432"/>
      <c r="K642" s="432"/>
      <c r="L642" s="432"/>
      <c r="M642" s="432"/>
      <c r="N642" s="432"/>
      <c r="O642" s="432"/>
    </row>
    <row r="643" spans="3:15" s="70" customFormat="1" x14ac:dyDescent="0.25">
      <c r="C643" s="71"/>
      <c r="D643" s="427" t="s">
        <v>4034</v>
      </c>
      <c r="E643" s="428"/>
      <c r="F643" s="433">
        <f t="shared" ref="F643:O643" si="22">SUM(F639:F642)</f>
        <v>30000</v>
      </c>
      <c r="G643" s="433">
        <f t="shared" si="22"/>
        <v>0</v>
      </c>
      <c r="H643" s="433">
        <f t="shared" si="22"/>
        <v>0</v>
      </c>
      <c r="I643" s="433">
        <f t="shared" si="22"/>
        <v>0</v>
      </c>
      <c r="J643" s="433">
        <f t="shared" si="22"/>
        <v>0</v>
      </c>
      <c r="K643" s="433">
        <f t="shared" si="22"/>
        <v>0</v>
      </c>
      <c r="L643" s="433">
        <f t="shared" si="22"/>
        <v>0</v>
      </c>
      <c r="M643" s="433">
        <f t="shared" si="22"/>
        <v>0</v>
      </c>
      <c r="N643" s="433">
        <f t="shared" si="22"/>
        <v>0</v>
      </c>
      <c r="O643" s="433">
        <f t="shared" si="22"/>
        <v>0</v>
      </c>
    </row>
    <row r="644" spans="3:15" s="70" customFormat="1" x14ac:dyDescent="0.25">
      <c r="C644" s="71"/>
      <c r="D644" s="427"/>
      <c r="E644" s="428"/>
      <c r="F644" s="309"/>
      <c r="G644" s="309"/>
      <c r="H644" s="309"/>
      <c r="I644" s="309"/>
      <c r="J644" s="309"/>
      <c r="K644" s="309"/>
      <c r="L644" s="309"/>
      <c r="M644" s="309"/>
      <c r="N644" s="309"/>
      <c r="O644" s="309"/>
    </row>
    <row r="645" spans="3:15" s="70" customFormat="1" x14ac:dyDescent="0.25">
      <c r="C645" s="71"/>
      <c r="D645" s="427" t="s">
        <v>962</v>
      </c>
      <c r="E645" s="428"/>
      <c r="F645" s="432"/>
      <c r="G645" s="432"/>
      <c r="H645" s="432"/>
      <c r="I645" s="432"/>
      <c r="J645" s="432"/>
      <c r="K645" s="432"/>
      <c r="L645" s="432"/>
      <c r="M645" s="432"/>
      <c r="N645" s="432"/>
      <c r="O645" s="432"/>
    </row>
    <row r="646" spans="3:15" s="70" customFormat="1" x14ac:dyDescent="0.25">
      <c r="C646" s="430">
        <v>6753.0010000000002</v>
      </c>
      <c r="D646" s="431" t="s">
        <v>3959</v>
      </c>
      <c r="E646" s="431"/>
      <c r="F646" s="432"/>
      <c r="G646" s="432"/>
      <c r="H646" s="432"/>
      <c r="I646" s="432"/>
      <c r="J646" s="432"/>
      <c r="K646" s="432"/>
      <c r="L646" s="432"/>
      <c r="M646" s="432"/>
      <c r="N646" s="432"/>
      <c r="O646" s="432"/>
    </row>
    <row r="647" spans="3:15" s="70" customFormat="1" ht="30" x14ac:dyDescent="0.25">
      <c r="C647" s="430">
        <v>6761</v>
      </c>
      <c r="D647" s="428" t="s">
        <v>3960</v>
      </c>
      <c r="E647" s="428" t="s">
        <v>3562</v>
      </c>
      <c r="F647" s="432"/>
      <c r="G647" s="432"/>
      <c r="H647" s="432"/>
      <c r="I647" s="432"/>
      <c r="J647" s="432"/>
      <c r="K647" s="432"/>
      <c r="L647" s="432"/>
      <c r="M647" s="432"/>
      <c r="N647" s="432"/>
      <c r="O647" s="432"/>
    </row>
    <row r="648" spans="3:15" s="70" customFormat="1" x14ac:dyDescent="0.25">
      <c r="C648" s="430">
        <v>6782.0010000000002</v>
      </c>
      <c r="D648" s="431" t="s">
        <v>3958</v>
      </c>
      <c r="E648" s="431"/>
      <c r="F648" s="432"/>
      <c r="G648" s="432"/>
      <c r="H648" s="432"/>
      <c r="I648" s="432"/>
      <c r="J648" s="432"/>
      <c r="K648" s="432"/>
      <c r="L648" s="432"/>
      <c r="M648" s="432"/>
      <c r="N648" s="432"/>
      <c r="O648" s="432"/>
    </row>
    <row r="649" spans="3:15" s="70" customFormat="1" x14ac:dyDescent="0.25">
      <c r="C649" s="430">
        <v>6770.0039999999999</v>
      </c>
      <c r="D649" s="431" t="s">
        <v>3961</v>
      </c>
      <c r="E649" s="431" t="s">
        <v>3562</v>
      </c>
      <c r="F649" s="432">
        <v>30000</v>
      </c>
      <c r="G649" s="432"/>
      <c r="H649" s="432"/>
      <c r="I649" s="432"/>
      <c r="J649" s="432"/>
      <c r="K649" s="432"/>
      <c r="L649" s="432"/>
      <c r="M649" s="432"/>
      <c r="N649" s="432"/>
      <c r="O649" s="432"/>
    </row>
    <row r="650" spans="3:15" s="70" customFormat="1" x14ac:dyDescent="0.25">
      <c r="C650" s="434">
        <v>6770.0129999999999</v>
      </c>
      <c r="D650" s="431" t="s">
        <v>3962</v>
      </c>
      <c r="E650" s="431" t="s">
        <v>3562</v>
      </c>
      <c r="F650" s="432"/>
      <c r="G650" s="432"/>
      <c r="H650" s="432"/>
      <c r="I650" s="432"/>
      <c r="J650" s="432"/>
      <c r="K650" s="432"/>
      <c r="L650" s="432"/>
      <c r="M650" s="432"/>
      <c r="N650" s="432"/>
      <c r="O650" s="432"/>
    </row>
    <row r="651" spans="3:15" s="70" customFormat="1" x14ac:dyDescent="0.25">
      <c r="C651" s="430">
        <v>6780.0010000000002</v>
      </c>
      <c r="D651" s="431" t="s">
        <v>3963</v>
      </c>
      <c r="E651" s="431"/>
      <c r="F651" s="432"/>
      <c r="G651" s="432"/>
      <c r="H651" s="432"/>
      <c r="I651" s="432"/>
      <c r="J651" s="432"/>
      <c r="K651" s="432"/>
      <c r="L651" s="432"/>
      <c r="M651" s="432"/>
      <c r="N651" s="432"/>
      <c r="O651" s="432"/>
    </row>
    <row r="652" spans="3:15" s="70" customFormat="1" x14ac:dyDescent="0.25">
      <c r="C652" s="430">
        <v>6770</v>
      </c>
      <c r="D652" s="431" t="s">
        <v>3964</v>
      </c>
      <c r="E652" s="431" t="s">
        <v>3562</v>
      </c>
      <c r="F652" s="432"/>
      <c r="G652" s="432"/>
      <c r="H652" s="432"/>
      <c r="I652" s="432"/>
      <c r="J652" s="432"/>
      <c r="K652" s="432"/>
      <c r="L652" s="432"/>
      <c r="M652" s="432"/>
      <c r="N652" s="432"/>
      <c r="O652" s="432"/>
    </row>
    <row r="653" spans="3:15" s="70" customFormat="1" x14ac:dyDescent="0.25">
      <c r="C653" s="430">
        <v>6783.0010000000002</v>
      </c>
      <c r="D653" s="428" t="s">
        <v>3965</v>
      </c>
      <c r="E653" s="428" t="s">
        <v>3562</v>
      </c>
      <c r="F653" s="432">
        <v>300000</v>
      </c>
      <c r="G653" s="432"/>
      <c r="H653" s="432"/>
      <c r="I653" s="432"/>
      <c r="J653" s="432"/>
      <c r="K653" s="432"/>
      <c r="L653" s="432"/>
      <c r="M653" s="432"/>
      <c r="N653" s="432"/>
      <c r="O653" s="432"/>
    </row>
    <row r="654" spans="3:15" s="70" customFormat="1" x14ac:dyDescent="0.25">
      <c r="C654" s="430"/>
      <c r="D654" s="428" t="s">
        <v>3966</v>
      </c>
      <c r="E654" s="428" t="s">
        <v>3562</v>
      </c>
      <c r="F654" s="432"/>
      <c r="G654" s="432"/>
      <c r="H654" s="432"/>
      <c r="I654" s="432"/>
      <c r="J654" s="432"/>
      <c r="K654" s="432"/>
      <c r="L654" s="432"/>
      <c r="M654" s="432"/>
      <c r="N654" s="432"/>
      <c r="O654" s="432"/>
    </row>
    <row r="655" spans="3:15" s="70" customFormat="1" x14ac:dyDescent="0.25">
      <c r="C655" s="71"/>
      <c r="D655" s="431"/>
      <c r="E655" s="431"/>
      <c r="F655" s="432"/>
      <c r="G655" s="432"/>
      <c r="H655" s="432"/>
      <c r="I655" s="432"/>
      <c r="J655" s="432"/>
      <c r="K655" s="432"/>
      <c r="L655" s="432"/>
      <c r="M655" s="432"/>
      <c r="N655" s="432"/>
      <c r="O655" s="432"/>
    </row>
    <row r="656" spans="3:15" s="70" customFormat="1" x14ac:dyDescent="0.25">
      <c r="C656" s="71"/>
      <c r="D656" s="427" t="s">
        <v>4035</v>
      </c>
      <c r="E656" s="428"/>
      <c r="F656" s="433">
        <f t="shared" ref="F656:O656" si="23">SUM(F646:F655)</f>
        <v>330000</v>
      </c>
      <c r="G656" s="433">
        <f t="shared" si="23"/>
        <v>0</v>
      </c>
      <c r="H656" s="433">
        <f t="shared" si="23"/>
        <v>0</v>
      </c>
      <c r="I656" s="433">
        <f t="shared" si="23"/>
        <v>0</v>
      </c>
      <c r="J656" s="433">
        <f t="shared" si="23"/>
        <v>0</v>
      </c>
      <c r="K656" s="433">
        <f t="shared" si="23"/>
        <v>0</v>
      </c>
      <c r="L656" s="433">
        <f t="shared" si="23"/>
        <v>0</v>
      </c>
      <c r="M656" s="433">
        <f t="shared" si="23"/>
        <v>0</v>
      </c>
      <c r="N656" s="433">
        <f t="shared" si="23"/>
        <v>0</v>
      </c>
      <c r="O656" s="433">
        <f t="shared" si="23"/>
        <v>0</v>
      </c>
    </row>
    <row r="657" spans="3:15" s="70" customFormat="1" x14ac:dyDescent="0.25">
      <c r="C657" s="71"/>
      <c r="D657" s="427"/>
      <c r="E657" s="428"/>
      <c r="F657" s="432"/>
      <c r="G657" s="432"/>
      <c r="H657" s="432"/>
      <c r="I657" s="432"/>
      <c r="J657" s="432"/>
      <c r="K657" s="432"/>
      <c r="L657" s="432"/>
      <c r="M657" s="432"/>
      <c r="N657" s="432"/>
      <c r="O657" s="432"/>
    </row>
    <row r="658" spans="3:15" s="70" customFormat="1" x14ac:dyDescent="0.25">
      <c r="C658" s="71"/>
      <c r="D658" s="427" t="s">
        <v>4046</v>
      </c>
      <c r="E658" s="428"/>
      <c r="F658" s="432"/>
      <c r="G658" s="432"/>
      <c r="H658" s="432"/>
      <c r="I658" s="432"/>
      <c r="J658" s="432"/>
      <c r="K658" s="432"/>
      <c r="L658" s="432"/>
      <c r="M658" s="432"/>
      <c r="N658" s="432"/>
      <c r="O658" s="432"/>
    </row>
    <row r="659" spans="3:15" s="70" customFormat="1" x14ac:dyDescent="0.25">
      <c r="C659" s="71">
        <v>6857.0010000000002</v>
      </c>
      <c r="D659" s="431" t="s">
        <v>3967</v>
      </c>
      <c r="E659" s="431" t="s">
        <v>3562</v>
      </c>
      <c r="F659" s="432"/>
      <c r="G659" s="432"/>
      <c r="H659" s="432"/>
      <c r="I659" s="432"/>
      <c r="J659" s="432"/>
      <c r="K659" s="432"/>
      <c r="L659" s="432"/>
      <c r="M659" s="432"/>
      <c r="N659" s="432"/>
      <c r="O659" s="432"/>
    </row>
    <row r="660" spans="3:15" s="70" customFormat="1" x14ac:dyDescent="0.25">
      <c r="C660" s="71">
        <v>6867.0010000000002</v>
      </c>
      <c r="D660" s="428" t="s">
        <v>3968</v>
      </c>
      <c r="E660" s="428" t="s">
        <v>3562</v>
      </c>
      <c r="F660" s="432"/>
      <c r="G660" s="432"/>
      <c r="H660" s="432"/>
      <c r="I660" s="432"/>
      <c r="J660" s="432"/>
      <c r="K660" s="432"/>
      <c r="L660" s="432"/>
      <c r="M660" s="432"/>
      <c r="N660" s="432"/>
      <c r="O660" s="432"/>
    </row>
    <row r="661" spans="3:15" s="70" customFormat="1" x14ac:dyDescent="0.25">
      <c r="C661" s="71">
        <v>6865.0020000000004</v>
      </c>
      <c r="D661" s="431" t="s">
        <v>3969</v>
      </c>
      <c r="E661" s="431" t="s">
        <v>3692</v>
      </c>
      <c r="F661" s="432">
        <f>700000+1223000</f>
        <v>1923000</v>
      </c>
      <c r="G661" s="432"/>
      <c r="H661" s="432"/>
      <c r="I661" s="432"/>
      <c r="J661" s="432"/>
      <c r="K661" s="432"/>
      <c r="L661" s="432"/>
      <c r="M661" s="432"/>
      <c r="N661" s="432"/>
      <c r="O661" s="432"/>
    </row>
    <row r="662" spans="3:15" s="70" customFormat="1" x14ac:dyDescent="0.25">
      <c r="C662" s="430">
        <v>6865.0029999999997</v>
      </c>
      <c r="D662" s="428" t="s">
        <v>3970</v>
      </c>
      <c r="E662" s="428" t="s">
        <v>3692</v>
      </c>
      <c r="F662" s="432">
        <f>600000+100000</f>
        <v>700000</v>
      </c>
      <c r="G662" s="432"/>
      <c r="H662" s="432"/>
      <c r="I662" s="432"/>
      <c r="J662" s="432"/>
      <c r="K662" s="432"/>
      <c r="L662" s="432"/>
      <c r="M662" s="432"/>
      <c r="N662" s="432"/>
      <c r="O662" s="432"/>
    </row>
    <row r="663" spans="3:15" s="70" customFormat="1" x14ac:dyDescent="0.25">
      <c r="C663" s="430">
        <v>6868</v>
      </c>
      <c r="D663" s="431" t="s">
        <v>3971</v>
      </c>
      <c r="E663" s="431" t="s">
        <v>3562</v>
      </c>
      <c r="F663" s="432">
        <v>155900</v>
      </c>
      <c r="G663" s="432"/>
      <c r="H663" s="432"/>
      <c r="I663" s="432"/>
      <c r="J663" s="432"/>
      <c r="K663" s="432"/>
      <c r="L663" s="432"/>
      <c r="M663" s="432"/>
      <c r="N663" s="432"/>
      <c r="O663" s="432"/>
    </row>
    <row r="664" spans="3:15" s="70" customFormat="1" ht="30" x14ac:dyDescent="0.25">
      <c r="C664" s="430">
        <v>6869</v>
      </c>
      <c r="D664" s="431" t="s">
        <v>3972</v>
      </c>
      <c r="E664" s="431"/>
      <c r="F664" s="432"/>
      <c r="G664" s="432"/>
      <c r="H664" s="432"/>
      <c r="I664" s="432"/>
      <c r="J664" s="432"/>
      <c r="K664" s="432"/>
      <c r="L664" s="432"/>
      <c r="M664" s="432"/>
      <c r="N664" s="432"/>
      <c r="O664" s="432"/>
    </row>
    <row r="665" spans="3:15" s="70" customFormat="1" x14ac:dyDescent="0.25">
      <c r="C665" s="71"/>
      <c r="F665" s="432"/>
      <c r="G665" s="432"/>
      <c r="H665" s="432"/>
      <c r="I665" s="432"/>
      <c r="J665" s="432"/>
      <c r="K665" s="432"/>
      <c r="L665" s="432"/>
      <c r="M665" s="432"/>
      <c r="N665" s="432"/>
      <c r="O665" s="432"/>
    </row>
    <row r="666" spans="3:15" s="70" customFormat="1" x14ac:dyDescent="0.25">
      <c r="C666" s="71"/>
      <c r="D666" s="427" t="s">
        <v>4036</v>
      </c>
      <c r="E666" s="428"/>
      <c r="F666" s="433">
        <f t="shared" ref="F666:O666" si="24">SUM(F658:F665)</f>
        <v>2778900</v>
      </c>
      <c r="G666" s="433">
        <f t="shared" si="24"/>
        <v>0</v>
      </c>
      <c r="H666" s="433">
        <f t="shared" si="24"/>
        <v>0</v>
      </c>
      <c r="I666" s="433">
        <f t="shared" si="24"/>
        <v>0</v>
      </c>
      <c r="J666" s="433">
        <f t="shared" si="24"/>
        <v>0</v>
      </c>
      <c r="K666" s="433">
        <f t="shared" si="24"/>
        <v>0</v>
      </c>
      <c r="L666" s="433">
        <f t="shared" si="24"/>
        <v>0</v>
      </c>
      <c r="M666" s="433">
        <f t="shared" si="24"/>
        <v>0</v>
      </c>
      <c r="N666" s="433">
        <f t="shared" si="24"/>
        <v>0</v>
      </c>
      <c r="O666" s="433">
        <f t="shared" si="24"/>
        <v>0</v>
      </c>
    </row>
    <row r="667" spans="3:15" s="70" customFormat="1" x14ac:dyDescent="0.25">
      <c r="C667" s="430"/>
      <c r="D667" s="431"/>
      <c r="E667" s="431"/>
      <c r="F667" s="308"/>
      <c r="G667" s="308"/>
      <c r="H667" s="308"/>
      <c r="I667" s="308"/>
      <c r="J667" s="308"/>
      <c r="K667" s="308"/>
      <c r="L667" s="308"/>
      <c r="M667" s="308"/>
      <c r="N667" s="308"/>
      <c r="O667" s="308"/>
    </row>
    <row r="668" spans="3:15" s="70" customFormat="1" x14ac:dyDescent="0.25">
      <c r="C668" s="71"/>
      <c r="D668" s="427" t="s">
        <v>3323</v>
      </c>
      <c r="E668" s="428"/>
      <c r="F668" s="432"/>
      <c r="G668" s="432"/>
      <c r="H668" s="432"/>
      <c r="I668" s="432"/>
      <c r="J668" s="432"/>
      <c r="K668" s="432"/>
      <c r="L668" s="432"/>
      <c r="M668" s="432"/>
      <c r="N668" s="432"/>
      <c r="O668" s="432"/>
    </row>
    <row r="669" spans="3:15" s="70" customFormat="1" ht="30" x14ac:dyDescent="0.25">
      <c r="C669" s="430">
        <v>6657</v>
      </c>
      <c r="D669" s="431" t="s">
        <v>3973</v>
      </c>
      <c r="E669" s="431" t="s">
        <v>3692</v>
      </c>
      <c r="F669" s="432">
        <f>1000000+3234600</f>
        <v>4234600</v>
      </c>
      <c r="G669" s="432"/>
      <c r="H669" s="432"/>
      <c r="I669" s="432"/>
      <c r="J669" s="432"/>
      <c r="K669" s="432"/>
      <c r="L669" s="432"/>
      <c r="M669" s="432"/>
      <c r="N669" s="432"/>
      <c r="O669" s="432"/>
    </row>
    <row r="670" spans="3:15" s="70" customFormat="1" x14ac:dyDescent="0.25">
      <c r="C670" s="430">
        <v>6661</v>
      </c>
      <c r="D670" s="431" t="s">
        <v>3957</v>
      </c>
      <c r="E670" s="431" t="s">
        <v>3562</v>
      </c>
      <c r="F670" s="432">
        <v>0</v>
      </c>
      <c r="G670" s="432"/>
      <c r="H670" s="432"/>
      <c r="I670" s="432"/>
      <c r="J670" s="432"/>
      <c r="K670" s="432"/>
      <c r="L670" s="432"/>
      <c r="M670" s="432"/>
      <c r="N670" s="432"/>
      <c r="O670" s="432"/>
    </row>
    <row r="671" spans="3:15" s="70" customFormat="1" x14ac:dyDescent="0.25">
      <c r="C671" s="430">
        <v>6661.0349999999999</v>
      </c>
      <c r="D671" s="431" t="s">
        <v>3974</v>
      </c>
      <c r="E671" s="431"/>
      <c r="F671" s="432"/>
      <c r="G671" s="432"/>
      <c r="H671" s="432"/>
      <c r="I671" s="432"/>
      <c r="J671" s="432"/>
      <c r="K671" s="432"/>
      <c r="L671" s="432"/>
      <c r="M671" s="432"/>
      <c r="N671" s="432"/>
      <c r="O671" s="432"/>
    </row>
    <row r="672" spans="3:15" s="70" customFormat="1" x14ac:dyDescent="0.25">
      <c r="C672" s="430">
        <v>6675.0010000000002</v>
      </c>
      <c r="D672" s="431" t="s">
        <v>3975</v>
      </c>
      <c r="E672" s="431"/>
      <c r="F672" s="432"/>
      <c r="G672" s="432"/>
      <c r="H672" s="432"/>
      <c r="I672" s="432"/>
      <c r="J672" s="432"/>
      <c r="K672" s="432"/>
      <c r="L672" s="432"/>
      <c r="M672" s="432"/>
      <c r="N672" s="432"/>
      <c r="O672" s="432"/>
    </row>
    <row r="673" spans="3:15" s="70" customFormat="1" x14ac:dyDescent="0.25">
      <c r="C673" s="435">
        <v>6676.0010000000002</v>
      </c>
      <c r="D673" s="431" t="s">
        <v>3976</v>
      </c>
      <c r="E673" s="431" t="s">
        <v>3562</v>
      </c>
      <c r="F673" s="432">
        <v>155000</v>
      </c>
      <c r="G673" s="432"/>
      <c r="H673" s="432"/>
      <c r="I673" s="432"/>
      <c r="J673" s="432"/>
      <c r="K673" s="432"/>
      <c r="L673" s="432"/>
      <c r="M673" s="432"/>
      <c r="N673" s="432"/>
      <c r="O673" s="432"/>
    </row>
    <row r="674" spans="3:15" s="70" customFormat="1" x14ac:dyDescent="0.25">
      <c r="C674" s="435">
        <v>6673</v>
      </c>
      <c r="D674" s="428" t="s">
        <v>3977</v>
      </c>
      <c r="E674" s="428"/>
      <c r="F674" s="432"/>
      <c r="G674" s="432"/>
      <c r="H674" s="432"/>
      <c r="I674" s="432"/>
      <c r="J674" s="432"/>
      <c r="K674" s="432"/>
      <c r="L674" s="432"/>
      <c r="M674" s="432"/>
      <c r="N674" s="432"/>
      <c r="O674" s="432"/>
    </row>
    <row r="675" spans="3:15" s="70" customFormat="1" x14ac:dyDescent="0.25">
      <c r="C675" s="435">
        <v>6674</v>
      </c>
      <c r="D675" s="428" t="s">
        <v>3978</v>
      </c>
      <c r="E675" s="428"/>
      <c r="F675" s="432"/>
      <c r="G675" s="432"/>
      <c r="H675" s="432"/>
      <c r="I675" s="432"/>
      <c r="J675" s="432"/>
      <c r="K675" s="432"/>
      <c r="L675" s="432"/>
      <c r="M675" s="432"/>
      <c r="N675" s="432"/>
      <c r="O675" s="432"/>
    </row>
    <row r="676" spans="3:15" s="70" customFormat="1" x14ac:dyDescent="0.25">
      <c r="C676" s="435">
        <v>6678.0010000000002</v>
      </c>
      <c r="D676" s="428" t="s">
        <v>3979</v>
      </c>
      <c r="E676" s="428" t="s">
        <v>3692</v>
      </c>
      <c r="F676" s="432">
        <v>200000</v>
      </c>
      <c r="G676" s="432"/>
      <c r="H676" s="432"/>
      <c r="I676" s="432"/>
      <c r="J676" s="432"/>
      <c r="K676" s="432"/>
      <c r="L676" s="432"/>
      <c r="M676" s="432"/>
      <c r="N676" s="432"/>
      <c r="O676" s="432"/>
    </row>
    <row r="677" spans="3:15" s="70" customFormat="1" ht="30" x14ac:dyDescent="0.25">
      <c r="C677" s="435">
        <v>6677</v>
      </c>
      <c r="D677" s="428" t="s">
        <v>3980</v>
      </c>
      <c r="E677" s="428" t="s">
        <v>3606</v>
      </c>
      <c r="F677" s="432">
        <f>175000+350000</f>
        <v>525000</v>
      </c>
      <c r="G677" s="432"/>
      <c r="H677" s="432"/>
      <c r="I677" s="432"/>
      <c r="J677" s="432"/>
      <c r="K677" s="432"/>
      <c r="L677" s="432"/>
      <c r="M677" s="432"/>
      <c r="N677" s="432"/>
      <c r="O677" s="432"/>
    </row>
    <row r="678" spans="3:15" s="70" customFormat="1" x14ac:dyDescent="0.25">
      <c r="C678" s="71"/>
      <c r="D678" s="431"/>
      <c r="E678" s="431"/>
      <c r="F678" s="432"/>
      <c r="G678" s="432"/>
      <c r="H678" s="432"/>
      <c r="I678" s="432"/>
      <c r="J678" s="432"/>
      <c r="K678" s="432"/>
      <c r="L678" s="432"/>
      <c r="M678" s="432"/>
      <c r="N678" s="432"/>
      <c r="O678" s="432"/>
    </row>
    <row r="679" spans="3:15" s="70" customFormat="1" x14ac:dyDescent="0.25">
      <c r="C679" s="71"/>
      <c r="D679" s="427" t="s">
        <v>4037</v>
      </c>
      <c r="E679" s="428"/>
      <c r="F679" s="433">
        <f t="shared" ref="F679:O679" si="25">SUM(F669:F678)</f>
        <v>5114600</v>
      </c>
      <c r="G679" s="433">
        <f t="shared" si="25"/>
        <v>0</v>
      </c>
      <c r="H679" s="433">
        <f t="shared" si="25"/>
        <v>0</v>
      </c>
      <c r="I679" s="433">
        <f t="shared" si="25"/>
        <v>0</v>
      </c>
      <c r="J679" s="433">
        <f t="shared" si="25"/>
        <v>0</v>
      </c>
      <c r="K679" s="433">
        <f t="shared" si="25"/>
        <v>0</v>
      </c>
      <c r="L679" s="433">
        <f t="shared" si="25"/>
        <v>0</v>
      </c>
      <c r="M679" s="433">
        <f t="shared" si="25"/>
        <v>0</v>
      </c>
      <c r="N679" s="433">
        <f t="shared" si="25"/>
        <v>0</v>
      </c>
      <c r="O679" s="433">
        <f t="shared" si="25"/>
        <v>0</v>
      </c>
    </row>
    <row r="680" spans="3:15" s="70" customFormat="1" x14ac:dyDescent="0.25">
      <c r="C680" s="71"/>
      <c r="D680" s="431"/>
      <c r="E680" s="431"/>
      <c r="F680" s="432"/>
      <c r="G680" s="432"/>
      <c r="H680" s="432"/>
      <c r="I680" s="432"/>
      <c r="J680" s="432"/>
      <c r="K680" s="432"/>
      <c r="L680" s="432"/>
      <c r="M680" s="432"/>
      <c r="N680" s="432"/>
      <c r="O680" s="432"/>
    </row>
    <row r="681" spans="3:15" s="70" customFormat="1" x14ac:dyDescent="0.25">
      <c r="C681" s="71"/>
      <c r="D681" s="427" t="s">
        <v>4045</v>
      </c>
      <c r="E681" s="428"/>
      <c r="F681" s="432"/>
      <c r="G681" s="432"/>
      <c r="H681" s="432"/>
      <c r="I681" s="432"/>
      <c r="J681" s="432"/>
      <c r="K681" s="432"/>
      <c r="L681" s="432"/>
      <c r="M681" s="432"/>
      <c r="N681" s="432"/>
      <c r="O681" s="432"/>
    </row>
    <row r="682" spans="3:15" s="70" customFormat="1" x14ac:dyDescent="0.25">
      <c r="C682" s="430">
        <v>6438.0010000000002</v>
      </c>
      <c r="D682" s="431" t="s">
        <v>3981</v>
      </c>
      <c r="E682" s="431" t="s">
        <v>3562</v>
      </c>
      <c r="F682" s="308">
        <v>20000</v>
      </c>
      <c r="G682" s="308"/>
      <c r="H682" s="308"/>
      <c r="I682" s="308"/>
      <c r="J682" s="308"/>
      <c r="K682" s="308"/>
      <c r="L682" s="308"/>
      <c r="M682" s="308"/>
      <c r="N682" s="308"/>
      <c r="O682" s="308"/>
    </row>
    <row r="683" spans="3:15" s="70" customFormat="1" ht="30" x14ac:dyDescent="0.25">
      <c r="C683" s="430">
        <v>6438.0039999999999</v>
      </c>
      <c r="D683" s="431" t="s">
        <v>3982</v>
      </c>
      <c r="E683" s="431" t="s">
        <v>3606</v>
      </c>
      <c r="F683" s="308">
        <v>200000</v>
      </c>
      <c r="G683" s="308"/>
      <c r="H683" s="308"/>
      <c r="I683" s="308"/>
      <c r="J683" s="308"/>
      <c r="K683" s="308"/>
      <c r="L683" s="308"/>
      <c r="M683" s="308"/>
      <c r="N683" s="308"/>
      <c r="O683" s="308"/>
    </row>
    <row r="684" spans="3:15" s="70" customFormat="1" x14ac:dyDescent="0.25">
      <c r="C684" s="430">
        <v>6438.0150000000003</v>
      </c>
      <c r="D684" s="431" t="s">
        <v>3983</v>
      </c>
      <c r="E684" s="431" t="s">
        <v>3562</v>
      </c>
      <c r="F684" s="308">
        <v>30000</v>
      </c>
      <c r="G684" s="308"/>
      <c r="H684" s="308"/>
      <c r="I684" s="308"/>
      <c r="J684" s="308"/>
      <c r="K684" s="308"/>
      <c r="L684" s="308"/>
      <c r="M684" s="308"/>
      <c r="N684" s="308"/>
      <c r="O684" s="308"/>
    </row>
    <row r="685" spans="3:15" s="70" customFormat="1" ht="30" x14ac:dyDescent="0.25">
      <c r="C685" s="430">
        <v>6438.018</v>
      </c>
      <c r="D685" s="431" t="s">
        <v>3984</v>
      </c>
      <c r="E685" s="431" t="s">
        <v>3690</v>
      </c>
      <c r="F685" s="308"/>
      <c r="G685" s="308"/>
      <c r="H685" s="308"/>
      <c r="I685" s="308"/>
      <c r="J685" s="308"/>
      <c r="K685" s="308"/>
      <c r="L685" s="308"/>
      <c r="M685" s="308"/>
      <c r="N685" s="308"/>
      <c r="O685" s="308"/>
    </row>
    <row r="686" spans="3:15" s="70" customFormat="1" x14ac:dyDescent="0.25">
      <c r="C686" s="436">
        <v>6438.0309999999999</v>
      </c>
      <c r="D686" s="431" t="s">
        <v>3985</v>
      </c>
      <c r="E686" s="431" t="s">
        <v>3606</v>
      </c>
      <c r="F686" s="308">
        <f>200000+50000</f>
        <v>250000</v>
      </c>
      <c r="G686" s="308">
        <v>2000000</v>
      </c>
      <c r="H686" s="308">
        <v>2000000</v>
      </c>
      <c r="I686" s="308"/>
      <c r="J686" s="308"/>
      <c r="K686" s="308"/>
      <c r="L686" s="308"/>
      <c r="M686" s="308"/>
      <c r="N686" s="308"/>
      <c r="O686" s="308"/>
    </row>
    <row r="687" spans="3:15" s="70" customFormat="1" x14ac:dyDescent="0.25">
      <c r="C687" s="436"/>
      <c r="D687" s="431"/>
      <c r="E687" s="431"/>
      <c r="F687" s="308"/>
      <c r="G687" s="308"/>
      <c r="H687" s="308"/>
      <c r="I687" s="308"/>
      <c r="J687" s="308"/>
      <c r="K687" s="308"/>
      <c r="L687" s="308"/>
      <c r="M687" s="308"/>
      <c r="N687" s="308"/>
      <c r="O687" s="308"/>
    </row>
    <row r="688" spans="3:15" s="70" customFormat="1" x14ac:dyDescent="0.25">
      <c r="C688" s="436"/>
      <c r="D688" s="431" t="s">
        <v>4429</v>
      </c>
      <c r="E688" s="431"/>
      <c r="G688" s="308">
        <v>271236</v>
      </c>
      <c r="H688" s="308">
        <v>60000</v>
      </c>
      <c r="I688" s="308">
        <v>396184</v>
      </c>
      <c r="J688" s="308">
        <v>968659</v>
      </c>
      <c r="K688" s="308">
        <v>35000</v>
      </c>
      <c r="L688" s="308">
        <v>1464573</v>
      </c>
      <c r="M688" s="308">
        <v>20000</v>
      </c>
      <c r="N688" s="308">
        <v>20000</v>
      </c>
      <c r="O688" s="308">
        <v>87500</v>
      </c>
    </row>
    <row r="689" spans="3:15" s="70" customFormat="1" x14ac:dyDescent="0.25">
      <c r="C689" s="436"/>
      <c r="D689" s="431" t="s">
        <v>4430</v>
      </c>
      <c r="E689" s="431"/>
      <c r="G689" s="308">
        <v>210000</v>
      </c>
      <c r="H689" s="308">
        <v>10000</v>
      </c>
      <c r="I689" s="308">
        <v>10000</v>
      </c>
      <c r="J689" s="308">
        <v>60000</v>
      </c>
      <c r="K689" s="308">
        <v>10000</v>
      </c>
      <c r="L689" s="308">
        <v>10000</v>
      </c>
      <c r="M689" s="308">
        <v>10000</v>
      </c>
      <c r="N689" s="308">
        <v>10000</v>
      </c>
      <c r="O689" s="308">
        <v>10000</v>
      </c>
    </row>
    <row r="690" spans="3:15" s="70" customFormat="1" x14ac:dyDescent="0.25">
      <c r="C690" s="436"/>
      <c r="D690" s="431" t="s">
        <v>4431</v>
      </c>
      <c r="E690" s="431"/>
      <c r="G690" s="308">
        <v>1791236</v>
      </c>
      <c r="H690" s="308">
        <v>100000</v>
      </c>
      <c r="I690" s="308">
        <v>100000</v>
      </c>
      <c r="J690" s="308">
        <v>150000</v>
      </c>
      <c r="K690" s="308">
        <v>696583</v>
      </c>
      <c r="L690" s="308">
        <v>100000</v>
      </c>
      <c r="M690" s="308">
        <v>100000</v>
      </c>
      <c r="N690" s="308">
        <v>100000</v>
      </c>
      <c r="O690" s="308">
        <v>150000</v>
      </c>
    </row>
    <row r="691" spans="3:15" s="70" customFormat="1" x14ac:dyDescent="0.25">
      <c r="C691" s="71"/>
      <c r="D691" s="431"/>
      <c r="E691" s="431"/>
      <c r="G691" s="308"/>
      <c r="H691" s="308"/>
      <c r="I691" s="308"/>
      <c r="J691" s="308"/>
      <c r="K691" s="308"/>
      <c r="L691" s="308"/>
      <c r="M691" s="308"/>
      <c r="N691" s="308"/>
      <c r="O691" s="308"/>
    </row>
    <row r="692" spans="3:15" s="70" customFormat="1" x14ac:dyDescent="0.25">
      <c r="C692" s="71"/>
      <c r="D692" s="427" t="s">
        <v>4038</v>
      </c>
      <c r="E692" s="428"/>
      <c r="F692" s="433">
        <f>SUM(F682:F691)</f>
        <v>500000</v>
      </c>
      <c r="G692" s="433">
        <f t="shared" ref="G692:O692" si="26">SUM(G682:G691)</f>
        <v>4272472</v>
      </c>
      <c r="H692" s="433">
        <f t="shared" si="26"/>
        <v>2170000</v>
      </c>
      <c r="I692" s="433">
        <f t="shared" si="26"/>
        <v>506184</v>
      </c>
      <c r="J692" s="433">
        <f t="shared" si="26"/>
        <v>1178659</v>
      </c>
      <c r="K692" s="433">
        <f t="shared" si="26"/>
        <v>741583</v>
      </c>
      <c r="L692" s="433">
        <f t="shared" si="26"/>
        <v>1574573</v>
      </c>
      <c r="M692" s="433">
        <f t="shared" si="26"/>
        <v>130000</v>
      </c>
      <c r="N692" s="433">
        <f t="shared" si="26"/>
        <v>130000</v>
      </c>
      <c r="O692" s="433">
        <f t="shared" si="26"/>
        <v>247500</v>
      </c>
    </row>
    <row r="693" spans="3:15" s="70" customFormat="1" x14ac:dyDescent="0.25">
      <c r="C693" s="72"/>
      <c r="D693" s="437"/>
      <c r="E693" s="437"/>
      <c r="F693" s="310"/>
      <c r="G693" s="310"/>
      <c r="H693" s="310"/>
      <c r="I693" s="310"/>
      <c r="J693" s="310"/>
      <c r="K693" s="310"/>
      <c r="L693" s="310"/>
      <c r="M693" s="310"/>
      <c r="N693" s="310"/>
      <c r="O693" s="310"/>
    </row>
    <row r="694" spans="3:15" s="70" customFormat="1" ht="15.75" thickBot="1" x14ac:dyDescent="0.3">
      <c r="C694" s="72"/>
      <c r="D694" s="438" t="s">
        <v>4044</v>
      </c>
      <c r="E694" s="437"/>
      <c r="F694" s="439">
        <f t="shared" ref="F694:O694" si="27">F637+F643+F656+F666+F679+F692</f>
        <v>9324900</v>
      </c>
      <c r="G694" s="439">
        <f t="shared" si="27"/>
        <v>4272472</v>
      </c>
      <c r="H694" s="439">
        <f t="shared" si="27"/>
        <v>2170000</v>
      </c>
      <c r="I694" s="439">
        <f t="shared" si="27"/>
        <v>506184</v>
      </c>
      <c r="J694" s="439">
        <f t="shared" si="27"/>
        <v>1178659</v>
      </c>
      <c r="K694" s="439">
        <f t="shared" si="27"/>
        <v>741583</v>
      </c>
      <c r="L694" s="439">
        <f t="shared" si="27"/>
        <v>1574573</v>
      </c>
      <c r="M694" s="439">
        <f t="shared" si="27"/>
        <v>130000</v>
      </c>
      <c r="N694" s="439">
        <f t="shared" si="27"/>
        <v>130000</v>
      </c>
      <c r="O694" s="439">
        <f t="shared" si="27"/>
        <v>247500</v>
      </c>
    </row>
    <row r="695" spans="3:15" s="70" customFormat="1" ht="15.75" thickTop="1" x14ac:dyDescent="0.25">
      <c r="C695" s="72"/>
      <c r="D695" s="437"/>
      <c r="E695" s="437"/>
      <c r="F695" s="310"/>
      <c r="G695" s="310"/>
      <c r="H695" s="310"/>
      <c r="I695" s="310"/>
      <c r="J695" s="310"/>
      <c r="K695" s="310"/>
      <c r="L695" s="310"/>
      <c r="M695" s="310"/>
      <c r="N695" s="310"/>
      <c r="O695" s="310"/>
    </row>
    <row r="696" spans="3:15" s="70" customFormat="1" x14ac:dyDescent="0.25">
      <c r="C696" s="440" t="s">
        <v>3304</v>
      </c>
      <c r="D696" s="440"/>
      <c r="E696" s="441"/>
      <c r="F696" s="426"/>
      <c r="G696" s="426"/>
      <c r="H696" s="426"/>
      <c r="I696" s="426"/>
      <c r="J696" s="426"/>
      <c r="K696" s="426"/>
      <c r="L696" s="426"/>
      <c r="M696" s="426"/>
      <c r="N696" s="426"/>
      <c r="O696" s="426"/>
    </row>
    <row r="697" spans="3:15" s="70" customFormat="1" x14ac:dyDescent="0.25">
      <c r="C697" s="71"/>
      <c r="D697" s="442" t="s">
        <v>3519</v>
      </c>
      <c r="E697" s="443"/>
      <c r="F697" s="432"/>
      <c r="G697" s="432"/>
      <c r="H697" s="432"/>
      <c r="I697" s="432"/>
      <c r="J697" s="432"/>
      <c r="K697" s="432"/>
      <c r="L697" s="432"/>
      <c r="M697" s="432"/>
      <c r="N697" s="432"/>
      <c r="O697" s="432"/>
    </row>
    <row r="698" spans="3:15" s="70" customFormat="1" x14ac:dyDescent="0.25">
      <c r="C698" s="430">
        <v>7460.0010000000002</v>
      </c>
      <c r="D698" s="444" t="s">
        <v>3986</v>
      </c>
      <c r="E698" s="445" t="s">
        <v>3646</v>
      </c>
      <c r="F698" s="432"/>
      <c r="G698" s="432"/>
      <c r="H698" s="432"/>
      <c r="I698" s="432"/>
      <c r="J698" s="432"/>
      <c r="K698" s="432"/>
      <c r="L698" s="432"/>
      <c r="M698" s="432"/>
      <c r="N698" s="432"/>
      <c r="O698" s="432"/>
    </row>
    <row r="699" spans="3:15" s="70" customFormat="1" x14ac:dyDescent="0.25">
      <c r="C699" s="430"/>
      <c r="D699" s="444" t="s">
        <v>3987</v>
      </c>
      <c r="E699" s="445" t="s">
        <v>3690</v>
      </c>
      <c r="F699" s="432"/>
      <c r="G699" s="432"/>
      <c r="H699" s="432"/>
      <c r="I699" s="432"/>
      <c r="J699" s="432"/>
      <c r="K699" s="432"/>
      <c r="L699" s="432"/>
      <c r="M699" s="432"/>
      <c r="N699" s="432"/>
      <c r="O699" s="432"/>
    </row>
    <row r="700" spans="3:15" s="70" customFormat="1" x14ac:dyDescent="0.25">
      <c r="C700" s="430">
        <v>7483</v>
      </c>
      <c r="D700" s="444" t="s">
        <v>3988</v>
      </c>
      <c r="E700" s="445" t="s">
        <v>3692</v>
      </c>
      <c r="F700" s="432"/>
      <c r="G700" s="432"/>
      <c r="H700" s="432"/>
      <c r="I700" s="432"/>
      <c r="J700" s="432"/>
      <c r="K700" s="432"/>
      <c r="L700" s="432"/>
      <c r="M700" s="432"/>
      <c r="N700" s="432"/>
      <c r="O700" s="432"/>
    </row>
    <row r="701" spans="3:15" s="70" customFormat="1" x14ac:dyDescent="0.25">
      <c r="C701" s="430">
        <v>7481</v>
      </c>
      <c r="D701" s="444" t="s">
        <v>3989</v>
      </c>
      <c r="E701" s="445" t="s">
        <v>3646</v>
      </c>
      <c r="F701" s="432"/>
      <c r="G701" s="432"/>
      <c r="H701" s="432"/>
      <c r="I701" s="432"/>
      <c r="J701" s="432"/>
      <c r="K701" s="432"/>
      <c r="L701" s="432"/>
      <c r="M701" s="432"/>
      <c r="N701" s="432"/>
      <c r="O701" s="432"/>
    </row>
    <row r="702" spans="3:15" s="70" customFormat="1" x14ac:dyDescent="0.25">
      <c r="C702" s="430">
        <v>7484.0010000000002</v>
      </c>
      <c r="D702" s="444" t="s">
        <v>3990</v>
      </c>
      <c r="E702" s="445" t="s">
        <v>3562</v>
      </c>
      <c r="F702" s="432">
        <v>206000</v>
      </c>
      <c r="G702" s="432"/>
      <c r="H702" s="432"/>
      <c r="I702" s="432"/>
      <c r="J702" s="432"/>
      <c r="K702" s="432"/>
      <c r="L702" s="432"/>
      <c r="M702" s="432"/>
      <c r="N702" s="432"/>
      <c r="O702" s="432"/>
    </row>
    <row r="703" spans="3:15" s="70" customFormat="1" x14ac:dyDescent="0.25">
      <c r="C703" s="430">
        <v>7482</v>
      </c>
      <c r="D703" s="444" t="s">
        <v>3991</v>
      </c>
      <c r="E703" s="445" t="s">
        <v>3692</v>
      </c>
      <c r="F703" s="432">
        <v>306000</v>
      </c>
      <c r="G703" s="432"/>
      <c r="H703" s="432"/>
      <c r="I703" s="432"/>
      <c r="J703" s="432"/>
      <c r="K703" s="432"/>
      <c r="L703" s="432"/>
      <c r="M703" s="432"/>
      <c r="N703" s="432"/>
      <c r="O703" s="432"/>
    </row>
    <row r="704" spans="3:15" s="70" customFormat="1" x14ac:dyDescent="0.25">
      <c r="C704" s="71"/>
      <c r="D704" s="444"/>
      <c r="E704" s="445"/>
      <c r="F704" s="432"/>
      <c r="G704" s="432"/>
      <c r="H704" s="432"/>
      <c r="I704" s="432"/>
      <c r="J704" s="432"/>
      <c r="K704" s="432"/>
      <c r="L704" s="432"/>
      <c r="M704" s="432"/>
      <c r="N704" s="432"/>
      <c r="O704" s="432"/>
    </row>
    <row r="705" spans="3:15" s="70" customFormat="1" x14ac:dyDescent="0.25">
      <c r="C705" s="71"/>
      <c r="D705" s="446" t="s">
        <v>4033</v>
      </c>
      <c r="E705" s="447"/>
      <c r="F705" s="433">
        <f t="shared" ref="F705:O705" si="28">SUM(F698:F704)</f>
        <v>512000</v>
      </c>
      <c r="G705" s="433">
        <f t="shared" si="28"/>
        <v>0</v>
      </c>
      <c r="H705" s="433">
        <f t="shared" si="28"/>
        <v>0</v>
      </c>
      <c r="I705" s="433">
        <f t="shared" si="28"/>
        <v>0</v>
      </c>
      <c r="J705" s="433">
        <f t="shared" si="28"/>
        <v>0</v>
      </c>
      <c r="K705" s="433">
        <f t="shared" si="28"/>
        <v>0</v>
      </c>
      <c r="L705" s="433">
        <f t="shared" si="28"/>
        <v>0</v>
      </c>
      <c r="M705" s="433">
        <f t="shared" si="28"/>
        <v>0</v>
      </c>
      <c r="N705" s="433">
        <f t="shared" si="28"/>
        <v>0</v>
      </c>
      <c r="O705" s="433">
        <f t="shared" si="28"/>
        <v>0</v>
      </c>
    </row>
    <row r="706" spans="3:15" s="70" customFormat="1" x14ac:dyDescent="0.25">
      <c r="C706" s="71"/>
      <c r="D706" s="444"/>
      <c r="E706" s="445"/>
      <c r="F706" s="432"/>
      <c r="G706" s="432"/>
      <c r="H706" s="432"/>
      <c r="I706" s="432"/>
      <c r="J706" s="432"/>
      <c r="K706" s="432"/>
      <c r="L706" s="432"/>
      <c r="M706" s="432"/>
      <c r="N706" s="432"/>
      <c r="O706" s="432"/>
    </row>
    <row r="707" spans="3:15" s="70" customFormat="1" x14ac:dyDescent="0.25">
      <c r="C707" s="71"/>
      <c r="D707" s="446" t="s">
        <v>4043</v>
      </c>
      <c r="E707" s="447"/>
      <c r="F707" s="432"/>
      <c r="G707" s="432"/>
      <c r="H707" s="432"/>
      <c r="I707" s="432"/>
      <c r="J707" s="432"/>
      <c r="K707" s="432"/>
      <c r="L707" s="432"/>
      <c r="M707" s="432"/>
      <c r="N707" s="432"/>
      <c r="O707" s="432"/>
    </row>
    <row r="708" spans="3:15" s="70" customFormat="1" x14ac:dyDescent="0.25">
      <c r="C708" s="448">
        <v>7656</v>
      </c>
      <c r="D708" s="444" t="s">
        <v>3992</v>
      </c>
      <c r="E708" s="445" t="s">
        <v>3646</v>
      </c>
      <c r="F708" s="294"/>
      <c r="G708" s="294"/>
      <c r="H708" s="294"/>
      <c r="I708" s="294"/>
      <c r="J708" s="294"/>
      <c r="K708" s="294"/>
      <c r="L708" s="294"/>
      <c r="M708" s="294"/>
      <c r="N708" s="294"/>
      <c r="O708" s="294"/>
    </row>
    <row r="709" spans="3:15" s="70" customFormat="1" x14ac:dyDescent="0.25">
      <c r="C709" s="436">
        <v>7655.0029999999997</v>
      </c>
      <c r="D709" s="444" t="s">
        <v>3993</v>
      </c>
      <c r="E709" s="445" t="s">
        <v>3692</v>
      </c>
      <c r="F709" s="294">
        <v>500000</v>
      </c>
      <c r="G709" s="294"/>
      <c r="H709" s="294"/>
      <c r="I709" s="294"/>
      <c r="J709" s="294"/>
      <c r="K709" s="294"/>
      <c r="L709" s="294"/>
      <c r="M709" s="294"/>
      <c r="N709" s="294"/>
      <c r="O709" s="294"/>
    </row>
    <row r="710" spans="3:15" s="70" customFormat="1" x14ac:dyDescent="0.25">
      <c r="C710" s="436">
        <v>7655.0020000000004</v>
      </c>
      <c r="D710" s="444" t="s">
        <v>3994</v>
      </c>
      <c r="E710" s="445"/>
      <c r="F710" s="432"/>
      <c r="G710" s="432"/>
      <c r="H710" s="432"/>
      <c r="I710" s="432"/>
      <c r="J710" s="432"/>
      <c r="K710" s="432"/>
      <c r="L710" s="432"/>
      <c r="M710" s="432"/>
      <c r="N710" s="432"/>
      <c r="O710" s="432"/>
    </row>
    <row r="711" spans="3:15" s="70" customFormat="1" x14ac:dyDescent="0.25">
      <c r="C711" s="436">
        <v>7724.0010000000002</v>
      </c>
      <c r="D711" s="444" t="s">
        <v>3995</v>
      </c>
      <c r="E711" s="445"/>
      <c r="F711" s="432"/>
      <c r="G711" s="432"/>
      <c r="H711" s="432"/>
      <c r="I711" s="432"/>
      <c r="J711" s="432"/>
      <c r="K711" s="432"/>
      <c r="L711" s="432"/>
      <c r="M711" s="432"/>
      <c r="N711" s="432"/>
      <c r="O711" s="432"/>
    </row>
    <row r="712" spans="3:15" s="70" customFormat="1" x14ac:dyDescent="0.25">
      <c r="C712" s="436">
        <v>7655.0240000000003</v>
      </c>
      <c r="D712" s="444" t="s">
        <v>3996</v>
      </c>
      <c r="E712" s="445" t="s">
        <v>3692</v>
      </c>
      <c r="F712" s="294"/>
      <c r="G712" s="294"/>
      <c r="H712" s="294"/>
      <c r="I712" s="294"/>
      <c r="J712" s="294"/>
      <c r="K712" s="294"/>
      <c r="L712" s="294"/>
      <c r="M712" s="294"/>
      <c r="N712" s="294"/>
      <c r="O712" s="294"/>
    </row>
    <row r="713" spans="3:15" s="70" customFormat="1" x14ac:dyDescent="0.25">
      <c r="C713" s="436">
        <v>7725.01</v>
      </c>
      <c r="D713" s="444" t="s">
        <v>3997</v>
      </c>
      <c r="E713" s="445" t="s">
        <v>3562</v>
      </c>
      <c r="F713" s="294"/>
      <c r="G713" s="294"/>
      <c r="H713" s="294"/>
      <c r="I713" s="294"/>
      <c r="J713" s="294"/>
      <c r="K713" s="294"/>
      <c r="L713" s="294"/>
      <c r="M713" s="294"/>
      <c r="N713" s="294"/>
      <c r="O713" s="294"/>
    </row>
    <row r="714" spans="3:15" s="70" customFormat="1" x14ac:dyDescent="0.25">
      <c r="C714" s="436">
        <v>7655.0280000000002</v>
      </c>
      <c r="D714" s="444" t="s">
        <v>3998</v>
      </c>
      <c r="E714" s="445" t="s">
        <v>3692</v>
      </c>
      <c r="F714" s="294"/>
      <c r="G714" s="294"/>
      <c r="H714" s="294"/>
      <c r="I714" s="294"/>
      <c r="J714" s="294"/>
      <c r="K714" s="294"/>
      <c r="L714" s="294"/>
      <c r="M714" s="294"/>
      <c r="N714" s="294"/>
      <c r="O714" s="294"/>
    </row>
    <row r="715" spans="3:15" s="70" customFormat="1" x14ac:dyDescent="0.25">
      <c r="C715" s="436">
        <v>7731.0010000000002</v>
      </c>
      <c r="D715" s="444" t="s">
        <v>3999</v>
      </c>
      <c r="E715" s="445" t="s">
        <v>3562</v>
      </c>
      <c r="F715" s="294">
        <v>100000</v>
      </c>
      <c r="G715" s="294"/>
      <c r="H715" s="294"/>
      <c r="I715" s="294"/>
      <c r="J715" s="294"/>
      <c r="K715" s="294"/>
      <c r="L715" s="294"/>
      <c r="M715" s="294"/>
      <c r="N715" s="294"/>
      <c r="O715" s="294"/>
    </row>
    <row r="716" spans="3:15" s="70" customFormat="1" x14ac:dyDescent="0.25">
      <c r="C716" s="430">
        <v>7729.1</v>
      </c>
      <c r="D716" s="444" t="s">
        <v>4000</v>
      </c>
      <c r="E716" s="445"/>
      <c r="F716" s="432"/>
      <c r="G716" s="432"/>
      <c r="H716" s="432"/>
      <c r="I716" s="432"/>
      <c r="J716" s="432"/>
      <c r="K716" s="432"/>
      <c r="L716" s="432"/>
      <c r="M716" s="432"/>
      <c r="N716" s="432"/>
      <c r="O716" s="432"/>
    </row>
    <row r="717" spans="3:15" s="70" customFormat="1" x14ac:dyDescent="0.25">
      <c r="C717" s="436">
        <v>7785.0010000000002</v>
      </c>
      <c r="D717" s="444" t="s">
        <v>4001</v>
      </c>
      <c r="E717" s="445" t="s">
        <v>3692</v>
      </c>
      <c r="F717" s="294">
        <f>175000+350000</f>
        <v>525000</v>
      </c>
      <c r="G717" s="294"/>
      <c r="H717" s="294"/>
      <c r="I717" s="294"/>
      <c r="J717" s="294"/>
      <c r="K717" s="294"/>
      <c r="L717" s="294"/>
      <c r="M717" s="294"/>
      <c r="N717" s="294"/>
      <c r="O717" s="294"/>
    </row>
    <row r="718" spans="3:15" s="70" customFormat="1" x14ac:dyDescent="0.25">
      <c r="C718" s="430">
        <v>7727</v>
      </c>
      <c r="D718" s="444" t="s">
        <v>4002</v>
      </c>
      <c r="E718" s="445" t="s">
        <v>3562</v>
      </c>
      <c r="F718" s="432">
        <v>250000</v>
      </c>
      <c r="G718" s="432"/>
      <c r="H718" s="432"/>
      <c r="I718" s="432"/>
      <c r="J718" s="432"/>
      <c r="K718" s="432"/>
      <c r="L718" s="432"/>
      <c r="M718" s="432"/>
      <c r="N718" s="432"/>
      <c r="O718" s="432"/>
    </row>
    <row r="719" spans="3:15" s="70" customFormat="1" x14ac:dyDescent="0.25">
      <c r="C719" s="430"/>
      <c r="D719" s="444" t="s">
        <v>4003</v>
      </c>
      <c r="E719" s="445"/>
      <c r="F719" s="432"/>
      <c r="G719" s="432"/>
      <c r="H719" s="432"/>
      <c r="I719" s="432"/>
      <c r="J719" s="432"/>
      <c r="K719" s="432"/>
      <c r="L719" s="432"/>
      <c r="M719" s="432"/>
      <c r="N719" s="432"/>
      <c r="O719" s="432"/>
    </row>
    <row r="720" spans="3:15" s="70" customFormat="1" x14ac:dyDescent="0.25">
      <c r="C720" s="430"/>
      <c r="D720" s="444" t="s">
        <v>4000</v>
      </c>
      <c r="E720" s="445"/>
      <c r="F720" s="432"/>
      <c r="G720" s="432"/>
      <c r="H720" s="432"/>
      <c r="I720" s="432"/>
      <c r="J720" s="432"/>
      <c r="K720" s="432"/>
      <c r="L720" s="432"/>
      <c r="M720" s="432"/>
      <c r="N720" s="432"/>
      <c r="O720" s="432"/>
    </row>
    <row r="721" spans="3:15" s="70" customFormat="1" x14ac:dyDescent="0.25">
      <c r="C721" s="430"/>
      <c r="D721" s="444" t="s">
        <v>4004</v>
      </c>
      <c r="E721" s="445"/>
      <c r="F721" s="432"/>
      <c r="G721" s="432"/>
      <c r="H721" s="432"/>
      <c r="I721" s="432"/>
      <c r="J721" s="432"/>
      <c r="K721" s="432"/>
      <c r="L721" s="432"/>
      <c r="M721" s="432"/>
      <c r="N721" s="432"/>
      <c r="O721" s="432"/>
    </row>
    <row r="722" spans="3:15" s="70" customFormat="1" x14ac:dyDescent="0.25">
      <c r="C722" s="71"/>
      <c r="D722" s="444"/>
      <c r="E722" s="445"/>
      <c r="F722" s="432"/>
      <c r="G722" s="432"/>
      <c r="H722" s="432"/>
      <c r="I722" s="432"/>
      <c r="J722" s="432"/>
      <c r="K722" s="432"/>
      <c r="L722" s="432"/>
      <c r="M722" s="432"/>
      <c r="N722" s="432"/>
      <c r="O722" s="432"/>
    </row>
    <row r="723" spans="3:15" s="70" customFormat="1" x14ac:dyDescent="0.25">
      <c r="C723" s="71"/>
      <c r="D723" s="446" t="s">
        <v>4037</v>
      </c>
      <c r="E723" s="447"/>
      <c r="F723" s="433">
        <f t="shared" ref="F723:O723" si="29">SUM(F708:F722)</f>
        <v>1375000</v>
      </c>
      <c r="G723" s="433">
        <f t="shared" si="29"/>
        <v>0</v>
      </c>
      <c r="H723" s="433">
        <f t="shared" si="29"/>
        <v>0</v>
      </c>
      <c r="I723" s="433">
        <f t="shared" si="29"/>
        <v>0</v>
      </c>
      <c r="J723" s="433">
        <f t="shared" si="29"/>
        <v>0</v>
      </c>
      <c r="K723" s="433">
        <f t="shared" si="29"/>
        <v>0</v>
      </c>
      <c r="L723" s="433">
        <f t="shared" si="29"/>
        <v>0</v>
      </c>
      <c r="M723" s="433">
        <f t="shared" si="29"/>
        <v>0</v>
      </c>
      <c r="N723" s="433">
        <f t="shared" si="29"/>
        <v>0</v>
      </c>
      <c r="O723" s="433">
        <f t="shared" si="29"/>
        <v>0</v>
      </c>
    </row>
    <row r="724" spans="3:15" s="70" customFormat="1" x14ac:dyDescent="0.25">
      <c r="C724" s="71"/>
      <c r="D724" s="446"/>
      <c r="E724" s="447"/>
      <c r="F724" s="309"/>
      <c r="G724" s="309"/>
      <c r="H724" s="309"/>
      <c r="I724" s="309"/>
      <c r="J724" s="309"/>
      <c r="K724" s="309"/>
      <c r="L724" s="309"/>
      <c r="M724" s="309"/>
      <c r="N724" s="309"/>
      <c r="O724" s="309"/>
    </row>
    <row r="725" spans="3:15" s="70" customFormat="1" x14ac:dyDescent="0.25">
      <c r="C725" s="71"/>
      <c r="D725" s="449" t="s">
        <v>3520</v>
      </c>
      <c r="E725" s="447"/>
      <c r="F725" s="432"/>
      <c r="G725" s="432"/>
      <c r="H725" s="432"/>
      <c r="I725" s="432"/>
      <c r="J725" s="432"/>
      <c r="K725" s="432"/>
      <c r="L725" s="432"/>
      <c r="M725" s="432"/>
      <c r="N725" s="432"/>
      <c r="O725" s="432"/>
    </row>
    <row r="726" spans="3:15" s="70" customFormat="1" x14ac:dyDescent="0.25">
      <c r="C726" s="430">
        <v>7573</v>
      </c>
      <c r="D726" s="447" t="s">
        <v>4005</v>
      </c>
      <c r="E726" s="447"/>
      <c r="F726" s="432"/>
      <c r="G726" s="432"/>
      <c r="H726" s="432"/>
      <c r="I726" s="432"/>
      <c r="J726" s="432"/>
      <c r="K726" s="432"/>
      <c r="L726" s="432"/>
      <c r="M726" s="432"/>
      <c r="N726" s="432"/>
      <c r="O726" s="432"/>
    </row>
    <row r="727" spans="3:15" s="70" customFormat="1" x14ac:dyDescent="0.25">
      <c r="C727" s="430">
        <v>7589</v>
      </c>
      <c r="D727" s="444" t="s">
        <v>3995</v>
      </c>
      <c r="E727" s="445"/>
      <c r="F727" s="432"/>
      <c r="G727" s="432"/>
      <c r="H727" s="432"/>
      <c r="I727" s="432"/>
      <c r="J727" s="432"/>
      <c r="K727" s="432"/>
      <c r="L727" s="432"/>
      <c r="M727" s="432"/>
      <c r="N727" s="432"/>
      <c r="O727" s="432"/>
    </row>
    <row r="728" spans="3:15" s="70" customFormat="1" x14ac:dyDescent="0.25">
      <c r="C728" s="430">
        <v>7591.0010000000002</v>
      </c>
      <c r="D728" s="444" t="s">
        <v>4006</v>
      </c>
      <c r="E728" s="445" t="s">
        <v>3690</v>
      </c>
      <c r="F728" s="432">
        <f>100000+30000</f>
        <v>130000</v>
      </c>
      <c r="G728" s="432"/>
      <c r="H728" s="432"/>
      <c r="I728" s="432"/>
      <c r="J728" s="432"/>
      <c r="K728" s="432"/>
      <c r="L728" s="432"/>
      <c r="M728" s="432"/>
      <c r="N728" s="432"/>
      <c r="O728" s="432"/>
    </row>
    <row r="729" spans="3:15" s="70" customFormat="1" x14ac:dyDescent="0.25">
      <c r="C729" s="430">
        <v>7591.0020000000004</v>
      </c>
      <c r="D729" s="444" t="s">
        <v>4007</v>
      </c>
      <c r="E729" s="445" t="s">
        <v>3690</v>
      </c>
      <c r="F729" s="432">
        <f>200000+350000</f>
        <v>550000</v>
      </c>
      <c r="G729" s="432"/>
      <c r="H729" s="432"/>
      <c r="I729" s="432"/>
      <c r="J729" s="432"/>
      <c r="K729" s="432"/>
      <c r="L729" s="432"/>
      <c r="M729" s="432"/>
      <c r="N729" s="432"/>
      <c r="O729" s="432"/>
    </row>
    <row r="730" spans="3:15" s="70" customFormat="1" x14ac:dyDescent="0.25">
      <c r="C730" s="430">
        <v>7592</v>
      </c>
      <c r="D730" s="444" t="s">
        <v>4008</v>
      </c>
      <c r="E730" s="445" t="s">
        <v>3690</v>
      </c>
      <c r="F730" s="432">
        <f>20000+10000</f>
        <v>30000</v>
      </c>
      <c r="G730" s="432"/>
      <c r="H730" s="432"/>
      <c r="I730" s="432"/>
      <c r="J730" s="432"/>
      <c r="K730" s="432"/>
      <c r="L730" s="432"/>
      <c r="M730" s="432"/>
      <c r="N730" s="432"/>
      <c r="O730" s="432"/>
    </row>
    <row r="731" spans="3:15" s="70" customFormat="1" x14ac:dyDescent="0.25">
      <c r="C731" s="430"/>
      <c r="D731" s="444" t="s">
        <v>4009</v>
      </c>
      <c r="E731" s="445" t="s">
        <v>3562</v>
      </c>
      <c r="F731" s="432"/>
      <c r="G731" s="432"/>
      <c r="H731" s="432"/>
      <c r="I731" s="432"/>
      <c r="J731" s="432"/>
      <c r="K731" s="432"/>
      <c r="L731" s="432"/>
      <c r="M731" s="432"/>
      <c r="N731" s="432"/>
      <c r="O731" s="432"/>
    </row>
    <row r="732" spans="3:15" s="70" customFormat="1" x14ac:dyDescent="0.25">
      <c r="C732" s="71"/>
      <c r="D732" s="444" t="s">
        <v>4010</v>
      </c>
      <c r="E732" s="445" t="s">
        <v>3646</v>
      </c>
      <c r="F732" s="432"/>
      <c r="G732" s="432"/>
      <c r="H732" s="432"/>
      <c r="I732" s="432"/>
      <c r="J732" s="432"/>
      <c r="K732" s="432"/>
      <c r="L732" s="432"/>
      <c r="M732" s="432"/>
      <c r="N732" s="432"/>
      <c r="O732" s="432"/>
    </row>
    <row r="733" spans="3:15" s="70" customFormat="1" x14ac:dyDescent="0.25">
      <c r="C733" s="430">
        <v>7583</v>
      </c>
      <c r="D733" s="444" t="s">
        <v>4011</v>
      </c>
      <c r="E733" s="445" t="s">
        <v>3692</v>
      </c>
      <c r="F733" s="432"/>
      <c r="G733" s="432"/>
      <c r="H733" s="432"/>
      <c r="I733" s="432"/>
      <c r="J733" s="432"/>
      <c r="K733" s="432"/>
      <c r="L733" s="432"/>
      <c r="M733" s="432"/>
      <c r="N733" s="432"/>
      <c r="O733" s="432"/>
    </row>
    <row r="734" spans="3:15" s="70" customFormat="1" x14ac:dyDescent="0.25">
      <c r="C734" s="430">
        <v>7590</v>
      </c>
      <c r="D734" s="444" t="s">
        <v>4012</v>
      </c>
      <c r="E734" s="445" t="s">
        <v>3690</v>
      </c>
      <c r="F734" s="432">
        <f>871000+970000</f>
        <v>1841000</v>
      </c>
      <c r="G734" s="432"/>
      <c r="H734" s="432"/>
      <c r="I734" s="432"/>
      <c r="J734" s="432"/>
      <c r="K734" s="432"/>
      <c r="L734" s="432"/>
      <c r="M734" s="432"/>
      <c r="N734" s="432"/>
      <c r="O734" s="432"/>
    </row>
    <row r="735" spans="3:15" s="70" customFormat="1" x14ac:dyDescent="0.25">
      <c r="C735" s="430">
        <v>7585</v>
      </c>
      <c r="D735" s="444" t="s">
        <v>3997</v>
      </c>
      <c r="E735" s="445" t="s">
        <v>3562</v>
      </c>
      <c r="F735" s="432">
        <v>128000</v>
      </c>
      <c r="G735" s="432"/>
      <c r="H735" s="432"/>
      <c r="I735" s="432"/>
      <c r="J735" s="432"/>
      <c r="K735" s="432"/>
      <c r="L735" s="432"/>
      <c r="M735" s="432"/>
      <c r="N735" s="432"/>
      <c r="O735" s="432"/>
    </row>
    <row r="736" spans="3:15" s="70" customFormat="1" x14ac:dyDescent="0.25">
      <c r="C736" s="450"/>
      <c r="D736" s="451"/>
      <c r="E736" s="452"/>
      <c r="F736" s="453"/>
      <c r="G736" s="453"/>
      <c r="H736" s="453"/>
      <c r="I736" s="453"/>
      <c r="J736" s="453"/>
      <c r="K736" s="453"/>
      <c r="L736" s="453"/>
      <c r="M736" s="453"/>
      <c r="N736" s="453"/>
      <c r="O736" s="453"/>
    </row>
    <row r="737" spans="3:15" s="70" customFormat="1" x14ac:dyDescent="0.25">
      <c r="C737" s="71"/>
      <c r="D737" s="446" t="s">
        <v>4034</v>
      </c>
      <c r="E737" s="447"/>
      <c r="F737" s="433">
        <f t="shared" ref="F737:O737" si="30">SUM(F726:F736)</f>
        <v>2679000</v>
      </c>
      <c r="G737" s="433">
        <f t="shared" si="30"/>
        <v>0</v>
      </c>
      <c r="H737" s="433">
        <f t="shared" si="30"/>
        <v>0</v>
      </c>
      <c r="I737" s="433">
        <f t="shared" si="30"/>
        <v>0</v>
      </c>
      <c r="J737" s="433">
        <f t="shared" si="30"/>
        <v>0</v>
      </c>
      <c r="K737" s="433">
        <f t="shared" si="30"/>
        <v>0</v>
      </c>
      <c r="L737" s="433">
        <f t="shared" si="30"/>
        <v>0</v>
      </c>
      <c r="M737" s="433">
        <f t="shared" si="30"/>
        <v>0</v>
      </c>
      <c r="N737" s="433">
        <f t="shared" si="30"/>
        <v>0</v>
      </c>
      <c r="O737" s="433">
        <f t="shared" si="30"/>
        <v>0</v>
      </c>
    </row>
    <row r="738" spans="3:15" s="70" customFormat="1" x14ac:dyDescent="0.25">
      <c r="C738" s="450"/>
      <c r="D738" s="449"/>
      <c r="E738" s="454"/>
      <c r="F738" s="455"/>
      <c r="G738" s="455"/>
      <c r="H738" s="455"/>
      <c r="I738" s="455"/>
      <c r="J738" s="455"/>
      <c r="K738" s="455"/>
      <c r="L738" s="455"/>
      <c r="M738" s="455"/>
      <c r="N738" s="455"/>
      <c r="O738" s="455"/>
    </row>
    <row r="739" spans="3:15" s="70" customFormat="1" x14ac:dyDescent="0.25">
      <c r="C739" s="450"/>
      <c r="D739" s="449" t="s">
        <v>4042</v>
      </c>
      <c r="E739" s="454"/>
      <c r="F739" s="453"/>
      <c r="G739" s="453"/>
      <c r="H739" s="453"/>
      <c r="I739" s="453"/>
      <c r="J739" s="453"/>
      <c r="K739" s="453"/>
      <c r="L739" s="453"/>
      <c r="M739" s="453"/>
      <c r="N739" s="453"/>
      <c r="O739" s="453"/>
    </row>
    <row r="740" spans="3:15" s="70" customFormat="1" x14ac:dyDescent="0.25">
      <c r="C740" s="430">
        <v>7767.0039999999999</v>
      </c>
      <c r="D740" s="444" t="s">
        <v>4011</v>
      </c>
      <c r="E740" s="445"/>
      <c r="F740" s="432"/>
      <c r="G740" s="432"/>
      <c r="H740" s="432"/>
      <c r="I740" s="432"/>
      <c r="J740" s="432"/>
      <c r="K740" s="432"/>
      <c r="L740" s="432"/>
      <c r="M740" s="432"/>
      <c r="N740" s="432"/>
      <c r="O740" s="432"/>
    </row>
    <row r="741" spans="3:15" s="70" customFormat="1" x14ac:dyDescent="0.25">
      <c r="C741" s="430">
        <v>7772</v>
      </c>
      <c r="D741" s="444" t="s">
        <v>4013</v>
      </c>
      <c r="E741" s="445"/>
      <c r="F741" s="432"/>
      <c r="G741" s="432"/>
      <c r="H741" s="432"/>
      <c r="I741" s="432"/>
      <c r="J741" s="432"/>
      <c r="K741" s="432"/>
      <c r="L741" s="432"/>
      <c r="M741" s="432"/>
      <c r="N741" s="432"/>
      <c r="O741" s="432"/>
    </row>
    <row r="742" spans="3:15" s="70" customFormat="1" x14ac:dyDescent="0.25">
      <c r="C742" s="430">
        <v>7778</v>
      </c>
      <c r="D742" s="444" t="s">
        <v>4014</v>
      </c>
      <c r="E742" s="445" t="s">
        <v>3692</v>
      </c>
      <c r="F742" s="432">
        <f>750000+100000</f>
        <v>850000</v>
      </c>
      <c r="G742" s="432"/>
      <c r="H742" s="432"/>
      <c r="I742" s="432"/>
      <c r="J742" s="432"/>
      <c r="K742" s="432"/>
      <c r="L742" s="432"/>
      <c r="M742" s="432"/>
      <c r="N742" s="432"/>
      <c r="O742" s="432"/>
    </row>
    <row r="743" spans="3:15" s="70" customFormat="1" x14ac:dyDescent="0.25">
      <c r="C743" s="430">
        <v>7786.0010000000002</v>
      </c>
      <c r="D743" s="444" t="s">
        <v>3997</v>
      </c>
      <c r="E743" s="445" t="s">
        <v>3562</v>
      </c>
      <c r="F743" s="432">
        <v>106000</v>
      </c>
      <c r="G743" s="432"/>
      <c r="H743" s="432"/>
      <c r="I743" s="432"/>
      <c r="J743" s="432"/>
      <c r="K743" s="432"/>
      <c r="L743" s="432"/>
      <c r="M743" s="432"/>
      <c r="N743" s="432"/>
      <c r="O743" s="432"/>
    </row>
    <row r="744" spans="3:15" s="70" customFormat="1" x14ac:dyDescent="0.25">
      <c r="C744" s="435">
        <v>7784.0010000000002</v>
      </c>
      <c r="D744" s="444" t="s">
        <v>4015</v>
      </c>
      <c r="E744" s="445" t="s">
        <v>4487</v>
      </c>
      <c r="F744" s="432">
        <v>100000</v>
      </c>
      <c r="G744" s="432"/>
      <c r="H744" s="432"/>
      <c r="I744" s="432"/>
      <c r="J744" s="432"/>
      <c r="K744" s="432"/>
      <c r="L744" s="432"/>
      <c r="M744" s="432"/>
      <c r="N744" s="432"/>
      <c r="O744" s="432"/>
    </row>
    <row r="745" spans="3:15" s="70" customFormat="1" x14ac:dyDescent="0.25">
      <c r="C745" s="450"/>
      <c r="D745" s="451"/>
      <c r="E745" s="452"/>
      <c r="F745" s="453"/>
      <c r="G745" s="453"/>
      <c r="H745" s="453"/>
      <c r="I745" s="453"/>
      <c r="J745" s="453"/>
      <c r="K745" s="453"/>
      <c r="L745" s="453"/>
      <c r="M745" s="453"/>
      <c r="N745" s="453"/>
      <c r="O745" s="453"/>
    </row>
    <row r="746" spans="3:15" s="70" customFormat="1" x14ac:dyDescent="0.25">
      <c r="C746" s="71"/>
      <c r="D746" s="446" t="s">
        <v>4035</v>
      </c>
      <c r="E746" s="447"/>
      <c r="F746" s="433">
        <f t="shared" ref="F746:O746" si="31">SUM(F739:F745)</f>
        <v>1056000</v>
      </c>
      <c r="G746" s="433">
        <f t="shared" si="31"/>
        <v>0</v>
      </c>
      <c r="H746" s="433">
        <f t="shared" si="31"/>
        <v>0</v>
      </c>
      <c r="I746" s="433">
        <f t="shared" si="31"/>
        <v>0</v>
      </c>
      <c r="J746" s="433">
        <f t="shared" si="31"/>
        <v>0</v>
      </c>
      <c r="K746" s="433">
        <f t="shared" si="31"/>
        <v>0</v>
      </c>
      <c r="L746" s="433">
        <f t="shared" si="31"/>
        <v>0</v>
      </c>
      <c r="M746" s="433">
        <f t="shared" si="31"/>
        <v>0</v>
      </c>
      <c r="N746" s="433">
        <f t="shared" si="31"/>
        <v>0</v>
      </c>
      <c r="O746" s="433">
        <f t="shared" si="31"/>
        <v>0</v>
      </c>
    </row>
    <row r="747" spans="3:15" s="70" customFormat="1" x14ac:dyDescent="0.25">
      <c r="C747" s="450"/>
      <c r="D747" s="449"/>
      <c r="E747" s="454"/>
      <c r="F747" s="455"/>
      <c r="G747" s="455"/>
      <c r="H747" s="455"/>
      <c r="I747" s="455"/>
      <c r="J747" s="455"/>
      <c r="K747" s="455"/>
      <c r="L747" s="455"/>
      <c r="M747" s="455"/>
      <c r="N747" s="455"/>
      <c r="O747" s="455"/>
    </row>
    <row r="748" spans="3:15" s="70" customFormat="1" x14ac:dyDescent="0.25">
      <c r="C748" s="450"/>
      <c r="D748" s="449" t="s">
        <v>4041</v>
      </c>
      <c r="E748" s="454"/>
      <c r="F748" s="453"/>
      <c r="G748" s="453"/>
      <c r="H748" s="453"/>
      <c r="I748" s="453"/>
      <c r="J748" s="453"/>
      <c r="K748" s="453"/>
      <c r="L748" s="453"/>
      <c r="M748" s="453"/>
      <c r="N748" s="453"/>
      <c r="O748" s="453"/>
    </row>
    <row r="749" spans="3:15" s="70" customFormat="1" x14ac:dyDescent="0.25">
      <c r="C749" s="430">
        <v>7888.0010000000002</v>
      </c>
      <c r="D749" s="444" t="s">
        <v>4016</v>
      </c>
      <c r="E749" s="445" t="s">
        <v>3562</v>
      </c>
      <c r="F749" s="432">
        <v>254000</v>
      </c>
      <c r="G749" s="432"/>
      <c r="H749" s="432"/>
      <c r="I749" s="432"/>
      <c r="J749" s="432"/>
      <c r="K749" s="432"/>
      <c r="L749" s="432"/>
      <c r="M749" s="432"/>
      <c r="N749" s="432"/>
      <c r="O749" s="432"/>
    </row>
    <row r="750" spans="3:15" s="70" customFormat="1" x14ac:dyDescent="0.25">
      <c r="C750" s="430">
        <v>7886</v>
      </c>
      <c r="D750" s="444" t="s">
        <v>4017</v>
      </c>
      <c r="E750" s="445" t="s">
        <v>3562</v>
      </c>
      <c r="F750" s="432">
        <v>390000</v>
      </c>
      <c r="G750" s="432"/>
      <c r="H750" s="432"/>
      <c r="I750" s="432"/>
      <c r="J750" s="432"/>
      <c r="K750" s="432"/>
      <c r="L750" s="432"/>
      <c r="M750" s="432"/>
      <c r="N750" s="432"/>
      <c r="O750" s="432"/>
    </row>
    <row r="751" spans="3:15" s="70" customFormat="1" x14ac:dyDescent="0.25">
      <c r="C751" s="430">
        <v>7884</v>
      </c>
      <c r="D751" s="444" t="s">
        <v>4018</v>
      </c>
      <c r="E751" s="445" t="s">
        <v>3690</v>
      </c>
      <c r="F751" s="432"/>
      <c r="G751" s="432"/>
      <c r="H751" s="432"/>
      <c r="I751" s="432"/>
      <c r="J751" s="432"/>
      <c r="K751" s="432"/>
      <c r="L751" s="432"/>
      <c r="M751" s="432"/>
      <c r="N751" s="432"/>
      <c r="O751" s="432"/>
    </row>
    <row r="752" spans="3:15" s="70" customFormat="1" x14ac:dyDescent="0.25">
      <c r="C752" s="430">
        <v>7885</v>
      </c>
      <c r="D752" s="444" t="s">
        <v>4019</v>
      </c>
      <c r="E752" s="445" t="s">
        <v>3692</v>
      </c>
      <c r="F752" s="432">
        <f>10000+150000</f>
        <v>160000</v>
      </c>
      <c r="G752" s="432"/>
      <c r="H752" s="432"/>
      <c r="I752" s="432"/>
      <c r="J752" s="432"/>
      <c r="K752" s="432"/>
      <c r="L752" s="432"/>
      <c r="M752" s="432"/>
      <c r="N752" s="432"/>
      <c r="O752" s="432"/>
    </row>
    <row r="753" spans="3:15" s="70" customFormat="1" x14ac:dyDescent="0.25">
      <c r="C753" s="430">
        <v>7877.1</v>
      </c>
      <c r="D753" s="444" t="s">
        <v>4020</v>
      </c>
      <c r="E753" s="445" t="s">
        <v>3692</v>
      </c>
      <c r="F753" s="432">
        <v>620000</v>
      </c>
      <c r="G753" s="432"/>
      <c r="H753" s="432"/>
      <c r="I753" s="432"/>
      <c r="J753" s="432"/>
      <c r="K753" s="432"/>
      <c r="L753" s="432"/>
      <c r="M753" s="432"/>
      <c r="N753" s="432"/>
      <c r="O753" s="432"/>
    </row>
    <row r="754" spans="3:15" s="70" customFormat="1" x14ac:dyDescent="0.25">
      <c r="C754" s="430">
        <v>7887</v>
      </c>
      <c r="D754" s="444" t="s">
        <v>4021</v>
      </c>
      <c r="E754" s="445"/>
      <c r="F754" s="432"/>
      <c r="G754" s="432"/>
      <c r="H754" s="432"/>
      <c r="I754" s="432"/>
      <c r="J754" s="432"/>
      <c r="K754" s="432"/>
      <c r="L754" s="432"/>
      <c r="M754" s="432"/>
      <c r="N754" s="432"/>
      <c r="O754" s="432"/>
    </row>
    <row r="755" spans="3:15" s="70" customFormat="1" x14ac:dyDescent="0.25">
      <c r="C755" s="71"/>
      <c r="D755" s="444"/>
      <c r="E755" s="445"/>
      <c r="F755" s="432"/>
      <c r="G755" s="432"/>
      <c r="H755" s="432"/>
      <c r="I755" s="432"/>
      <c r="J755" s="432"/>
      <c r="K755" s="432"/>
      <c r="L755" s="432"/>
      <c r="M755" s="432"/>
      <c r="N755" s="432"/>
      <c r="O755" s="432"/>
    </row>
    <row r="756" spans="3:15" s="70" customFormat="1" x14ac:dyDescent="0.25">
      <c r="C756" s="71"/>
      <c r="D756" s="446" t="s">
        <v>4036</v>
      </c>
      <c r="E756" s="447"/>
      <c r="F756" s="433">
        <f t="shared" ref="F756:O756" si="32">SUM(F748:F755)</f>
        <v>1424000</v>
      </c>
      <c r="G756" s="433">
        <f t="shared" si="32"/>
        <v>0</v>
      </c>
      <c r="H756" s="433">
        <f t="shared" si="32"/>
        <v>0</v>
      </c>
      <c r="I756" s="433">
        <f t="shared" si="32"/>
        <v>0</v>
      </c>
      <c r="J756" s="433">
        <f t="shared" si="32"/>
        <v>0</v>
      </c>
      <c r="K756" s="433">
        <f t="shared" si="32"/>
        <v>0</v>
      </c>
      <c r="L756" s="433">
        <f t="shared" si="32"/>
        <v>0</v>
      </c>
      <c r="M756" s="433">
        <f t="shared" si="32"/>
        <v>0</v>
      </c>
      <c r="N756" s="433">
        <f t="shared" si="32"/>
        <v>0</v>
      </c>
      <c r="O756" s="433">
        <f t="shared" si="32"/>
        <v>0</v>
      </c>
    </row>
    <row r="757" spans="3:15" s="70" customFormat="1" x14ac:dyDescent="0.25">
      <c r="C757" s="450"/>
      <c r="D757" s="449"/>
      <c r="E757" s="454"/>
      <c r="F757" s="455"/>
      <c r="G757" s="455"/>
      <c r="H757" s="455"/>
      <c r="I757" s="455"/>
      <c r="J757" s="455"/>
      <c r="K757" s="455"/>
      <c r="L757" s="455"/>
      <c r="M757" s="455"/>
      <c r="N757" s="455"/>
      <c r="O757" s="455"/>
    </row>
    <row r="758" spans="3:15" s="70" customFormat="1" x14ac:dyDescent="0.25">
      <c r="C758" s="450"/>
      <c r="D758" s="449" t="s">
        <v>4024</v>
      </c>
      <c r="E758" s="454"/>
      <c r="F758" s="453"/>
      <c r="G758" s="453"/>
      <c r="H758" s="453"/>
      <c r="I758" s="453"/>
      <c r="J758" s="453"/>
      <c r="K758" s="453"/>
      <c r="L758" s="453"/>
      <c r="M758" s="453"/>
      <c r="N758" s="453"/>
      <c r="O758" s="453"/>
    </row>
    <row r="759" spans="3:15" s="70" customFormat="1" x14ac:dyDescent="0.25">
      <c r="C759" s="71" t="s">
        <v>4022</v>
      </c>
      <c r="D759" s="444" t="s">
        <v>3981</v>
      </c>
      <c r="E759" s="445" t="s">
        <v>3690</v>
      </c>
      <c r="F759" s="432">
        <v>20000</v>
      </c>
      <c r="G759" s="432"/>
      <c r="H759" s="432"/>
      <c r="I759" s="432"/>
      <c r="J759" s="432"/>
      <c r="K759" s="432"/>
      <c r="L759" s="432"/>
      <c r="M759" s="432"/>
      <c r="N759" s="432"/>
      <c r="O759" s="432"/>
    </row>
    <row r="760" spans="3:15" s="70" customFormat="1" x14ac:dyDescent="0.25">
      <c r="C760" s="71" t="s">
        <v>4023</v>
      </c>
      <c r="D760" s="444" t="s">
        <v>4024</v>
      </c>
      <c r="E760" s="445" t="s">
        <v>3562</v>
      </c>
      <c r="F760" s="432">
        <v>200000</v>
      </c>
      <c r="G760" s="432"/>
      <c r="H760" s="432"/>
      <c r="I760" s="432"/>
      <c r="J760" s="432"/>
      <c r="K760" s="432"/>
      <c r="L760" s="432"/>
      <c r="M760" s="432"/>
      <c r="N760" s="432"/>
      <c r="O760" s="432"/>
    </row>
    <row r="761" spans="3:15" s="70" customFormat="1" x14ac:dyDescent="0.25">
      <c r="C761" s="71" t="s">
        <v>4025</v>
      </c>
      <c r="D761" s="444" t="s">
        <v>4026</v>
      </c>
      <c r="E761" s="445" t="s">
        <v>3692</v>
      </c>
      <c r="F761" s="432">
        <v>50000</v>
      </c>
      <c r="G761" s="432"/>
      <c r="H761" s="432"/>
      <c r="I761" s="432"/>
      <c r="J761" s="432"/>
      <c r="K761" s="432"/>
      <c r="L761" s="432"/>
      <c r="M761" s="432"/>
      <c r="N761" s="432"/>
      <c r="O761" s="432"/>
    </row>
    <row r="762" spans="3:15" s="70" customFormat="1" x14ac:dyDescent="0.25">
      <c r="C762" s="71" t="s">
        <v>4027</v>
      </c>
      <c r="D762" s="444" t="s">
        <v>4028</v>
      </c>
      <c r="E762" s="445" t="s">
        <v>3692</v>
      </c>
      <c r="F762" s="432">
        <v>0</v>
      </c>
      <c r="G762" s="432"/>
      <c r="H762" s="432"/>
      <c r="I762" s="432"/>
      <c r="J762" s="432"/>
      <c r="K762" s="432"/>
      <c r="L762" s="432"/>
      <c r="M762" s="432"/>
      <c r="N762" s="432"/>
      <c r="O762" s="432"/>
    </row>
    <row r="763" spans="3:15" s="70" customFormat="1" x14ac:dyDescent="0.25">
      <c r="C763" s="71" t="s">
        <v>4029</v>
      </c>
      <c r="D763" s="444" t="s">
        <v>4030</v>
      </c>
      <c r="E763" s="445" t="s">
        <v>3692</v>
      </c>
      <c r="F763" s="432">
        <v>200000</v>
      </c>
      <c r="G763" s="432"/>
      <c r="H763" s="432"/>
      <c r="I763" s="432"/>
      <c r="J763" s="432"/>
      <c r="K763" s="432"/>
      <c r="L763" s="432"/>
      <c r="M763" s="432"/>
      <c r="N763" s="432"/>
      <c r="O763" s="432"/>
    </row>
    <row r="764" spans="3:15" s="70" customFormat="1" ht="30" x14ac:dyDescent="0.25">
      <c r="C764" s="72" t="s">
        <v>4031</v>
      </c>
      <c r="D764" s="73" t="s">
        <v>4032</v>
      </c>
      <c r="E764" s="73"/>
      <c r="F764" s="432"/>
      <c r="G764" s="432"/>
      <c r="H764" s="432"/>
      <c r="I764" s="432"/>
      <c r="J764" s="432"/>
      <c r="K764" s="432"/>
      <c r="L764" s="432"/>
      <c r="M764" s="432"/>
      <c r="N764" s="432"/>
      <c r="O764" s="432"/>
    </row>
    <row r="765" spans="3:15" s="70" customFormat="1" x14ac:dyDescent="0.25">
      <c r="C765" s="72"/>
      <c r="D765" s="73"/>
      <c r="E765" s="73"/>
      <c r="F765" s="432"/>
      <c r="G765" s="432"/>
      <c r="H765" s="432"/>
      <c r="I765" s="432"/>
      <c r="J765" s="432"/>
      <c r="K765" s="432"/>
      <c r="L765" s="432"/>
      <c r="M765" s="432"/>
      <c r="N765" s="432"/>
      <c r="O765" s="432"/>
    </row>
    <row r="766" spans="3:15" s="70" customFormat="1" x14ac:dyDescent="0.25">
      <c r="C766" s="72"/>
      <c r="D766" s="73" t="s">
        <v>4429</v>
      </c>
      <c r="E766" s="73" t="s">
        <v>3562</v>
      </c>
      <c r="F766" s="432"/>
      <c r="G766" s="432">
        <v>1122055</v>
      </c>
      <c r="H766" s="432">
        <v>419631</v>
      </c>
      <c r="I766" s="432">
        <v>449920</v>
      </c>
      <c r="J766" s="432">
        <v>1206175</v>
      </c>
      <c r="K766" s="432">
        <v>376283</v>
      </c>
      <c r="L766" s="432">
        <v>512741</v>
      </c>
      <c r="M766" s="432">
        <v>1209381</v>
      </c>
      <c r="N766" s="432">
        <v>750340</v>
      </c>
      <c r="O766" s="432">
        <v>2377219</v>
      </c>
    </row>
    <row r="767" spans="3:15" s="70" customFormat="1" x14ac:dyDescent="0.25">
      <c r="C767" s="72"/>
      <c r="D767" s="73" t="s">
        <v>4430</v>
      </c>
      <c r="E767" s="73" t="s">
        <v>3606</v>
      </c>
      <c r="F767" s="432"/>
      <c r="G767" s="432">
        <v>259700</v>
      </c>
      <c r="H767" s="432">
        <v>120000</v>
      </c>
      <c r="I767" s="432">
        <v>120000</v>
      </c>
      <c r="J767" s="432">
        <v>120000</v>
      </c>
      <c r="K767" s="432">
        <v>120000</v>
      </c>
      <c r="L767" s="432">
        <v>120000</v>
      </c>
      <c r="M767" s="432">
        <v>120000</v>
      </c>
      <c r="N767" s="432">
        <v>220000</v>
      </c>
      <c r="O767" s="432">
        <v>120000</v>
      </c>
    </row>
    <row r="768" spans="3:15" s="70" customFormat="1" x14ac:dyDescent="0.25">
      <c r="C768" s="72"/>
      <c r="D768" s="73" t="s">
        <v>4431</v>
      </c>
      <c r="E768" s="73" t="s">
        <v>3692</v>
      </c>
      <c r="F768" s="432"/>
      <c r="G768" s="432">
        <v>590084</v>
      </c>
      <c r="H768" s="432">
        <v>100000</v>
      </c>
      <c r="I768" s="432">
        <v>11410000</v>
      </c>
      <c r="J768" s="432">
        <v>10000</v>
      </c>
      <c r="K768" s="432">
        <v>963087</v>
      </c>
      <c r="L768" s="432">
        <v>150000</v>
      </c>
      <c r="M768" s="432">
        <v>1100000</v>
      </c>
      <c r="N768" s="432">
        <v>2904000</v>
      </c>
      <c r="O768" s="432">
        <v>11504383</v>
      </c>
    </row>
    <row r="769" spans="3:15" s="70" customFormat="1" x14ac:dyDescent="0.25">
      <c r="C769" s="72"/>
      <c r="D769" s="73"/>
      <c r="E769" s="73"/>
      <c r="F769" s="432"/>
      <c r="G769" s="432"/>
      <c r="H769" s="432"/>
      <c r="I769" s="432"/>
      <c r="J769" s="432"/>
      <c r="K769" s="432"/>
      <c r="L769" s="432"/>
      <c r="M769" s="432"/>
      <c r="N769" s="432"/>
      <c r="O769" s="432"/>
    </row>
    <row r="770" spans="3:15" s="70" customFormat="1" x14ac:dyDescent="0.25">
      <c r="C770" s="71"/>
      <c r="D770" s="444"/>
      <c r="E770" s="445"/>
      <c r="F770" s="432"/>
      <c r="G770" s="432"/>
      <c r="H770" s="432"/>
      <c r="I770" s="432"/>
      <c r="J770" s="432"/>
      <c r="K770" s="432"/>
      <c r="L770" s="432"/>
      <c r="M770" s="432"/>
      <c r="N770" s="432"/>
      <c r="O770" s="432"/>
    </row>
    <row r="771" spans="3:15" s="70" customFormat="1" x14ac:dyDescent="0.25">
      <c r="C771" s="71"/>
      <c r="D771" s="446" t="s">
        <v>4038</v>
      </c>
      <c r="E771" s="447"/>
      <c r="F771" s="433">
        <f t="shared" ref="F771:O771" si="33">SUM(F758:F770)</f>
        <v>470000</v>
      </c>
      <c r="G771" s="433">
        <f t="shared" si="33"/>
        <v>1971839</v>
      </c>
      <c r="H771" s="433">
        <f t="shared" si="33"/>
        <v>639631</v>
      </c>
      <c r="I771" s="433">
        <f t="shared" si="33"/>
        <v>11979920</v>
      </c>
      <c r="J771" s="433">
        <f t="shared" si="33"/>
        <v>1336175</v>
      </c>
      <c r="K771" s="433">
        <f t="shared" si="33"/>
        <v>1459370</v>
      </c>
      <c r="L771" s="433">
        <f t="shared" si="33"/>
        <v>782741</v>
      </c>
      <c r="M771" s="433">
        <f t="shared" si="33"/>
        <v>2429381</v>
      </c>
      <c r="N771" s="433">
        <f t="shared" si="33"/>
        <v>3874340</v>
      </c>
      <c r="O771" s="433">
        <f t="shared" si="33"/>
        <v>14001602</v>
      </c>
    </row>
    <row r="772" spans="3:15" s="70" customFormat="1" x14ac:dyDescent="0.25">
      <c r="C772" s="71"/>
      <c r="D772" s="444"/>
      <c r="E772" s="445"/>
      <c r="F772" s="432"/>
      <c r="G772" s="432"/>
      <c r="H772" s="432"/>
      <c r="I772" s="432"/>
      <c r="J772" s="432"/>
      <c r="K772" s="432"/>
      <c r="L772" s="432"/>
      <c r="M772" s="432"/>
      <c r="N772" s="432"/>
      <c r="O772" s="432"/>
    </row>
    <row r="773" spans="3:15" s="70" customFormat="1" ht="15.75" thickBot="1" x14ac:dyDescent="0.3">
      <c r="C773" s="71"/>
      <c r="D773" s="446" t="s">
        <v>4039</v>
      </c>
      <c r="E773" s="447"/>
      <c r="F773" s="456">
        <f t="shared" ref="F773:O773" si="34">F705+F723+F737+F746+F756+F771</f>
        <v>7516000</v>
      </c>
      <c r="G773" s="456">
        <f t="shared" si="34"/>
        <v>1971839</v>
      </c>
      <c r="H773" s="456">
        <f t="shared" si="34"/>
        <v>639631</v>
      </c>
      <c r="I773" s="456">
        <f t="shared" si="34"/>
        <v>11979920</v>
      </c>
      <c r="J773" s="456">
        <f t="shared" si="34"/>
        <v>1336175</v>
      </c>
      <c r="K773" s="456">
        <f t="shared" si="34"/>
        <v>1459370</v>
      </c>
      <c r="L773" s="456">
        <f t="shared" si="34"/>
        <v>782741</v>
      </c>
      <c r="M773" s="456">
        <f t="shared" si="34"/>
        <v>2429381</v>
      </c>
      <c r="N773" s="456">
        <f t="shared" si="34"/>
        <v>3874340</v>
      </c>
      <c r="O773" s="456">
        <f t="shared" si="34"/>
        <v>14001602</v>
      </c>
    </row>
    <row r="774" spans="3:15" s="70" customFormat="1" ht="16.5" thickTop="1" thickBot="1" x14ac:dyDescent="0.3">
      <c r="C774" s="71"/>
      <c r="F774" s="309"/>
      <c r="G774" s="309"/>
      <c r="H774" s="309"/>
      <c r="I774" s="309"/>
      <c r="J774" s="309"/>
      <c r="K774" s="309"/>
      <c r="L774" s="309"/>
      <c r="M774" s="309"/>
      <c r="N774" s="309"/>
      <c r="O774" s="309"/>
    </row>
    <row r="775" spans="3:15" s="70" customFormat="1" ht="16.5" thickTop="1" thickBot="1" x14ac:dyDescent="0.3">
      <c r="C775" s="72"/>
      <c r="D775" s="74" t="s">
        <v>4040</v>
      </c>
      <c r="E775" s="45"/>
      <c r="F775" s="311">
        <f t="shared" ref="F775:O775" si="35">F773+F694+F628</f>
        <v>52159600</v>
      </c>
      <c r="G775" s="311">
        <f t="shared" si="35"/>
        <v>20213511</v>
      </c>
      <c r="H775" s="311">
        <f t="shared" si="35"/>
        <v>12061031</v>
      </c>
      <c r="I775" s="311">
        <f t="shared" si="35"/>
        <v>24453405</v>
      </c>
      <c r="J775" s="311">
        <f t="shared" si="35"/>
        <v>11022934</v>
      </c>
      <c r="K775" s="311">
        <f t="shared" si="35"/>
        <v>10790953</v>
      </c>
      <c r="L775" s="311">
        <f t="shared" si="35"/>
        <v>11146814</v>
      </c>
      <c r="M775" s="311">
        <f t="shared" si="35"/>
        <v>11349481</v>
      </c>
      <c r="N775" s="311">
        <f t="shared" si="35"/>
        <v>13479240</v>
      </c>
      <c r="O775" s="311">
        <f t="shared" si="35"/>
        <v>23621402</v>
      </c>
    </row>
    <row r="776" spans="3:15" s="70" customFormat="1" ht="15.75" thickTop="1" x14ac:dyDescent="0.25">
      <c r="C776" s="72"/>
      <c r="D776" s="45"/>
      <c r="E776" s="45"/>
      <c r="F776" s="310"/>
      <c r="G776" s="310"/>
      <c r="H776" s="310"/>
      <c r="I776" s="310"/>
      <c r="J776" s="310"/>
      <c r="K776" s="310"/>
      <c r="L776" s="310"/>
      <c r="M776" s="310"/>
      <c r="N776" s="310"/>
      <c r="O776" s="310"/>
    </row>
    <row r="777" spans="3:15" s="70" customFormat="1" x14ac:dyDescent="0.25">
      <c r="C777" s="72"/>
      <c r="D777" s="74" t="s">
        <v>4483</v>
      </c>
      <c r="E777" s="45"/>
      <c r="F777" s="310"/>
      <c r="G777" s="310"/>
      <c r="H777" s="310"/>
      <c r="I777" s="310"/>
      <c r="J777" s="310"/>
      <c r="K777" s="310"/>
      <c r="L777" s="310"/>
      <c r="M777" s="310"/>
      <c r="N777" s="310"/>
      <c r="O777" s="310"/>
    </row>
    <row r="778" spans="3:15" s="70" customFormat="1" x14ac:dyDescent="0.25">
      <c r="D778" s="73" t="s">
        <v>4429</v>
      </c>
      <c r="E778" s="424" t="s">
        <v>3562</v>
      </c>
      <c r="F778" s="294">
        <f>SUMIF($E$5:$E$622,$E$778,F5:F622)</f>
        <v>9024200</v>
      </c>
      <c r="G778" s="294">
        <f t="shared" ref="G778:O778" si="36">SUMIF($E$5:$E$622,$E$778,G5:G622)</f>
        <v>8424200</v>
      </c>
      <c r="H778" s="294">
        <f t="shared" si="36"/>
        <v>7549700</v>
      </c>
      <c r="I778" s="294">
        <f t="shared" si="36"/>
        <v>8732900</v>
      </c>
      <c r="J778" s="294">
        <f t="shared" si="36"/>
        <v>6701900</v>
      </c>
      <c r="K778" s="294">
        <f t="shared" si="36"/>
        <v>6899100</v>
      </c>
      <c r="L778" s="294">
        <f t="shared" si="36"/>
        <v>6752700</v>
      </c>
      <c r="M778" s="294">
        <f t="shared" si="36"/>
        <v>6789800</v>
      </c>
      <c r="N778" s="294">
        <f t="shared" si="36"/>
        <v>7805900</v>
      </c>
      <c r="O778" s="294">
        <f t="shared" si="36"/>
        <v>7158000</v>
      </c>
    </row>
    <row r="779" spans="3:15" s="70" customFormat="1" x14ac:dyDescent="0.25">
      <c r="D779" s="73" t="s">
        <v>4430</v>
      </c>
      <c r="E779" s="424" t="s">
        <v>3606</v>
      </c>
      <c r="F779" s="294">
        <f>SUMIF($E$5:$E$622,$E$779,F5:F6175)</f>
        <v>17393600</v>
      </c>
      <c r="G779" s="294">
        <f t="shared" ref="G779:O779" si="37">SUMIF($E$5:$E$622,$E$779,G5:G6175)</f>
        <v>350900</v>
      </c>
      <c r="H779" s="294">
        <f t="shared" si="37"/>
        <v>415600</v>
      </c>
      <c r="I779" s="294">
        <f t="shared" si="37"/>
        <v>842400</v>
      </c>
      <c r="J779" s="294">
        <f t="shared" si="37"/>
        <v>365700</v>
      </c>
      <c r="K779" s="294">
        <f t="shared" si="37"/>
        <v>389400</v>
      </c>
      <c r="L779" s="294">
        <f t="shared" si="37"/>
        <v>471400</v>
      </c>
      <c r="M779" s="294">
        <f t="shared" si="37"/>
        <v>328100</v>
      </c>
      <c r="N779" s="294">
        <f t="shared" si="37"/>
        <v>269100</v>
      </c>
      <c r="O779" s="294">
        <f t="shared" si="37"/>
        <v>459100</v>
      </c>
    </row>
    <row r="780" spans="3:15" s="70" customFormat="1" x14ac:dyDescent="0.25">
      <c r="D780" s="73" t="s">
        <v>4431</v>
      </c>
      <c r="E780" s="424" t="s">
        <v>3692</v>
      </c>
      <c r="F780" s="294">
        <f>SUMIF($E$5:$E$622,$E$780,F5:F622)</f>
        <v>5150300</v>
      </c>
      <c r="G780" s="294">
        <f t="shared" ref="G780:O780" si="38">SUMIF($E$5:$E$622,$E$780,G5:G622)</f>
        <v>893200</v>
      </c>
      <c r="H780" s="294">
        <f t="shared" si="38"/>
        <v>52000</v>
      </c>
      <c r="I780" s="294">
        <f t="shared" si="38"/>
        <v>-58000</v>
      </c>
      <c r="J780" s="294">
        <f t="shared" si="38"/>
        <v>394000</v>
      </c>
      <c r="K780" s="294">
        <f t="shared" si="38"/>
        <v>176000</v>
      </c>
      <c r="L780" s="294">
        <f t="shared" si="38"/>
        <v>194000</v>
      </c>
      <c r="M780" s="294">
        <f t="shared" si="38"/>
        <v>42000</v>
      </c>
      <c r="N780" s="294">
        <f t="shared" si="38"/>
        <v>-817000</v>
      </c>
      <c r="O780" s="294">
        <f t="shared" si="38"/>
        <v>-324000</v>
      </c>
    </row>
    <row r="781" spans="3:15" s="70" customFormat="1" x14ac:dyDescent="0.25">
      <c r="D781" s="73"/>
      <c r="E781" s="424"/>
      <c r="F781" s="294"/>
      <c r="G781" s="294"/>
      <c r="H781" s="294"/>
      <c r="I781" s="294"/>
      <c r="J781" s="294"/>
      <c r="K781" s="294"/>
      <c r="L781" s="294"/>
      <c r="M781" s="294"/>
      <c r="N781" s="294"/>
      <c r="O781" s="294"/>
    </row>
    <row r="782" spans="3:15" x14ac:dyDescent="0.25">
      <c r="D782" s="365" t="s">
        <v>3950</v>
      </c>
      <c r="F782" s="457">
        <f>SUM(F778:F781)</f>
        <v>31568100</v>
      </c>
      <c r="G782" s="457">
        <f t="shared" ref="G782:O782" si="39">SUM(G778:G781)</f>
        <v>9668300</v>
      </c>
      <c r="H782" s="457">
        <f t="shared" si="39"/>
        <v>8017300</v>
      </c>
      <c r="I782" s="457">
        <f t="shared" si="39"/>
        <v>9517300</v>
      </c>
      <c r="J782" s="457">
        <f t="shared" si="39"/>
        <v>7461600</v>
      </c>
      <c r="K782" s="457">
        <f t="shared" si="39"/>
        <v>7464500</v>
      </c>
      <c r="L782" s="457">
        <f t="shared" si="39"/>
        <v>7418100</v>
      </c>
      <c r="M782" s="457">
        <f t="shared" si="39"/>
        <v>7159900</v>
      </c>
      <c r="N782" s="457">
        <f t="shared" si="39"/>
        <v>7258000</v>
      </c>
      <c r="O782" s="457">
        <f t="shared" si="39"/>
        <v>7293100</v>
      </c>
    </row>
    <row r="784" spans="3:15" x14ac:dyDescent="0.25">
      <c r="D784" s="365" t="s">
        <v>4482</v>
      </c>
    </row>
    <row r="785" spans="4:15" x14ac:dyDescent="0.25">
      <c r="D785" s="73" t="s">
        <v>4429</v>
      </c>
      <c r="F785" s="308">
        <f>F684+F682+F673+F663+F653+F649+F641</f>
        <v>720900</v>
      </c>
      <c r="G785" s="404">
        <f>G688</f>
        <v>271236</v>
      </c>
      <c r="H785" s="404">
        <f t="shared" ref="H785:O785" si="40">H688</f>
        <v>60000</v>
      </c>
      <c r="I785" s="404">
        <f t="shared" si="40"/>
        <v>396184</v>
      </c>
      <c r="J785" s="404">
        <f t="shared" si="40"/>
        <v>968659</v>
      </c>
      <c r="K785" s="404">
        <f t="shared" si="40"/>
        <v>35000</v>
      </c>
      <c r="L785" s="404">
        <f t="shared" si="40"/>
        <v>1464573</v>
      </c>
      <c r="M785" s="404">
        <f t="shared" si="40"/>
        <v>20000</v>
      </c>
      <c r="N785" s="404">
        <f t="shared" si="40"/>
        <v>20000</v>
      </c>
      <c r="O785" s="404">
        <f t="shared" si="40"/>
        <v>87500</v>
      </c>
    </row>
    <row r="786" spans="4:15" x14ac:dyDescent="0.25">
      <c r="D786" s="73" t="s">
        <v>4430</v>
      </c>
      <c r="F786" s="308">
        <f>F686+F683+F677</f>
        <v>975000</v>
      </c>
      <c r="G786" s="404">
        <f>G689+G686</f>
        <v>2210000</v>
      </c>
      <c r="H786" s="404">
        <f>H689+H686</f>
        <v>2010000</v>
      </c>
      <c r="I786" s="404">
        <f t="shared" ref="I786:O786" si="41">I689</f>
        <v>10000</v>
      </c>
      <c r="J786" s="404">
        <f t="shared" si="41"/>
        <v>60000</v>
      </c>
      <c r="K786" s="404">
        <f t="shared" si="41"/>
        <v>10000</v>
      </c>
      <c r="L786" s="404">
        <f t="shared" si="41"/>
        <v>10000</v>
      </c>
      <c r="M786" s="404">
        <f t="shared" si="41"/>
        <v>10000</v>
      </c>
      <c r="N786" s="404">
        <f t="shared" si="41"/>
        <v>10000</v>
      </c>
      <c r="O786" s="404">
        <f t="shared" si="41"/>
        <v>10000</v>
      </c>
    </row>
    <row r="787" spans="4:15" x14ac:dyDescent="0.25">
      <c r="D787" s="73" t="s">
        <v>4431</v>
      </c>
      <c r="F787" s="308">
        <f>F633+F661+F662+F669+F676</f>
        <v>7629000</v>
      </c>
      <c r="G787" s="404">
        <f t="shared" ref="G787:O787" si="42">G690</f>
        <v>1791236</v>
      </c>
      <c r="H787" s="404">
        <f t="shared" si="42"/>
        <v>100000</v>
      </c>
      <c r="I787" s="404">
        <f t="shared" si="42"/>
        <v>100000</v>
      </c>
      <c r="J787" s="404">
        <f t="shared" si="42"/>
        <v>150000</v>
      </c>
      <c r="K787" s="404">
        <f t="shared" si="42"/>
        <v>696583</v>
      </c>
      <c r="L787" s="404">
        <f t="shared" si="42"/>
        <v>100000</v>
      </c>
      <c r="M787" s="404">
        <f t="shared" si="42"/>
        <v>100000</v>
      </c>
      <c r="N787" s="404">
        <f t="shared" si="42"/>
        <v>100000</v>
      </c>
      <c r="O787" s="404">
        <f t="shared" si="42"/>
        <v>150000</v>
      </c>
    </row>
    <row r="788" spans="4:15" x14ac:dyDescent="0.25">
      <c r="D788" s="73"/>
      <c r="F788" s="308"/>
    </row>
    <row r="789" spans="4:15" x14ac:dyDescent="0.25">
      <c r="D789" s="365" t="s">
        <v>4484</v>
      </c>
      <c r="F789" s="457">
        <f>SUM(F785:F788)</f>
        <v>9324900</v>
      </c>
      <c r="G789" s="457">
        <f t="shared" ref="G789:O789" si="43">SUM(G785:G788)</f>
        <v>4272472</v>
      </c>
      <c r="H789" s="457">
        <f t="shared" si="43"/>
        <v>2170000</v>
      </c>
      <c r="I789" s="457">
        <f t="shared" si="43"/>
        <v>506184</v>
      </c>
      <c r="J789" s="457">
        <f t="shared" si="43"/>
        <v>1178659</v>
      </c>
      <c r="K789" s="457">
        <f t="shared" si="43"/>
        <v>741583</v>
      </c>
      <c r="L789" s="457">
        <f t="shared" si="43"/>
        <v>1574573</v>
      </c>
      <c r="M789" s="457">
        <f t="shared" si="43"/>
        <v>130000</v>
      </c>
      <c r="N789" s="457">
        <f t="shared" si="43"/>
        <v>130000</v>
      </c>
      <c r="O789" s="457">
        <f t="shared" si="43"/>
        <v>247500</v>
      </c>
    </row>
    <row r="791" spans="4:15" x14ac:dyDescent="0.25">
      <c r="D791" s="365" t="s">
        <v>4485</v>
      </c>
    </row>
    <row r="792" spans="4:15" x14ac:dyDescent="0.25">
      <c r="D792" s="73" t="s">
        <v>4429</v>
      </c>
      <c r="F792" s="404">
        <f>F702+F715+F735+F743+F750+F760</f>
        <v>1130000</v>
      </c>
      <c r="G792" s="404">
        <f>G766</f>
        <v>1122055</v>
      </c>
      <c r="H792" s="404">
        <f t="shared" ref="H792:O792" si="44">H766</f>
        <v>419631</v>
      </c>
      <c r="I792" s="404">
        <f t="shared" si="44"/>
        <v>449920</v>
      </c>
      <c r="J792" s="404">
        <f t="shared" si="44"/>
        <v>1206175</v>
      </c>
      <c r="K792" s="404">
        <f t="shared" si="44"/>
        <v>376283</v>
      </c>
      <c r="L792" s="404">
        <f t="shared" si="44"/>
        <v>512741</v>
      </c>
      <c r="M792" s="404">
        <f t="shared" si="44"/>
        <v>1209381</v>
      </c>
      <c r="N792" s="404">
        <f t="shared" si="44"/>
        <v>750340</v>
      </c>
      <c r="O792" s="404">
        <f t="shared" si="44"/>
        <v>2377219</v>
      </c>
    </row>
    <row r="793" spans="4:15" x14ac:dyDescent="0.25">
      <c r="D793" s="73" t="s">
        <v>4430</v>
      </c>
      <c r="F793" s="404">
        <v>0</v>
      </c>
      <c r="G793" s="404">
        <f t="shared" ref="G793:O794" si="45">G767</f>
        <v>259700</v>
      </c>
      <c r="H793" s="404">
        <f t="shared" si="45"/>
        <v>120000</v>
      </c>
      <c r="I793" s="404">
        <f t="shared" si="45"/>
        <v>120000</v>
      </c>
      <c r="J793" s="404">
        <f t="shared" si="45"/>
        <v>120000</v>
      </c>
      <c r="K793" s="404">
        <f t="shared" si="45"/>
        <v>120000</v>
      </c>
      <c r="L793" s="404">
        <f t="shared" si="45"/>
        <v>120000</v>
      </c>
      <c r="M793" s="404">
        <f t="shared" si="45"/>
        <v>120000</v>
      </c>
      <c r="N793" s="404">
        <f t="shared" si="45"/>
        <v>220000</v>
      </c>
      <c r="O793" s="404">
        <f t="shared" si="45"/>
        <v>120000</v>
      </c>
    </row>
    <row r="794" spans="4:15" x14ac:dyDescent="0.25">
      <c r="D794" s="73" t="s">
        <v>4431</v>
      </c>
      <c r="F794" s="404">
        <f>F763+F761+F753+F742+F717+F709+F703</f>
        <v>3051000</v>
      </c>
      <c r="G794" s="404">
        <f t="shared" si="45"/>
        <v>590084</v>
      </c>
      <c r="H794" s="404">
        <f t="shared" si="45"/>
        <v>100000</v>
      </c>
      <c r="I794" s="404">
        <f t="shared" si="45"/>
        <v>11410000</v>
      </c>
      <c r="J794" s="404">
        <f t="shared" si="45"/>
        <v>10000</v>
      </c>
      <c r="K794" s="404">
        <f t="shared" si="45"/>
        <v>963087</v>
      </c>
      <c r="L794" s="404">
        <f t="shared" si="45"/>
        <v>150000</v>
      </c>
      <c r="M794" s="404">
        <f t="shared" si="45"/>
        <v>1100000</v>
      </c>
      <c r="N794" s="404">
        <f t="shared" si="45"/>
        <v>2904000</v>
      </c>
      <c r="O794" s="404">
        <f t="shared" si="45"/>
        <v>11504383</v>
      </c>
    </row>
    <row r="796" spans="4:15" x14ac:dyDescent="0.25">
      <c r="D796" s="365" t="s">
        <v>4486</v>
      </c>
      <c r="F796" s="457">
        <f>SUM(F792:F795)</f>
        <v>4181000</v>
      </c>
      <c r="G796" s="457">
        <f t="shared" ref="G796:O796" si="46">SUM(G792:G795)</f>
        <v>1971839</v>
      </c>
      <c r="H796" s="457">
        <f t="shared" si="46"/>
        <v>639631</v>
      </c>
      <c r="I796" s="457">
        <f t="shared" si="46"/>
        <v>11979920</v>
      </c>
      <c r="J796" s="457">
        <f t="shared" si="46"/>
        <v>1336175</v>
      </c>
      <c r="K796" s="457">
        <f t="shared" si="46"/>
        <v>1459370</v>
      </c>
      <c r="L796" s="457">
        <f t="shared" si="46"/>
        <v>782741</v>
      </c>
      <c r="M796" s="457">
        <f t="shared" si="46"/>
        <v>2429381</v>
      </c>
      <c r="N796" s="457">
        <f t="shared" si="46"/>
        <v>3874340</v>
      </c>
      <c r="O796" s="457">
        <f t="shared" si="46"/>
        <v>14001602</v>
      </c>
    </row>
    <row r="798" spans="4:15" x14ac:dyDescent="0.25">
      <c r="N798" s="404"/>
      <c r="O798" s="404"/>
    </row>
    <row r="799" spans="4:15" x14ac:dyDescent="0.25">
      <c r="F799" s="458">
        <f>F782+F789+F796</f>
        <v>45074000</v>
      </c>
      <c r="G799" s="458">
        <f t="shared" ref="G799:O799" si="47">G782+G789+G796</f>
        <v>15912611</v>
      </c>
      <c r="H799" s="458">
        <f t="shared" si="47"/>
        <v>10826931</v>
      </c>
      <c r="I799" s="458">
        <f t="shared" si="47"/>
        <v>22003404</v>
      </c>
      <c r="J799" s="458">
        <f t="shared" si="47"/>
        <v>9976434</v>
      </c>
      <c r="K799" s="458">
        <f t="shared" si="47"/>
        <v>9665453</v>
      </c>
      <c r="L799" s="458">
        <f t="shared" si="47"/>
        <v>9775414</v>
      </c>
      <c r="M799" s="458">
        <f t="shared" si="47"/>
        <v>9719281</v>
      </c>
      <c r="N799" s="458">
        <f t="shared" si="47"/>
        <v>11262340</v>
      </c>
      <c r="O799" s="458">
        <f t="shared" si="47"/>
        <v>21542202</v>
      </c>
    </row>
  </sheetData>
  <mergeCells count="1">
    <mergeCell ref="G3:O3"/>
  </mergeCells>
  <pageMargins left="0.70866141732283472" right="0.70866141732283472" top="0.74803149606299213" bottom="0.74803149606299213" header="0.31496062992125984" footer="0.31496062992125984"/>
  <pageSetup paperSize="8" scale="70" orientation="landscape"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[1]data!#REF!</xm:f>
          </x14:formula1>
          <xm:sqref>E173:E174</xm:sqref>
        </x14:dataValidation>
        <x14:dataValidation type="list" allowBlank="1" showInputMessage="1" showErrorMessage="1">
          <x14:formula1>
            <xm:f>[2]data!#REF!</xm:f>
          </x14:formula1>
          <xm:sqref>E444 E474 E476:E477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DD118"/>
  <sheetViews>
    <sheetView workbookViewId="0">
      <pane xSplit="15" ySplit="5" topLeftCell="AP78" activePane="bottomRight" state="frozen"/>
      <selection pane="topRight" activeCell="P1" sqref="P1"/>
      <selection pane="bottomLeft" activeCell="A6" sqref="A6"/>
      <selection pane="bottomRight" activeCell="BE76" sqref="BE76"/>
    </sheetView>
  </sheetViews>
  <sheetFormatPr defaultColWidth="9.140625" defaultRowHeight="15" x14ac:dyDescent="0.25"/>
  <cols>
    <col min="1" max="1" width="9.42578125" style="75" customWidth="1"/>
    <col min="2" max="2" width="10" style="76" customWidth="1"/>
    <col min="3" max="3" width="12.42578125" style="76" bestFit="1" customWidth="1"/>
    <col min="4" max="4" width="8.28515625" style="227" hidden="1" customWidth="1"/>
    <col min="5" max="5" width="12.7109375" style="231" bestFit="1" customWidth="1"/>
    <col min="6" max="6" width="13.7109375" style="230" hidden="1" customWidth="1"/>
    <col min="7" max="7" width="12.28515625" style="144" hidden="1" customWidth="1"/>
    <col min="8" max="8" width="14.5703125" style="144" hidden="1" customWidth="1"/>
    <col min="9" max="9" width="10.28515625" style="144" hidden="1" customWidth="1"/>
    <col min="10" max="10" width="56.85546875" style="75" customWidth="1"/>
    <col min="11" max="11" width="14.28515625" style="75" hidden="1" customWidth="1"/>
    <col min="12" max="12" width="12.85546875" style="75" hidden="1" customWidth="1"/>
    <col min="13" max="13" width="11.28515625" style="75" hidden="1" customWidth="1"/>
    <col min="14" max="14" width="1.28515625" style="75" hidden="1" customWidth="1"/>
    <col min="15" max="15" width="1.28515625" style="75" customWidth="1"/>
    <col min="16" max="16" width="14.140625" style="75" bestFit="1" customWidth="1"/>
    <col min="17" max="18" width="13.42578125" style="75" bestFit="1" customWidth="1"/>
    <col min="19" max="19" width="1.28515625" style="75" customWidth="1"/>
    <col min="20" max="20" width="14.140625" style="75" bestFit="1" customWidth="1"/>
    <col min="21" max="22" width="13.42578125" style="75" bestFit="1" customWidth="1"/>
    <col min="23" max="23" width="1.28515625" style="75" customWidth="1"/>
    <col min="24" max="24" width="14.140625" style="75" bestFit="1" customWidth="1"/>
    <col min="25" max="26" width="13.42578125" style="75" bestFit="1" customWidth="1"/>
    <col min="27" max="27" width="1.28515625" style="75" customWidth="1"/>
    <col min="28" max="28" width="14.140625" style="75" bestFit="1" customWidth="1"/>
    <col min="29" max="30" width="13.42578125" style="75" bestFit="1" customWidth="1"/>
    <col min="31" max="31" width="1.28515625" style="75" customWidth="1"/>
    <col min="32" max="32" width="14.140625" style="75" bestFit="1" customWidth="1"/>
    <col min="33" max="34" width="13.42578125" style="75" bestFit="1" customWidth="1"/>
    <col min="35" max="35" width="1.28515625" style="75" customWidth="1"/>
    <col min="36" max="36" width="14.140625" style="75" bestFit="1" customWidth="1"/>
    <col min="37" max="38" width="13.42578125" style="75" bestFit="1" customWidth="1"/>
    <col min="39" max="39" width="1.28515625" style="75" customWidth="1"/>
    <col min="40" max="40" width="14.140625" style="75" bestFit="1" customWidth="1"/>
    <col min="41" max="42" width="13.42578125" style="75" bestFit="1" customWidth="1"/>
    <col min="43" max="43" width="1.28515625" style="75" customWidth="1"/>
    <col min="44" max="44" width="14.140625" style="75" bestFit="1" customWidth="1"/>
    <col min="45" max="46" width="13.42578125" style="75" bestFit="1" customWidth="1"/>
    <col min="47" max="47" width="1.28515625" style="75" customWidth="1"/>
    <col min="48" max="48" width="14.140625" style="75" bestFit="1" customWidth="1"/>
    <col min="49" max="50" width="13.42578125" style="75" bestFit="1" customWidth="1"/>
    <col min="51" max="51" width="1.28515625" style="75" customWidth="1"/>
    <col min="52" max="52" width="14.140625" style="75" bestFit="1" customWidth="1"/>
    <col min="53" max="54" width="13.42578125" style="75" bestFit="1" customWidth="1"/>
    <col min="55" max="55" width="1.28515625" style="75" customWidth="1"/>
    <col min="56" max="16384" width="9.140625" style="75"/>
  </cols>
  <sheetData>
    <row r="1" spans="1:55" ht="15.75" x14ac:dyDescent="0.25">
      <c r="A1" s="48" t="s">
        <v>0</v>
      </c>
    </row>
    <row r="2" spans="1:55" ht="15.75" x14ac:dyDescent="0.25">
      <c r="A2" s="48" t="s">
        <v>4628</v>
      </c>
      <c r="C2" s="77"/>
      <c r="D2" s="78"/>
      <c r="E2" s="79"/>
      <c r="F2" s="80"/>
      <c r="G2" s="79"/>
      <c r="H2" s="79"/>
      <c r="I2" s="79"/>
      <c r="J2" s="81"/>
      <c r="K2" s="82"/>
      <c r="N2" s="83"/>
      <c r="O2" s="83"/>
      <c r="S2" s="83"/>
      <c r="W2" s="83"/>
      <c r="AA2" s="83"/>
      <c r="AE2" s="83"/>
      <c r="AI2" s="83"/>
    </row>
    <row r="3" spans="1:55" s="91" customFormat="1" x14ac:dyDescent="0.25">
      <c r="A3" s="84"/>
      <c r="B3" s="85"/>
      <c r="C3" s="86"/>
      <c r="D3" s="87" t="s">
        <v>4049</v>
      </c>
      <c r="E3" s="87"/>
      <c r="F3" s="88"/>
      <c r="G3" s="89"/>
      <c r="H3" s="89"/>
      <c r="I3" s="86"/>
      <c r="J3" s="90" t="s">
        <v>4050</v>
      </c>
      <c r="N3" s="90"/>
      <c r="O3" s="90"/>
      <c r="S3" s="90"/>
      <c r="W3" s="90"/>
      <c r="AA3" s="90"/>
      <c r="AE3" s="90"/>
      <c r="AI3" s="90"/>
    </row>
    <row r="4" spans="1:55" s="101" customFormat="1" ht="15.75" thickBot="1" x14ac:dyDescent="0.3">
      <c r="A4" s="92"/>
      <c r="B4" s="85"/>
      <c r="C4" s="85"/>
      <c r="D4" s="93"/>
      <c r="E4" s="94"/>
      <c r="F4" s="95"/>
      <c r="G4" s="96"/>
      <c r="H4" s="96"/>
      <c r="I4" s="86"/>
      <c r="J4" s="97"/>
      <c r="K4" s="482" t="s">
        <v>4051</v>
      </c>
      <c r="L4" s="482"/>
      <c r="M4" s="482"/>
      <c r="N4" s="98"/>
      <c r="O4" s="99"/>
      <c r="P4" s="483" t="s">
        <v>11</v>
      </c>
      <c r="Q4" s="484"/>
      <c r="R4" s="485"/>
      <c r="S4" s="99"/>
      <c r="T4" s="483" t="s">
        <v>12</v>
      </c>
      <c r="U4" s="484"/>
      <c r="V4" s="485"/>
      <c r="W4" s="99"/>
      <c r="X4" s="483" t="s">
        <v>13</v>
      </c>
      <c r="Y4" s="484"/>
      <c r="Z4" s="485"/>
      <c r="AA4" s="100"/>
      <c r="AB4" s="483" t="s">
        <v>15</v>
      </c>
      <c r="AC4" s="484"/>
      <c r="AD4" s="485"/>
      <c r="AE4" s="100"/>
      <c r="AF4" s="483" t="s">
        <v>16</v>
      </c>
      <c r="AG4" s="484"/>
      <c r="AH4" s="485"/>
      <c r="AI4" s="99"/>
      <c r="AJ4" s="483" t="s">
        <v>17</v>
      </c>
      <c r="AK4" s="484"/>
      <c r="AL4" s="485"/>
      <c r="AN4" s="483" t="s">
        <v>18</v>
      </c>
      <c r="AO4" s="484"/>
      <c r="AP4" s="485"/>
      <c r="AR4" s="483" t="s">
        <v>19</v>
      </c>
      <c r="AS4" s="484"/>
      <c r="AT4" s="485"/>
      <c r="AV4" s="483" t="s">
        <v>20</v>
      </c>
      <c r="AW4" s="484"/>
      <c r="AX4" s="485"/>
      <c r="AZ4" s="483" t="s">
        <v>21</v>
      </c>
      <c r="BA4" s="484"/>
      <c r="BB4" s="485"/>
    </row>
    <row r="5" spans="1:55" ht="45.75" thickBot="1" x14ac:dyDescent="0.3">
      <c r="A5" s="102" t="s">
        <v>4052</v>
      </c>
      <c r="B5" s="102" t="s">
        <v>4053</v>
      </c>
      <c r="C5" s="102" t="s">
        <v>4054</v>
      </c>
      <c r="D5" s="103" t="s">
        <v>4055</v>
      </c>
      <c r="E5" s="102" t="s">
        <v>4056</v>
      </c>
      <c r="F5" s="103" t="s">
        <v>4057</v>
      </c>
      <c r="G5" s="102" t="s">
        <v>4058</v>
      </c>
      <c r="H5" s="102" t="s">
        <v>4059</v>
      </c>
      <c r="I5" s="102" t="s">
        <v>4060</v>
      </c>
      <c r="J5" s="102" t="s">
        <v>4061</v>
      </c>
      <c r="K5" s="104" t="s">
        <v>4062</v>
      </c>
      <c r="L5" s="105" t="s">
        <v>4063</v>
      </c>
      <c r="M5" s="106" t="s">
        <v>4051</v>
      </c>
      <c r="N5" s="107"/>
      <c r="O5" s="108"/>
      <c r="P5" s="109" t="s">
        <v>4062</v>
      </c>
      <c r="Q5" s="110" t="s">
        <v>4063</v>
      </c>
      <c r="R5" s="111" t="s">
        <v>11</v>
      </c>
      <c r="S5" s="108"/>
      <c r="T5" s="109" t="s">
        <v>4062</v>
      </c>
      <c r="U5" s="110" t="s">
        <v>4063</v>
      </c>
      <c r="V5" s="111" t="s">
        <v>12</v>
      </c>
      <c r="W5" s="108"/>
      <c r="X5" s="109" t="s">
        <v>4062</v>
      </c>
      <c r="Y5" s="110" t="s">
        <v>4063</v>
      </c>
      <c r="Z5" s="111" t="s">
        <v>13</v>
      </c>
      <c r="AA5" s="108"/>
      <c r="AB5" s="109" t="s">
        <v>4062</v>
      </c>
      <c r="AC5" s="110" t="s">
        <v>4063</v>
      </c>
      <c r="AD5" s="111" t="s">
        <v>15</v>
      </c>
      <c r="AE5" s="108"/>
      <c r="AF5" s="109" t="s">
        <v>4062</v>
      </c>
      <c r="AG5" s="110" t="s">
        <v>4063</v>
      </c>
      <c r="AH5" s="111" t="s">
        <v>16</v>
      </c>
      <c r="AI5" s="108"/>
      <c r="AJ5" s="109" t="s">
        <v>4062</v>
      </c>
      <c r="AK5" s="110" t="s">
        <v>4063</v>
      </c>
      <c r="AL5" s="111" t="s">
        <v>17</v>
      </c>
      <c r="AM5" s="110"/>
      <c r="AN5" s="109" t="s">
        <v>4062</v>
      </c>
      <c r="AO5" s="110" t="s">
        <v>4063</v>
      </c>
      <c r="AP5" s="111" t="s">
        <v>18</v>
      </c>
      <c r="AQ5" s="110"/>
      <c r="AR5" s="109" t="s">
        <v>4062</v>
      </c>
      <c r="AS5" s="110" t="s">
        <v>4063</v>
      </c>
      <c r="AT5" s="111" t="s">
        <v>19</v>
      </c>
      <c r="AU5" s="110"/>
      <c r="AV5" s="109" t="s">
        <v>4062</v>
      </c>
      <c r="AW5" s="110" t="s">
        <v>4063</v>
      </c>
      <c r="AX5" s="111" t="s">
        <v>20</v>
      </c>
      <c r="AY5" s="110"/>
      <c r="AZ5" s="109" t="s">
        <v>4062</v>
      </c>
      <c r="BA5" s="110" t="s">
        <v>4063</v>
      </c>
      <c r="BB5" s="111" t="s">
        <v>21</v>
      </c>
      <c r="BC5" s="110"/>
    </row>
    <row r="6" spans="1:55" s="101" customFormat="1" x14ac:dyDescent="0.25">
      <c r="A6" s="112"/>
      <c r="B6" s="113"/>
      <c r="C6" s="114"/>
      <c r="D6" s="115"/>
      <c r="E6" s="116"/>
      <c r="F6" s="117"/>
      <c r="G6" s="118"/>
      <c r="H6" s="118"/>
      <c r="I6" s="116"/>
      <c r="J6" s="116"/>
      <c r="K6" s="119"/>
      <c r="L6" s="119"/>
      <c r="M6" s="120"/>
      <c r="N6" s="119"/>
      <c r="O6" s="119"/>
      <c r="P6" s="121"/>
      <c r="Q6" s="119"/>
      <c r="R6" s="122"/>
      <c r="S6" s="99"/>
      <c r="T6" s="121"/>
      <c r="U6" s="119"/>
      <c r="V6" s="122"/>
      <c r="W6" s="99"/>
      <c r="X6" s="121"/>
      <c r="Y6" s="119"/>
      <c r="Z6" s="122"/>
      <c r="AA6" s="100"/>
      <c r="AB6" s="121"/>
      <c r="AC6" s="119"/>
      <c r="AD6" s="122"/>
      <c r="AE6" s="100"/>
      <c r="AF6" s="121"/>
      <c r="AG6" s="119"/>
      <c r="AH6" s="122"/>
      <c r="AI6" s="99"/>
      <c r="AJ6" s="121"/>
      <c r="AK6" s="119"/>
      <c r="AL6" s="122"/>
      <c r="AN6" s="121"/>
      <c r="AO6" s="119"/>
      <c r="AP6" s="122"/>
      <c r="AR6" s="121"/>
      <c r="AS6" s="119"/>
      <c r="AT6" s="122"/>
      <c r="AV6" s="121"/>
      <c r="AW6" s="119"/>
      <c r="AX6" s="122"/>
      <c r="AZ6" s="121"/>
      <c r="BA6" s="119"/>
      <c r="BB6" s="122"/>
    </row>
    <row r="7" spans="1:55" x14ac:dyDescent="0.25">
      <c r="A7" s="123"/>
      <c r="B7" s="124"/>
      <c r="C7" s="125"/>
      <c r="D7" s="126"/>
      <c r="E7" s="127"/>
      <c r="F7" s="128"/>
      <c r="G7" s="129"/>
      <c r="H7" s="129"/>
      <c r="I7" s="127"/>
      <c r="J7" s="130" t="s">
        <v>4064</v>
      </c>
      <c r="K7" s="99"/>
      <c r="L7" s="99"/>
      <c r="M7" s="131"/>
      <c r="N7" s="99"/>
      <c r="O7" s="99"/>
      <c r="P7" s="132"/>
      <c r="Q7" s="99"/>
      <c r="R7" s="133"/>
      <c r="S7" s="99"/>
      <c r="T7" s="132"/>
      <c r="U7" s="99"/>
      <c r="V7" s="133"/>
      <c r="W7" s="99"/>
      <c r="X7" s="132"/>
      <c r="Y7" s="99"/>
      <c r="Z7" s="133"/>
      <c r="AA7" s="100"/>
      <c r="AB7" s="132"/>
      <c r="AC7" s="99"/>
      <c r="AD7" s="133"/>
      <c r="AE7" s="100"/>
      <c r="AF7" s="132"/>
      <c r="AG7" s="99"/>
      <c r="AH7" s="133"/>
      <c r="AI7" s="99"/>
      <c r="AJ7" s="132"/>
      <c r="AK7" s="99"/>
      <c r="AL7" s="133"/>
      <c r="AN7" s="132"/>
      <c r="AO7" s="99"/>
      <c r="AP7" s="133"/>
      <c r="AR7" s="132"/>
      <c r="AS7" s="99"/>
      <c r="AT7" s="133"/>
      <c r="AV7" s="132"/>
      <c r="AW7" s="99"/>
      <c r="AX7" s="133"/>
      <c r="AZ7" s="132"/>
      <c r="BA7" s="99"/>
      <c r="BB7" s="133"/>
    </row>
    <row r="8" spans="1:55" x14ac:dyDescent="0.25">
      <c r="A8" s="123"/>
      <c r="B8" s="124"/>
      <c r="C8" s="125"/>
      <c r="D8" s="126"/>
      <c r="E8" s="127"/>
      <c r="F8" s="128"/>
      <c r="G8" s="129"/>
      <c r="H8" s="129"/>
      <c r="I8" s="127"/>
      <c r="J8" s="127"/>
      <c r="K8" s="99"/>
      <c r="L8" s="99"/>
      <c r="M8" s="131"/>
      <c r="N8" s="99"/>
      <c r="O8" s="99"/>
      <c r="P8" s="132"/>
      <c r="Q8" s="99"/>
      <c r="R8" s="133"/>
      <c r="S8" s="99"/>
      <c r="T8" s="132"/>
      <c r="U8" s="99"/>
      <c r="V8" s="133"/>
      <c r="W8" s="99"/>
      <c r="X8" s="132"/>
      <c r="Y8" s="99"/>
      <c r="Z8" s="133"/>
      <c r="AA8" s="100"/>
      <c r="AB8" s="132"/>
      <c r="AC8" s="99"/>
      <c r="AD8" s="133"/>
      <c r="AE8" s="100"/>
      <c r="AF8" s="132"/>
      <c r="AG8" s="99"/>
      <c r="AH8" s="133"/>
      <c r="AI8" s="99"/>
      <c r="AJ8" s="132"/>
      <c r="AK8" s="99"/>
      <c r="AL8" s="133"/>
      <c r="AN8" s="132"/>
      <c r="AO8" s="99"/>
      <c r="AP8" s="133"/>
      <c r="AR8" s="132"/>
      <c r="AS8" s="99"/>
      <c r="AT8" s="133"/>
      <c r="AV8" s="132"/>
      <c r="AW8" s="99"/>
      <c r="AX8" s="133"/>
      <c r="AZ8" s="132"/>
      <c r="BA8" s="99"/>
      <c r="BB8" s="133"/>
    </row>
    <row r="9" spans="1:55" x14ac:dyDescent="0.25">
      <c r="A9" s="123"/>
      <c r="B9" s="124"/>
      <c r="C9" s="125"/>
      <c r="D9" s="126"/>
      <c r="E9" s="127"/>
      <c r="F9" s="128"/>
      <c r="G9" s="129"/>
      <c r="H9" s="134"/>
      <c r="I9" s="130"/>
      <c r="J9" s="135" t="s">
        <v>4065</v>
      </c>
      <c r="K9" s="99"/>
      <c r="L9" s="99"/>
      <c r="M9" s="131"/>
      <c r="N9" s="99"/>
      <c r="O9" s="99"/>
      <c r="P9" s="132"/>
      <c r="Q9" s="99"/>
      <c r="R9" s="133"/>
      <c r="S9" s="99"/>
      <c r="T9" s="132"/>
      <c r="U9" s="99"/>
      <c r="V9" s="133"/>
      <c r="W9" s="99"/>
      <c r="X9" s="132"/>
      <c r="Y9" s="99"/>
      <c r="Z9" s="133"/>
      <c r="AA9" s="100"/>
      <c r="AB9" s="132"/>
      <c r="AC9" s="99"/>
      <c r="AD9" s="133"/>
      <c r="AE9" s="100"/>
      <c r="AF9" s="132"/>
      <c r="AG9" s="99"/>
      <c r="AH9" s="133"/>
      <c r="AI9" s="99"/>
      <c r="AJ9" s="132"/>
      <c r="AK9" s="99"/>
      <c r="AL9" s="133"/>
      <c r="AN9" s="132"/>
      <c r="AO9" s="99"/>
      <c r="AP9" s="133"/>
      <c r="AR9" s="132"/>
      <c r="AS9" s="99"/>
      <c r="AT9" s="133"/>
      <c r="AV9" s="132"/>
      <c r="AW9" s="99"/>
      <c r="AX9" s="133"/>
      <c r="AZ9" s="132"/>
      <c r="BA9" s="99"/>
      <c r="BB9" s="133"/>
    </row>
    <row r="10" spans="1:55" x14ac:dyDescent="0.25">
      <c r="A10" s="123">
        <v>8</v>
      </c>
      <c r="B10" s="124">
        <v>1999</v>
      </c>
      <c r="C10" s="125" t="s">
        <v>4066</v>
      </c>
      <c r="D10" s="126">
        <v>1</v>
      </c>
      <c r="E10" s="136">
        <v>2000000</v>
      </c>
      <c r="F10" s="137"/>
      <c r="G10" s="138">
        <v>161348.20000000001</v>
      </c>
      <c r="H10" s="139">
        <v>1162053.29</v>
      </c>
      <c r="I10" s="140">
        <v>2024</v>
      </c>
      <c r="J10" s="136" t="s">
        <v>4067</v>
      </c>
      <c r="K10" s="141">
        <v>83255.66</v>
      </c>
      <c r="L10" s="141">
        <v>78092.539999999994</v>
      </c>
      <c r="M10" s="142">
        <v>161348.20000000001</v>
      </c>
      <c r="N10" s="141"/>
      <c r="O10" s="141"/>
      <c r="P10" s="138">
        <v>100814.49</v>
      </c>
      <c r="Q10" s="141">
        <v>60533.71</v>
      </c>
      <c r="R10" s="143">
        <v>161348.20000000001</v>
      </c>
      <c r="S10" s="141"/>
      <c r="T10" s="138">
        <v>107454.86</v>
      </c>
      <c r="U10" s="141">
        <v>53893.34</v>
      </c>
      <c r="V10" s="143">
        <v>161348.20000000001</v>
      </c>
      <c r="W10" s="141"/>
      <c r="X10" s="138">
        <v>114532.59</v>
      </c>
      <c r="Y10" s="141">
        <v>46815.61</v>
      </c>
      <c r="Z10" s="143">
        <v>161348.20000000001</v>
      </c>
      <c r="AA10" s="141"/>
      <c r="AB10" s="138">
        <v>122076.52</v>
      </c>
      <c r="AC10" s="141">
        <v>39271.68</v>
      </c>
      <c r="AD10" s="143">
        <v>161348.20000000001</v>
      </c>
      <c r="AE10" s="141"/>
      <c r="AF10" s="138">
        <v>130117.35</v>
      </c>
      <c r="AG10" s="141">
        <v>31230.85</v>
      </c>
      <c r="AH10" s="143">
        <v>161348.20000000001</v>
      </c>
      <c r="AI10" s="141"/>
      <c r="AJ10" s="138">
        <v>138687.79999999999</v>
      </c>
      <c r="AK10" s="141">
        <v>22660.400000000001</v>
      </c>
      <c r="AL10" s="143">
        <v>161348.20000000001</v>
      </c>
      <c r="AM10" s="144"/>
      <c r="AN10" s="138">
        <v>147822.76999999999</v>
      </c>
      <c r="AO10" s="141">
        <v>13525.43</v>
      </c>
      <c r="AP10" s="143">
        <v>161348.20000000001</v>
      </c>
      <c r="AQ10" s="144"/>
      <c r="AR10" s="138">
        <v>117222.97</v>
      </c>
      <c r="AS10" s="141">
        <v>3788.18</v>
      </c>
      <c r="AT10" s="143">
        <v>121011.15</v>
      </c>
      <c r="AU10" s="144"/>
      <c r="AV10" s="138">
        <v>0</v>
      </c>
      <c r="AW10" s="141">
        <v>0</v>
      </c>
      <c r="AX10" s="143">
        <v>0</v>
      </c>
      <c r="AZ10" s="138"/>
      <c r="BA10" s="141"/>
      <c r="BB10" s="143"/>
    </row>
    <row r="11" spans="1:55" x14ac:dyDescent="0.25">
      <c r="A11" s="123">
        <v>9</v>
      </c>
      <c r="B11" s="124">
        <v>1999</v>
      </c>
      <c r="C11" s="125" t="s">
        <v>4066</v>
      </c>
      <c r="D11" s="126">
        <v>1</v>
      </c>
      <c r="E11" s="136">
        <v>1700000</v>
      </c>
      <c r="F11" s="137"/>
      <c r="G11" s="138">
        <v>143035</v>
      </c>
      <c r="H11" s="139">
        <v>1027635.53</v>
      </c>
      <c r="I11" s="140">
        <v>2024</v>
      </c>
      <c r="J11" s="136" t="s">
        <v>4067</v>
      </c>
      <c r="K11" s="141">
        <v>69245.03</v>
      </c>
      <c r="L11" s="141">
        <v>73789.97</v>
      </c>
      <c r="M11" s="142">
        <v>143035</v>
      </c>
      <c r="N11" s="141"/>
      <c r="O11" s="141"/>
      <c r="P11" s="138">
        <v>84989.89</v>
      </c>
      <c r="Q11" s="141">
        <v>58045.11</v>
      </c>
      <c r="R11" s="143">
        <v>143035</v>
      </c>
      <c r="S11" s="141"/>
      <c r="T11" s="138">
        <v>90996.94</v>
      </c>
      <c r="U11" s="141">
        <v>52038.06</v>
      </c>
      <c r="V11" s="143">
        <v>143035</v>
      </c>
      <c r="W11" s="141"/>
      <c r="X11" s="138">
        <v>97428.58</v>
      </c>
      <c r="Y11" s="141">
        <v>45606.42</v>
      </c>
      <c r="Z11" s="143">
        <v>143035</v>
      </c>
      <c r="AA11" s="141"/>
      <c r="AB11" s="138">
        <v>104314.8</v>
      </c>
      <c r="AC11" s="141">
        <v>38720.199999999997</v>
      </c>
      <c r="AD11" s="143">
        <v>143035</v>
      </c>
      <c r="AE11" s="141"/>
      <c r="AF11" s="138">
        <v>111687.74</v>
      </c>
      <c r="AG11" s="141">
        <v>31347.26</v>
      </c>
      <c r="AH11" s="143">
        <v>143035</v>
      </c>
      <c r="AI11" s="141"/>
      <c r="AJ11" s="138">
        <v>119581.79</v>
      </c>
      <c r="AK11" s="141">
        <v>23453.21</v>
      </c>
      <c r="AL11" s="143">
        <v>143035</v>
      </c>
      <c r="AM11" s="144"/>
      <c r="AN11" s="138">
        <v>128033.78</v>
      </c>
      <c r="AO11" s="141">
        <v>15001.22</v>
      </c>
      <c r="AP11" s="143">
        <v>143035</v>
      </c>
      <c r="AQ11" s="144"/>
      <c r="AR11" s="138">
        <v>137083.4</v>
      </c>
      <c r="AS11" s="141">
        <v>5951.6000000000058</v>
      </c>
      <c r="AT11" s="143">
        <v>143035</v>
      </c>
      <c r="AU11" s="144"/>
      <c r="AV11" s="138">
        <v>0</v>
      </c>
      <c r="AW11" s="141">
        <v>0</v>
      </c>
      <c r="AX11" s="143">
        <v>0</v>
      </c>
      <c r="AZ11" s="138"/>
      <c r="BA11" s="141"/>
      <c r="BB11" s="143"/>
    </row>
    <row r="12" spans="1:55" x14ac:dyDescent="0.25">
      <c r="A12" s="123"/>
      <c r="B12" s="124"/>
      <c r="C12" s="125"/>
      <c r="D12" s="126"/>
      <c r="E12" s="136"/>
      <c r="F12" s="137"/>
      <c r="G12" s="138"/>
      <c r="H12" s="139"/>
      <c r="I12" s="140"/>
      <c r="J12" s="136"/>
      <c r="K12" s="141"/>
      <c r="L12" s="141"/>
      <c r="M12" s="142"/>
      <c r="N12" s="141"/>
      <c r="O12" s="141"/>
      <c r="P12" s="138"/>
      <c r="Q12" s="141"/>
      <c r="R12" s="143"/>
      <c r="S12" s="141"/>
      <c r="T12" s="138"/>
      <c r="U12" s="141"/>
      <c r="V12" s="143"/>
      <c r="W12" s="141"/>
      <c r="X12" s="138"/>
      <c r="Y12" s="141"/>
      <c r="Z12" s="143"/>
      <c r="AA12" s="141"/>
      <c r="AB12" s="138"/>
      <c r="AC12" s="141"/>
      <c r="AD12" s="143"/>
      <c r="AE12" s="141"/>
      <c r="AF12" s="138"/>
      <c r="AG12" s="141"/>
      <c r="AH12" s="143"/>
      <c r="AI12" s="141"/>
      <c r="AJ12" s="138"/>
      <c r="AK12" s="141"/>
      <c r="AL12" s="143"/>
      <c r="AM12" s="144"/>
      <c r="AN12" s="138"/>
      <c r="AO12" s="141"/>
      <c r="AP12" s="143"/>
      <c r="AQ12" s="144"/>
      <c r="AR12" s="138"/>
      <c r="AS12" s="141"/>
      <c r="AT12" s="143"/>
      <c r="AU12" s="144"/>
      <c r="AV12" s="138"/>
      <c r="AW12" s="141"/>
      <c r="AX12" s="143"/>
      <c r="AZ12" s="138"/>
      <c r="BA12" s="141"/>
      <c r="BB12" s="143"/>
    </row>
    <row r="13" spans="1:55" s="151" customFormat="1" x14ac:dyDescent="0.25">
      <c r="A13" s="123"/>
      <c r="B13" s="124"/>
      <c r="C13" s="125"/>
      <c r="D13" s="126"/>
      <c r="E13" s="135">
        <f>SUM(E10:E12)</f>
        <v>3700000</v>
      </c>
      <c r="F13" s="145"/>
      <c r="G13" s="146"/>
      <c r="H13" s="147">
        <f>SUM(H10:H12)</f>
        <v>2189688.8200000003</v>
      </c>
      <c r="I13" s="135"/>
      <c r="J13" s="135" t="s">
        <v>4068</v>
      </c>
      <c r="K13" s="148">
        <f>SUM(K10:K12)</f>
        <v>152500.69</v>
      </c>
      <c r="L13" s="148">
        <f>SUM(L10:L12)</f>
        <v>151882.51</v>
      </c>
      <c r="M13" s="149">
        <f>SUM(M10:M11)</f>
        <v>304383.2</v>
      </c>
      <c r="N13" s="148"/>
      <c r="O13" s="148"/>
      <c r="P13" s="146">
        <f>SUM(P10:P12)</f>
        <v>185804.38</v>
      </c>
      <c r="Q13" s="148">
        <f>SUM(Q10:Q12)</f>
        <v>118578.82</v>
      </c>
      <c r="R13" s="150">
        <f>SUM(R10:R11)</f>
        <v>304383.2</v>
      </c>
      <c r="S13" s="148"/>
      <c r="T13" s="146">
        <f>SUM(T10:T12)</f>
        <v>198451.8</v>
      </c>
      <c r="U13" s="148">
        <f>SUM(U10:U12)</f>
        <v>105931.4</v>
      </c>
      <c r="V13" s="150">
        <f>SUM(V10:V11)</f>
        <v>304383.2</v>
      </c>
      <c r="W13" s="148"/>
      <c r="X13" s="146">
        <f>SUM(X10:X12)</f>
        <v>211961.16999999998</v>
      </c>
      <c r="Y13" s="148">
        <f>SUM(Y10:Y12)</f>
        <v>92422.03</v>
      </c>
      <c r="Z13" s="150">
        <f>SUM(Z10:Z11)</f>
        <v>304383.2</v>
      </c>
      <c r="AA13" s="148"/>
      <c r="AB13" s="146">
        <f>SUM(AB10:AB12)</f>
        <v>226391.32</v>
      </c>
      <c r="AC13" s="148">
        <f>SUM(AC10:AC12)</f>
        <v>77991.88</v>
      </c>
      <c r="AD13" s="150">
        <f>SUM(AD10:AD11)</f>
        <v>304383.2</v>
      </c>
      <c r="AE13" s="148"/>
      <c r="AF13" s="146">
        <f>SUM(AF10:AF12)</f>
        <v>241805.09000000003</v>
      </c>
      <c r="AG13" s="148">
        <f>SUM(AG10:AG12)</f>
        <v>62578.11</v>
      </c>
      <c r="AH13" s="150">
        <f>SUM(AH10:AH11)</f>
        <v>304383.2</v>
      </c>
      <c r="AI13" s="148"/>
      <c r="AJ13" s="146">
        <f>SUM(AJ10:AJ12)</f>
        <v>258269.58999999997</v>
      </c>
      <c r="AK13" s="148">
        <f>SUM(AK10:AK12)</f>
        <v>46113.61</v>
      </c>
      <c r="AL13" s="150">
        <f>SUM(AL10:AL11)</f>
        <v>304383.2</v>
      </c>
      <c r="AM13" s="148"/>
      <c r="AN13" s="146">
        <f>SUM(AN10:AN12)</f>
        <v>275856.55</v>
      </c>
      <c r="AO13" s="148">
        <f>SUM(AO10:AO12)</f>
        <v>28526.65</v>
      </c>
      <c r="AP13" s="150">
        <f>SUM(AP10:AP11)</f>
        <v>304383.2</v>
      </c>
      <c r="AQ13" s="148"/>
      <c r="AR13" s="146">
        <f>SUM(AR10:AR12)</f>
        <v>254306.37</v>
      </c>
      <c r="AS13" s="148">
        <f>SUM(AS10:AS12)</f>
        <v>9739.7800000000061</v>
      </c>
      <c r="AT13" s="150">
        <f>SUM(AT10:AT11)</f>
        <v>264046.15000000002</v>
      </c>
      <c r="AU13" s="148"/>
      <c r="AV13" s="146">
        <f>SUM(AV10:AV12)</f>
        <v>0</v>
      </c>
      <c r="AW13" s="148">
        <f>SUM(AW10:AW12)</f>
        <v>0</v>
      </c>
      <c r="AX13" s="150">
        <f>SUM(AX10:AX11)</f>
        <v>0</v>
      </c>
      <c r="AY13" s="148"/>
      <c r="AZ13" s="146">
        <f>SUM(AZ10:AZ12)</f>
        <v>0</v>
      </c>
      <c r="BA13" s="148">
        <f>SUM(BA10:BA12)</f>
        <v>0</v>
      </c>
      <c r="BB13" s="150">
        <f>SUM(BB10:BB11)</f>
        <v>0</v>
      </c>
      <c r="BC13" s="148"/>
    </row>
    <row r="14" spans="1:55" s="151" customFormat="1" x14ac:dyDescent="0.25">
      <c r="A14" s="123"/>
      <c r="B14" s="124"/>
      <c r="C14" s="125"/>
      <c r="D14" s="126"/>
      <c r="E14" s="135"/>
      <c r="F14" s="145"/>
      <c r="G14" s="146"/>
      <c r="H14" s="147"/>
      <c r="I14" s="152"/>
      <c r="J14" s="135"/>
      <c r="K14" s="148"/>
      <c r="L14" s="148"/>
      <c r="M14" s="149"/>
      <c r="N14" s="148"/>
      <c r="O14" s="148"/>
      <c r="P14" s="146"/>
      <c r="Q14" s="148"/>
      <c r="R14" s="150"/>
      <c r="S14" s="148"/>
      <c r="T14" s="146"/>
      <c r="U14" s="148"/>
      <c r="V14" s="150"/>
      <c r="W14" s="148"/>
      <c r="X14" s="146"/>
      <c r="Y14" s="148"/>
      <c r="Z14" s="150"/>
      <c r="AA14" s="148"/>
      <c r="AB14" s="146"/>
      <c r="AC14" s="148"/>
      <c r="AD14" s="150"/>
      <c r="AE14" s="148"/>
      <c r="AF14" s="146"/>
      <c r="AG14" s="148"/>
      <c r="AH14" s="150"/>
      <c r="AI14" s="148"/>
      <c r="AJ14" s="146"/>
      <c r="AK14" s="148"/>
      <c r="AL14" s="150"/>
      <c r="AN14" s="146"/>
      <c r="AO14" s="148"/>
      <c r="AP14" s="150"/>
      <c r="AR14" s="146"/>
      <c r="AS14" s="148"/>
      <c r="AT14" s="150"/>
      <c r="AV14" s="146"/>
      <c r="AW14" s="148"/>
      <c r="AX14" s="150"/>
      <c r="AZ14" s="146"/>
      <c r="BA14" s="148"/>
      <c r="BB14" s="150"/>
    </row>
    <row r="15" spans="1:55" s="151" customFormat="1" x14ac:dyDescent="0.25">
      <c r="A15" s="123"/>
      <c r="B15" s="124"/>
      <c r="C15" s="125"/>
      <c r="D15" s="126"/>
      <c r="E15" s="135"/>
      <c r="F15" s="145"/>
      <c r="G15" s="146"/>
      <c r="H15" s="147"/>
      <c r="I15" s="152"/>
      <c r="J15" s="135" t="s">
        <v>3538</v>
      </c>
      <c r="K15" s="141"/>
      <c r="L15" s="148"/>
      <c r="M15" s="149"/>
      <c r="N15" s="148"/>
      <c r="O15" s="148"/>
      <c r="P15" s="146"/>
      <c r="Q15" s="148"/>
      <c r="R15" s="150"/>
      <c r="S15" s="148"/>
      <c r="T15" s="146"/>
      <c r="U15" s="148"/>
      <c r="V15" s="150"/>
      <c r="W15" s="148"/>
      <c r="X15" s="146"/>
      <c r="Y15" s="148"/>
      <c r="Z15" s="150"/>
      <c r="AA15" s="148"/>
      <c r="AB15" s="146"/>
      <c r="AC15" s="148"/>
      <c r="AD15" s="150"/>
      <c r="AE15" s="148"/>
      <c r="AF15" s="146"/>
      <c r="AG15" s="148"/>
      <c r="AH15" s="150"/>
      <c r="AI15" s="148"/>
      <c r="AJ15" s="146"/>
      <c r="AK15" s="148"/>
      <c r="AL15" s="150"/>
      <c r="AN15" s="146"/>
      <c r="AO15" s="148"/>
      <c r="AP15" s="150"/>
      <c r="AR15" s="146"/>
      <c r="AS15" s="148"/>
      <c r="AT15" s="150"/>
      <c r="AV15" s="146"/>
      <c r="AW15" s="148"/>
      <c r="AX15" s="150"/>
      <c r="AZ15" s="146"/>
      <c r="BA15" s="148"/>
      <c r="BB15" s="150"/>
    </row>
    <row r="16" spans="1:55" x14ac:dyDescent="0.25">
      <c r="A16" s="123">
        <v>60</v>
      </c>
      <c r="B16" s="124">
        <v>2011</v>
      </c>
      <c r="C16" s="125" t="s">
        <v>4069</v>
      </c>
      <c r="D16" s="126">
        <v>1</v>
      </c>
      <c r="E16" s="153">
        <v>416200</v>
      </c>
      <c r="F16" s="154">
        <v>7.6300000000000007E-2</v>
      </c>
      <c r="G16" s="139">
        <v>64774.46</v>
      </c>
      <c r="H16" s="139">
        <v>307202.89</v>
      </c>
      <c r="I16" s="155">
        <v>2020</v>
      </c>
      <c r="J16" s="153" t="s">
        <v>4070</v>
      </c>
      <c r="K16" s="141">
        <v>38113.666101000868</v>
      </c>
      <c r="L16" s="141">
        <v>26660.793898999127</v>
      </c>
      <c r="M16" s="142">
        <v>64774.46</v>
      </c>
      <c r="N16" s="141"/>
      <c r="O16" s="141"/>
      <c r="P16" s="138">
        <v>47520.472015824285</v>
      </c>
      <c r="Q16" s="141">
        <v>17253.987984175714</v>
      </c>
      <c r="R16" s="143">
        <v>64774.46</v>
      </c>
      <c r="S16" s="141"/>
      <c r="T16" s="138">
        <v>51146.284030631679</v>
      </c>
      <c r="U16" s="141">
        <v>13628.175969368322</v>
      </c>
      <c r="V16" s="143">
        <v>64774.46</v>
      </c>
      <c r="W16" s="141"/>
      <c r="X16" s="138">
        <v>55048.745502168873</v>
      </c>
      <c r="Y16" s="141">
        <v>9725.7144978311244</v>
      </c>
      <c r="Z16" s="143">
        <v>64774.46</v>
      </c>
      <c r="AA16" s="141"/>
      <c r="AB16" s="138">
        <v>59248.96478398436</v>
      </c>
      <c r="AC16" s="141">
        <v>5525.4952160156399</v>
      </c>
      <c r="AD16" s="143">
        <v>64774.46</v>
      </c>
      <c r="AE16" s="141"/>
      <c r="AF16" s="138"/>
      <c r="AG16" s="141"/>
      <c r="AH16" s="143"/>
      <c r="AI16" s="141"/>
      <c r="AJ16" s="138"/>
      <c r="AK16" s="141"/>
      <c r="AL16" s="143"/>
      <c r="AN16" s="138"/>
      <c r="AO16" s="141"/>
      <c r="AP16" s="143"/>
      <c r="AR16" s="138"/>
      <c r="AS16" s="141"/>
      <c r="AT16" s="143"/>
      <c r="AV16" s="138"/>
      <c r="AW16" s="141"/>
      <c r="AX16" s="143"/>
      <c r="AZ16" s="138"/>
      <c r="BA16" s="141"/>
      <c r="BB16" s="143"/>
    </row>
    <row r="17" spans="1:56" x14ac:dyDescent="0.25">
      <c r="A17" s="123"/>
      <c r="B17" s="124"/>
      <c r="C17" s="125"/>
      <c r="D17" s="126"/>
      <c r="E17" s="136"/>
      <c r="F17" s="154"/>
      <c r="G17" s="139"/>
      <c r="H17" s="139"/>
      <c r="I17" s="136"/>
      <c r="J17" s="136"/>
      <c r="K17" s="141"/>
      <c r="L17" s="141"/>
      <c r="M17" s="142"/>
      <c r="N17" s="141"/>
      <c r="O17" s="141"/>
      <c r="P17" s="138"/>
      <c r="Q17" s="141"/>
      <c r="R17" s="143"/>
      <c r="S17" s="141"/>
      <c r="T17" s="138"/>
      <c r="U17" s="141"/>
      <c r="V17" s="143"/>
      <c r="W17" s="141"/>
      <c r="X17" s="138"/>
      <c r="Y17" s="141"/>
      <c r="Z17" s="143"/>
      <c r="AA17" s="141"/>
      <c r="AB17" s="138"/>
      <c r="AC17" s="141"/>
      <c r="AD17" s="143"/>
      <c r="AE17" s="141"/>
      <c r="AF17" s="138"/>
      <c r="AG17" s="141"/>
      <c r="AH17" s="143"/>
      <c r="AI17" s="141"/>
      <c r="AJ17" s="138"/>
      <c r="AK17" s="141"/>
      <c r="AL17" s="143"/>
      <c r="AN17" s="138"/>
      <c r="AO17" s="141"/>
      <c r="AP17" s="143"/>
      <c r="AR17" s="138"/>
      <c r="AS17" s="141"/>
      <c r="AT17" s="143"/>
      <c r="AV17" s="138"/>
      <c r="AW17" s="141"/>
      <c r="AX17" s="143"/>
      <c r="AZ17" s="138"/>
      <c r="BA17" s="141"/>
      <c r="BB17" s="143"/>
    </row>
    <row r="18" spans="1:56" s="151" customFormat="1" x14ac:dyDescent="0.25">
      <c r="A18" s="123"/>
      <c r="B18" s="124"/>
      <c r="C18" s="125"/>
      <c r="D18" s="126"/>
      <c r="E18" s="135">
        <f>SUM(E16:E17)</f>
        <v>416200</v>
      </c>
      <c r="F18" s="145"/>
      <c r="G18" s="146"/>
      <c r="H18" s="147">
        <f>SUM(H16:H17)</f>
        <v>307202.89</v>
      </c>
      <c r="I18" s="135"/>
      <c r="J18" s="135" t="s">
        <v>4071</v>
      </c>
      <c r="K18" s="148">
        <f>SUM(K16:K17)</f>
        <v>38113.666101000868</v>
      </c>
      <c r="L18" s="148">
        <f>SUM(L16:L17)</f>
        <v>26660.793898999127</v>
      </c>
      <c r="M18" s="149">
        <f>SUM(M16:M17)</f>
        <v>64774.46</v>
      </c>
      <c r="N18" s="148"/>
      <c r="O18" s="148"/>
      <c r="P18" s="146">
        <f>SUM(P16:P17)</f>
        <v>47520.472015824285</v>
      </c>
      <c r="Q18" s="148">
        <f>SUM(Q16:Q17)</f>
        <v>17253.987984175714</v>
      </c>
      <c r="R18" s="150">
        <f>SUM(R16:R17)</f>
        <v>64774.46</v>
      </c>
      <c r="S18" s="148"/>
      <c r="T18" s="146">
        <f>SUM(T16:T17)</f>
        <v>51146.284030631679</v>
      </c>
      <c r="U18" s="148">
        <f>SUM(U16:U17)</f>
        <v>13628.175969368322</v>
      </c>
      <c r="V18" s="150">
        <f>SUM(V16:V17)</f>
        <v>64774.46</v>
      </c>
      <c r="W18" s="148"/>
      <c r="X18" s="146">
        <f>SUM(X16:X17)</f>
        <v>55048.745502168873</v>
      </c>
      <c r="Y18" s="148">
        <f>SUM(Y16:Y17)</f>
        <v>9725.7144978311244</v>
      </c>
      <c r="Z18" s="150">
        <f>SUM(Z16:Z17)</f>
        <v>64774.46</v>
      </c>
      <c r="AA18" s="148"/>
      <c r="AB18" s="146">
        <f>SUM(AB16:AB17)</f>
        <v>59248.96478398436</v>
      </c>
      <c r="AC18" s="148">
        <f>SUM(AC16:AC17)</f>
        <v>5525.4952160156399</v>
      </c>
      <c r="AD18" s="150">
        <f>SUM(AD16:AD17)</f>
        <v>64774.46</v>
      </c>
      <c r="AE18" s="148"/>
      <c r="AF18" s="146">
        <f>SUM(AF16:AF17)</f>
        <v>0</v>
      </c>
      <c r="AG18" s="148">
        <f>SUM(AG16:AG17)</f>
        <v>0</v>
      </c>
      <c r="AH18" s="150">
        <f>SUM(AH16:AH17)</f>
        <v>0</v>
      </c>
      <c r="AI18" s="148"/>
      <c r="AJ18" s="146">
        <f>SUM(AJ16:AJ17)</f>
        <v>0</v>
      </c>
      <c r="AK18" s="148">
        <f>SUM(AK16:AK17)</f>
        <v>0</v>
      </c>
      <c r="AL18" s="150">
        <f>SUM(AL16:AL17)</f>
        <v>0</v>
      </c>
      <c r="AM18" s="148"/>
      <c r="AN18" s="146">
        <f>SUM(AN16:AN17)</f>
        <v>0</v>
      </c>
      <c r="AO18" s="148">
        <f>SUM(AO16:AO17)</f>
        <v>0</v>
      </c>
      <c r="AP18" s="150">
        <f>SUM(AP16:AP17)</f>
        <v>0</v>
      </c>
      <c r="AQ18" s="148"/>
      <c r="AR18" s="146">
        <f>SUM(AR16:AR17)</f>
        <v>0</v>
      </c>
      <c r="AS18" s="148">
        <f>SUM(AS16:AS17)</f>
        <v>0</v>
      </c>
      <c r="AT18" s="150">
        <f>SUM(AT16:AT17)</f>
        <v>0</v>
      </c>
      <c r="AU18" s="148"/>
      <c r="AV18" s="146">
        <f>SUM(AV16:AV17)</f>
        <v>0</v>
      </c>
      <c r="AW18" s="148">
        <f>SUM(AW16:AW17)</f>
        <v>0</v>
      </c>
      <c r="AX18" s="150">
        <f>SUM(AX16:AX17)</f>
        <v>0</v>
      </c>
      <c r="AY18" s="148"/>
      <c r="AZ18" s="146">
        <f>SUM(AZ16:AZ17)</f>
        <v>0</v>
      </c>
      <c r="BA18" s="148">
        <f>SUM(BA16:BA17)</f>
        <v>0</v>
      </c>
      <c r="BB18" s="150">
        <f>SUM(BB16:BB17)</f>
        <v>0</v>
      </c>
      <c r="BC18" s="148"/>
    </row>
    <row r="19" spans="1:56" s="151" customFormat="1" x14ac:dyDescent="0.25">
      <c r="A19" s="156"/>
      <c r="B19" s="157"/>
      <c r="C19" s="158"/>
      <c r="D19" s="159"/>
      <c r="E19" s="160"/>
      <c r="F19" s="145"/>
      <c r="G19" s="146"/>
      <c r="H19" s="147"/>
      <c r="I19" s="135"/>
      <c r="J19" s="135"/>
      <c r="K19" s="148"/>
      <c r="L19" s="148"/>
      <c r="M19" s="149"/>
      <c r="N19" s="148"/>
      <c r="O19" s="148"/>
      <c r="P19" s="146"/>
      <c r="Q19" s="148"/>
      <c r="R19" s="150"/>
      <c r="S19" s="148"/>
      <c r="T19" s="146"/>
      <c r="U19" s="148"/>
      <c r="V19" s="150"/>
      <c r="W19" s="148"/>
      <c r="X19" s="146"/>
      <c r="Y19" s="148"/>
      <c r="Z19" s="150"/>
      <c r="AA19" s="148"/>
      <c r="AB19" s="146"/>
      <c r="AC19" s="148"/>
      <c r="AD19" s="150"/>
      <c r="AE19" s="148"/>
      <c r="AF19" s="146"/>
      <c r="AG19" s="148"/>
      <c r="AH19" s="150"/>
      <c r="AI19" s="148"/>
      <c r="AJ19" s="146"/>
      <c r="AK19" s="148"/>
      <c r="AL19" s="150"/>
      <c r="AN19" s="146"/>
      <c r="AO19" s="148"/>
      <c r="AP19" s="150"/>
      <c r="AR19" s="146"/>
      <c r="AS19" s="148"/>
      <c r="AT19" s="150"/>
      <c r="AV19" s="146"/>
      <c r="AW19" s="148"/>
      <c r="AX19" s="150"/>
      <c r="AZ19" s="146"/>
      <c r="BA19" s="148"/>
      <c r="BB19" s="150"/>
    </row>
    <row r="20" spans="1:56" s="151" customFormat="1" x14ac:dyDescent="0.25">
      <c r="A20" s="161"/>
      <c r="B20" s="162"/>
      <c r="C20" s="163"/>
      <c r="D20" s="164"/>
      <c r="E20" s="160"/>
      <c r="F20" s="165"/>
      <c r="G20" s="147"/>
      <c r="H20" s="147"/>
      <c r="I20" s="160"/>
      <c r="J20" s="160" t="s">
        <v>3407</v>
      </c>
      <c r="K20" s="148"/>
      <c r="L20" s="148"/>
      <c r="M20" s="149"/>
      <c r="N20" s="148"/>
      <c r="O20" s="148"/>
      <c r="P20" s="146"/>
      <c r="Q20" s="148"/>
      <c r="R20" s="150"/>
      <c r="S20" s="148"/>
      <c r="T20" s="146"/>
      <c r="U20" s="148"/>
      <c r="V20" s="150"/>
      <c r="W20" s="148"/>
      <c r="X20" s="146"/>
      <c r="Y20" s="148"/>
      <c r="Z20" s="150"/>
      <c r="AA20" s="148"/>
      <c r="AB20" s="146"/>
      <c r="AC20" s="148"/>
      <c r="AD20" s="150"/>
      <c r="AE20" s="148"/>
      <c r="AF20" s="146"/>
      <c r="AG20" s="148"/>
      <c r="AH20" s="150"/>
      <c r="AI20" s="148"/>
      <c r="AJ20" s="146"/>
      <c r="AK20" s="148"/>
      <c r="AL20" s="150"/>
      <c r="AN20" s="146"/>
      <c r="AO20" s="148"/>
      <c r="AP20" s="150"/>
      <c r="AR20" s="146"/>
      <c r="AS20" s="148"/>
      <c r="AT20" s="150"/>
      <c r="AV20" s="146"/>
      <c r="AW20" s="148"/>
      <c r="AX20" s="150"/>
      <c r="AZ20" s="146"/>
      <c r="BA20" s="148"/>
      <c r="BB20" s="150"/>
    </row>
    <row r="21" spans="1:56" x14ac:dyDescent="0.25">
      <c r="A21" s="123">
        <v>62</v>
      </c>
      <c r="B21" s="124">
        <v>2011</v>
      </c>
      <c r="C21" s="125" t="s">
        <v>4069</v>
      </c>
      <c r="D21" s="126">
        <v>0.73089999999999999</v>
      </c>
      <c r="E21" s="153">
        <v>4200000</v>
      </c>
      <c r="F21" s="154"/>
      <c r="G21" s="139"/>
      <c r="H21" s="139">
        <v>4023154.4242329998</v>
      </c>
      <c r="I21" s="166"/>
      <c r="J21" s="153" t="s">
        <v>3943</v>
      </c>
      <c r="K21" s="141">
        <v>65229.854462630057</v>
      </c>
      <c r="L21" s="141">
        <v>335641.07605172036</v>
      </c>
      <c r="M21" s="142">
        <v>400870.93051435042</v>
      </c>
      <c r="N21" s="141"/>
      <c r="O21" s="141"/>
      <c r="P21" s="138">
        <v>82674.00910270022</v>
      </c>
      <c r="Q21" s="141">
        <v>318196.9214116502</v>
      </c>
      <c r="R21" s="143">
        <v>400870.93051435042</v>
      </c>
      <c r="S21" s="167"/>
      <c r="T21" s="138">
        <v>89469.812650942185</v>
      </c>
      <c r="U21" s="141">
        <v>311401.11786340823</v>
      </c>
      <c r="V21" s="143">
        <v>400870.93051435042</v>
      </c>
      <c r="W21" s="167"/>
      <c r="X21" s="138">
        <v>96824.231250849669</v>
      </c>
      <c r="Y21" s="141">
        <v>304046.69926350075</v>
      </c>
      <c r="Z21" s="143">
        <v>400870.93051435042</v>
      </c>
      <c r="AA21" s="167"/>
      <c r="AB21" s="138">
        <v>104783.18305966951</v>
      </c>
      <c r="AC21" s="141">
        <v>296087.74745468091</v>
      </c>
      <c r="AD21" s="143">
        <v>400870.93051435042</v>
      </c>
      <c r="AE21" s="167"/>
      <c r="AF21" s="138">
        <v>113396.36070717429</v>
      </c>
      <c r="AG21" s="141">
        <v>287474.56980717613</v>
      </c>
      <c r="AH21" s="143">
        <v>400870.93051435042</v>
      </c>
      <c r="AI21" s="167"/>
      <c r="AJ21" s="138">
        <v>122717.54155730404</v>
      </c>
      <c r="AK21" s="141">
        <v>278153.38895704638</v>
      </c>
      <c r="AL21" s="143">
        <v>400870.93051435042</v>
      </c>
      <c r="AM21" s="168"/>
      <c r="AN21" s="138">
        <v>132804.92347331444</v>
      </c>
      <c r="AO21" s="141">
        <v>268066.00704103598</v>
      </c>
      <c r="AP21" s="143">
        <v>400870.93051435042</v>
      </c>
      <c r="AQ21" s="168"/>
      <c r="AR21" s="138">
        <v>143721.48818282087</v>
      </c>
      <c r="AS21" s="141">
        <v>257149.44233152954</v>
      </c>
      <c r="AT21" s="143">
        <v>400870.93051435042</v>
      </c>
      <c r="AU21" s="168"/>
      <c r="AV21" s="138">
        <v>155535.39451144874</v>
      </c>
      <c r="AW21" s="141">
        <v>245335.53600290167</v>
      </c>
      <c r="AX21" s="143">
        <v>400870.93051435042</v>
      </c>
      <c r="AY21" s="168"/>
      <c r="AZ21" s="138">
        <v>168320.40394028981</v>
      </c>
      <c r="BA21" s="141">
        <v>232550.52657406061</v>
      </c>
      <c r="BB21" s="143">
        <v>400870.93051435042</v>
      </c>
      <c r="BC21" s="168"/>
    </row>
    <row r="22" spans="1:56" s="151" customFormat="1" x14ac:dyDescent="0.25">
      <c r="A22" s="156"/>
      <c r="B22" s="157"/>
      <c r="C22" s="158"/>
      <c r="D22" s="159"/>
      <c r="E22" s="160"/>
      <c r="F22" s="145"/>
      <c r="G22" s="146"/>
      <c r="H22" s="147"/>
      <c r="I22" s="135"/>
      <c r="J22" s="135"/>
      <c r="K22" s="148"/>
      <c r="L22" s="148"/>
      <c r="M22" s="149"/>
      <c r="N22" s="148"/>
      <c r="O22" s="148"/>
      <c r="P22" s="146"/>
      <c r="Q22" s="148"/>
      <c r="R22" s="150"/>
      <c r="S22" s="148"/>
      <c r="T22" s="146"/>
      <c r="U22" s="148"/>
      <c r="V22" s="150"/>
      <c r="W22" s="148"/>
      <c r="X22" s="146"/>
      <c r="Y22" s="148"/>
      <c r="Z22" s="150"/>
      <c r="AA22" s="148"/>
      <c r="AB22" s="146"/>
      <c r="AC22" s="148"/>
      <c r="AD22" s="150"/>
      <c r="AE22" s="148"/>
      <c r="AF22" s="146"/>
      <c r="AG22" s="148"/>
      <c r="AH22" s="150"/>
      <c r="AI22" s="148"/>
      <c r="AJ22" s="146"/>
      <c r="AK22" s="148"/>
      <c r="AL22" s="150"/>
      <c r="AN22" s="146"/>
      <c r="AO22" s="148"/>
      <c r="AP22" s="150"/>
      <c r="AR22" s="146"/>
      <c r="AS22" s="148"/>
      <c r="AT22" s="150"/>
      <c r="AV22" s="146"/>
      <c r="AW22" s="148"/>
      <c r="AX22" s="150"/>
      <c r="AZ22" s="146"/>
      <c r="BA22" s="148"/>
      <c r="BB22" s="150"/>
    </row>
    <row r="23" spans="1:56" s="151" customFormat="1" x14ac:dyDescent="0.25">
      <c r="A23" s="156"/>
      <c r="B23" s="157"/>
      <c r="C23" s="158"/>
      <c r="D23" s="159"/>
      <c r="E23" s="160">
        <f>SUM(E21:E22)</f>
        <v>4200000</v>
      </c>
      <c r="F23" s="165"/>
      <c r="G23" s="146"/>
      <c r="H23" s="146">
        <f>SUM(H21:H22)</f>
        <v>4023154.4242329998</v>
      </c>
      <c r="I23" s="135"/>
      <c r="J23" s="135" t="s">
        <v>3407</v>
      </c>
      <c r="K23" s="148">
        <f>SUM(K21:K22)</f>
        <v>65229.854462630057</v>
      </c>
      <c r="L23" s="148">
        <f>SUM(L21:L22)</f>
        <v>335641.07605172036</v>
      </c>
      <c r="M23" s="149">
        <f>SUM(M21:M22)</f>
        <v>400870.93051435042</v>
      </c>
      <c r="N23" s="148"/>
      <c r="O23" s="148"/>
      <c r="P23" s="146">
        <f>SUM(P21:P22)</f>
        <v>82674.00910270022</v>
      </c>
      <c r="Q23" s="148">
        <f>SUM(Q21:Q22)</f>
        <v>318196.9214116502</v>
      </c>
      <c r="R23" s="150">
        <f>SUM(R21:R22)</f>
        <v>400870.93051435042</v>
      </c>
      <c r="S23" s="148"/>
      <c r="T23" s="146">
        <f>SUM(T21:T22)</f>
        <v>89469.812650942185</v>
      </c>
      <c r="U23" s="148">
        <f>SUM(U21:U22)</f>
        <v>311401.11786340823</v>
      </c>
      <c r="V23" s="150">
        <f>SUM(V21:V22)</f>
        <v>400870.93051435042</v>
      </c>
      <c r="W23" s="148"/>
      <c r="X23" s="146">
        <f>SUM(X21:X22)</f>
        <v>96824.231250849669</v>
      </c>
      <c r="Y23" s="148">
        <f>SUM(Y21:Y22)</f>
        <v>304046.69926350075</v>
      </c>
      <c r="Z23" s="150">
        <f>SUM(Z21:Z22)</f>
        <v>400870.93051435042</v>
      </c>
      <c r="AA23" s="148"/>
      <c r="AB23" s="146">
        <f>SUM(AB21:AB22)</f>
        <v>104783.18305966951</v>
      </c>
      <c r="AC23" s="148">
        <f>SUM(AC21:AC22)</f>
        <v>296087.74745468091</v>
      </c>
      <c r="AD23" s="150">
        <f>SUM(AD21:AD22)</f>
        <v>400870.93051435042</v>
      </c>
      <c r="AE23" s="148"/>
      <c r="AF23" s="146">
        <f>SUM(AF21:AF22)</f>
        <v>113396.36070717429</v>
      </c>
      <c r="AG23" s="148">
        <f>SUM(AG21:AG22)</f>
        <v>287474.56980717613</v>
      </c>
      <c r="AH23" s="150">
        <f>SUM(AH21:AH22)</f>
        <v>400870.93051435042</v>
      </c>
      <c r="AI23" s="148"/>
      <c r="AJ23" s="146">
        <f>SUM(AJ21:AJ22)</f>
        <v>122717.54155730404</v>
      </c>
      <c r="AK23" s="148">
        <f>SUM(AK21:AK22)</f>
        <v>278153.38895704638</v>
      </c>
      <c r="AL23" s="150">
        <f>SUM(AL21:AL22)</f>
        <v>400870.93051435042</v>
      </c>
      <c r="AM23" s="148"/>
      <c r="AN23" s="146">
        <f>SUM(AN21:AN22)</f>
        <v>132804.92347331444</v>
      </c>
      <c r="AO23" s="148">
        <f>SUM(AO21:AO22)</f>
        <v>268066.00704103598</v>
      </c>
      <c r="AP23" s="150">
        <f>SUM(AP21:AP22)</f>
        <v>400870.93051435042</v>
      </c>
      <c r="AQ23" s="148"/>
      <c r="AR23" s="146">
        <f>SUM(AR21:AR22)</f>
        <v>143721.48818282087</v>
      </c>
      <c r="AS23" s="148">
        <f>SUM(AS21:AS22)</f>
        <v>257149.44233152954</v>
      </c>
      <c r="AT23" s="150">
        <f>SUM(AT21:AT22)</f>
        <v>400870.93051435042</v>
      </c>
      <c r="AU23" s="148"/>
      <c r="AV23" s="146">
        <f>SUM(AV21:AV22)</f>
        <v>155535.39451144874</v>
      </c>
      <c r="AW23" s="148">
        <f>SUM(AW21:AW22)</f>
        <v>245335.53600290167</v>
      </c>
      <c r="AX23" s="150">
        <f>SUM(AX21:AX22)</f>
        <v>400870.93051435042</v>
      </c>
      <c r="AY23" s="148"/>
      <c r="AZ23" s="146">
        <f>SUM(AZ21:AZ22)</f>
        <v>168320.40394028981</v>
      </c>
      <c r="BA23" s="148">
        <f>SUM(BA21:BA22)</f>
        <v>232550.52657406061</v>
      </c>
      <c r="BB23" s="150">
        <f>SUM(BB21:BB22)</f>
        <v>400870.93051435042</v>
      </c>
      <c r="BC23" s="148"/>
    </row>
    <row r="24" spans="1:56" s="151" customFormat="1" x14ac:dyDescent="0.25">
      <c r="A24" s="156"/>
      <c r="B24" s="157"/>
      <c r="C24" s="158"/>
      <c r="D24" s="159"/>
      <c r="E24" s="160"/>
      <c r="F24" s="145"/>
      <c r="G24" s="146"/>
      <c r="H24" s="146"/>
      <c r="I24" s="135"/>
      <c r="J24" s="135"/>
      <c r="K24" s="148"/>
      <c r="L24" s="148"/>
      <c r="M24" s="149"/>
      <c r="N24" s="148"/>
      <c r="O24" s="148"/>
      <c r="P24" s="146"/>
      <c r="Q24" s="148"/>
      <c r="R24" s="150"/>
      <c r="S24" s="148"/>
      <c r="T24" s="146"/>
      <c r="U24" s="148"/>
      <c r="V24" s="150"/>
      <c r="W24" s="148"/>
      <c r="X24" s="146"/>
      <c r="Y24" s="148"/>
      <c r="Z24" s="150"/>
      <c r="AA24" s="148"/>
      <c r="AB24" s="146"/>
      <c r="AC24" s="148"/>
      <c r="AD24" s="150"/>
      <c r="AE24" s="148"/>
      <c r="AF24" s="146"/>
      <c r="AG24" s="148"/>
      <c r="AH24" s="150"/>
      <c r="AI24" s="148"/>
      <c r="AJ24" s="146"/>
      <c r="AK24" s="148"/>
      <c r="AL24" s="150"/>
      <c r="AN24" s="146"/>
      <c r="AO24" s="148"/>
      <c r="AP24" s="150"/>
      <c r="AR24" s="146"/>
      <c r="AS24" s="148"/>
      <c r="AT24" s="150"/>
      <c r="AV24" s="146"/>
      <c r="AW24" s="148"/>
      <c r="AX24" s="150"/>
      <c r="AZ24" s="146"/>
      <c r="BA24" s="148"/>
      <c r="BB24" s="150"/>
    </row>
    <row r="25" spans="1:56" s="151" customFormat="1" x14ac:dyDescent="0.25">
      <c r="A25" s="169"/>
      <c r="B25" s="170"/>
      <c r="C25" s="171"/>
      <c r="D25" s="172"/>
      <c r="E25" s="173">
        <f>E13+E18+E23</f>
        <v>8316200</v>
      </c>
      <c r="F25" s="174"/>
      <c r="G25" s="175"/>
      <c r="H25" s="171">
        <f>H13+H18+H23</f>
        <v>6520046.1342329998</v>
      </c>
      <c r="I25" s="176"/>
      <c r="J25" s="176" t="s">
        <v>4072</v>
      </c>
      <c r="K25" s="177" t="e">
        <f>K13+K18+#REF!+K67+#REF!+K23+K60</f>
        <v>#REF!</v>
      </c>
      <c r="L25" s="177" t="e">
        <f>L13+L18+#REF!+L67+#REF!+L23+L60</f>
        <v>#REF!</v>
      </c>
      <c r="M25" s="178" t="e">
        <f>M13+M18+#REF!+M67+#REF!+M23+M60</f>
        <v>#REF!</v>
      </c>
      <c r="N25" s="179">
        <v>0</v>
      </c>
      <c r="O25" s="179">
        <v>0</v>
      </c>
      <c r="P25" s="180">
        <f>P13+P18+P23</f>
        <v>315998.86111852451</v>
      </c>
      <c r="Q25" s="177">
        <f>Q13+Q18+Q23</f>
        <v>454029.72939582588</v>
      </c>
      <c r="R25" s="181">
        <f>R13+R18+R23</f>
        <v>770028.59051435045</v>
      </c>
      <c r="S25" s="182">
        <v>0</v>
      </c>
      <c r="T25" s="180">
        <f>T13+T18+T23</f>
        <v>339067.89668157382</v>
      </c>
      <c r="U25" s="177">
        <f>U13+U18+U23</f>
        <v>430960.69383277657</v>
      </c>
      <c r="V25" s="181">
        <f>V13+V18+V23</f>
        <v>770028.59051435045</v>
      </c>
      <c r="W25" s="176">
        <v>0</v>
      </c>
      <c r="X25" s="180">
        <f>X13+X18+X23</f>
        <v>363834.14675301855</v>
      </c>
      <c r="Y25" s="177">
        <f>Y13+Y18+Y23</f>
        <v>406194.44376133184</v>
      </c>
      <c r="Z25" s="181">
        <f>Z13+Z18+Z23</f>
        <v>770028.59051435045</v>
      </c>
      <c r="AA25" s="176">
        <v>0</v>
      </c>
      <c r="AB25" s="180">
        <f>AB13+AB18+AB23</f>
        <v>390423.46784365387</v>
      </c>
      <c r="AC25" s="177">
        <f>AC13+AC18+AC23</f>
        <v>379605.12267069658</v>
      </c>
      <c r="AD25" s="181">
        <f>AD13+AD18+AD23</f>
        <v>770028.59051435045</v>
      </c>
      <c r="AE25" s="176">
        <v>0</v>
      </c>
      <c r="AF25" s="180">
        <f>AF13+AF18+AF23</f>
        <v>355201.45070717431</v>
      </c>
      <c r="AG25" s="177">
        <f>AG13+AG18+AG23</f>
        <v>350052.67980717611</v>
      </c>
      <c r="AH25" s="181">
        <f>AH13+AH18+AH23</f>
        <v>705254.13051435049</v>
      </c>
      <c r="AI25" s="176">
        <v>0</v>
      </c>
      <c r="AJ25" s="180">
        <f>AJ13+AJ18+AJ23</f>
        <v>380987.131557304</v>
      </c>
      <c r="AK25" s="177">
        <f>AK13+AK18+AK23</f>
        <v>324266.99895704637</v>
      </c>
      <c r="AL25" s="181">
        <f>AL13+AL18+AL23</f>
        <v>705254.13051435049</v>
      </c>
      <c r="AM25" s="176">
        <v>0</v>
      </c>
      <c r="AN25" s="180">
        <f>AN13+AN18+AN23</f>
        <v>408661.47347331443</v>
      </c>
      <c r="AO25" s="177">
        <f>AO13+AO18+AO23</f>
        <v>296592.657041036</v>
      </c>
      <c r="AP25" s="181">
        <f>AP13+AP18+AP23</f>
        <v>705254.13051435049</v>
      </c>
      <c r="AQ25" s="176">
        <v>0</v>
      </c>
      <c r="AR25" s="180">
        <f>AR13+AR18+AR23</f>
        <v>398027.85818282084</v>
      </c>
      <c r="AS25" s="177">
        <f>AS13+AS18+AS23</f>
        <v>266889.22233152954</v>
      </c>
      <c r="AT25" s="181">
        <f>AT13+AT18+AT23</f>
        <v>664917.08051435044</v>
      </c>
      <c r="AU25" s="176">
        <v>0</v>
      </c>
      <c r="AV25" s="180">
        <f>AV13+AV18+AV23</f>
        <v>155535.39451144874</v>
      </c>
      <c r="AW25" s="177">
        <f>AW13+AW18+AW23</f>
        <v>245335.53600290167</v>
      </c>
      <c r="AX25" s="181">
        <f>AX13+AX18+AX23</f>
        <v>400870.93051435042</v>
      </c>
      <c r="AY25" s="176">
        <v>0</v>
      </c>
      <c r="AZ25" s="180">
        <f>AZ13+AZ18+AZ23</f>
        <v>168320.40394028981</v>
      </c>
      <c r="BA25" s="177">
        <f>BA13+BA18+BA23</f>
        <v>232550.52657406061</v>
      </c>
      <c r="BB25" s="181">
        <f>BB13+BB18+BB23</f>
        <v>400870.93051435042</v>
      </c>
      <c r="BC25" s="176">
        <v>0</v>
      </c>
      <c r="BD25" s="181">
        <f>BD13+BD18+BD23</f>
        <v>0</v>
      </c>
    </row>
    <row r="26" spans="1:56" s="151" customFormat="1" x14ac:dyDescent="0.25">
      <c r="A26" s="156"/>
      <c r="B26" s="157"/>
      <c r="C26" s="158"/>
      <c r="D26" s="159"/>
      <c r="E26" s="160"/>
      <c r="F26" s="145"/>
      <c r="G26" s="146"/>
      <c r="H26" s="146"/>
      <c r="I26" s="135"/>
      <c r="J26" s="135"/>
      <c r="K26" s="148"/>
      <c r="L26" s="148"/>
      <c r="M26" s="149"/>
      <c r="N26" s="148"/>
      <c r="O26" s="148"/>
      <c r="P26" s="146"/>
      <c r="Q26" s="148"/>
      <c r="R26" s="150"/>
      <c r="S26" s="148"/>
      <c r="T26" s="146"/>
      <c r="U26" s="148"/>
      <c r="V26" s="150"/>
      <c r="W26" s="148"/>
      <c r="X26" s="146"/>
      <c r="Y26" s="148"/>
      <c r="Z26" s="150"/>
      <c r="AA26" s="148"/>
      <c r="AB26" s="146"/>
      <c r="AC26" s="148"/>
      <c r="AD26" s="150"/>
      <c r="AE26" s="148"/>
      <c r="AF26" s="146"/>
      <c r="AG26" s="148"/>
      <c r="AH26" s="150"/>
      <c r="AI26" s="148"/>
      <c r="AJ26" s="146"/>
      <c r="AK26" s="148"/>
      <c r="AL26" s="150"/>
      <c r="AN26" s="146"/>
      <c r="AO26" s="148"/>
      <c r="AP26" s="150"/>
      <c r="AR26" s="146"/>
      <c r="AS26" s="148"/>
      <c r="AT26" s="150"/>
      <c r="AV26" s="146"/>
      <c r="AW26" s="148"/>
      <c r="AX26" s="150"/>
      <c r="AZ26" s="146"/>
      <c r="BA26" s="148"/>
      <c r="BB26" s="150"/>
    </row>
    <row r="27" spans="1:56" s="186" customFormat="1" x14ac:dyDescent="0.25">
      <c r="A27" s="161"/>
      <c r="B27" s="162"/>
      <c r="C27" s="163"/>
      <c r="D27" s="164"/>
      <c r="E27" s="160"/>
      <c r="F27" s="165"/>
      <c r="G27" s="147"/>
      <c r="H27" s="147"/>
      <c r="I27" s="160"/>
      <c r="J27" s="160" t="s">
        <v>4073</v>
      </c>
      <c r="K27" s="183"/>
      <c r="L27" s="183"/>
      <c r="M27" s="184"/>
      <c r="N27" s="183"/>
      <c r="O27" s="183"/>
      <c r="P27" s="147"/>
      <c r="Q27" s="183"/>
      <c r="R27" s="185"/>
      <c r="S27" s="183"/>
      <c r="T27" s="147"/>
      <c r="U27" s="183"/>
      <c r="V27" s="185"/>
      <c r="W27" s="183"/>
      <c r="X27" s="147"/>
      <c r="Y27" s="183"/>
      <c r="Z27" s="185"/>
      <c r="AA27" s="183"/>
      <c r="AB27" s="147"/>
      <c r="AC27" s="183"/>
      <c r="AD27" s="185"/>
      <c r="AE27" s="183"/>
      <c r="AF27" s="147"/>
      <c r="AG27" s="183"/>
      <c r="AH27" s="185"/>
      <c r="AI27" s="183"/>
      <c r="AJ27" s="147"/>
      <c r="AK27" s="183"/>
      <c r="AL27" s="185"/>
      <c r="AN27" s="147"/>
      <c r="AO27" s="183"/>
      <c r="AP27" s="185"/>
      <c r="AR27" s="147"/>
      <c r="AS27" s="183"/>
      <c r="AT27" s="185"/>
      <c r="AV27" s="147"/>
      <c r="AW27" s="183"/>
      <c r="AX27" s="185"/>
      <c r="AZ27" s="147"/>
      <c r="BA27" s="183"/>
      <c r="BB27" s="185"/>
    </row>
    <row r="28" spans="1:56" s="151" customFormat="1" x14ac:dyDescent="0.25">
      <c r="A28" s="156"/>
      <c r="B28" s="157"/>
      <c r="C28" s="158"/>
      <c r="D28" s="159"/>
      <c r="E28" s="160"/>
      <c r="F28" s="145"/>
      <c r="G28" s="146"/>
      <c r="H28" s="146"/>
      <c r="I28" s="135"/>
      <c r="J28" s="135"/>
      <c r="K28" s="148"/>
      <c r="L28" s="148"/>
      <c r="M28" s="149"/>
      <c r="N28" s="148"/>
      <c r="O28" s="148"/>
      <c r="P28" s="146"/>
      <c r="Q28" s="148"/>
      <c r="R28" s="150"/>
      <c r="S28" s="148"/>
      <c r="T28" s="146"/>
      <c r="U28" s="148"/>
      <c r="V28" s="150"/>
      <c r="W28" s="148"/>
      <c r="X28" s="146"/>
      <c r="Y28" s="148"/>
      <c r="Z28" s="150"/>
      <c r="AA28" s="148"/>
      <c r="AB28" s="146"/>
      <c r="AC28" s="148"/>
      <c r="AD28" s="150"/>
      <c r="AE28" s="148"/>
      <c r="AF28" s="146"/>
      <c r="AG28" s="148"/>
      <c r="AH28" s="150"/>
      <c r="AI28" s="148"/>
      <c r="AJ28" s="146"/>
      <c r="AK28" s="148"/>
      <c r="AL28" s="150"/>
      <c r="AN28" s="146"/>
      <c r="AO28" s="148"/>
      <c r="AP28" s="150"/>
      <c r="AR28" s="146"/>
      <c r="AS28" s="148"/>
      <c r="AT28" s="150"/>
      <c r="AV28" s="146"/>
      <c r="AW28" s="148"/>
      <c r="AX28" s="150"/>
      <c r="AZ28" s="146"/>
      <c r="BA28" s="148"/>
      <c r="BB28" s="150"/>
    </row>
    <row r="29" spans="1:56" s="151" customFormat="1" x14ac:dyDescent="0.25">
      <c r="A29" s="156"/>
      <c r="B29" s="157"/>
      <c r="C29" s="158"/>
      <c r="D29" s="159"/>
      <c r="E29" s="163"/>
      <c r="F29" s="128"/>
      <c r="G29" s="187"/>
      <c r="H29" s="188"/>
      <c r="I29" s="158"/>
      <c r="J29" s="135" t="s">
        <v>4074</v>
      </c>
      <c r="K29" s="148"/>
      <c r="L29" s="148"/>
      <c r="M29" s="142"/>
      <c r="N29" s="141"/>
      <c r="O29" s="141"/>
      <c r="P29" s="146"/>
      <c r="Q29" s="148"/>
      <c r="R29" s="143"/>
      <c r="S29" s="141"/>
      <c r="T29" s="146"/>
      <c r="U29" s="148"/>
      <c r="V29" s="143"/>
      <c r="W29" s="141"/>
      <c r="X29" s="146"/>
      <c r="Y29" s="148"/>
      <c r="Z29" s="143"/>
      <c r="AA29" s="141"/>
      <c r="AB29" s="146"/>
      <c r="AC29" s="148"/>
      <c r="AD29" s="143"/>
      <c r="AE29" s="141"/>
      <c r="AF29" s="146"/>
      <c r="AG29" s="148"/>
      <c r="AH29" s="143"/>
      <c r="AI29" s="141"/>
      <c r="AJ29" s="146"/>
      <c r="AK29" s="148"/>
      <c r="AL29" s="143"/>
      <c r="AN29" s="146"/>
      <c r="AO29" s="148"/>
      <c r="AP29" s="143"/>
      <c r="AR29" s="146"/>
      <c r="AS29" s="148"/>
      <c r="AT29" s="143"/>
      <c r="AV29" s="146"/>
      <c r="AW29" s="148"/>
      <c r="AX29" s="143"/>
      <c r="AZ29" s="146"/>
      <c r="BA29" s="148"/>
      <c r="BB29" s="143"/>
    </row>
    <row r="30" spans="1:56" x14ac:dyDescent="0.25">
      <c r="A30" s="123">
        <v>51</v>
      </c>
      <c r="B30" s="124">
        <v>2007</v>
      </c>
      <c r="C30" s="125" t="s">
        <v>4066</v>
      </c>
      <c r="D30" s="126">
        <v>5.8000000000000003E-2</v>
      </c>
      <c r="E30" s="153">
        <v>288000</v>
      </c>
      <c r="F30" s="137"/>
      <c r="G30" s="138"/>
      <c r="H30" s="139">
        <f>759142.18066/SUM(E$72,E$30,E$48)*E30</f>
        <v>227033.17552448597</v>
      </c>
      <c r="I30" s="140">
        <v>2027</v>
      </c>
      <c r="J30" s="136" t="s">
        <v>4075</v>
      </c>
      <c r="K30" s="141">
        <v>10572.03317348378</v>
      </c>
      <c r="L30" s="141">
        <v>15957.440515817047</v>
      </c>
      <c r="M30" s="142">
        <v>26529.473689300827</v>
      </c>
      <c r="N30" s="141"/>
      <c r="O30" s="141"/>
      <c r="P30" s="138">
        <v>12950.040991335887</v>
      </c>
      <c r="Q30" s="141">
        <v>13579.432697964941</v>
      </c>
      <c r="R30" s="143">
        <v>26529.47368930083</v>
      </c>
      <c r="S30" s="141"/>
      <c r="T30" s="138">
        <v>13857.117388676204</v>
      </c>
      <c r="U30" s="141">
        <v>12672.356300624624</v>
      </c>
      <c r="V30" s="143">
        <v>26529.47368930083</v>
      </c>
      <c r="W30" s="141"/>
      <c r="X30" s="138">
        <v>14827.722651622003</v>
      </c>
      <c r="Y30" s="141">
        <v>11701.751037678823</v>
      </c>
      <c r="Z30" s="143">
        <v>26529.473689300827</v>
      </c>
      <c r="AA30" s="141"/>
      <c r="AB30" s="138">
        <v>15836.956357042112</v>
      </c>
      <c r="AC30" s="141">
        <v>10692.517332258716</v>
      </c>
      <c r="AD30" s="143">
        <v>26529.47368930083</v>
      </c>
      <c r="AE30" s="141"/>
      <c r="AF30" s="138">
        <v>16975.577094499295</v>
      </c>
      <c r="AG30" s="141">
        <v>9553.896594801532</v>
      </c>
      <c r="AH30" s="143">
        <v>26529.473689300827</v>
      </c>
      <c r="AI30" s="141"/>
      <c r="AJ30" s="138">
        <v>18164.592899455976</v>
      </c>
      <c r="AK30" s="141">
        <v>8364.8807898448522</v>
      </c>
      <c r="AL30" s="143">
        <v>26529.47368930083</v>
      </c>
      <c r="AN30" s="138">
        <v>19436.883239975821</v>
      </c>
      <c r="AO30" s="141">
        <v>7092.5904493250055</v>
      </c>
      <c r="AP30" s="143">
        <v>26529.473689300827</v>
      </c>
      <c r="AR30" s="138">
        <v>20782.793761837598</v>
      </c>
      <c r="AS30" s="141">
        <v>5746.6799274632285</v>
      </c>
      <c r="AT30" s="143">
        <v>26529.473689300827</v>
      </c>
      <c r="AV30" s="138">
        <v>22253.946854724963</v>
      </c>
      <c r="AW30" s="141">
        <v>4275.5268345758614</v>
      </c>
      <c r="AX30" s="143">
        <v>26529.473689300823</v>
      </c>
      <c r="AZ30" s="138">
        <v>23812.648349788436</v>
      </c>
      <c r="BA30" s="141">
        <v>2716.825339512392</v>
      </c>
      <c r="BB30" s="143">
        <v>26529.47368930083</v>
      </c>
    </row>
    <row r="31" spans="1:56" x14ac:dyDescent="0.25">
      <c r="A31" s="123">
        <v>49</v>
      </c>
      <c r="B31" s="124">
        <v>2006</v>
      </c>
      <c r="C31" s="125" t="s">
        <v>4076</v>
      </c>
      <c r="D31" s="126">
        <v>9.1700000000000004E-2</v>
      </c>
      <c r="E31" s="153">
        <v>209500</v>
      </c>
      <c r="F31" s="137"/>
      <c r="G31" s="138"/>
      <c r="H31" s="139">
        <f>(1691465.44/SUM(E$73:E$75,E$31,E$46:E$47))*E31</f>
        <v>155115.78449551325</v>
      </c>
      <c r="I31" s="140">
        <v>2026</v>
      </c>
      <c r="J31" s="136" t="s">
        <v>4077</v>
      </c>
      <c r="K31" s="141">
        <v>8421.8321383234834</v>
      </c>
      <c r="L31" s="141">
        <v>10142.807922959071</v>
      </c>
      <c r="M31" s="142">
        <v>18564.640061282553</v>
      </c>
      <c r="N31" s="141"/>
      <c r="O31" s="141"/>
      <c r="P31" s="138">
        <v>10136.481197198511</v>
      </c>
      <c r="Q31" s="141">
        <v>8428.1588640840437</v>
      </c>
      <c r="R31" s="143">
        <v>18564.640061282553</v>
      </c>
      <c r="S31" s="141"/>
      <c r="T31" s="138">
        <v>10750.138748084919</v>
      </c>
      <c r="U31" s="141">
        <v>7814.5013131976357</v>
      </c>
      <c r="V31" s="143">
        <v>18564.640061282553</v>
      </c>
      <c r="W31" s="141"/>
      <c r="X31" s="138">
        <v>11512.782024513022</v>
      </c>
      <c r="Y31" s="141">
        <v>7051.8580367695331</v>
      </c>
      <c r="Z31" s="143">
        <v>18564.640061282556</v>
      </c>
      <c r="AA31" s="141"/>
      <c r="AB31" s="138">
        <v>12241.605425694901</v>
      </c>
      <c r="AC31" s="141">
        <v>6323.0346355876554</v>
      </c>
      <c r="AD31" s="143">
        <v>18564.640061282556</v>
      </c>
      <c r="AE31" s="141"/>
      <c r="AF31" s="138">
        <v>13034.722263077258</v>
      </c>
      <c r="AG31" s="141">
        <v>5529.9177982052961</v>
      </c>
      <c r="AH31" s="143">
        <v>18564.640061282553</v>
      </c>
      <c r="AI31" s="141"/>
      <c r="AJ31" s="138">
        <v>13880.978461370101</v>
      </c>
      <c r="AK31" s="141">
        <v>4683.6615999124533</v>
      </c>
      <c r="AL31" s="143">
        <v>18564.640061282553</v>
      </c>
      <c r="AM31" s="141"/>
      <c r="AN31" s="138">
        <v>14782.178774348871</v>
      </c>
      <c r="AO31" s="141">
        <v>3782.4612869336834</v>
      </c>
      <c r="AP31" s="143">
        <v>18564.640061282553</v>
      </c>
      <c r="AQ31" s="141"/>
      <c r="AR31" s="138">
        <v>15722.74711315386</v>
      </c>
      <c r="AS31" s="141">
        <v>2841.8929481286932</v>
      </c>
      <c r="AT31" s="143">
        <v>18564.640061282553</v>
      </c>
      <c r="AU31" s="141"/>
      <c r="AV31" s="138">
        <v>16768.15440577807</v>
      </c>
      <c r="AW31" s="141">
        <v>1796.4856555044867</v>
      </c>
      <c r="AX31" s="143">
        <v>18564.640061282556</v>
      </c>
      <c r="AY31" s="75">
        <v>44308.016852702996</v>
      </c>
      <c r="AZ31" s="138">
        <v>17851.297375793391</v>
      </c>
      <c r="BA31" s="141">
        <v>713.34268548916612</v>
      </c>
      <c r="BB31" s="143">
        <v>18564.640061282556</v>
      </c>
    </row>
    <row r="32" spans="1:56" s="190" customFormat="1" x14ac:dyDescent="0.25">
      <c r="A32" s="123">
        <v>64</v>
      </c>
      <c r="B32" s="124">
        <v>2009</v>
      </c>
      <c r="C32" s="125" t="s">
        <v>4076</v>
      </c>
      <c r="D32" s="126">
        <v>0.12820000000000001</v>
      </c>
      <c r="E32" s="153">
        <v>250000</v>
      </c>
      <c r="F32" s="154"/>
      <c r="G32" s="139"/>
      <c r="H32" s="139">
        <f>1761683.26/SUM(E$80,E$32,E$60)*E32</f>
        <v>225856.8282051282</v>
      </c>
      <c r="I32" s="140">
        <v>2034</v>
      </c>
      <c r="J32" s="153" t="s">
        <v>4078</v>
      </c>
      <c r="K32" s="141">
        <v>6375.6570177980011</v>
      </c>
      <c r="L32" s="141">
        <v>15484.280433698455</v>
      </c>
      <c r="M32" s="142">
        <v>21859.937451496458</v>
      </c>
      <c r="N32" s="189"/>
      <c r="O32" s="189"/>
      <c r="P32" s="138">
        <v>7744.9426131657256</v>
      </c>
      <c r="Q32" s="141">
        <v>14114.994838330729</v>
      </c>
      <c r="R32" s="143">
        <v>21859.937451496455</v>
      </c>
      <c r="S32" s="189"/>
      <c r="T32" s="138">
        <v>8263.8537682478291</v>
      </c>
      <c r="U32" s="141">
        <v>13596.083683248626</v>
      </c>
      <c r="V32" s="143">
        <v>21859.937451496455</v>
      </c>
      <c r="W32" s="189"/>
      <c r="X32" s="138">
        <v>8817.5319707204344</v>
      </c>
      <c r="Y32" s="141">
        <v>13042.405480776024</v>
      </c>
      <c r="Z32" s="143">
        <v>21859.937451496458</v>
      </c>
      <c r="AA32" s="189"/>
      <c r="AB32" s="138">
        <v>9408.3066127587026</v>
      </c>
      <c r="AC32" s="141">
        <v>12451.630838737752</v>
      </c>
      <c r="AD32" s="143">
        <v>21859.937451496455</v>
      </c>
      <c r="AE32" s="189"/>
      <c r="AF32" s="138">
        <v>10038.663155813538</v>
      </c>
      <c r="AG32" s="141">
        <v>11821.274295682919</v>
      </c>
      <c r="AH32" s="143">
        <v>21859.937451496458</v>
      </c>
      <c r="AI32" s="189"/>
      <c r="AJ32" s="138">
        <v>10711.253587253044</v>
      </c>
      <c r="AK32" s="141">
        <v>11148.683864243414</v>
      </c>
      <c r="AL32" s="143">
        <v>21859.937451496458</v>
      </c>
      <c r="AM32" s="191"/>
      <c r="AN32" s="138">
        <v>11428.907577598999</v>
      </c>
      <c r="AO32" s="141">
        <v>10431.02987389746</v>
      </c>
      <c r="AP32" s="143">
        <v>21859.937451496458</v>
      </c>
      <c r="AQ32" s="191"/>
      <c r="AR32" s="138">
        <v>12194.64438529813</v>
      </c>
      <c r="AS32" s="141">
        <v>9665.2930661983282</v>
      </c>
      <c r="AT32" s="143">
        <v>21859.937451496458</v>
      </c>
      <c r="AU32" s="191"/>
      <c r="AV32" s="138">
        <v>13011.685559113104</v>
      </c>
      <c r="AW32" s="141">
        <v>8848.2518923833522</v>
      </c>
      <c r="AX32" s="143">
        <v>21859.937451496458</v>
      </c>
      <c r="AY32" s="191"/>
      <c r="AZ32" s="138">
        <v>13883.468491573682</v>
      </c>
      <c r="BA32" s="141">
        <v>7976.468959922774</v>
      </c>
      <c r="BB32" s="143">
        <v>21859.937451496455</v>
      </c>
      <c r="BC32" s="191"/>
    </row>
    <row r="33" spans="1:108" s="190" customFormat="1" x14ac:dyDescent="0.25">
      <c r="A33" s="123">
        <v>53</v>
      </c>
      <c r="B33" s="124">
        <v>2008</v>
      </c>
      <c r="C33" s="125" t="s">
        <v>4066</v>
      </c>
      <c r="D33" s="126">
        <v>7.51E-2</v>
      </c>
      <c r="E33" s="153">
        <v>280000</v>
      </c>
      <c r="F33" s="154"/>
      <c r="G33" s="139"/>
      <c r="H33" s="139">
        <f>253057.959896</f>
        <v>253057.95989599999</v>
      </c>
      <c r="I33" s="140">
        <v>2033</v>
      </c>
      <c r="J33" s="153" t="s">
        <v>4079</v>
      </c>
      <c r="K33" s="141">
        <v>5467.7178329999997</v>
      </c>
      <c r="L33" s="141">
        <v>20703.204515999998</v>
      </c>
      <c r="M33" s="142">
        <v>26170.922348999997</v>
      </c>
      <c r="N33" s="189"/>
      <c r="O33" s="189"/>
      <c r="P33" s="138">
        <v>6992.1419420000002</v>
      </c>
      <c r="Q33" s="141">
        <v>19178.772896999999</v>
      </c>
      <c r="R33" s="143">
        <v>26170.914838999997</v>
      </c>
      <c r="S33" s="189"/>
      <c r="T33" s="138">
        <v>7520.10095</v>
      </c>
      <c r="U33" s="141">
        <v>18650.821399</v>
      </c>
      <c r="V33" s="143">
        <v>26170.922349</v>
      </c>
      <c r="W33" s="189"/>
      <c r="X33" s="138">
        <v>8145.5855689999999</v>
      </c>
      <c r="Y33" s="141">
        <v>18025.336780000001</v>
      </c>
      <c r="Z33" s="143">
        <v>26170.922349</v>
      </c>
      <c r="AA33" s="189"/>
      <c r="AB33" s="138">
        <v>8774.8304450000014</v>
      </c>
      <c r="AC33" s="141">
        <v>17396.091153000001</v>
      </c>
      <c r="AD33" s="143">
        <v>26170.921598000001</v>
      </c>
      <c r="AE33" s="189"/>
      <c r="AF33" s="138">
        <v>9457.6283800000001</v>
      </c>
      <c r="AG33" s="141">
        <v>16713.293968999998</v>
      </c>
      <c r="AH33" s="143">
        <v>26170.922349</v>
      </c>
      <c r="AI33" s="189"/>
      <c r="AJ33" s="138">
        <v>10383.601616999998</v>
      </c>
      <c r="AK33" s="141">
        <v>15787.321483</v>
      </c>
      <c r="AL33" s="143">
        <v>26170.9231</v>
      </c>
      <c r="AM33" s="191"/>
      <c r="AN33" s="138">
        <v>11244.819878999999</v>
      </c>
      <c r="AO33" s="141">
        <v>14926.102470000002</v>
      </c>
      <c r="AP33" s="143">
        <v>26170.922349</v>
      </c>
      <c r="AQ33" s="191"/>
      <c r="AR33" s="138">
        <v>12099.622347999999</v>
      </c>
      <c r="AS33" s="141">
        <v>14071.300752000001</v>
      </c>
      <c r="AT33" s="143">
        <v>26170.9231</v>
      </c>
      <c r="AU33" s="191"/>
      <c r="AV33" s="138">
        <v>13144.91071</v>
      </c>
      <c r="AW33" s="141">
        <v>13026.011639</v>
      </c>
      <c r="AX33" s="143">
        <v>26170.922349</v>
      </c>
      <c r="AY33" s="191"/>
      <c r="AZ33" s="138">
        <v>14235.361959</v>
      </c>
      <c r="BA33" s="141">
        <v>11935.561141</v>
      </c>
      <c r="BB33" s="143">
        <v>26170.9231</v>
      </c>
      <c r="BC33" s="191"/>
    </row>
    <row r="34" spans="1:108" s="190" customFormat="1" x14ac:dyDescent="0.25">
      <c r="A34" s="123">
        <v>58</v>
      </c>
      <c r="B34" s="124">
        <v>2010</v>
      </c>
      <c r="C34" s="125" t="s">
        <v>4076</v>
      </c>
      <c r="D34" s="126">
        <v>5.0999999999999997E-2</v>
      </c>
      <c r="E34" s="153">
        <v>1020000</v>
      </c>
      <c r="F34" s="154"/>
      <c r="G34" s="139"/>
      <c r="H34" s="139">
        <f>1215199.808225/SUM(E$34:E$35)*E34</f>
        <v>975987.24755078752</v>
      </c>
      <c r="I34" s="140">
        <v>2039</v>
      </c>
      <c r="J34" s="153" t="s">
        <v>4080</v>
      </c>
      <c r="K34" s="141">
        <v>11220.45033</v>
      </c>
      <c r="L34" s="141">
        <v>79434.634349999993</v>
      </c>
      <c r="M34" s="142">
        <v>90655.08468</v>
      </c>
      <c r="N34" s="141"/>
      <c r="O34" s="141"/>
      <c r="P34" s="138">
        <v>14429.08014</v>
      </c>
      <c r="Q34" s="141">
        <v>76226.004539999994</v>
      </c>
      <c r="R34" s="143">
        <v>90655.08468</v>
      </c>
      <c r="S34" s="141"/>
      <c r="T34" s="138">
        <v>15627.361859999999</v>
      </c>
      <c r="U34" s="141">
        <v>75027.722819999995</v>
      </c>
      <c r="V34" s="143">
        <v>90655.08468</v>
      </c>
      <c r="W34" s="141"/>
      <c r="X34" s="138">
        <v>16713.707760000001</v>
      </c>
      <c r="Y34" s="141">
        <v>73941.376919999995</v>
      </c>
      <c r="Z34" s="143">
        <v>90655.08468</v>
      </c>
      <c r="AA34" s="141"/>
      <c r="AB34" s="138">
        <v>17539.431420000001</v>
      </c>
      <c r="AC34" s="141">
        <v>73115.653259999992</v>
      </c>
      <c r="AD34" s="143">
        <v>90655.08468</v>
      </c>
      <c r="AE34" s="141"/>
      <c r="AF34" s="138">
        <v>19633.669999999998</v>
      </c>
      <c r="AG34" s="141">
        <v>71006.3</v>
      </c>
      <c r="AH34" s="143">
        <v>90639.97</v>
      </c>
      <c r="AI34" s="141"/>
      <c r="AJ34" s="138">
        <v>21268.78</v>
      </c>
      <c r="AK34" s="141">
        <v>69371.179999999993</v>
      </c>
      <c r="AL34" s="143">
        <v>90639.96</v>
      </c>
      <c r="AM34" s="144"/>
      <c r="AN34" s="138">
        <v>23040.080000000002</v>
      </c>
      <c r="AO34" s="141">
        <v>67599.89</v>
      </c>
      <c r="AP34" s="143">
        <v>90639.97</v>
      </c>
      <c r="AQ34" s="144"/>
      <c r="AR34" s="138">
        <v>24958.89</v>
      </c>
      <c r="AS34" s="141">
        <v>65681.08</v>
      </c>
      <c r="AT34" s="143">
        <v>90639.97</v>
      </c>
      <c r="AU34" s="144"/>
      <c r="AV34" s="138">
        <v>27037.5</v>
      </c>
      <c r="AW34" s="141">
        <v>63602.47</v>
      </c>
      <c r="AX34" s="143">
        <v>90639.97</v>
      </c>
      <c r="AY34" s="144"/>
      <c r="AZ34" s="138">
        <v>29289.22</v>
      </c>
      <c r="BA34" s="141">
        <v>61350.75</v>
      </c>
      <c r="BB34" s="143">
        <v>90639.97</v>
      </c>
      <c r="BC34" s="144"/>
    </row>
    <row r="35" spans="1:108" s="190" customFormat="1" x14ac:dyDescent="0.25">
      <c r="A35" s="123">
        <v>58</v>
      </c>
      <c r="B35" s="124">
        <v>2010</v>
      </c>
      <c r="C35" s="125" t="s">
        <v>4076</v>
      </c>
      <c r="D35" s="126">
        <v>1.2500000000000001E-2</v>
      </c>
      <c r="E35" s="153">
        <v>250000</v>
      </c>
      <c r="F35" s="154"/>
      <c r="G35" s="139"/>
      <c r="H35" s="139">
        <f>1215199.808225/SUM(E$34:E$35)*E35</f>
        <v>239212.56067421261</v>
      </c>
      <c r="I35" s="140">
        <v>2039</v>
      </c>
      <c r="J35" s="153" t="s">
        <v>4078</v>
      </c>
      <c r="K35" s="141">
        <v>2750.1103750000002</v>
      </c>
      <c r="L35" s="141">
        <v>19469.273125</v>
      </c>
      <c r="M35" s="142">
        <v>22219.3835</v>
      </c>
      <c r="N35" s="141"/>
      <c r="O35" s="141"/>
      <c r="P35" s="138">
        <v>3536.5392500000003</v>
      </c>
      <c r="Q35" s="141">
        <v>18682.844250000002</v>
      </c>
      <c r="R35" s="143">
        <v>22219.383500000004</v>
      </c>
      <c r="S35" s="141"/>
      <c r="T35" s="138">
        <v>3830.2357499999998</v>
      </c>
      <c r="U35" s="141">
        <v>18389.14775</v>
      </c>
      <c r="V35" s="143">
        <v>22219.3835</v>
      </c>
      <c r="W35" s="141"/>
      <c r="X35" s="138">
        <v>4096.4970000000003</v>
      </c>
      <c r="Y35" s="141">
        <v>18122.886500000001</v>
      </c>
      <c r="Z35" s="143">
        <v>22219.3835</v>
      </c>
      <c r="AA35" s="141"/>
      <c r="AB35" s="138">
        <v>4298.8802500000011</v>
      </c>
      <c r="AC35" s="141">
        <v>17920.503250000002</v>
      </c>
      <c r="AD35" s="143">
        <v>22219.383500000004</v>
      </c>
      <c r="AE35" s="141"/>
      <c r="AF35" s="138">
        <v>4812.17</v>
      </c>
      <c r="AG35" s="141">
        <v>17403.509999999998</v>
      </c>
      <c r="AH35" s="143">
        <v>22215.68</v>
      </c>
      <c r="AI35" s="141"/>
      <c r="AJ35" s="138">
        <v>5212.9399999999996</v>
      </c>
      <c r="AK35" s="141">
        <v>17002.740000000002</v>
      </c>
      <c r="AL35" s="143">
        <v>22215.68</v>
      </c>
      <c r="AM35" s="144"/>
      <c r="AN35" s="138">
        <v>5647.08</v>
      </c>
      <c r="AO35" s="141">
        <v>16568.599999999999</v>
      </c>
      <c r="AP35" s="143">
        <v>22215.68</v>
      </c>
      <c r="AQ35" s="144"/>
      <c r="AR35" s="138">
        <v>6117.37</v>
      </c>
      <c r="AS35" s="141">
        <v>16098.3</v>
      </c>
      <c r="AT35" s="143">
        <v>22215.67</v>
      </c>
      <c r="AU35" s="144"/>
      <c r="AV35" s="138">
        <v>6626.84</v>
      </c>
      <c r="AW35" s="141">
        <v>15588.84</v>
      </c>
      <c r="AX35" s="143">
        <v>22215.68</v>
      </c>
      <c r="AY35" s="144"/>
      <c r="AZ35" s="138">
        <v>7178.73</v>
      </c>
      <c r="BA35" s="141">
        <v>15036.95</v>
      </c>
      <c r="BB35" s="143">
        <v>22215.68</v>
      </c>
      <c r="BC35" s="144"/>
    </row>
    <row r="36" spans="1:108" s="190" customFormat="1" x14ac:dyDescent="0.25">
      <c r="A36" s="123"/>
      <c r="B36" s="124">
        <v>2017</v>
      </c>
      <c r="C36" s="125" t="s">
        <v>3606</v>
      </c>
      <c r="D36" s="126"/>
      <c r="E36" s="153">
        <v>2000000</v>
      </c>
      <c r="F36" s="154"/>
      <c r="G36" s="139"/>
      <c r="H36" s="139"/>
      <c r="I36" s="140"/>
      <c r="J36" s="153" t="s">
        <v>4583</v>
      </c>
      <c r="K36" s="141"/>
      <c r="L36" s="141"/>
      <c r="M36" s="142"/>
      <c r="N36" s="141"/>
      <c r="O36" s="141"/>
      <c r="P36" s="138"/>
      <c r="Q36" s="141"/>
      <c r="R36" s="143"/>
      <c r="S36" s="141"/>
      <c r="T36" s="138">
        <f>newloans!B14+newloans!B15</f>
        <v>42136.399522579319</v>
      </c>
      <c r="U36" s="141">
        <f>newloans!C14+newloans!C15</f>
        <v>97490.075678783309</v>
      </c>
      <c r="V36" s="143">
        <f>T36+U36</f>
        <v>139626.47520136263</v>
      </c>
      <c r="W36" s="141"/>
      <c r="X36" s="138">
        <f>newloans!B16+newloans!B17</f>
        <v>44226.375472999127</v>
      </c>
      <c r="Y36" s="141">
        <f>newloans!C16+newloans!C17</f>
        <v>95400.099728363508</v>
      </c>
      <c r="Z36" s="143">
        <f>X36+Y36</f>
        <v>139626.47520136263</v>
      </c>
      <c r="AA36" s="141"/>
      <c r="AB36" s="138">
        <f>newloans!B18+newloans!B19</f>
        <v>46420.014753053751</v>
      </c>
      <c r="AC36" s="141">
        <f>newloans!C18+newloans!C19</f>
        <v>93206.460448308877</v>
      </c>
      <c r="AD36" s="143">
        <f>AB36+AC36</f>
        <v>139626.47520136263</v>
      </c>
      <c r="AE36" s="141"/>
      <c r="AF36" s="138">
        <f>newloans!B20+newloans!B21</f>
        <v>48722.459089808908</v>
      </c>
      <c r="AG36" s="138">
        <f>newloans!C20+newloans!C21</f>
        <v>90904.016111553719</v>
      </c>
      <c r="AH36" s="143">
        <f>AF36+AG36</f>
        <v>139626.47520136263</v>
      </c>
      <c r="AI36" s="141"/>
      <c r="AJ36" s="138">
        <f>newloans!B22+newloans!B23</f>
        <v>51139.105241278194</v>
      </c>
      <c r="AK36" s="138">
        <f>newloans!C22+newloans!C23</f>
        <v>88487.369960084441</v>
      </c>
      <c r="AL36" s="143">
        <f>AJ36+AK36</f>
        <v>139626.47520136263</v>
      </c>
      <c r="AM36" s="144"/>
      <c r="AN36" s="138">
        <f>newloans!B24+newloans!B25</f>
        <v>53675.617646021907</v>
      </c>
      <c r="AO36" s="138">
        <f>newloans!C24+newloans!C25</f>
        <v>85950.857555340714</v>
      </c>
      <c r="AP36" s="143">
        <f>AN36+AO36</f>
        <v>139626.47520136263</v>
      </c>
      <c r="AQ36" s="144"/>
      <c r="AR36" s="138">
        <f>newloans!B26+newloans!B27</f>
        <v>56337.941700169009</v>
      </c>
      <c r="AS36" s="138">
        <f>newloans!C26+newloans!C27</f>
        <v>83288.533501193626</v>
      </c>
      <c r="AT36" s="143">
        <f>AR36+AS36</f>
        <v>139626.47520136263</v>
      </c>
      <c r="AU36" s="144"/>
      <c r="AV36" s="138">
        <f>newloans!B28+newloans!B29</f>
        <v>59132.317692982811</v>
      </c>
      <c r="AW36" s="138">
        <f>newloans!C28+newloans!C29</f>
        <v>80494.157508379809</v>
      </c>
      <c r="AX36" s="143">
        <f>AV36+AW36</f>
        <v>139626.47520136263</v>
      </c>
      <c r="AY36" s="144"/>
      <c r="AZ36" s="138">
        <f>newloans!B32+newloans!B33</f>
        <v>65143.749603466298</v>
      </c>
      <c r="BA36" s="138">
        <f>newloans!C32+newloans!C33</f>
        <v>74482.725597896322</v>
      </c>
      <c r="BB36" s="143">
        <f>AZ36+BA36</f>
        <v>139626.47520136263</v>
      </c>
      <c r="BC36" s="144"/>
    </row>
    <row r="37" spans="1:108" s="190" customFormat="1" x14ac:dyDescent="0.25">
      <c r="A37" s="123"/>
      <c r="B37" s="124">
        <v>2018</v>
      </c>
      <c r="C37" s="125" t="s">
        <v>3606</v>
      </c>
      <c r="D37" s="126"/>
      <c r="E37" s="153">
        <v>2000000</v>
      </c>
      <c r="F37" s="154"/>
      <c r="G37" s="139"/>
      <c r="H37" s="139"/>
      <c r="I37" s="140"/>
      <c r="J37" s="153" t="s">
        <v>4583</v>
      </c>
      <c r="K37" s="141"/>
      <c r="L37" s="141"/>
      <c r="M37" s="142"/>
      <c r="N37" s="141"/>
      <c r="O37" s="141"/>
      <c r="P37" s="138"/>
      <c r="Q37" s="141"/>
      <c r="R37" s="143"/>
      <c r="S37" s="141"/>
      <c r="T37" s="138"/>
      <c r="U37" s="141"/>
      <c r="V37" s="143"/>
      <c r="W37" s="141"/>
      <c r="X37" s="138">
        <f>newloans!H16+newloans!H17</f>
        <v>42136.399522579319</v>
      </c>
      <c r="Y37" s="138">
        <f>newloans!I16+newloans!I17</f>
        <v>97490.075678783309</v>
      </c>
      <c r="Z37" s="143">
        <f>X37+Y37</f>
        <v>139626.47520136263</v>
      </c>
      <c r="AA37" s="141"/>
      <c r="AB37" s="138">
        <f>newloans!H18+newloans!H19</f>
        <v>44226.375472999127</v>
      </c>
      <c r="AC37" s="138">
        <f>newloans!I18+newloans!I19</f>
        <v>95400.099728363508</v>
      </c>
      <c r="AD37" s="143">
        <f t="shared" ref="AD37:AD38" si="0">AB37+AC37</f>
        <v>139626.47520136263</v>
      </c>
      <c r="AE37" s="141"/>
      <c r="AF37" s="138">
        <f>newloans!H20+newloans!H21</f>
        <v>46420.014753053751</v>
      </c>
      <c r="AG37" s="138">
        <f>newloans!I20+newloans!I21</f>
        <v>93206.460448308877</v>
      </c>
      <c r="AH37" s="143">
        <f t="shared" ref="AH37:AH38" si="1">AF37+AG37</f>
        <v>139626.47520136263</v>
      </c>
      <c r="AI37" s="141"/>
      <c r="AJ37" s="138">
        <f>newloans!H22+newloans!H23</f>
        <v>48722.459089808908</v>
      </c>
      <c r="AK37" s="138">
        <f>newloans!I22+newloans!I23</f>
        <v>90904.016111553719</v>
      </c>
      <c r="AL37" s="143">
        <f t="shared" ref="AL37:AL38" si="2">AJ37+AK37</f>
        <v>139626.47520136263</v>
      </c>
      <c r="AM37" s="144"/>
      <c r="AN37" s="138">
        <f>newloans!H24+newloans!H25</f>
        <v>51139.105241278194</v>
      </c>
      <c r="AO37" s="138">
        <f>newloans!I24+newloans!I25</f>
        <v>88487.369960084441</v>
      </c>
      <c r="AP37" s="143">
        <f t="shared" ref="AP37:AP38" si="3">AN37+AO37</f>
        <v>139626.47520136263</v>
      </c>
      <c r="AQ37" s="144"/>
      <c r="AR37" s="138">
        <f>newloans!H26+newloans!H27</f>
        <v>53675.617646021907</v>
      </c>
      <c r="AS37" s="138">
        <f>newloans!I26+newloans!I27</f>
        <v>85950.857555340714</v>
      </c>
      <c r="AT37" s="143">
        <f t="shared" ref="AT37:AT38" si="4">AR37+AS37</f>
        <v>139626.47520136263</v>
      </c>
      <c r="AU37" s="144"/>
      <c r="AV37" s="138">
        <f>newloans!H28+newloans!H29</f>
        <v>56337.941700169009</v>
      </c>
      <c r="AW37" s="138">
        <f>newloans!I28+newloans!I29</f>
        <v>83288.533501193626</v>
      </c>
      <c r="AX37" s="143">
        <f t="shared" ref="AX37:AX38" si="5">AV37+AW37</f>
        <v>139626.47520136263</v>
      </c>
      <c r="AY37" s="144"/>
      <c r="AZ37" s="138">
        <f>newloans!H30+newloans!H31</f>
        <v>59132.317692982811</v>
      </c>
      <c r="BA37" s="138">
        <f>newloans!I30+newloans!I31</f>
        <v>80494.157508379809</v>
      </c>
      <c r="BB37" s="143">
        <f t="shared" ref="BB37:BB38" si="6">AZ37+BA37</f>
        <v>139626.47520136263</v>
      </c>
      <c r="BC37" s="144"/>
    </row>
    <row r="38" spans="1:108" s="190" customFormat="1" x14ac:dyDescent="0.25">
      <c r="A38" s="123"/>
      <c r="B38" s="124">
        <v>2019</v>
      </c>
      <c r="C38" s="125" t="s">
        <v>3606</v>
      </c>
      <c r="D38" s="126"/>
      <c r="E38" s="153">
        <v>2000000</v>
      </c>
      <c r="F38" s="154"/>
      <c r="G38" s="139"/>
      <c r="H38" s="139"/>
      <c r="I38" s="140"/>
      <c r="J38" s="153" t="s">
        <v>4583</v>
      </c>
      <c r="K38" s="141"/>
      <c r="L38" s="141"/>
      <c r="M38" s="142"/>
      <c r="N38" s="141"/>
      <c r="O38" s="141"/>
      <c r="P38" s="138"/>
      <c r="Q38" s="141"/>
      <c r="R38" s="143"/>
      <c r="S38" s="141"/>
      <c r="T38" s="138"/>
      <c r="U38" s="141"/>
      <c r="V38" s="143"/>
      <c r="W38" s="141"/>
      <c r="X38" s="138"/>
      <c r="Y38" s="141"/>
      <c r="Z38" s="143"/>
      <c r="AA38" s="141"/>
      <c r="AB38" s="138">
        <f>newloans!N18+newloans!N19</f>
        <v>42136.399522579319</v>
      </c>
      <c r="AC38" s="138">
        <f>newloans!O18+newloans!O19</f>
        <v>97490.075678783309</v>
      </c>
      <c r="AD38" s="143">
        <f t="shared" si="0"/>
        <v>139626.47520136263</v>
      </c>
      <c r="AE38" s="141"/>
      <c r="AF38" s="138">
        <f>newloans!N20+newloans!N21</f>
        <v>44226.375472999127</v>
      </c>
      <c r="AG38" s="138">
        <f>newloans!O20+newloans!O21</f>
        <v>95400.099728363508</v>
      </c>
      <c r="AH38" s="143">
        <f t="shared" si="1"/>
        <v>139626.47520136263</v>
      </c>
      <c r="AI38" s="141"/>
      <c r="AJ38" s="138">
        <f>newloans!N22+newloans!N23</f>
        <v>46420.014753053751</v>
      </c>
      <c r="AK38" s="138">
        <f>newloans!O22+newloans!O23</f>
        <v>93206.460448308877</v>
      </c>
      <c r="AL38" s="143">
        <f t="shared" si="2"/>
        <v>139626.47520136263</v>
      </c>
      <c r="AM38" s="144"/>
      <c r="AN38" s="138">
        <f>newloans!N24+newloans!N25</f>
        <v>48722.459089808908</v>
      </c>
      <c r="AO38" s="138">
        <f>newloans!O24+newloans!O25</f>
        <v>90904.016111553719</v>
      </c>
      <c r="AP38" s="143">
        <f t="shared" si="3"/>
        <v>139626.47520136263</v>
      </c>
      <c r="AQ38" s="144"/>
      <c r="AR38" s="138">
        <f>newloans!N26+newloans!N27</f>
        <v>51139.105241278194</v>
      </c>
      <c r="AS38" s="138">
        <f>newloans!O26+newloans!O27</f>
        <v>88487.369960084441</v>
      </c>
      <c r="AT38" s="143">
        <f t="shared" si="4"/>
        <v>139626.47520136263</v>
      </c>
      <c r="AU38" s="144"/>
      <c r="AV38" s="138">
        <f>newloans!N28+newloans!N29</f>
        <v>53675.617646021907</v>
      </c>
      <c r="AW38" s="138">
        <f>newloans!O28+newloans!O29</f>
        <v>85950.857555340714</v>
      </c>
      <c r="AX38" s="143">
        <f t="shared" si="5"/>
        <v>139626.47520136263</v>
      </c>
      <c r="AY38" s="144"/>
      <c r="AZ38" s="138">
        <f>newloans!N30+newloans!N31</f>
        <v>56337.941700169009</v>
      </c>
      <c r="BA38" s="138">
        <f>newloans!O30+newloans!O31</f>
        <v>83288.533501193626</v>
      </c>
      <c r="BB38" s="143">
        <f t="shared" si="6"/>
        <v>139626.47520136263</v>
      </c>
      <c r="BC38" s="144"/>
    </row>
    <row r="39" spans="1:108" s="190" customFormat="1" x14ac:dyDescent="0.25">
      <c r="A39" s="123"/>
      <c r="B39" s="124"/>
      <c r="C39" s="125"/>
      <c r="D39" s="126"/>
      <c r="E39" s="153"/>
      <c r="F39" s="154"/>
      <c r="G39" s="139"/>
      <c r="H39" s="139"/>
      <c r="I39" s="140"/>
      <c r="J39" s="153"/>
      <c r="K39" s="141"/>
      <c r="L39" s="141"/>
      <c r="M39" s="142"/>
      <c r="N39" s="141"/>
      <c r="O39" s="141"/>
      <c r="P39" s="138"/>
      <c r="Q39" s="141"/>
      <c r="R39" s="143"/>
      <c r="S39" s="141"/>
      <c r="T39" s="138"/>
      <c r="U39" s="141"/>
      <c r="V39" s="143"/>
      <c r="W39" s="141"/>
      <c r="X39" s="138"/>
      <c r="Y39" s="141"/>
      <c r="Z39" s="143"/>
      <c r="AA39" s="141"/>
      <c r="AB39" s="138"/>
      <c r="AC39" s="141"/>
      <c r="AD39" s="143"/>
      <c r="AE39" s="141"/>
      <c r="AF39" s="138"/>
      <c r="AG39" s="141"/>
      <c r="AH39" s="143"/>
      <c r="AI39" s="141"/>
      <c r="AJ39" s="138"/>
      <c r="AK39" s="141"/>
      <c r="AL39" s="143"/>
      <c r="AM39" s="144"/>
      <c r="AN39" s="138"/>
      <c r="AO39" s="141"/>
      <c r="AP39" s="143"/>
      <c r="AQ39" s="144"/>
      <c r="AR39" s="138"/>
      <c r="AS39" s="141"/>
      <c r="AT39" s="143"/>
      <c r="AU39" s="144"/>
      <c r="AV39" s="138"/>
      <c r="AW39" s="141"/>
      <c r="AX39" s="143"/>
      <c r="AY39" s="144"/>
      <c r="AZ39" s="138"/>
      <c r="BA39" s="141"/>
      <c r="BB39" s="143"/>
      <c r="BC39" s="144"/>
    </row>
    <row r="40" spans="1:108" s="151" customFormat="1" x14ac:dyDescent="0.25">
      <c r="A40" s="156"/>
      <c r="B40" s="157"/>
      <c r="C40" s="158"/>
      <c r="D40" s="159"/>
      <c r="E40" s="135"/>
      <c r="F40" s="145"/>
      <c r="G40" s="146"/>
      <c r="H40" s="146"/>
      <c r="I40" s="135"/>
      <c r="J40" s="135"/>
      <c r="K40" s="148"/>
      <c r="L40" s="148"/>
      <c r="M40" s="149"/>
      <c r="N40" s="148"/>
      <c r="O40" s="148"/>
      <c r="P40" s="146"/>
      <c r="Q40" s="148"/>
      <c r="R40" s="150"/>
      <c r="S40" s="148"/>
      <c r="T40" s="146"/>
      <c r="U40" s="148"/>
      <c r="V40" s="150"/>
      <c r="W40" s="148"/>
      <c r="X40" s="146"/>
      <c r="Y40" s="148"/>
      <c r="Z40" s="150"/>
      <c r="AA40" s="148"/>
      <c r="AB40" s="146"/>
      <c r="AC40" s="148"/>
      <c r="AD40" s="150"/>
      <c r="AE40" s="148"/>
      <c r="AF40" s="146"/>
      <c r="AG40" s="148"/>
      <c r="AH40" s="150"/>
      <c r="AI40" s="148"/>
      <c r="AJ40" s="146"/>
      <c r="AK40" s="148"/>
      <c r="AL40" s="150"/>
      <c r="AN40" s="146"/>
      <c r="AO40" s="148"/>
      <c r="AP40" s="150"/>
      <c r="AR40" s="146"/>
      <c r="AS40" s="148"/>
      <c r="AT40" s="150"/>
      <c r="AV40" s="146"/>
      <c r="AW40" s="148"/>
      <c r="AX40" s="150"/>
      <c r="AZ40" s="146"/>
      <c r="BA40" s="148"/>
      <c r="BB40" s="150"/>
    </row>
    <row r="41" spans="1:108" s="151" customFormat="1" x14ac:dyDescent="0.25">
      <c r="A41" s="156"/>
      <c r="B41" s="157"/>
      <c r="C41" s="158"/>
      <c r="D41" s="159"/>
      <c r="E41" s="135">
        <f>SUM(E30:E40)</f>
        <v>8297500</v>
      </c>
      <c r="F41" s="145"/>
      <c r="G41" s="146"/>
      <c r="H41" s="146">
        <f>SUM(H30:H40)</f>
        <v>2076263.5563461275</v>
      </c>
      <c r="I41" s="140"/>
      <c r="J41" s="135" t="s">
        <v>4081</v>
      </c>
      <c r="K41" s="148">
        <f>SUM(K30:K40)</f>
        <v>44807.80086760527</v>
      </c>
      <c r="L41" s="148">
        <f>SUM(L30:L40)</f>
        <v>161191.64086347457</v>
      </c>
      <c r="M41" s="149">
        <f>SUM(M30:M40)</f>
        <v>205999.44173107983</v>
      </c>
      <c r="N41" s="148"/>
      <c r="O41" s="148"/>
      <c r="P41" s="146">
        <f>SUM(P30:P40)</f>
        <v>55789.226133700126</v>
      </c>
      <c r="Q41" s="148">
        <f>SUM(Q30:Q40)</f>
        <v>150210.20808737969</v>
      </c>
      <c r="R41" s="150">
        <f>SUM(R30:R40)</f>
        <v>205999.43422107983</v>
      </c>
      <c r="S41" s="148"/>
      <c r="T41" s="146">
        <f>SUM(T30:T40)</f>
        <v>101985.20798758828</v>
      </c>
      <c r="U41" s="148">
        <f>SUM(U30:U40)</f>
        <v>243640.70894485421</v>
      </c>
      <c r="V41" s="150">
        <f>SUM(V30:V40)</f>
        <v>345625.91693244246</v>
      </c>
      <c r="W41" s="148"/>
      <c r="X41" s="146">
        <f>SUM(X30:X40)</f>
        <v>150476.60197143391</v>
      </c>
      <c r="Y41" s="148">
        <f>SUM(Y30:Y40)</f>
        <v>334775.79016237118</v>
      </c>
      <c r="Z41" s="150">
        <f>SUM(Z30:Z40)</f>
        <v>485252.39213380509</v>
      </c>
      <c r="AA41" s="148"/>
      <c r="AB41" s="146">
        <f>SUM(AB30:AB40)</f>
        <v>200882.80025912792</v>
      </c>
      <c r="AC41" s="148">
        <f>SUM(AC30:AC40)</f>
        <v>423996.06632503978</v>
      </c>
      <c r="AD41" s="150">
        <f>SUM(AD30:AD40)</f>
        <v>624878.8665841677</v>
      </c>
      <c r="AE41" s="148"/>
      <c r="AF41" s="146">
        <f>SUM(AF30:AF40)</f>
        <v>213321.28020925185</v>
      </c>
      <c r="AG41" s="148">
        <f>SUM(AG30:AG40)</f>
        <v>411538.76894591592</v>
      </c>
      <c r="AH41" s="150">
        <f>SUM(AH30:AH40)</f>
        <v>624860.04915516777</v>
      </c>
      <c r="AI41" s="148"/>
      <c r="AJ41" s="146">
        <f>SUM(AJ30:AJ40)</f>
        <v>225903.72564921997</v>
      </c>
      <c r="AK41" s="148">
        <f>SUM(AK30:AK40)</f>
        <v>398956.31425694772</v>
      </c>
      <c r="AL41" s="150">
        <f>SUM(AL30:AL40)</f>
        <v>624860.03990616766</v>
      </c>
      <c r="AM41" s="148"/>
      <c r="AN41" s="146">
        <f>SUM(AN30:AN40)</f>
        <v>239117.13144803268</v>
      </c>
      <c r="AO41" s="148">
        <f>SUM(AO30:AO40)</f>
        <v>385742.91770713503</v>
      </c>
      <c r="AP41" s="150">
        <f>SUM(AP30:AP40)</f>
        <v>624860.04915516777</v>
      </c>
      <c r="AQ41" s="148"/>
      <c r="AR41" s="146">
        <f>SUM(AR30:AR40)</f>
        <v>253028.7321957587</v>
      </c>
      <c r="AS41" s="148">
        <f>SUM(AS30:AS40)</f>
        <v>371831.30771040905</v>
      </c>
      <c r="AT41" s="150">
        <f>SUM(AT30:AT40)</f>
        <v>624860.03990616766</v>
      </c>
      <c r="AU41" s="148"/>
      <c r="AV41" s="146">
        <f>SUM(AV30:AV40)</f>
        <v>267988.91456878983</v>
      </c>
      <c r="AW41" s="148">
        <f>SUM(AW30:AW40)</f>
        <v>356871.13458637788</v>
      </c>
      <c r="AX41" s="150">
        <f>SUM(AX30:AX40)</f>
        <v>624860.04915516777</v>
      </c>
      <c r="AY41" s="148"/>
      <c r="AZ41" s="146">
        <f>SUM(AZ30:AZ40)</f>
        <v>286864.73517277365</v>
      </c>
      <c r="BA41" s="148">
        <f>SUM(BA30:BA40)</f>
        <v>337995.31473339407</v>
      </c>
      <c r="BB41" s="150">
        <f>SUM(BB30:BB40)</f>
        <v>624860.04990616767</v>
      </c>
      <c r="BC41" s="148"/>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row>
    <row r="42" spans="1:108" s="151" customFormat="1" x14ac:dyDescent="0.25">
      <c r="A42" s="156"/>
      <c r="B42" s="157"/>
      <c r="C42" s="158"/>
      <c r="D42" s="159"/>
      <c r="E42" s="135"/>
      <c r="F42" s="145"/>
      <c r="G42" s="146"/>
      <c r="H42" s="146"/>
      <c r="I42" s="135"/>
      <c r="J42" s="135"/>
      <c r="K42" s="148"/>
      <c r="L42" s="148"/>
      <c r="M42" s="149"/>
      <c r="N42" s="148"/>
      <c r="O42" s="148"/>
      <c r="P42" s="146"/>
      <c r="Q42" s="148"/>
      <c r="R42" s="150"/>
      <c r="S42" s="148"/>
      <c r="T42" s="146"/>
      <c r="U42" s="148"/>
      <c r="V42" s="150"/>
      <c r="W42" s="148"/>
      <c r="X42" s="146"/>
      <c r="Y42" s="148"/>
      <c r="Z42" s="150"/>
      <c r="AA42" s="148"/>
      <c r="AB42" s="146"/>
      <c r="AC42" s="148"/>
      <c r="AD42" s="150"/>
      <c r="AE42" s="148"/>
      <c r="AF42" s="146"/>
      <c r="AG42" s="148"/>
      <c r="AH42" s="150"/>
      <c r="AI42" s="148"/>
      <c r="AJ42" s="146"/>
      <c r="AK42" s="148"/>
      <c r="AL42" s="150"/>
      <c r="AN42" s="146"/>
      <c r="AO42" s="148"/>
      <c r="AP42" s="150"/>
      <c r="AR42" s="146"/>
      <c r="AS42" s="148"/>
      <c r="AT42" s="150"/>
      <c r="AV42" s="146"/>
      <c r="AW42" s="148"/>
      <c r="AX42" s="150"/>
      <c r="AZ42" s="146"/>
      <c r="BA42" s="148"/>
      <c r="BB42" s="150"/>
    </row>
    <row r="43" spans="1:108" s="151" customFormat="1" x14ac:dyDescent="0.25">
      <c r="A43" s="156"/>
      <c r="B43" s="157"/>
      <c r="C43" s="158"/>
      <c r="D43" s="159"/>
      <c r="E43" s="135"/>
      <c r="F43" s="145"/>
      <c r="G43" s="146"/>
      <c r="H43" s="146"/>
      <c r="I43" s="140"/>
      <c r="J43" s="135" t="s">
        <v>4082</v>
      </c>
      <c r="K43" s="148"/>
      <c r="L43" s="148"/>
      <c r="M43" s="149"/>
      <c r="N43" s="148"/>
      <c r="O43" s="148"/>
      <c r="P43" s="146"/>
      <c r="Q43" s="148"/>
      <c r="R43" s="150"/>
      <c r="S43" s="148"/>
      <c r="T43" s="146"/>
      <c r="U43" s="148"/>
      <c r="V43" s="150"/>
      <c r="W43" s="148"/>
      <c r="X43" s="146"/>
      <c r="Y43" s="148"/>
      <c r="Z43" s="150"/>
      <c r="AA43" s="148"/>
      <c r="AB43" s="146"/>
      <c r="AC43" s="148"/>
      <c r="AD43" s="150"/>
      <c r="AE43" s="148"/>
      <c r="AF43" s="146"/>
      <c r="AG43" s="148"/>
      <c r="AH43" s="150"/>
      <c r="AI43" s="148"/>
      <c r="AJ43" s="146"/>
      <c r="AK43" s="148"/>
      <c r="AL43" s="150"/>
      <c r="AM43" s="192"/>
      <c r="AN43" s="146"/>
      <c r="AO43" s="148"/>
      <c r="AP43" s="150"/>
      <c r="AQ43" s="192"/>
      <c r="AR43" s="146"/>
      <c r="AS43" s="148"/>
      <c r="AT43" s="150"/>
      <c r="AU43" s="192"/>
      <c r="AV43" s="146"/>
      <c r="AW43" s="148"/>
      <c r="AX43" s="150"/>
      <c r="AZ43" s="146"/>
      <c r="BA43" s="148"/>
      <c r="BB43" s="150"/>
    </row>
    <row r="44" spans="1:108" x14ac:dyDescent="0.25">
      <c r="A44" s="123">
        <v>43</v>
      </c>
      <c r="B44" s="124">
        <v>2004</v>
      </c>
      <c r="C44" s="125" t="s">
        <v>4076</v>
      </c>
      <c r="D44" s="126">
        <v>0.59240000000000004</v>
      </c>
      <c r="E44" s="153">
        <v>625000</v>
      </c>
      <c r="F44" s="137"/>
      <c r="G44" s="138"/>
      <c r="H44" s="139">
        <f>(468018.34/SUM(E$70:E$71,E$44:E$45)*E44)</f>
        <v>277262.04976303322</v>
      </c>
      <c r="I44" s="140">
        <v>2019</v>
      </c>
      <c r="J44" s="136" t="s">
        <v>4083</v>
      </c>
      <c r="K44" s="141">
        <v>45607.636255924175</v>
      </c>
      <c r="L44" s="141">
        <v>19707.529620853078</v>
      </c>
      <c r="M44" s="142">
        <v>65315.165876777253</v>
      </c>
      <c r="N44" s="141"/>
      <c r="O44" s="141"/>
      <c r="P44" s="138">
        <v>55272.316350710898</v>
      </c>
      <c r="Q44" s="141">
        <v>10042.849526066351</v>
      </c>
      <c r="R44" s="143">
        <v>65315.165876777246</v>
      </c>
      <c r="S44" s="141"/>
      <c r="T44" s="138">
        <v>58908.513033175361</v>
      </c>
      <c r="U44" s="141">
        <v>6406.6528436018953</v>
      </c>
      <c r="V44" s="143">
        <v>65315.165876777253</v>
      </c>
      <c r="W44" s="141"/>
      <c r="X44" s="138">
        <v>62778.015402843601</v>
      </c>
      <c r="Y44" s="141">
        <v>2537.1504739336492</v>
      </c>
      <c r="Z44" s="143">
        <v>65315.165876777253</v>
      </c>
      <c r="AA44" s="141"/>
      <c r="AB44" s="138">
        <v>0</v>
      </c>
      <c r="AC44" s="141">
        <v>0</v>
      </c>
      <c r="AD44" s="143">
        <v>0</v>
      </c>
      <c r="AE44" s="141"/>
      <c r="AF44" s="138">
        <v>0</v>
      </c>
      <c r="AG44" s="141">
        <v>0</v>
      </c>
      <c r="AH44" s="143">
        <v>0</v>
      </c>
      <c r="AI44" s="141"/>
      <c r="AJ44" s="138">
        <v>0</v>
      </c>
      <c r="AK44" s="141">
        <v>0</v>
      </c>
      <c r="AL44" s="143">
        <v>0</v>
      </c>
      <c r="AN44" s="138">
        <v>0</v>
      </c>
      <c r="AO44" s="141">
        <v>0</v>
      </c>
      <c r="AP44" s="143">
        <v>0</v>
      </c>
      <c r="AR44" s="138">
        <v>0</v>
      </c>
      <c r="AS44" s="141">
        <v>0</v>
      </c>
      <c r="AT44" s="143">
        <v>0</v>
      </c>
      <c r="AV44" s="138">
        <v>0</v>
      </c>
      <c r="AW44" s="141">
        <v>0</v>
      </c>
      <c r="AX44" s="143">
        <v>0</v>
      </c>
      <c r="AZ44" s="138">
        <v>0</v>
      </c>
      <c r="BA44" s="141">
        <v>0</v>
      </c>
      <c r="BB44" s="143">
        <v>0</v>
      </c>
    </row>
    <row r="45" spans="1:108" x14ac:dyDescent="0.25">
      <c r="A45" s="123">
        <v>43</v>
      </c>
      <c r="B45" s="124">
        <v>2004</v>
      </c>
      <c r="C45" s="125" t="s">
        <v>4076</v>
      </c>
      <c r="D45" s="126">
        <v>0.23699999999999999</v>
      </c>
      <c r="E45" s="153">
        <v>250000</v>
      </c>
      <c r="F45" s="137"/>
      <c r="G45" s="138"/>
      <c r="H45" s="139">
        <f>(468018.34/SUM(E$70:E$71,E$44:E$45)*E45)</f>
        <v>110904.81990521328</v>
      </c>
      <c r="I45" s="140">
        <v>2019</v>
      </c>
      <c r="J45" s="136" t="s">
        <v>4084</v>
      </c>
      <c r="K45" s="141">
        <v>18243.054502369669</v>
      </c>
      <c r="L45" s="141">
        <v>7883.0118483412316</v>
      </c>
      <c r="M45" s="142">
        <v>26126.066350710898</v>
      </c>
      <c r="N45" s="141"/>
      <c r="O45" s="141"/>
      <c r="P45" s="138">
        <v>22108.926540284359</v>
      </c>
      <c r="Q45" s="141">
        <v>4017.1398104265409</v>
      </c>
      <c r="R45" s="143">
        <v>26126.066350710898</v>
      </c>
      <c r="S45" s="141"/>
      <c r="T45" s="138">
        <v>23563.405213270144</v>
      </c>
      <c r="U45" s="141">
        <v>2562.661137440758</v>
      </c>
      <c r="V45" s="143">
        <v>26126.066350710902</v>
      </c>
      <c r="W45" s="141"/>
      <c r="X45" s="138">
        <v>25111.206161137441</v>
      </c>
      <c r="Y45" s="141">
        <v>1014.8601895734597</v>
      </c>
      <c r="Z45" s="143">
        <v>26126.066350710902</v>
      </c>
      <c r="AA45" s="141"/>
      <c r="AB45" s="138">
        <v>0</v>
      </c>
      <c r="AC45" s="141">
        <v>0</v>
      </c>
      <c r="AD45" s="143">
        <v>0</v>
      </c>
      <c r="AE45" s="141"/>
      <c r="AF45" s="138">
        <v>0</v>
      </c>
      <c r="AG45" s="141">
        <v>0</v>
      </c>
      <c r="AH45" s="143">
        <v>0</v>
      </c>
      <c r="AI45" s="141"/>
      <c r="AJ45" s="138">
        <v>0</v>
      </c>
      <c r="AK45" s="141">
        <v>0</v>
      </c>
      <c r="AL45" s="143">
        <v>0</v>
      </c>
      <c r="AN45" s="138">
        <v>0</v>
      </c>
      <c r="AO45" s="141">
        <v>0</v>
      </c>
      <c r="AP45" s="143">
        <v>0</v>
      </c>
      <c r="AR45" s="138">
        <v>0</v>
      </c>
      <c r="AS45" s="141">
        <v>0</v>
      </c>
      <c r="AT45" s="143">
        <v>0</v>
      </c>
      <c r="AV45" s="138">
        <v>0</v>
      </c>
      <c r="AW45" s="141">
        <v>0</v>
      </c>
      <c r="AX45" s="143">
        <v>0</v>
      </c>
      <c r="AZ45" s="138">
        <v>0</v>
      </c>
      <c r="BA45" s="141">
        <v>0</v>
      </c>
      <c r="BB45" s="143">
        <v>0</v>
      </c>
    </row>
    <row r="46" spans="1:108" s="190" customFormat="1" x14ac:dyDescent="0.25">
      <c r="A46" s="123">
        <v>49</v>
      </c>
      <c r="B46" s="124">
        <v>2006</v>
      </c>
      <c r="C46" s="125" t="s">
        <v>4076</v>
      </c>
      <c r="D46" s="126">
        <v>0.21890000000000001</v>
      </c>
      <c r="E46" s="153">
        <v>500000</v>
      </c>
      <c r="F46" s="154"/>
      <c r="G46" s="139"/>
      <c r="H46" s="139">
        <f>(1691465.44/SUM(E$73:E$75,E$31,E$46:E$47))*E46</f>
        <v>370204.73626614135</v>
      </c>
      <c r="I46" s="140">
        <v>2026</v>
      </c>
      <c r="J46" s="153" t="s">
        <v>4085</v>
      </c>
      <c r="K46" s="141">
        <v>20099.838038958198</v>
      </c>
      <c r="L46" s="141">
        <v>24207.178813744802</v>
      </c>
      <c r="M46" s="142">
        <v>44307.016852703004</v>
      </c>
      <c r="N46" s="189"/>
      <c r="O46" s="189"/>
      <c r="P46" s="138">
        <v>24192.079229590719</v>
      </c>
      <c r="Q46" s="141">
        <v>20114.937623112277</v>
      </c>
      <c r="R46" s="143">
        <v>44307.016852702996</v>
      </c>
      <c r="S46" s="189"/>
      <c r="T46" s="138">
        <v>25656.655723353029</v>
      </c>
      <c r="U46" s="141">
        <v>18650.361129349967</v>
      </c>
      <c r="V46" s="143">
        <v>44307.016852702996</v>
      </c>
      <c r="W46" s="189"/>
      <c r="X46" s="138">
        <v>27476.8067410812</v>
      </c>
      <c r="Y46" s="141">
        <v>16830.2101116218</v>
      </c>
      <c r="Z46" s="143">
        <v>44307.016852703004</v>
      </c>
      <c r="AA46" s="189"/>
      <c r="AB46" s="138">
        <v>29216.242066097617</v>
      </c>
      <c r="AC46" s="141">
        <v>15090.774786605385</v>
      </c>
      <c r="AD46" s="143">
        <v>44307.016852703004</v>
      </c>
      <c r="AE46" s="189"/>
      <c r="AF46" s="138">
        <v>31109.12234624644</v>
      </c>
      <c r="AG46" s="141">
        <v>13197.894506456556</v>
      </c>
      <c r="AH46" s="143">
        <v>44307.016852702996</v>
      </c>
      <c r="AI46" s="189"/>
      <c r="AJ46" s="138">
        <v>33128.826876778287</v>
      </c>
      <c r="AK46" s="141">
        <v>11178.18997592471</v>
      </c>
      <c r="AL46" s="143">
        <v>44307.016852702996</v>
      </c>
      <c r="AM46" s="191"/>
      <c r="AN46" s="138">
        <v>35279.662945940028</v>
      </c>
      <c r="AO46" s="141">
        <v>9027.3539067629681</v>
      </c>
      <c r="AP46" s="143">
        <v>44307.016852702996</v>
      </c>
      <c r="AQ46" s="191"/>
      <c r="AR46" s="138">
        <v>37524.456117312322</v>
      </c>
      <c r="AS46" s="141">
        <v>6782.5607353906762</v>
      </c>
      <c r="AT46" s="143">
        <v>44307.016852702996</v>
      </c>
      <c r="AU46" s="191"/>
      <c r="AV46" s="138">
        <v>40019.461588969141</v>
      </c>
      <c r="AW46" s="141">
        <v>4287.5552637338587</v>
      </c>
      <c r="AX46" s="143">
        <v>44307.016852703004</v>
      </c>
      <c r="AY46" s="190">
        <v>44308.016852702996</v>
      </c>
      <c r="AZ46" s="138">
        <v>42604.528343182319</v>
      </c>
      <c r="BA46" s="141">
        <v>1702.488509520683</v>
      </c>
      <c r="BB46" s="143">
        <v>44307.016852703004</v>
      </c>
    </row>
    <row r="47" spans="1:108" s="190" customFormat="1" x14ac:dyDescent="0.25">
      <c r="A47" s="123">
        <v>49</v>
      </c>
      <c r="B47" s="124">
        <v>2006</v>
      </c>
      <c r="C47" s="125" t="s">
        <v>4076</v>
      </c>
      <c r="D47" s="126">
        <v>0.21890000000000001</v>
      </c>
      <c r="E47" s="153">
        <v>500000</v>
      </c>
      <c r="F47" s="154"/>
      <c r="G47" s="139"/>
      <c r="H47" s="139">
        <f>(1691465.44/SUM(E$73:E$75,E$31,E$46:E$47))*E47</f>
        <v>370204.73626614135</v>
      </c>
      <c r="I47" s="140">
        <v>2026</v>
      </c>
      <c r="J47" s="153" t="s">
        <v>4086</v>
      </c>
      <c r="K47" s="141">
        <v>20099.838038958198</v>
      </c>
      <c r="L47" s="141">
        <v>24207.178813744802</v>
      </c>
      <c r="M47" s="142">
        <v>44307.016852703004</v>
      </c>
      <c r="N47" s="189"/>
      <c r="O47" s="189"/>
      <c r="P47" s="138">
        <v>24192.079229590719</v>
      </c>
      <c r="Q47" s="141">
        <v>20114.937623112277</v>
      </c>
      <c r="R47" s="143">
        <v>44307.016852702996</v>
      </c>
      <c r="S47" s="189"/>
      <c r="T47" s="138">
        <v>25656.655723353029</v>
      </c>
      <c r="U47" s="141">
        <v>18650.361129349967</v>
      </c>
      <c r="V47" s="143">
        <v>44307.016852702996</v>
      </c>
      <c r="W47" s="189"/>
      <c r="X47" s="138">
        <v>27476.8067410812</v>
      </c>
      <c r="Y47" s="141">
        <v>16830.2101116218</v>
      </c>
      <c r="Z47" s="143">
        <v>44307.016852703004</v>
      </c>
      <c r="AA47" s="189"/>
      <c r="AB47" s="138">
        <v>29216.242066097617</v>
      </c>
      <c r="AC47" s="141">
        <v>15090.774786605385</v>
      </c>
      <c r="AD47" s="143">
        <v>44307.016852703004</v>
      </c>
      <c r="AE47" s="189"/>
      <c r="AF47" s="138">
        <v>31109.12234624644</v>
      </c>
      <c r="AG47" s="141">
        <v>13197.894506456556</v>
      </c>
      <c r="AH47" s="143">
        <v>44307.016852702996</v>
      </c>
      <c r="AI47" s="189"/>
      <c r="AJ47" s="138">
        <v>33128.826876778287</v>
      </c>
      <c r="AK47" s="141">
        <v>11178.18997592471</v>
      </c>
      <c r="AL47" s="143">
        <v>44307.016852702996</v>
      </c>
      <c r="AM47" s="191"/>
      <c r="AN47" s="138">
        <v>35279.662945940028</v>
      </c>
      <c r="AO47" s="141">
        <v>9027.3539067629681</v>
      </c>
      <c r="AP47" s="143">
        <v>44307.016852702996</v>
      </c>
      <c r="AQ47" s="191"/>
      <c r="AR47" s="138">
        <v>37524.456117312322</v>
      </c>
      <c r="AS47" s="141">
        <v>6782.5607353906762</v>
      </c>
      <c r="AT47" s="143">
        <v>44307.016852702996</v>
      </c>
      <c r="AU47" s="191"/>
      <c r="AV47" s="138">
        <v>40019.461588969141</v>
      </c>
      <c r="AW47" s="141">
        <v>4287.5552637338587</v>
      </c>
      <c r="AX47" s="143">
        <v>44307.016852703004</v>
      </c>
      <c r="AY47" s="190">
        <v>44308.016852702996</v>
      </c>
      <c r="AZ47" s="138">
        <v>42604.528343182319</v>
      </c>
      <c r="BA47" s="141">
        <v>1702.488509520683</v>
      </c>
      <c r="BB47" s="143">
        <v>44307.016852703004</v>
      </c>
    </row>
    <row r="48" spans="1:108" s="190" customFormat="1" x14ac:dyDescent="0.25">
      <c r="A48" s="123">
        <v>51</v>
      </c>
      <c r="B48" s="124">
        <v>2007</v>
      </c>
      <c r="C48" s="125" t="s">
        <v>4066</v>
      </c>
      <c r="D48" s="126">
        <v>0.1007</v>
      </c>
      <c r="E48" s="153">
        <v>500000</v>
      </c>
      <c r="F48" s="154"/>
      <c r="G48" s="139"/>
      <c r="H48" s="139">
        <f>759142.18066/SUM(E$72,E$30,E$48)*E48</f>
        <v>394154.81861889921</v>
      </c>
      <c r="I48" s="140">
        <v>2027</v>
      </c>
      <c r="J48" s="153" t="s">
        <v>4086</v>
      </c>
      <c r="K48" s="141">
        <v>18354.224259520452</v>
      </c>
      <c r="L48" s="141">
        <v>27703.889784404593</v>
      </c>
      <c r="M48" s="142">
        <v>46058.114043925045</v>
      </c>
      <c r="N48" s="189"/>
      <c r="O48" s="189"/>
      <c r="P48" s="138">
        <v>22482.710054402578</v>
      </c>
      <c r="Q48" s="141">
        <v>23575.403989522463</v>
      </c>
      <c r="R48" s="143">
        <v>46058.114043925045</v>
      </c>
      <c r="S48" s="189"/>
      <c r="T48" s="138">
        <v>24057.495466451743</v>
      </c>
      <c r="U48" s="141">
        <v>22000.618577473302</v>
      </c>
      <c r="V48" s="143">
        <v>46058.114043925045</v>
      </c>
      <c r="W48" s="189"/>
      <c r="X48" s="138">
        <v>25742.574047954866</v>
      </c>
      <c r="Y48" s="141">
        <v>20315.539995970179</v>
      </c>
      <c r="Z48" s="143">
        <v>46058.114043925045</v>
      </c>
      <c r="AA48" s="189"/>
      <c r="AB48" s="138">
        <v>27494.715897642553</v>
      </c>
      <c r="AC48" s="141">
        <v>18563.398146282492</v>
      </c>
      <c r="AD48" s="143">
        <v>46058.114043925045</v>
      </c>
      <c r="AE48" s="189"/>
      <c r="AF48" s="138">
        <v>29471.488011283498</v>
      </c>
      <c r="AG48" s="141">
        <v>16586.626032641547</v>
      </c>
      <c r="AH48" s="143">
        <v>46058.114043925045</v>
      </c>
      <c r="AI48" s="189"/>
      <c r="AJ48" s="138">
        <v>31535.751561555509</v>
      </c>
      <c r="AK48" s="141">
        <v>14522.362482369534</v>
      </c>
      <c r="AL48" s="143">
        <v>46058.114043925045</v>
      </c>
      <c r="AM48" s="191"/>
      <c r="AN48" s="138">
        <v>33744.588958291351</v>
      </c>
      <c r="AO48" s="141">
        <v>12313.52508563369</v>
      </c>
      <c r="AP48" s="143">
        <v>46058.114043925045</v>
      </c>
      <c r="AQ48" s="191"/>
      <c r="AR48" s="138">
        <v>36081.239169856941</v>
      </c>
      <c r="AS48" s="141">
        <v>9976.874874068104</v>
      </c>
      <c r="AT48" s="143">
        <v>46058.114043925045</v>
      </c>
      <c r="AU48" s="191"/>
      <c r="AV48" s="138">
        <v>38635.324400564175</v>
      </c>
      <c r="AW48" s="141">
        <v>7422.7896433608703</v>
      </c>
      <c r="AX48" s="143">
        <v>46058.114043925045</v>
      </c>
      <c r="AY48" s="191"/>
      <c r="AZ48" s="138">
        <v>41341.403385049365</v>
      </c>
      <c r="BA48" s="141">
        <v>4716.7106588756797</v>
      </c>
      <c r="BB48" s="143">
        <v>46058.114043925045</v>
      </c>
      <c r="BC48" s="191"/>
    </row>
    <row r="49" spans="1:55" s="190" customFormat="1" x14ac:dyDescent="0.25">
      <c r="A49" s="123">
        <v>54</v>
      </c>
      <c r="B49" s="124">
        <v>2008</v>
      </c>
      <c r="C49" s="125" t="s">
        <v>4066</v>
      </c>
      <c r="D49" s="126">
        <v>1</v>
      </c>
      <c r="E49" s="153">
        <v>52000</v>
      </c>
      <c r="F49" s="154"/>
      <c r="G49" s="139"/>
      <c r="H49" s="139">
        <v>25778.22</v>
      </c>
      <c r="I49" s="140">
        <v>2018</v>
      </c>
      <c r="J49" s="153" t="s">
        <v>4087</v>
      </c>
      <c r="K49" s="141">
        <v>5378.12</v>
      </c>
      <c r="L49" s="141">
        <v>2576.48</v>
      </c>
      <c r="M49" s="142">
        <v>7954.6</v>
      </c>
      <c r="N49" s="193"/>
      <c r="O49" s="193"/>
      <c r="P49" s="138">
        <v>6988.73</v>
      </c>
      <c r="Q49" s="141">
        <v>965.87</v>
      </c>
      <c r="R49" s="143">
        <v>7954.6</v>
      </c>
      <c r="S49" s="193"/>
      <c r="T49" s="138">
        <v>6520.11</v>
      </c>
      <c r="U49" s="141">
        <v>328.02</v>
      </c>
      <c r="V49" s="143">
        <v>6848.13</v>
      </c>
      <c r="W49" s="193"/>
      <c r="X49" s="138">
        <v>0</v>
      </c>
      <c r="Y49" s="141">
        <v>0</v>
      </c>
      <c r="Z49" s="143">
        <v>0</v>
      </c>
      <c r="AA49" s="193"/>
      <c r="AB49" s="138">
        <v>0</v>
      </c>
      <c r="AC49" s="141">
        <v>0</v>
      </c>
      <c r="AD49" s="143">
        <v>0</v>
      </c>
      <c r="AE49" s="193"/>
      <c r="AF49" s="138">
        <v>0</v>
      </c>
      <c r="AG49" s="141">
        <v>0</v>
      </c>
      <c r="AH49" s="143">
        <v>0</v>
      </c>
      <c r="AI49" s="193"/>
      <c r="AJ49" s="138">
        <v>0</v>
      </c>
      <c r="AK49" s="141">
        <v>0</v>
      </c>
      <c r="AL49" s="143">
        <v>0</v>
      </c>
      <c r="AM49" s="194"/>
      <c r="AN49" s="138">
        <v>0</v>
      </c>
      <c r="AO49" s="141">
        <v>0</v>
      </c>
      <c r="AP49" s="143">
        <v>0</v>
      </c>
      <c r="AQ49" s="194"/>
      <c r="AR49" s="138">
        <v>0</v>
      </c>
      <c r="AS49" s="141">
        <v>0</v>
      </c>
      <c r="AT49" s="143">
        <v>0</v>
      </c>
      <c r="AU49" s="194"/>
      <c r="AV49" s="138">
        <v>0</v>
      </c>
      <c r="AW49" s="141">
        <v>0</v>
      </c>
      <c r="AX49" s="143">
        <v>0</v>
      </c>
      <c r="AY49" s="194"/>
      <c r="AZ49" s="138">
        <v>0</v>
      </c>
      <c r="BA49" s="141">
        <v>0</v>
      </c>
      <c r="BB49" s="143">
        <v>0</v>
      </c>
      <c r="BC49" s="194"/>
    </row>
    <row r="50" spans="1:55" s="151" customFormat="1" x14ac:dyDescent="0.25">
      <c r="A50" s="156"/>
      <c r="B50" s="157"/>
      <c r="C50" s="158"/>
      <c r="D50" s="159"/>
      <c r="E50" s="135"/>
      <c r="F50" s="145"/>
      <c r="G50" s="146"/>
      <c r="H50" s="147"/>
      <c r="I50" s="135"/>
      <c r="J50" s="135"/>
      <c r="K50" s="148"/>
      <c r="L50" s="148"/>
      <c r="M50" s="149"/>
      <c r="N50" s="148"/>
      <c r="O50" s="148"/>
      <c r="P50" s="146"/>
      <c r="Q50" s="148"/>
      <c r="R50" s="150"/>
      <c r="S50" s="148"/>
      <c r="T50" s="146"/>
      <c r="U50" s="148"/>
      <c r="V50" s="150"/>
      <c r="W50" s="148"/>
      <c r="X50" s="146"/>
      <c r="Y50" s="148"/>
      <c r="Z50" s="150"/>
      <c r="AA50" s="148"/>
      <c r="AB50" s="146"/>
      <c r="AC50" s="148"/>
      <c r="AD50" s="150"/>
      <c r="AE50" s="148"/>
      <c r="AF50" s="146"/>
      <c r="AG50" s="148"/>
      <c r="AH50" s="150"/>
      <c r="AI50" s="148"/>
      <c r="AJ50" s="146"/>
      <c r="AK50" s="148"/>
      <c r="AL50" s="150"/>
      <c r="AN50" s="146"/>
      <c r="AO50" s="148"/>
      <c r="AP50" s="150"/>
      <c r="AR50" s="146"/>
      <c r="AS50" s="148"/>
      <c r="AT50" s="150"/>
      <c r="AV50" s="146"/>
      <c r="AW50" s="148"/>
      <c r="AX50" s="150"/>
      <c r="AZ50" s="146"/>
      <c r="BA50" s="148"/>
      <c r="BB50" s="150"/>
    </row>
    <row r="51" spans="1:55" s="151" customFormat="1" x14ac:dyDescent="0.25">
      <c r="A51" s="156"/>
      <c r="B51" s="157"/>
      <c r="C51" s="158"/>
      <c r="D51" s="159"/>
      <c r="E51" s="135">
        <f>SUM(E44:E50)</f>
        <v>2427000</v>
      </c>
      <c r="F51" s="145"/>
      <c r="G51" s="146"/>
      <c r="H51" s="147">
        <f>SUM(H44:H50)</f>
        <v>1548509.3808194282</v>
      </c>
      <c r="I51" s="135"/>
      <c r="J51" s="135" t="s">
        <v>4088</v>
      </c>
      <c r="K51" s="148">
        <f>SUM(K44:K50)</f>
        <v>127782.71109573069</v>
      </c>
      <c r="L51" s="148">
        <f>SUM(L44:L50)</f>
        <v>106285.26888108852</v>
      </c>
      <c r="M51" s="149">
        <f>SUM(M44:M50)</f>
        <v>234067.97997681922</v>
      </c>
      <c r="N51" s="148"/>
      <c r="O51" s="148"/>
      <c r="P51" s="146">
        <f>SUM(P44:P50)</f>
        <v>155236.84140457929</v>
      </c>
      <c r="Q51" s="148">
        <f>SUM(Q44:Q50)</f>
        <v>78831.138572239899</v>
      </c>
      <c r="R51" s="150">
        <f>SUM(R44:R50)</f>
        <v>234067.97997681919</v>
      </c>
      <c r="S51" s="148"/>
      <c r="T51" s="146">
        <f>SUM(T44:T50)</f>
        <v>164362.8351596033</v>
      </c>
      <c r="U51" s="148">
        <f>SUM(U44:U50)</f>
        <v>68598.674817215899</v>
      </c>
      <c r="V51" s="150">
        <f>SUM(V44:V50)</f>
        <v>232961.50997681922</v>
      </c>
      <c r="W51" s="148"/>
      <c r="X51" s="146">
        <f>SUM(X44:X50)</f>
        <v>168585.40909409832</v>
      </c>
      <c r="Y51" s="148">
        <f>SUM(Y44:Y50)</f>
        <v>57527.970882720881</v>
      </c>
      <c r="Z51" s="150">
        <f>SUM(Z44:Z50)</f>
        <v>226113.37997681921</v>
      </c>
      <c r="AA51" s="148"/>
      <c r="AB51" s="146">
        <f>SUM(AB44:AB50)</f>
        <v>85927.200029837782</v>
      </c>
      <c r="AC51" s="148">
        <f>SUM(AC44:AC50)</f>
        <v>48744.947719493262</v>
      </c>
      <c r="AD51" s="150">
        <f>SUM(AD44:AD50)</f>
        <v>134672.14774933105</v>
      </c>
      <c r="AE51" s="148"/>
      <c r="AF51" s="146">
        <f>SUM(AF44:AF50)</f>
        <v>91689.732703776375</v>
      </c>
      <c r="AG51" s="148">
        <f>SUM(AG44:AG50)</f>
        <v>42982.415045554662</v>
      </c>
      <c r="AH51" s="150">
        <f>SUM(AH44:AH50)</f>
        <v>134672.14774933102</v>
      </c>
      <c r="AI51" s="148"/>
      <c r="AJ51" s="146">
        <f>SUM(AJ44:AJ50)</f>
        <v>97793.40531511209</v>
      </c>
      <c r="AK51" s="148">
        <f>SUM(AK44:AK50)</f>
        <v>36878.742434218955</v>
      </c>
      <c r="AL51" s="150">
        <f>SUM(AL44:AL50)</f>
        <v>134672.14774933102</v>
      </c>
      <c r="AN51" s="146">
        <f>SUM(AN44:AN50)</f>
        <v>104303.91485017141</v>
      </c>
      <c r="AO51" s="148">
        <f>SUM(AO44:AO50)</f>
        <v>30368.232899159626</v>
      </c>
      <c r="AP51" s="150">
        <f>SUM(AP44:AP50)</f>
        <v>134672.14774933102</v>
      </c>
      <c r="AR51" s="146">
        <f>SUM(AR44:AR50)</f>
        <v>111130.15140448158</v>
      </c>
      <c r="AS51" s="148">
        <f>SUM(AS44:AS50)</f>
        <v>23541.996344849456</v>
      </c>
      <c r="AT51" s="150">
        <f>SUM(AT44:AT50)</f>
        <v>134672.14774933102</v>
      </c>
      <c r="AV51" s="146">
        <f>SUM(AV44:AV50)</f>
        <v>118674.24757850246</v>
      </c>
      <c r="AW51" s="148">
        <f>SUM(AW44:AW50)</f>
        <v>15997.900170828587</v>
      </c>
      <c r="AX51" s="150">
        <f>SUM(AX44:AX50)</f>
        <v>134672.14774933105</v>
      </c>
      <c r="AZ51" s="146">
        <f>SUM(AZ44:AZ50)</f>
        <v>126550.46007141401</v>
      </c>
      <c r="BA51" s="148">
        <f>SUM(BA44:BA50)</f>
        <v>8121.6876779170452</v>
      </c>
      <c r="BB51" s="150">
        <f>SUM(BB44:BB50)</f>
        <v>134672.14774933105</v>
      </c>
    </row>
    <row r="52" spans="1:55" s="151" customFormat="1" x14ac:dyDescent="0.25">
      <c r="A52" s="156"/>
      <c r="B52" s="157"/>
      <c r="C52" s="158"/>
      <c r="D52" s="159"/>
      <c r="E52" s="135"/>
      <c r="F52" s="145"/>
      <c r="G52" s="146"/>
      <c r="H52" s="147"/>
      <c r="I52" s="135"/>
      <c r="J52" s="135"/>
      <c r="K52" s="148"/>
      <c r="L52" s="148"/>
      <c r="M52" s="149"/>
      <c r="N52" s="148"/>
      <c r="O52" s="148"/>
      <c r="P52" s="146"/>
      <c r="Q52" s="148"/>
      <c r="R52" s="150"/>
      <c r="S52" s="148"/>
      <c r="T52" s="146"/>
      <c r="U52" s="148"/>
      <c r="V52" s="150"/>
      <c r="W52" s="148"/>
      <c r="X52" s="146"/>
      <c r="Y52" s="148"/>
      <c r="Z52" s="150"/>
      <c r="AA52" s="148"/>
      <c r="AB52" s="146"/>
      <c r="AC52" s="148"/>
      <c r="AD52" s="150"/>
      <c r="AE52" s="148"/>
      <c r="AF52" s="146"/>
      <c r="AG52" s="148"/>
      <c r="AH52" s="150"/>
      <c r="AI52" s="148"/>
      <c r="AJ52" s="146"/>
      <c r="AK52" s="148"/>
      <c r="AL52" s="150"/>
      <c r="AN52" s="146"/>
      <c r="AO52" s="148"/>
      <c r="AP52" s="150"/>
      <c r="AR52" s="146"/>
      <c r="AS52" s="148"/>
      <c r="AT52" s="150"/>
      <c r="AV52" s="146"/>
      <c r="AW52" s="148"/>
      <c r="AX52" s="150"/>
      <c r="AZ52" s="146"/>
      <c r="BA52" s="148"/>
      <c r="BB52" s="150"/>
    </row>
    <row r="53" spans="1:55" s="151" customFormat="1" x14ac:dyDescent="0.25">
      <c r="A53" s="156"/>
      <c r="B53" s="157"/>
      <c r="C53" s="158"/>
      <c r="D53" s="159"/>
      <c r="E53" s="135"/>
      <c r="F53" s="145"/>
      <c r="G53" s="146"/>
      <c r="H53" s="147"/>
      <c r="I53" s="135"/>
      <c r="J53" s="135" t="s">
        <v>3864</v>
      </c>
      <c r="K53" s="148"/>
      <c r="L53" s="148"/>
      <c r="M53" s="142"/>
      <c r="N53" s="141"/>
      <c r="O53" s="141"/>
      <c r="P53" s="146"/>
      <c r="Q53" s="148"/>
      <c r="R53" s="143"/>
      <c r="S53" s="141"/>
      <c r="T53" s="146"/>
      <c r="U53" s="148"/>
      <c r="V53" s="143"/>
      <c r="W53" s="141"/>
      <c r="X53" s="146"/>
      <c r="Y53" s="148"/>
      <c r="Z53" s="143"/>
      <c r="AA53" s="141"/>
      <c r="AB53" s="146"/>
      <c r="AC53" s="148"/>
      <c r="AD53" s="143"/>
      <c r="AE53" s="141"/>
      <c r="AF53" s="146"/>
      <c r="AG53" s="148"/>
      <c r="AH53" s="143"/>
      <c r="AI53" s="141"/>
      <c r="AJ53" s="146"/>
      <c r="AK53" s="148"/>
      <c r="AL53" s="143"/>
      <c r="AN53" s="146"/>
      <c r="AO53" s="148"/>
      <c r="AP53" s="143"/>
      <c r="AR53" s="146"/>
      <c r="AS53" s="148"/>
      <c r="AT53" s="143"/>
      <c r="AV53" s="146"/>
      <c r="AW53" s="148"/>
      <c r="AX53" s="143"/>
      <c r="AZ53" s="146"/>
      <c r="BA53" s="148"/>
      <c r="BB53" s="143"/>
    </row>
    <row r="54" spans="1:55" x14ac:dyDescent="0.25">
      <c r="A54" s="123">
        <v>50</v>
      </c>
      <c r="B54" s="124">
        <v>2007</v>
      </c>
      <c r="C54" s="125" t="s">
        <v>4066</v>
      </c>
      <c r="D54" s="126">
        <v>0.83260000000000001</v>
      </c>
      <c r="E54" s="153">
        <v>1000000</v>
      </c>
      <c r="F54" s="137"/>
      <c r="G54" s="138"/>
      <c r="H54" s="139">
        <f>446201.8/SUM(E$76:E$78,E$54)*E54</f>
        <v>371525.22897585342</v>
      </c>
      <c r="I54" s="140">
        <v>2017</v>
      </c>
      <c r="J54" s="136" t="s">
        <v>4089</v>
      </c>
      <c r="K54" s="141">
        <v>109101.69858451289</v>
      </c>
      <c r="L54" s="141">
        <v>30320.083263946708</v>
      </c>
      <c r="M54" s="142">
        <v>139421.78184845959</v>
      </c>
      <c r="N54" s="141"/>
      <c r="O54" s="141"/>
      <c r="P54" s="138">
        <v>129755.79517069108</v>
      </c>
      <c r="Q54" s="141">
        <v>5591.2739383846792</v>
      </c>
      <c r="R54" s="143">
        <v>135347.06910907576</v>
      </c>
      <c r="S54" s="141"/>
      <c r="T54" s="138">
        <v>0</v>
      </c>
      <c r="U54" s="141">
        <v>0</v>
      </c>
      <c r="V54" s="143">
        <v>0</v>
      </c>
      <c r="W54" s="141"/>
      <c r="X54" s="138">
        <v>0</v>
      </c>
      <c r="Y54" s="141">
        <v>0</v>
      </c>
      <c r="Z54" s="143">
        <v>0</v>
      </c>
      <c r="AA54" s="141"/>
      <c r="AB54" s="138">
        <v>0</v>
      </c>
      <c r="AC54" s="141">
        <v>0</v>
      </c>
      <c r="AD54" s="143">
        <v>0</v>
      </c>
      <c r="AE54" s="141"/>
      <c r="AF54" s="138">
        <v>0</v>
      </c>
      <c r="AG54" s="141">
        <v>0</v>
      </c>
      <c r="AH54" s="143">
        <v>0</v>
      </c>
      <c r="AI54" s="141"/>
      <c r="AJ54" s="138"/>
      <c r="AK54" s="141"/>
      <c r="AL54" s="143"/>
      <c r="AN54" s="138"/>
      <c r="AO54" s="141"/>
      <c r="AP54" s="143"/>
      <c r="AR54" s="138"/>
      <c r="AS54" s="141"/>
      <c r="AT54" s="143"/>
      <c r="AV54" s="138"/>
      <c r="AW54" s="141"/>
      <c r="AX54" s="143"/>
      <c r="AZ54" s="138"/>
      <c r="BA54" s="141"/>
      <c r="BB54" s="143"/>
    </row>
    <row r="55" spans="1:55" s="190" customFormat="1" x14ac:dyDescent="0.25">
      <c r="A55" s="123">
        <v>66</v>
      </c>
      <c r="B55" s="124">
        <v>2013</v>
      </c>
      <c r="C55" s="125" t="s">
        <v>4076</v>
      </c>
      <c r="D55" s="126">
        <v>1</v>
      </c>
      <c r="E55" s="153">
        <v>2800000</v>
      </c>
      <c r="F55" s="154"/>
      <c r="G55" s="139"/>
      <c r="H55" s="139">
        <v>2661249.66</v>
      </c>
      <c r="I55" s="166"/>
      <c r="J55" s="153" t="s">
        <v>4090</v>
      </c>
      <c r="K55" s="189">
        <v>94129.19</v>
      </c>
      <c r="L55" s="189">
        <v>160484.93</v>
      </c>
      <c r="M55" s="195">
        <v>254614.12</v>
      </c>
      <c r="N55" s="189"/>
      <c r="O55" s="189"/>
      <c r="P55" s="196">
        <v>111857.17</v>
      </c>
      <c r="Q55" s="189">
        <v>142756.95000000001</v>
      </c>
      <c r="R55" s="197">
        <v>254614.12</v>
      </c>
      <c r="S55" s="189"/>
      <c r="T55" s="196">
        <v>118523.99</v>
      </c>
      <c r="U55" s="189">
        <v>136090.13</v>
      </c>
      <c r="V55" s="197">
        <v>254614.12</v>
      </c>
      <c r="W55" s="189"/>
      <c r="X55" s="196">
        <v>125218.15</v>
      </c>
      <c r="Y55" s="189">
        <v>129395.97</v>
      </c>
      <c r="Z55" s="197">
        <v>254614.12</v>
      </c>
      <c r="AA55" s="189"/>
      <c r="AB55" s="196">
        <v>132374.12</v>
      </c>
      <c r="AC55" s="189">
        <v>122240</v>
      </c>
      <c r="AD55" s="197">
        <v>254614.12</v>
      </c>
      <c r="AE55" s="189"/>
      <c r="AF55" s="196">
        <v>140613.69</v>
      </c>
      <c r="AG55" s="189">
        <v>114000.43</v>
      </c>
      <c r="AH55" s="197">
        <v>254614.12</v>
      </c>
      <c r="AI55" s="189"/>
      <c r="AJ55" s="196">
        <v>148410.12</v>
      </c>
      <c r="AK55" s="189">
        <v>106204</v>
      </c>
      <c r="AL55" s="197">
        <v>254614.12</v>
      </c>
      <c r="AM55" s="191"/>
      <c r="AN55" s="196"/>
      <c r="AO55" s="189"/>
      <c r="AP55" s="197"/>
      <c r="AQ55" s="191"/>
      <c r="AR55" s="196"/>
      <c r="AS55" s="189"/>
      <c r="AT55" s="197"/>
      <c r="AU55" s="191"/>
      <c r="AV55" s="196"/>
      <c r="AW55" s="189"/>
      <c r="AX55" s="197"/>
      <c r="AY55" s="191"/>
      <c r="AZ55" s="196"/>
      <c r="BA55" s="189"/>
      <c r="BB55" s="197"/>
      <c r="BC55" s="191"/>
    </row>
    <row r="56" spans="1:55" s="151" customFormat="1" x14ac:dyDescent="0.25">
      <c r="A56" s="156"/>
      <c r="B56" s="157"/>
      <c r="C56" s="158"/>
      <c r="D56" s="159"/>
      <c r="E56" s="135"/>
      <c r="F56" s="145"/>
      <c r="G56" s="146"/>
      <c r="H56" s="146"/>
      <c r="I56" s="135"/>
      <c r="J56" s="135"/>
      <c r="K56" s="148"/>
      <c r="L56" s="148"/>
      <c r="M56" s="149"/>
      <c r="N56" s="148"/>
      <c r="O56" s="148"/>
      <c r="P56" s="146"/>
      <c r="Q56" s="148"/>
      <c r="R56" s="150"/>
      <c r="S56" s="148"/>
      <c r="T56" s="146"/>
      <c r="U56" s="148"/>
      <c r="V56" s="150"/>
      <c r="W56" s="148"/>
      <c r="X56" s="146"/>
      <c r="Y56" s="148"/>
      <c r="Z56" s="150"/>
      <c r="AA56" s="148"/>
      <c r="AB56" s="146"/>
      <c r="AC56" s="148"/>
      <c r="AD56" s="150"/>
      <c r="AE56" s="148"/>
      <c r="AF56" s="146"/>
      <c r="AG56" s="148"/>
      <c r="AH56" s="150"/>
      <c r="AI56" s="148"/>
      <c r="AJ56" s="146"/>
      <c r="AK56" s="148"/>
      <c r="AL56" s="150"/>
      <c r="AN56" s="146"/>
      <c r="AO56" s="148"/>
      <c r="AP56" s="150"/>
      <c r="AR56" s="146"/>
      <c r="AS56" s="148"/>
      <c r="AT56" s="150"/>
      <c r="AV56" s="146"/>
      <c r="AW56" s="148"/>
      <c r="AX56" s="150"/>
      <c r="AZ56" s="146"/>
      <c r="BA56" s="148"/>
      <c r="BB56" s="150"/>
    </row>
    <row r="57" spans="1:55" s="192" customFormat="1" x14ac:dyDescent="0.25">
      <c r="A57" s="187"/>
      <c r="B57" s="158"/>
      <c r="C57" s="158"/>
      <c r="D57" s="159"/>
      <c r="E57" s="135">
        <f>SUM(E54:E56)</f>
        <v>3800000</v>
      </c>
      <c r="F57" s="145"/>
      <c r="G57" s="146"/>
      <c r="H57" s="146">
        <f>SUM(H54:H56)</f>
        <v>3032774.8889758536</v>
      </c>
      <c r="I57" s="135"/>
      <c r="J57" s="135" t="s">
        <v>4091</v>
      </c>
      <c r="K57" s="148">
        <f>SUM(K54:K56)</f>
        <v>203230.8885845129</v>
      </c>
      <c r="L57" s="148">
        <f>SUM(L54:L56)</f>
        <v>190805.01326394669</v>
      </c>
      <c r="M57" s="149">
        <f>SUM(M54:M56)</f>
        <v>394035.90184845962</v>
      </c>
      <c r="N57" s="148"/>
      <c r="O57" s="148"/>
      <c r="P57" s="146">
        <f>SUM(P54:P56)</f>
        <v>241612.96517069108</v>
      </c>
      <c r="Q57" s="148">
        <f>SUM(Q54:Q56)</f>
        <v>148348.2239383847</v>
      </c>
      <c r="R57" s="150">
        <f>SUM(R54:R56)</f>
        <v>389961.18910907576</v>
      </c>
      <c r="S57" s="148"/>
      <c r="T57" s="146">
        <f>SUM(T54:T56)</f>
        <v>118523.99</v>
      </c>
      <c r="U57" s="148">
        <f>SUM(U54:U56)</f>
        <v>136090.13</v>
      </c>
      <c r="V57" s="150">
        <f>SUM(V54:V56)</f>
        <v>254614.12</v>
      </c>
      <c r="W57" s="148"/>
      <c r="X57" s="146">
        <f>SUM(X54:X56)</f>
        <v>125218.15</v>
      </c>
      <c r="Y57" s="148">
        <f>SUM(Y54:Y56)</f>
        <v>129395.97</v>
      </c>
      <c r="Z57" s="150">
        <f>SUM(Z54:Z56)</f>
        <v>254614.12</v>
      </c>
      <c r="AA57" s="148"/>
      <c r="AB57" s="146">
        <f>SUM(AB54:AB56)</f>
        <v>132374.12</v>
      </c>
      <c r="AC57" s="148">
        <f>SUM(AC54:AC56)</f>
        <v>122240</v>
      </c>
      <c r="AD57" s="150">
        <f>SUM(AD54:AD56)</f>
        <v>254614.12</v>
      </c>
      <c r="AE57" s="148"/>
      <c r="AF57" s="146">
        <f>SUM(AF54:AF56)</f>
        <v>140613.69</v>
      </c>
      <c r="AG57" s="148">
        <f>SUM(AG54:AG56)</f>
        <v>114000.43</v>
      </c>
      <c r="AH57" s="150">
        <f>SUM(AH54:AH56)</f>
        <v>254614.12</v>
      </c>
      <c r="AI57" s="148"/>
      <c r="AJ57" s="146">
        <f>SUM(AJ54:AJ56)</f>
        <v>148410.12</v>
      </c>
      <c r="AK57" s="148">
        <f>SUM(AK54:AK56)</f>
        <v>106204</v>
      </c>
      <c r="AL57" s="150">
        <f>SUM(AL54:AL56)</f>
        <v>254614.12</v>
      </c>
      <c r="AM57" s="148"/>
      <c r="AN57" s="146">
        <f>SUM(AN54:AN56)</f>
        <v>0</v>
      </c>
      <c r="AO57" s="148">
        <f>SUM(AO54:AO56)</f>
        <v>0</v>
      </c>
      <c r="AP57" s="150">
        <f>SUM(AP54:AP56)</f>
        <v>0</v>
      </c>
      <c r="AQ57" s="148"/>
      <c r="AR57" s="146">
        <f>SUM(AR54:AR56)</f>
        <v>0</v>
      </c>
      <c r="AS57" s="148">
        <f>SUM(AS54:AS56)</f>
        <v>0</v>
      </c>
      <c r="AT57" s="150">
        <f>SUM(AT54:AT56)</f>
        <v>0</v>
      </c>
      <c r="AU57" s="148"/>
      <c r="AV57" s="146">
        <f>SUM(AV54:AV56)</f>
        <v>0</v>
      </c>
      <c r="AW57" s="148">
        <f>SUM(AW54:AW56)</f>
        <v>0</v>
      </c>
      <c r="AX57" s="150">
        <f>SUM(AX54:AX56)</f>
        <v>0</v>
      </c>
      <c r="AY57" s="148"/>
      <c r="AZ57" s="146">
        <f>SUM(AZ54:AZ56)</f>
        <v>0</v>
      </c>
      <c r="BA57" s="148">
        <f>SUM(BA54:BA56)</f>
        <v>0</v>
      </c>
      <c r="BB57" s="150">
        <f>SUM(BB54:BB56)</f>
        <v>0</v>
      </c>
      <c r="BC57" s="148"/>
    </row>
    <row r="58" spans="1:55" s="192" customFormat="1" x14ac:dyDescent="0.25">
      <c r="A58" s="187"/>
      <c r="B58" s="158"/>
      <c r="C58" s="158"/>
      <c r="D58" s="159"/>
      <c r="E58" s="135"/>
      <c r="F58" s="145"/>
      <c r="G58" s="146"/>
      <c r="H58" s="146"/>
      <c r="I58" s="135"/>
      <c r="J58" s="135"/>
      <c r="K58" s="148"/>
      <c r="L58" s="148"/>
      <c r="M58" s="149"/>
      <c r="N58" s="148"/>
      <c r="O58" s="148"/>
      <c r="P58" s="146"/>
      <c r="Q58" s="148"/>
      <c r="R58" s="150"/>
      <c r="S58" s="148"/>
      <c r="T58" s="146"/>
      <c r="U58" s="148"/>
      <c r="V58" s="150"/>
      <c r="W58" s="148"/>
      <c r="X58" s="146"/>
      <c r="Y58" s="148"/>
      <c r="Z58" s="150"/>
      <c r="AA58" s="148"/>
      <c r="AB58" s="146"/>
      <c r="AC58" s="148"/>
      <c r="AD58" s="150"/>
      <c r="AE58" s="148"/>
      <c r="AF58" s="146"/>
      <c r="AG58" s="148"/>
      <c r="AH58" s="150"/>
      <c r="AI58" s="148"/>
      <c r="AJ58" s="146"/>
      <c r="AK58" s="148"/>
      <c r="AL58" s="150"/>
      <c r="AM58" s="148"/>
      <c r="AN58" s="146"/>
      <c r="AO58" s="148"/>
      <c r="AP58" s="150"/>
      <c r="AQ58" s="148"/>
      <c r="AR58" s="146"/>
      <c r="AS58" s="148"/>
      <c r="AT58" s="150"/>
      <c r="AU58" s="148"/>
      <c r="AV58" s="146"/>
      <c r="AW58" s="148"/>
      <c r="AX58" s="150"/>
      <c r="AY58" s="148"/>
      <c r="AZ58" s="146"/>
      <c r="BA58" s="148"/>
      <c r="BB58" s="150"/>
      <c r="BC58" s="148"/>
    </row>
    <row r="59" spans="1:55" s="151" customFormat="1" x14ac:dyDescent="0.25">
      <c r="A59" s="156"/>
      <c r="B59" s="157"/>
      <c r="C59" s="158"/>
      <c r="D59" s="159"/>
      <c r="E59" s="160"/>
      <c r="F59" s="165"/>
      <c r="G59" s="147"/>
      <c r="H59" s="147"/>
      <c r="I59" s="160"/>
      <c r="J59" s="160" t="s">
        <v>2120</v>
      </c>
      <c r="K59" s="148"/>
      <c r="L59" s="148"/>
      <c r="M59" s="149"/>
      <c r="N59" s="198"/>
      <c r="O59" s="198"/>
      <c r="P59" s="146"/>
      <c r="Q59" s="148"/>
      <c r="R59" s="150"/>
      <c r="S59" s="199"/>
      <c r="T59" s="146"/>
      <c r="U59" s="148"/>
      <c r="V59" s="150"/>
      <c r="W59" s="199"/>
      <c r="X59" s="146"/>
      <c r="Y59" s="148"/>
      <c r="Z59" s="150"/>
      <c r="AA59" s="199"/>
      <c r="AB59" s="146"/>
      <c r="AC59" s="148"/>
      <c r="AD59" s="150"/>
      <c r="AE59" s="199"/>
      <c r="AF59" s="146"/>
      <c r="AG59" s="148"/>
      <c r="AH59" s="150"/>
      <c r="AI59" s="199"/>
      <c r="AJ59" s="146"/>
      <c r="AK59" s="148"/>
      <c r="AL59" s="150"/>
      <c r="AM59" s="199"/>
      <c r="AN59" s="146"/>
      <c r="AO59" s="148"/>
      <c r="AP59" s="150"/>
      <c r="AQ59" s="199"/>
      <c r="AR59" s="146"/>
      <c r="AS59" s="148"/>
      <c r="AT59" s="150"/>
      <c r="AU59" s="199"/>
      <c r="AV59" s="146"/>
      <c r="AW59" s="148"/>
      <c r="AX59" s="150"/>
      <c r="AY59" s="199"/>
      <c r="AZ59" s="146"/>
      <c r="BA59" s="148"/>
      <c r="BB59" s="150"/>
      <c r="BC59" s="199"/>
    </row>
    <row r="60" spans="1:55" s="190" customFormat="1" x14ac:dyDescent="0.25">
      <c r="A60" s="123">
        <v>64</v>
      </c>
      <c r="B60" s="124">
        <v>2009</v>
      </c>
      <c r="C60" s="125" t="s">
        <v>4076</v>
      </c>
      <c r="D60" s="126">
        <v>0.66669999999999996</v>
      </c>
      <c r="E60" s="153">
        <v>1300000</v>
      </c>
      <c r="F60" s="154"/>
      <c r="G60" s="139"/>
      <c r="H60" s="139">
        <f>1761683.26/SUM(E$80,E$32,E$60)*E60</f>
        <v>1174455.5066666666</v>
      </c>
      <c r="I60" s="166">
        <v>2034</v>
      </c>
      <c r="J60" s="153" t="s">
        <v>4092</v>
      </c>
      <c r="K60" s="141">
        <v>33153.416492549601</v>
      </c>
      <c r="L60" s="141">
        <v>80518.258255231965</v>
      </c>
      <c r="M60" s="142">
        <v>113671.67474778157</v>
      </c>
      <c r="N60" s="189"/>
      <c r="O60" s="189"/>
      <c r="P60" s="138">
        <v>40273.701588461772</v>
      </c>
      <c r="Q60" s="141">
        <v>73397.973159319794</v>
      </c>
      <c r="R60" s="143">
        <v>113671.67474778157</v>
      </c>
      <c r="S60" s="189"/>
      <c r="T60" s="138">
        <v>42972.039594888716</v>
      </c>
      <c r="U60" s="141">
        <v>70699.63515289285</v>
      </c>
      <c r="V60" s="143">
        <v>113671.67474778157</v>
      </c>
      <c r="W60" s="189"/>
      <c r="X60" s="138">
        <v>45851.16624774626</v>
      </c>
      <c r="Y60" s="141">
        <v>67820.508500035314</v>
      </c>
      <c r="Z60" s="143">
        <v>113671.67474778157</v>
      </c>
      <c r="AA60" s="189"/>
      <c r="AB60" s="138">
        <v>48923.194386345254</v>
      </c>
      <c r="AC60" s="141">
        <v>64748.480361436312</v>
      </c>
      <c r="AD60" s="143">
        <v>113671.67474778157</v>
      </c>
      <c r="AE60" s="189"/>
      <c r="AF60" s="138">
        <v>52201.048410230396</v>
      </c>
      <c r="AG60" s="141">
        <v>61470.626337551177</v>
      </c>
      <c r="AH60" s="143">
        <v>113671.67474778157</v>
      </c>
      <c r="AI60" s="189"/>
      <c r="AJ60" s="138">
        <v>55698.51865371583</v>
      </c>
      <c r="AK60" s="141">
        <v>57973.156094065751</v>
      </c>
      <c r="AL60" s="143">
        <v>113671.67474778158</v>
      </c>
      <c r="AM60" s="189"/>
      <c r="AN60" s="138">
        <v>59430.31940351479</v>
      </c>
      <c r="AO60" s="141">
        <v>54241.355344266791</v>
      </c>
      <c r="AP60" s="143">
        <v>113671.67474778158</v>
      </c>
      <c r="AQ60" s="189"/>
      <c r="AR60" s="138">
        <v>63412.15080355027</v>
      </c>
      <c r="AS60" s="141">
        <v>50259.523944231303</v>
      </c>
      <c r="AT60" s="143">
        <v>113671.67474778157</v>
      </c>
      <c r="AU60" s="191"/>
      <c r="AV60" s="138">
        <v>67660.764907388148</v>
      </c>
      <c r="AW60" s="141">
        <v>46010.909840393433</v>
      </c>
      <c r="AX60" s="143">
        <v>113671.67474778158</v>
      </c>
      <c r="AY60" s="191"/>
      <c r="AZ60" s="138">
        <v>72194.036156183152</v>
      </c>
      <c r="BA60" s="141">
        <v>41477.638591598421</v>
      </c>
      <c r="BB60" s="143">
        <v>113671.67474778157</v>
      </c>
      <c r="BC60" s="191"/>
    </row>
    <row r="61" spans="1:55" s="190" customFormat="1" x14ac:dyDescent="0.25">
      <c r="A61" s="123"/>
      <c r="B61" s="124"/>
      <c r="C61" s="125"/>
      <c r="D61" s="126"/>
      <c r="E61" s="153"/>
      <c r="F61" s="154"/>
      <c r="G61" s="139"/>
      <c r="H61" s="139"/>
      <c r="I61" s="166"/>
      <c r="J61" s="153"/>
      <c r="K61" s="141"/>
      <c r="L61" s="141"/>
      <c r="M61" s="142"/>
      <c r="N61" s="189"/>
      <c r="O61" s="189"/>
      <c r="P61" s="138"/>
      <c r="Q61" s="141"/>
      <c r="R61" s="143"/>
      <c r="S61" s="189"/>
      <c r="T61" s="138"/>
      <c r="U61" s="141"/>
      <c r="V61" s="143"/>
      <c r="W61" s="189"/>
      <c r="X61" s="138"/>
      <c r="Y61" s="141"/>
      <c r="Z61" s="143"/>
      <c r="AA61" s="189"/>
      <c r="AB61" s="138"/>
      <c r="AC61" s="141"/>
      <c r="AD61" s="143"/>
      <c r="AE61" s="189"/>
      <c r="AF61" s="138"/>
      <c r="AG61" s="141"/>
      <c r="AH61" s="143"/>
      <c r="AI61" s="189"/>
      <c r="AJ61" s="138"/>
      <c r="AK61" s="141"/>
      <c r="AL61" s="143"/>
      <c r="AM61" s="189"/>
      <c r="AN61" s="138"/>
      <c r="AO61" s="141"/>
      <c r="AP61" s="143"/>
      <c r="AQ61" s="189"/>
      <c r="AR61" s="138"/>
      <c r="AS61" s="141"/>
      <c r="AT61" s="143"/>
      <c r="AU61" s="191"/>
      <c r="AV61" s="138"/>
      <c r="AW61" s="141"/>
      <c r="AX61" s="143"/>
      <c r="AY61" s="191"/>
      <c r="AZ61" s="138"/>
      <c r="BA61" s="141"/>
      <c r="BB61" s="143"/>
      <c r="BC61" s="191"/>
    </row>
    <row r="62" spans="1:55" s="190" customFormat="1" x14ac:dyDescent="0.25">
      <c r="A62" s="123"/>
      <c r="B62" s="124"/>
      <c r="C62" s="125"/>
      <c r="D62" s="126"/>
      <c r="E62" s="160">
        <f>SUM(E60:E60)</f>
        <v>1300000</v>
      </c>
      <c r="F62" s="165"/>
      <c r="G62" s="146"/>
      <c r="H62" s="146">
        <f>SUM(H60:H60)</f>
        <v>1174455.5066666666</v>
      </c>
      <c r="I62" s="166"/>
      <c r="J62" s="160" t="s">
        <v>4093</v>
      </c>
      <c r="K62" s="141"/>
      <c r="L62" s="141"/>
      <c r="M62" s="142"/>
      <c r="N62" s="189"/>
      <c r="O62" s="189"/>
      <c r="P62" s="138"/>
      <c r="Q62" s="141"/>
      <c r="R62" s="143"/>
      <c r="S62" s="189"/>
      <c r="T62" s="138"/>
      <c r="U62" s="141"/>
      <c r="V62" s="143"/>
      <c r="W62" s="189"/>
      <c r="X62" s="138"/>
      <c r="Y62" s="141"/>
      <c r="Z62" s="143"/>
      <c r="AA62" s="189"/>
      <c r="AB62" s="138"/>
      <c r="AC62" s="141"/>
      <c r="AD62" s="143"/>
      <c r="AE62" s="189"/>
      <c r="AF62" s="138"/>
      <c r="AG62" s="141"/>
      <c r="AH62" s="143"/>
      <c r="AI62" s="189"/>
      <c r="AJ62" s="138"/>
      <c r="AK62" s="141"/>
      <c r="AL62" s="143"/>
      <c r="AM62" s="189"/>
      <c r="AN62" s="138"/>
      <c r="AO62" s="141"/>
      <c r="AP62" s="143"/>
      <c r="AQ62" s="189"/>
      <c r="AR62" s="138"/>
      <c r="AS62" s="141"/>
      <c r="AT62" s="143"/>
      <c r="AU62" s="191"/>
      <c r="AV62" s="138"/>
      <c r="AW62" s="141"/>
      <c r="AX62" s="143"/>
      <c r="AY62" s="191"/>
      <c r="AZ62" s="138"/>
      <c r="BA62" s="141"/>
      <c r="BB62" s="143"/>
      <c r="BC62" s="191"/>
    </row>
    <row r="63" spans="1:55" s="190" customFormat="1" x14ac:dyDescent="0.25">
      <c r="A63" s="123"/>
      <c r="B63" s="124"/>
      <c r="C63" s="125"/>
      <c r="D63" s="126"/>
      <c r="E63" s="153"/>
      <c r="F63" s="154"/>
      <c r="G63" s="139"/>
      <c r="H63" s="139"/>
      <c r="I63" s="166"/>
      <c r="J63" s="153"/>
      <c r="K63" s="141"/>
      <c r="L63" s="141"/>
      <c r="M63" s="142"/>
      <c r="N63" s="189"/>
      <c r="O63" s="189"/>
      <c r="P63" s="138"/>
      <c r="Q63" s="141"/>
      <c r="R63" s="143"/>
      <c r="S63" s="189"/>
      <c r="T63" s="138"/>
      <c r="U63" s="141"/>
      <c r="V63" s="143"/>
      <c r="W63" s="189"/>
      <c r="X63" s="138"/>
      <c r="Y63" s="141"/>
      <c r="Z63" s="143"/>
      <c r="AA63" s="189"/>
      <c r="AB63" s="138"/>
      <c r="AC63" s="141"/>
      <c r="AD63" s="143"/>
      <c r="AE63" s="189"/>
      <c r="AF63" s="138"/>
      <c r="AG63" s="141"/>
      <c r="AH63" s="143"/>
      <c r="AI63" s="189"/>
      <c r="AJ63" s="138"/>
      <c r="AK63" s="141"/>
      <c r="AL63" s="143"/>
      <c r="AM63" s="189"/>
      <c r="AN63" s="138"/>
      <c r="AO63" s="141"/>
      <c r="AP63" s="143"/>
      <c r="AQ63" s="189"/>
      <c r="AR63" s="138"/>
      <c r="AS63" s="141"/>
      <c r="AT63" s="143"/>
      <c r="AU63" s="191"/>
      <c r="AV63" s="138"/>
      <c r="AW63" s="141"/>
      <c r="AX63" s="143"/>
      <c r="AY63" s="191"/>
      <c r="AZ63" s="138"/>
      <c r="BA63" s="141"/>
      <c r="BB63" s="143"/>
      <c r="BC63" s="191"/>
    </row>
    <row r="64" spans="1:55" s="151" customFormat="1" x14ac:dyDescent="0.25">
      <c r="A64" s="156"/>
      <c r="B64" s="157"/>
      <c r="C64" s="158"/>
      <c r="D64" s="159"/>
      <c r="E64" s="135"/>
      <c r="F64" s="145"/>
      <c r="G64" s="146"/>
      <c r="H64" s="147"/>
      <c r="I64" s="135"/>
      <c r="J64" s="135" t="s">
        <v>4094</v>
      </c>
      <c r="K64" s="148"/>
      <c r="L64" s="148"/>
      <c r="M64" s="149"/>
      <c r="N64" s="148"/>
      <c r="O64" s="148"/>
      <c r="P64" s="146"/>
      <c r="Q64" s="148"/>
      <c r="R64" s="150"/>
      <c r="S64" s="148"/>
      <c r="T64" s="146"/>
      <c r="U64" s="148"/>
      <c r="V64" s="150"/>
      <c r="W64" s="148"/>
      <c r="X64" s="146"/>
      <c r="Y64" s="148"/>
      <c r="Z64" s="150"/>
      <c r="AA64" s="148"/>
      <c r="AB64" s="146"/>
      <c r="AC64" s="148"/>
      <c r="AD64" s="150"/>
      <c r="AE64" s="148"/>
      <c r="AF64" s="146"/>
      <c r="AG64" s="148"/>
      <c r="AH64" s="150"/>
      <c r="AI64" s="148"/>
      <c r="AJ64" s="146"/>
      <c r="AK64" s="148"/>
      <c r="AL64" s="150"/>
      <c r="AN64" s="146"/>
      <c r="AO64" s="148"/>
      <c r="AP64" s="150"/>
      <c r="AR64" s="146"/>
      <c r="AS64" s="148"/>
      <c r="AT64" s="150"/>
      <c r="AV64" s="146"/>
      <c r="AW64" s="148"/>
      <c r="AX64" s="150"/>
      <c r="AZ64" s="146"/>
      <c r="BA64" s="148"/>
      <c r="BB64" s="150"/>
    </row>
    <row r="65" spans="1:55" s="190" customFormat="1" x14ac:dyDescent="0.25">
      <c r="A65" s="123"/>
      <c r="B65" s="124"/>
      <c r="C65" s="125"/>
      <c r="D65" s="126">
        <v>0.79520000000000002</v>
      </c>
      <c r="E65" s="153"/>
      <c r="F65" s="154"/>
      <c r="G65" s="139"/>
      <c r="H65" s="139" t="e">
        <f>105282.73/SUM(#REF!,E$65)*E65</f>
        <v>#REF!</v>
      </c>
      <c r="I65" s="140">
        <v>2016</v>
      </c>
      <c r="J65" s="153"/>
      <c r="K65" s="141">
        <v>38064.068674698792</v>
      </c>
      <c r="L65" s="141">
        <v>6862.9742168674693</v>
      </c>
      <c r="M65" s="142">
        <v>44927.042891566263</v>
      </c>
      <c r="N65" s="189"/>
      <c r="O65" s="189"/>
      <c r="P65" s="138"/>
      <c r="Q65" s="141"/>
      <c r="R65" s="143"/>
      <c r="S65" s="189"/>
      <c r="T65" s="138"/>
      <c r="U65" s="141"/>
      <c r="V65" s="143"/>
      <c r="W65" s="189"/>
      <c r="X65" s="138"/>
      <c r="Y65" s="141"/>
      <c r="Z65" s="143"/>
      <c r="AA65" s="189"/>
      <c r="AB65" s="138"/>
      <c r="AC65" s="141"/>
      <c r="AD65" s="143"/>
      <c r="AE65" s="189"/>
      <c r="AF65" s="138"/>
      <c r="AG65" s="141"/>
      <c r="AH65" s="143"/>
      <c r="AI65" s="189"/>
      <c r="AJ65" s="138"/>
      <c r="AK65" s="141"/>
      <c r="AL65" s="143"/>
      <c r="AN65" s="138"/>
      <c r="AO65" s="141"/>
      <c r="AP65" s="143"/>
      <c r="AR65" s="138"/>
      <c r="AS65" s="141"/>
      <c r="AT65" s="143"/>
      <c r="AV65" s="138"/>
      <c r="AW65" s="141"/>
      <c r="AX65" s="143"/>
      <c r="AZ65" s="138"/>
      <c r="BA65" s="141"/>
      <c r="BB65" s="143"/>
    </row>
    <row r="66" spans="1:55" s="151" customFormat="1" x14ac:dyDescent="0.25">
      <c r="A66" s="156"/>
      <c r="B66" s="157"/>
      <c r="C66" s="158"/>
      <c r="D66" s="159"/>
      <c r="E66" s="135"/>
      <c r="F66" s="145"/>
      <c r="G66" s="146"/>
      <c r="H66" s="146"/>
      <c r="I66" s="135"/>
      <c r="J66" s="135"/>
      <c r="K66" s="148"/>
      <c r="L66" s="148"/>
      <c r="M66" s="149"/>
      <c r="N66" s="148"/>
      <c r="O66" s="148"/>
      <c r="P66" s="146"/>
      <c r="Q66" s="148"/>
      <c r="R66" s="150"/>
      <c r="S66" s="148"/>
      <c r="T66" s="146"/>
      <c r="U66" s="148"/>
      <c r="V66" s="150"/>
      <c r="W66" s="148"/>
      <c r="X66" s="146"/>
      <c r="Y66" s="148"/>
      <c r="Z66" s="150"/>
      <c r="AA66" s="148"/>
      <c r="AB66" s="146"/>
      <c r="AC66" s="148"/>
      <c r="AD66" s="150"/>
      <c r="AE66" s="148"/>
      <c r="AF66" s="146"/>
      <c r="AG66" s="148"/>
      <c r="AH66" s="150"/>
      <c r="AI66" s="148"/>
      <c r="AJ66" s="146"/>
      <c r="AK66" s="148"/>
      <c r="AL66" s="150"/>
      <c r="AN66" s="146"/>
      <c r="AO66" s="148"/>
      <c r="AP66" s="150"/>
      <c r="AR66" s="146"/>
      <c r="AS66" s="148"/>
      <c r="AT66" s="150"/>
      <c r="AV66" s="146"/>
      <c r="AW66" s="148"/>
      <c r="AX66" s="150"/>
      <c r="AZ66" s="146"/>
      <c r="BA66" s="148"/>
      <c r="BB66" s="150"/>
    </row>
    <row r="67" spans="1:55" s="151" customFormat="1" x14ac:dyDescent="0.25">
      <c r="A67" s="156"/>
      <c r="B67" s="157"/>
      <c r="C67" s="158"/>
      <c r="D67" s="126"/>
      <c r="E67" s="160">
        <f>SUM(E65:E65)</f>
        <v>0</v>
      </c>
      <c r="F67" s="165"/>
      <c r="G67" s="146"/>
      <c r="H67" s="146" t="e">
        <f>SUM(H65:H65)</f>
        <v>#REF!</v>
      </c>
      <c r="I67" s="135"/>
      <c r="J67" s="135" t="s">
        <v>4095</v>
      </c>
      <c r="K67" s="148">
        <f>SUM(K65:K65)</f>
        <v>38064.068674698792</v>
      </c>
      <c r="L67" s="148">
        <f>SUM(L65:L65)</f>
        <v>6862.9742168674693</v>
      </c>
      <c r="M67" s="149">
        <f>SUM(M65:M65)</f>
        <v>44927.042891566263</v>
      </c>
      <c r="N67" s="148"/>
      <c r="O67" s="148"/>
      <c r="P67" s="146">
        <f>SUM(P65:P65)</f>
        <v>0</v>
      </c>
      <c r="Q67" s="148">
        <f>SUM(Q65:Q65)</f>
        <v>0</v>
      </c>
      <c r="R67" s="150">
        <f>SUM(R65:R65)</f>
        <v>0</v>
      </c>
      <c r="S67" s="148"/>
      <c r="T67" s="146">
        <f>SUM(T65:T65)</f>
        <v>0</v>
      </c>
      <c r="U67" s="148">
        <f>SUM(U65:U65)</f>
        <v>0</v>
      </c>
      <c r="V67" s="150">
        <f>SUM(V65:V65)</f>
        <v>0</v>
      </c>
      <c r="W67" s="148"/>
      <c r="X67" s="146">
        <f>SUM(X65:X65)</f>
        <v>0</v>
      </c>
      <c r="Y67" s="148">
        <f>SUM(Y65:Y65)</f>
        <v>0</v>
      </c>
      <c r="Z67" s="150">
        <f>SUM(Z65:Z65)</f>
        <v>0</v>
      </c>
      <c r="AA67" s="148"/>
      <c r="AB67" s="146">
        <f>SUM(AB65:AB65)</f>
        <v>0</v>
      </c>
      <c r="AC67" s="148">
        <f>SUM(AC65:AC65)</f>
        <v>0</v>
      </c>
      <c r="AD67" s="150">
        <f>SUM(AD65:AD65)</f>
        <v>0</v>
      </c>
      <c r="AE67" s="148"/>
      <c r="AF67" s="146">
        <f>SUM(AF65:AF65)</f>
        <v>0</v>
      </c>
      <c r="AG67" s="148">
        <f>SUM(AG65:AG65)</f>
        <v>0</v>
      </c>
      <c r="AH67" s="150">
        <f>SUM(AH65:AH65)</f>
        <v>0</v>
      </c>
      <c r="AI67" s="148"/>
      <c r="AJ67" s="146">
        <f>SUM(AJ65:AJ65)</f>
        <v>0</v>
      </c>
      <c r="AK67" s="148">
        <f>SUM(AK65:AK65)</f>
        <v>0</v>
      </c>
      <c r="AL67" s="150">
        <f>SUM(AL65:AL65)</f>
        <v>0</v>
      </c>
      <c r="AM67" s="148"/>
      <c r="AN67" s="146">
        <f>SUM(AN65:AN65)</f>
        <v>0</v>
      </c>
      <c r="AO67" s="148">
        <f>SUM(AO65:AO65)</f>
        <v>0</v>
      </c>
      <c r="AP67" s="150">
        <f>SUM(AP65:AP65)</f>
        <v>0</v>
      </c>
      <c r="AQ67" s="148"/>
      <c r="AR67" s="146">
        <f>SUM(AR65:AR65)</f>
        <v>0</v>
      </c>
      <c r="AS67" s="148">
        <f>SUM(AS65:AS65)</f>
        <v>0</v>
      </c>
      <c r="AT67" s="150">
        <f>SUM(AT65:AT65)</f>
        <v>0</v>
      </c>
      <c r="AU67" s="148"/>
      <c r="AV67" s="146">
        <f>SUM(AV65:AV65)</f>
        <v>0</v>
      </c>
      <c r="AW67" s="148">
        <f>SUM(AW65:AW65)</f>
        <v>0</v>
      </c>
      <c r="AX67" s="150">
        <f>SUM(AX65:AX65)</f>
        <v>0</v>
      </c>
      <c r="AY67" s="148"/>
      <c r="AZ67" s="146">
        <f>SUM(AZ65:AZ65)</f>
        <v>0</v>
      </c>
      <c r="BA67" s="148">
        <f>SUM(BA65:BA65)</f>
        <v>0</v>
      </c>
      <c r="BB67" s="150">
        <f>SUM(BB65:BB65)</f>
        <v>0</v>
      </c>
      <c r="BC67" s="148"/>
    </row>
    <row r="68" spans="1:55" s="151" customFormat="1" x14ac:dyDescent="0.25">
      <c r="A68" s="156"/>
      <c r="B68" s="157"/>
      <c r="C68" s="158"/>
      <c r="D68" s="126"/>
      <c r="E68" s="160"/>
      <c r="F68" s="165"/>
      <c r="G68" s="146"/>
      <c r="H68" s="146"/>
      <c r="I68" s="135"/>
      <c r="J68" s="135"/>
      <c r="K68" s="148"/>
      <c r="L68" s="148"/>
      <c r="M68" s="149"/>
      <c r="N68" s="148"/>
      <c r="O68" s="148"/>
      <c r="P68" s="146"/>
      <c r="Q68" s="148"/>
      <c r="R68" s="150"/>
      <c r="S68" s="148"/>
      <c r="T68" s="146"/>
      <c r="U68" s="148"/>
      <c r="V68" s="150"/>
      <c r="W68" s="148"/>
      <c r="X68" s="146"/>
      <c r="Y68" s="148"/>
      <c r="Z68" s="150"/>
      <c r="AA68" s="148"/>
      <c r="AB68" s="146"/>
      <c r="AC68" s="148"/>
      <c r="AD68" s="150"/>
      <c r="AE68" s="148"/>
      <c r="AF68" s="146"/>
      <c r="AG68" s="148"/>
      <c r="AH68" s="150"/>
      <c r="AI68" s="148"/>
      <c r="AJ68" s="146"/>
      <c r="AK68" s="148"/>
      <c r="AL68" s="150"/>
      <c r="AM68" s="148"/>
      <c r="AN68" s="146"/>
      <c r="AO68" s="148"/>
      <c r="AP68" s="150"/>
      <c r="AQ68" s="148"/>
      <c r="AR68" s="146"/>
      <c r="AS68" s="148"/>
      <c r="AT68" s="150"/>
      <c r="AU68" s="148"/>
      <c r="AV68" s="146"/>
      <c r="AW68" s="148"/>
      <c r="AX68" s="150"/>
      <c r="AY68" s="148"/>
      <c r="AZ68" s="146"/>
      <c r="BA68" s="148"/>
      <c r="BB68" s="150"/>
      <c r="BC68" s="148"/>
    </row>
    <row r="69" spans="1:55" s="151" customFormat="1" x14ac:dyDescent="0.25">
      <c r="A69" s="156"/>
      <c r="B69" s="157"/>
      <c r="C69" s="158"/>
      <c r="D69" s="126"/>
      <c r="E69" s="160"/>
      <c r="F69" s="165"/>
      <c r="G69" s="146"/>
      <c r="H69" s="146"/>
      <c r="I69" s="135"/>
      <c r="J69" s="135" t="s">
        <v>3924</v>
      </c>
      <c r="K69" s="148"/>
      <c r="L69" s="148"/>
      <c r="M69" s="149"/>
      <c r="N69" s="148"/>
      <c r="O69" s="148"/>
      <c r="P69" s="146"/>
      <c r="Q69" s="148"/>
      <c r="R69" s="150"/>
      <c r="S69" s="148"/>
      <c r="T69" s="146"/>
      <c r="U69" s="148"/>
      <c r="V69" s="150"/>
      <c r="W69" s="148"/>
      <c r="X69" s="146"/>
      <c r="Y69" s="148"/>
      <c r="Z69" s="150"/>
      <c r="AA69" s="148"/>
      <c r="AB69" s="146"/>
      <c r="AC69" s="148"/>
      <c r="AD69" s="150"/>
      <c r="AE69" s="148"/>
      <c r="AF69" s="146"/>
      <c r="AG69" s="148"/>
      <c r="AH69" s="150"/>
      <c r="AI69" s="148"/>
      <c r="AJ69" s="146"/>
      <c r="AK69" s="148"/>
      <c r="AL69" s="150"/>
      <c r="AM69" s="148"/>
      <c r="AN69" s="146"/>
      <c r="AO69" s="148"/>
      <c r="AP69" s="150"/>
      <c r="AQ69" s="148"/>
      <c r="AR69" s="146"/>
      <c r="AS69" s="148"/>
      <c r="AT69" s="150"/>
      <c r="AU69" s="148"/>
      <c r="AV69" s="146"/>
      <c r="AW69" s="148"/>
      <c r="AX69" s="150"/>
      <c r="AY69" s="148"/>
      <c r="AZ69" s="146"/>
      <c r="BA69" s="148"/>
      <c r="BB69" s="150"/>
      <c r="BC69" s="148"/>
    </row>
    <row r="70" spans="1:55" x14ac:dyDescent="0.25">
      <c r="A70" s="123">
        <v>43</v>
      </c>
      <c r="B70" s="124">
        <v>2004</v>
      </c>
      <c r="C70" s="125" t="s">
        <v>4076</v>
      </c>
      <c r="D70" s="126">
        <v>9.5699999999999993E-2</v>
      </c>
      <c r="E70" s="153">
        <v>101000</v>
      </c>
      <c r="F70" s="137"/>
      <c r="G70" s="138"/>
      <c r="H70" s="139">
        <f>(468018.34/SUM(E$70:E$71,E$44:E$45)*E70)</f>
        <v>44805.547241706168</v>
      </c>
      <c r="I70" s="140">
        <v>2019</v>
      </c>
      <c r="J70" s="136" t="s">
        <v>4096</v>
      </c>
      <c r="K70" s="141">
        <v>7370.1940189573461</v>
      </c>
      <c r="L70" s="141">
        <v>3184.7367867298576</v>
      </c>
      <c r="M70" s="142">
        <v>10554.930805687203</v>
      </c>
      <c r="N70" s="200"/>
      <c r="O70" s="200"/>
      <c r="P70" s="138">
        <v>8932.0063222748813</v>
      </c>
      <c r="Q70" s="141">
        <v>1622.9244834123224</v>
      </c>
      <c r="R70" s="143">
        <v>10554.930805687203</v>
      </c>
      <c r="S70" s="200"/>
      <c r="T70" s="138">
        <v>9519.6157061611393</v>
      </c>
      <c r="U70" s="141">
        <v>1035.3150995260662</v>
      </c>
      <c r="V70" s="143">
        <v>10554.930805687205</v>
      </c>
      <c r="W70" s="200"/>
      <c r="X70" s="138">
        <v>10144.927289099525</v>
      </c>
      <c r="Y70" s="141">
        <v>410.00351658767772</v>
      </c>
      <c r="Z70" s="143">
        <v>10554.930805687203</v>
      </c>
      <c r="AA70" s="200"/>
      <c r="AB70" s="138">
        <v>0</v>
      </c>
      <c r="AC70" s="141">
        <v>0</v>
      </c>
      <c r="AD70" s="143">
        <v>0</v>
      </c>
      <c r="AE70" s="200"/>
      <c r="AF70" s="138">
        <v>0</v>
      </c>
      <c r="AG70" s="141">
        <v>0</v>
      </c>
      <c r="AH70" s="143">
        <v>0</v>
      </c>
      <c r="AI70" s="200"/>
      <c r="AJ70" s="138">
        <v>0</v>
      </c>
      <c r="AK70" s="141">
        <v>0</v>
      </c>
      <c r="AL70" s="143">
        <v>0</v>
      </c>
      <c r="AM70" s="201"/>
      <c r="AN70" s="138">
        <v>0</v>
      </c>
      <c r="AO70" s="141">
        <v>0</v>
      </c>
      <c r="AP70" s="143">
        <v>0</v>
      </c>
      <c r="AQ70" s="201"/>
      <c r="AR70" s="138">
        <v>0</v>
      </c>
      <c r="AS70" s="141">
        <v>0</v>
      </c>
      <c r="AT70" s="143">
        <v>0</v>
      </c>
      <c r="AU70" s="201"/>
      <c r="AV70" s="138">
        <v>0</v>
      </c>
      <c r="AW70" s="141">
        <v>0</v>
      </c>
      <c r="AX70" s="143">
        <v>0</v>
      </c>
      <c r="AY70" s="201"/>
      <c r="AZ70" s="138">
        <v>0</v>
      </c>
      <c r="BA70" s="141">
        <v>0</v>
      </c>
      <c r="BB70" s="143">
        <v>0</v>
      </c>
      <c r="BC70" s="201"/>
    </row>
    <row r="71" spans="1:55" x14ac:dyDescent="0.25">
      <c r="A71" s="123">
        <v>43</v>
      </c>
      <c r="B71" s="124">
        <v>2004</v>
      </c>
      <c r="C71" s="125" t="s">
        <v>4076</v>
      </c>
      <c r="D71" s="126">
        <v>7.4899999999999994E-2</v>
      </c>
      <c r="E71" s="153">
        <v>79000</v>
      </c>
      <c r="F71" s="137"/>
      <c r="G71" s="138"/>
      <c r="H71" s="139">
        <f>(468018.34/SUM(E$70:E$71,E$44:E$45)*E71)</f>
        <v>35045.923090047399</v>
      </c>
      <c r="I71" s="140">
        <v>2019</v>
      </c>
      <c r="J71" s="136" t="s">
        <v>4097</v>
      </c>
      <c r="K71" s="141">
        <v>5764.8052227488151</v>
      </c>
      <c r="L71" s="141">
        <v>2491.031744075829</v>
      </c>
      <c r="M71" s="142">
        <v>8255.8369668246451</v>
      </c>
      <c r="N71" s="200"/>
      <c r="O71" s="200"/>
      <c r="P71" s="138">
        <v>6986.4207867298574</v>
      </c>
      <c r="Q71" s="141">
        <v>1269.4161800947868</v>
      </c>
      <c r="R71" s="143">
        <v>8255.8369668246451</v>
      </c>
      <c r="S71" s="200"/>
      <c r="T71" s="138">
        <v>7446.0360473933652</v>
      </c>
      <c r="U71" s="141">
        <v>809.80091943127945</v>
      </c>
      <c r="V71" s="143">
        <v>8255.8369668246451</v>
      </c>
      <c r="W71" s="200"/>
      <c r="X71" s="138">
        <v>7935.14114691943</v>
      </c>
      <c r="Y71" s="141">
        <v>320.69581990521328</v>
      </c>
      <c r="Z71" s="143">
        <v>8255.8369668246432</v>
      </c>
      <c r="AA71" s="200"/>
      <c r="AB71" s="138">
        <v>0</v>
      </c>
      <c r="AC71" s="141">
        <v>0</v>
      </c>
      <c r="AD71" s="143">
        <v>0</v>
      </c>
      <c r="AE71" s="200"/>
      <c r="AF71" s="138">
        <v>0</v>
      </c>
      <c r="AG71" s="141">
        <v>0</v>
      </c>
      <c r="AH71" s="143">
        <v>0</v>
      </c>
      <c r="AI71" s="200"/>
      <c r="AJ71" s="138">
        <v>0</v>
      </c>
      <c r="AK71" s="141">
        <v>0</v>
      </c>
      <c r="AL71" s="143">
        <v>0</v>
      </c>
      <c r="AM71" s="201"/>
      <c r="AN71" s="138">
        <v>0</v>
      </c>
      <c r="AO71" s="141">
        <v>0</v>
      </c>
      <c r="AP71" s="143">
        <v>0</v>
      </c>
      <c r="AQ71" s="201"/>
      <c r="AR71" s="138">
        <v>0</v>
      </c>
      <c r="AS71" s="141">
        <v>0</v>
      </c>
      <c r="AT71" s="143">
        <v>0</v>
      </c>
      <c r="AU71" s="201"/>
      <c r="AV71" s="138">
        <v>0</v>
      </c>
      <c r="AW71" s="141">
        <v>0</v>
      </c>
      <c r="AX71" s="143">
        <v>0</v>
      </c>
      <c r="AY71" s="201"/>
      <c r="AZ71" s="138">
        <v>0</v>
      </c>
      <c r="BA71" s="141">
        <v>0</v>
      </c>
      <c r="BB71" s="143">
        <v>0</v>
      </c>
      <c r="BC71" s="201"/>
    </row>
    <row r="72" spans="1:55" x14ac:dyDescent="0.25">
      <c r="A72" s="123">
        <v>51</v>
      </c>
      <c r="B72" s="124">
        <v>2007</v>
      </c>
      <c r="C72" s="125" t="s">
        <v>4066</v>
      </c>
      <c r="D72" s="126">
        <v>3.5299999999999998E-2</v>
      </c>
      <c r="E72" s="153">
        <v>175000</v>
      </c>
      <c r="F72" s="137"/>
      <c r="G72" s="138"/>
      <c r="H72" s="139">
        <f>759142.18066/SUM(E$72,E$30,E$48)*E72</f>
        <v>137954.18651661472</v>
      </c>
      <c r="I72" s="140">
        <v>2027</v>
      </c>
      <c r="J72" s="136" t="s">
        <v>4098</v>
      </c>
      <c r="K72" s="141">
        <v>6423.9784908321581</v>
      </c>
      <c r="L72" s="141">
        <v>9696.3614245416084</v>
      </c>
      <c r="M72" s="142">
        <v>16120.339915373766</v>
      </c>
      <c r="N72" s="200"/>
      <c r="O72" s="200"/>
      <c r="P72" s="138">
        <v>7868.9485190409032</v>
      </c>
      <c r="Q72" s="141">
        <v>8251.3913963328632</v>
      </c>
      <c r="R72" s="143">
        <v>16120.339915373766</v>
      </c>
      <c r="S72" s="200"/>
      <c r="T72" s="138">
        <v>8420.1234132581103</v>
      </c>
      <c r="U72" s="141">
        <v>7700.2165021156561</v>
      </c>
      <c r="V72" s="143">
        <v>16120.339915373766</v>
      </c>
      <c r="W72" s="200"/>
      <c r="X72" s="138">
        <v>9009.9009167842032</v>
      </c>
      <c r="Y72" s="141">
        <v>7110.4389985895623</v>
      </c>
      <c r="Z72" s="143">
        <v>16120.339915373766</v>
      </c>
      <c r="AA72" s="200"/>
      <c r="AB72" s="138">
        <v>9623.1505641748936</v>
      </c>
      <c r="AC72" s="141">
        <v>6497.1893511988719</v>
      </c>
      <c r="AD72" s="143">
        <v>16120.339915373766</v>
      </c>
      <c r="AE72" s="200"/>
      <c r="AF72" s="138">
        <v>10315.020803949225</v>
      </c>
      <c r="AG72" s="141">
        <v>5805.3191114245419</v>
      </c>
      <c r="AH72" s="143">
        <v>16120.339915373766</v>
      </c>
      <c r="AI72" s="200"/>
      <c r="AJ72" s="138">
        <v>11037.513046544429</v>
      </c>
      <c r="AK72" s="141">
        <v>5082.8268688293374</v>
      </c>
      <c r="AL72" s="143">
        <v>16120.339915373766</v>
      </c>
      <c r="AM72" s="201"/>
      <c r="AN72" s="138">
        <v>11810.606135401975</v>
      </c>
      <c r="AO72" s="141">
        <v>4309.7337799717916</v>
      </c>
      <c r="AP72" s="143">
        <v>16120.339915373766</v>
      </c>
      <c r="AQ72" s="201"/>
      <c r="AR72" s="138">
        <v>12628.43370944993</v>
      </c>
      <c r="AS72" s="141">
        <v>3491.9062059238368</v>
      </c>
      <c r="AT72" s="143">
        <v>16120.339915373766</v>
      </c>
      <c r="AU72" s="201"/>
      <c r="AV72" s="138">
        <v>13522.363540197461</v>
      </c>
      <c r="AW72" s="141">
        <v>2597.9763751763048</v>
      </c>
      <c r="AX72" s="143">
        <v>16120.339915373766</v>
      </c>
      <c r="AY72" s="201"/>
      <c r="AZ72" s="138">
        <v>14469.491184767279</v>
      </c>
      <c r="BA72" s="141">
        <v>1650.8487306064881</v>
      </c>
      <c r="BB72" s="143">
        <v>16120.339915373766</v>
      </c>
      <c r="BC72" s="201"/>
    </row>
    <row r="73" spans="1:55" s="190" customFormat="1" x14ac:dyDescent="0.25">
      <c r="A73" s="123">
        <v>49</v>
      </c>
      <c r="B73" s="124">
        <v>2006</v>
      </c>
      <c r="C73" s="125" t="s">
        <v>4076</v>
      </c>
      <c r="D73" s="126">
        <v>0.21890000000000001</v>
      </c>
      <c r="E73" s="153">
        <v>500000</v>
      </c>
      <c r="F73" s="154"/>
      <c r="G73" s="139"/>
      <c r="H73" s="139">
        <f>(1691465.44/SUM(E$73:E$75,E$31,E$46:E$47))*E73</f>
        <v>370204.73626614135</v>
      </c>
      <c r="I73" s="140">
        <v>2026</v>
      </c>
      <c r="J73" s="153" t="s">
        <v>4099</v>
      </c>
      <c r="K73" s="141">
        <v>20099.838038958198</v>
      </c>
      <c r="L73" s="141">
        <v>24207.178813744802</v>
      </c>
      <c r="M73" s="142">
        <v>44307.016852703004</v>
      </c>
      <c r="N73" s="193"/>
      <c r="O73" s="193"/>
      <c r="P73" s="138">
        <v>24192.079229590719</v>
      </c>
      <c r="Q73" s="141">
        <v>20114.937623112277</v>
      </c>
      <c r="R73" s="143">
        <v>44307.016852702996</v>
      </c>
      <c r="S73" s="193"/>
      <c r="T73" s="138">
        <v>25656.655723353029</v>
      </c>
      <c r="U73" s="141">
        <v>18650.361129349967</v>
      </c>
      <c r="V73" s="143">
        <v>44307.016852702996</v>
      </c>
      <c r="W73" s="193"/>
      <c r="X73" s="138">
        <v>27476.8067410812</v>
      </c>
      <c r="Y73" s="141">
        <v>16830.2101116218</v>
      </c>
      <c r="Z73" s="143">
        <v>44307.016852703004</v>
      </c>
      <c r="AA73" s="193"/>
      <c r="AB73" s="138">
        <v>29216.242066097617</v>
      </c>
      <c r="AC73" s="141">
        <v>15090.774786605385</v>
      </c>
      <c r="AD73" s="143">
        <v>44307.016852703004</v>
      </c>
      <c r="AE73" s="193"/>
      <c r="AF73" s="138">
        <v>31109.12234624644</v>
      </c>
      <c r="AG73" s="141">
        <v>13197.894506456556</v>
      </c>
      <c r="AH73" s="143">
        <v>44307.016852702996</v>
      </c>
      <c r="AI73" s="193"/>
      <c r="AJ73" s="138">
        <v>33128.826876778287</v>
      </c>
      <c r="AK73" s="141">
        <v>11178.18997592471</v>
      </c>
      <c r="AL73" s="143">
        <v>44307.016852702996</v>
      </c>
      <c r="AM73" s="194"/>
      <c r="AN73" s="138">
        <v>35279.662945940028</v>
      </c>
      <c r="AO73" s="141">
        <v>9027.3539067629681</v>
      </c>
      <c r="AP73" s="143">
        <v>44307.016852702996</v>
      </c>
      <c r="AQ73" s="194"/>
      <c r="AR73" s="138">
        <v>37524.456117312322</v>
      </c>
      <c r="AS73" s="141">
        <v>6782.5607353906762</v>
      </c>
      <c r="AT73" s="143">
        <v>44307.016852702996</v>
      </c>
      <c r="AU73" s="194"/>
      <c r="AV73" s="138">
        <v>40019.461588969141</v>
      </c>
      <c r="AW73" s="141">
        <v>4287.5552637338587</v>
      </c>
      <c r="AX73" s="143">
        <v>44307.016852703004</v>
      </c>
      <c r="AY73" s="194">
        <v>44307.016852703004</v>
      </c>
      <c r="AZ73" s="138">
        <v>42604.528343182319</v>
      </c>
      <c r="BA73" s="141">
        <v>1702.488509520683</v>
      </c>
      <c r="BB73" s="143">
        <v>44307.016852703004</v>
      </c>
      <c r="BC73" s="194"/>
    </row>
    <row r="74" spans="1:55" s="190" customFormat="1" x14ac:dyDescent="0.25">
      <c r="A74" s="123">
        <v>49</v>
      </c>
      <c r="B74" s="124">
        <v>2006</v>
      </c>
      <c r="C74" s="125" t="s">
        <v>4076</v>
      </c>
      <c r="D74" s="126">
        <v>4.3799999999999999E-2</v>
      </c>
      <c r="E74" s="153">
        <v>100000</v>
      </c>
      <c r="F74" s="154"/>
      <c r="G74" s="139"/>
      <c r="H74" s="139">
        <f>(1691465.44/SUM(E$73:E$75,E$31,E$46:E$47))*E74</f>
        <v>74040.947253228267</v>
      </c>
      <c r="I74" s="140">
        <v>2026</v>
      </c>
      <c r="J74" s="153" t="s">
        <v>2304</v>
      </c>
      <c r="K74" s="141">
        <v>4019.9676077916397</v>
      </c>
      <c r="L74" s="141">
        <v>4841.4357627489608</v>
      </c>
      <c r="M74" s="142">
        <v>8861.4033705406</v>
      </c>
      <c r="N74" s="193"/>
      <c r="O74" s="193"/>
      <c r="P74" s="138">
        <v>4838.4158459181444</v>
      </c>
      <c r="Q74" s="141">
        <v>4022.9875246224556</v>
      </c>
      <c r="R74" s="143">
        <v>8861.4033705406</v>
      </c>
      <c r="S74" s="193"/>
      <c r="T74" s="138">
        <v>5131.3311446706066</v>
      </c>
      <c r="U74" s="141">
        <v>3730.0722258699934</v>
      </c>
      <c r="V74" s="143">
        <v>8861.4033705406</v>
      </c>
      <c r="W74" s="193"/>
      <c r="X74" s="138">
        <v>5495.36134821624</v>
      </c>
      <c r="Y74" s="141">
        <v>3366.04202232436</v>
      </c>
      <c r="Z74" s="143">
        <v>8861.4033705406</v>
      </c>
      <c r="AA74" s="193"/>
      <c r="AB74" s="138">
        <v>5843.2484132195232</v>
      </c>
      <c r="AC74" s="141">
        <v>3018.1549573210768</v>
      </c>
      <c r="AD74" s="143">
        <v>8861.4033705406</v>
      </c>
      <c r="AE74" s="193"/>
      <c r="AF74" s="138">
        <v>6221.8244692492881</v>
      </c>
      <c r="AG74" s="141">
        <v>2639.578901291311</v>
      </c>
      <c r="AH74" s="143">
        <v>8861.4033705406</v>
      </c>
      <c r="AI74" s="193"/>
      <c r="AJ74" s="138">
        <v>6625.7653753556579</v>
      </c>
      <c r="AK74" s="141">
        <v>2235.6379951849422</v>
      </c>
      <c r="AL74" s="143">
        <v>8861.4033705406</v>
      </c>
      <c r="AM74" s="194"/>
      <c r="AN74" s="138">
        <v>7055.9325891880062</v>
      </c>
      <c r="AO74" s="141">
        <v>1805.4707813525938</v>
      </c>
      <c r="AP74" s="143">
        <v>8861.4033705406</v>
      </c>
      <c r="AQ74" s="194"/>
      <c r="AR74" s="138">
        <v>7504.891223462464</v>
      </c>
      <c r="AS74" s="141">
        <v>1356.5121470781353</v>
      </c>
      <c r="AT74" s="143">
        <v>8861.4033705406</v>
      </c>
      <c r="AU74" s="194"/>
      <c r="AV74" s="138">
        <v>8003.8923177938286</v>
      </c>
      <c r="AW74" s="141">
        <v>857.51105274677172</v>
      </c>
      <c r="AX74" s="143">
        <v>8861.4033705406</v>
      </c>
      <c r="AY74" s="194">
        <v>44308.016852702996</v>
      </c>
      <c r="AZ74" s="138">
        <v>8520.9056686364638</v>
      </c>
      <c r="BA74" s="141">
        <v>340.49770190413659</v>
      </c>
      <c r="BB74" s="143">
        <v>8861.4033705406</v>
      </c>
      <c r="BC74" s="194"/>
    </row>
    <row r="75" spans="1:55" s="190" customFormat="1" x14ac:dyDescent="0.25">
      <c r="A75" s="123">
        <v>49</v>
      </c>
      <c r="B75" s="124">
        <v>2006</v>
      </c>
      <c r="C75" s="125" t="s">
        <v>4076</v>
      </c>
      <c r="D75" s="126">
        <v>0.2079</v>
      </c>
      <c r="E75" s="153">
        <v>475000</v>
      </c>
      <c r="F75" s="154"/>
      <c r="G75" s="139"/>
      <c r="H75" s="139">
        <f>(1691465.44/SUM(E$73:E$75,E$31,E$46:E$47))*E75</f>
        <v>351694.49945283431</v>
      </c>
      <c r="I75" s="140">
        <v>2026</v>
      </c>
      <c r="J75" s="153" t="s">
        <v>4100</v>
      </c>
      <c r="K75" s="141">
        <v>19094.846137010289</v>
      </c>
      <c r="L75" s="141">
        <v>22996.819873057564</v>
      </c>
      <c r="M75" s="142">
        <v>42091.666010067856</v>
      </c>
      <c r="N75" s="189"/>
      <c r="O75" s="189"/>
      <c r="P75" s="138">
        <v>22982.475268111182</v>
      </c>
      <c r="Q75" s="141">
        <v>19109.190741956663</v>
      </c>
      <c r="R75" s="143">
        <v>42091.666010067842</v>
      </c>
      <c r="S75" s="189"/>
      <c r="T75" s="138">
        <v>24373.822937185378</v>
      </c>
      <c r="U75" s="141">
        <v>17717.843072882468</v>
      </c>
      <c r="V75" s="143">
        <v>42091.666010067842</v>
      </c>
      <c r="W75" s="189"/>
      <c r="X75" s="138">
        <v>26102.966404027138</v>
      </c>
      <c r="Y75" s="141">
        <v>15988.699606040707</v>
      </c>
      <c r="Z75" s="143">
        <v>42091.666010067842</v>
      </c>
      <c r="AA75" s="189"/>
      <c r="AB75" s="138">
        <v>27755.429962792736</v>
      </c>
      <c r="AC75" s="141">
        <v>14336.236047275115</v>
      </c>
      <c r="AD75" s="143">
        <v>42091.666010067849</v>
      </c>
      <c r="AE75" s="189"/>
      <c r="AF75" s="138">
        <v>29553.666228934118</v>
      </c>
      <c r="AG75" s="141">
        <v>12537.999781133727</v>
      </c>
      <c r="AH75" s="143">
        <v>42091.666010067842</v>
      </c>
      <c r="AI75" s="189"/>
      <c r="AJ75" s="138">
        <v>31472.38553293937</v>
      </c>
      <c r="AK75" s="141">
        <v>10619.280477128475</v>
      </c>
      <c r="AL75" s="143">
        <v>42091.666010067842</v>
      </c>
      <c r="AN75" s="138">
        <v>33515.679798643032</v>
      </c>
      <c r="AO75" s="141">
        <v>8575.9862114248208</v>
      </c>
      <c r="AP75" s="143">
        <v>42091.666010067856</v>
      </c>
      <c r="AR75" s="138">
        <v>35648.233311446704</v>
      </c>
      <c r="AS75" s="141">
        <v>6443.4326986211427</v>
      </c>
      <c r="AT75" s="143">
        <v>42091.666010067849</v>
      </c>
      <c r="AV75" s="138">
        <v>38018.488509520685</v>
      </c>
      <c r="AW75" s="141">
        <v>4073.1775005471659</v>
      </c>
      <c r="AX75" s="143">
        <v>42091.666010067849</v>
      </c>
      <c r="AY75" s="190">
        <v>44308.016852702996</v>
      </c>
      <c r="AZ75" s="138">
        <v>40474.301926023196</v>
      </c>
      <c r="BA75" s="141">
        <v>1617.3640840446487</v>
      </c>
      <c r="BB75" s="143">
        <v>42091.666010067842</v>
      </c>
    </row>
    <row r="76" spans="1:55" s="190" customFormat="1" x14ac:dyDescent="0.25">
      <c r="A76" s="123">
        <v>50</v>
      </c>
      <c r="B76" s="124">
        <v>2007</v>
      </c>
      <c r="C76" s="125" t="s">
        <v>4066</v>
      </c>
      <c r="D76" s="126">
        <v>2.5000000000000001E-2</v>
      </c>
      <c r="E76" s="153">
        <v>30000</v>
      </c>
      <c r="F76" s="154"/>
      <c r="G76" s="139"/>
      <c r="H76" s="139">
        <f>446201.8/SUM(E$76:E$78,E$54)*E76</f>
        <v>11145.756869275603</v>
      </c>
      <c r="I76" s="140">
        <v>2017</v>
      </c>
      <c r="J76" s="153" t="s">
        <v>4101</v>
      </c>
      <c r="K76" s="141">
        <v>3273.0509575353872</v>
      </c>
      <c r="L76" s="141">
        <v>909.60249791840124</v>
      </c>
      <c r="M76" s="142">
        <v>4182.6534554537884</v>
      </c>
      <c r="N76" s="193"/>
      <c r="O76" s="193"/>
      <c r="P76" s="138">
        <v>3892.6738551207322</v>
      </c>
      <c r="Q76" s="141">
        <v>167.73821815154037</v>
      </c>
      <c r="R76" s="143">
        <v>4060.4120732722727</v>
      </c>
      <c r="S76" s="193"/>
      <c r="T76" s="138">
        <v>0</v>
      </c>
      <c r="U76" s="141">
        <v>0</v>
      </c>
      <c r="V76" s="143">
        <v>0</v>
      </c>
      <c r="W76" s="193"/>
      <c r="X76" s="138">
        <v>0</v>
      </c>
      <c r="Y76" s="141">
        <v>0</v>
      </c>
      <c r="Z76" s="143">
        <v>0</v>
      </c>
      <c r="AA76" s="193"/>
      <c r="AB76" s="138">
        <v>0</v>
      </c>
      <c r="AC76" s="141">
        <v>0</v>
      </c>
      <c r="AD76" s="143">
        <v>0</v>
      </c>
      <c r="AE76" s="193"/>
      <c r="AF76" s="138">
        <v>0</v>
      </c>
      <c r="AG76" s="141">
        <v>0</v>
      </c>
      <c r="AH76" s="143">
        <v>0</v>
      </c>
      <c r="AI76" s="193"/>
      <c r="AJ76" s="138">
        <v>0</v>
      </c>
      <c r="AK76" s="141">
        <v>0</v>
      </c>
      <c r="AL76" s="143">
        <v>0</v>
      </c>
      <c r="AM76" s="194"/>
      <c r="AN76" s="138">
        <v>0</v>
      </c>
      <c r="AO76" s="141">
        <v>0</v>
      </c>
      <c r="AP76" s="143">
        <v>0</v>
      </c>
      <c r="AQ76" s="194"/>
      <c r="AR76" s="138">
        <v>0</v>
      </c>
      <c r="AS76" s="141">
        <v>0</v>
      </c>
      <c r="AT76" s="143">
        <v>0</v>
      </c>
      <c r="AU76" s="194"/>
      <c r="AV76" s="138">
        <v>0</v>
      </c>
      <c r="AW76" s="141">
        <v>0</v>
      </c>
      <c r="AX76" s="143">
        <v>0</v>
      </c>
      <c r="AY76" s="194"/>
      <c r="AZ76" s="138">
        <v>0</v>
      </c>
      <c r="BA76" s="141">
        <v>0</v>
      </c>
      <c r="BB76" s="143">
        <v>0</v>
      </c>
      <c r="BC76" s="194"/>
    </row>
    <row r="77" spans="1:55" s="190" customFormat="1" x14ac:dyDescent="0.25">
      <c r="A77" s="123">
        <v>50</v>
      </c>
      <c r="B77" s="124">
        <v>2007</v>
      </c>
      <c r="C77" s="125" t="s">
        <v>4066</v>
      </c>
      <c r="D77" s="126">
        <v>0.05</v>
      </c>
      <c r="E77" s="153">
        <v>60000</v>
      </c>
      <c r="F77" s="154"/>
      <c r="G77" s="139"/>
      <c r="H77" s="139">
        <f>446201.8/SUM(E$76:E$78,E$54)*E77</f>
        <v>22291.513738551206</v>
      </c>
      <c r="I77" s="140">
        <v>2017</v>
      </c>
      <c r="J77" s="153" t="s">
        <v>2304</v>
      </c>
      <c r="K77" s="141">
        <v>6546.1019150707743</v>
      </c>
      <c r="L77" s="141">
        <v>1819.2049958368025</v>
      </c>
      <c r="M77" s="142">
        <v>8365.3069109075768</v>
      </c>
      <c r="N77" s="193"/>
      <c r="O77" s="193"/>
      <c r="P77" s="138">
        <v>7785.3477102414645</v>
      </c>
      <c r="Q77" s="141">
        <v>335.47643630308073</v>
      </c>
      <c r="R77" s="143">
        <v>8120.8241465445453</v>
      </c>
      <c r="S77" s="193"/>
      <c r="T77" s="138">
        <v>0</v>
      </c>
      <c r="U77" s="141">
        <v>0</v>
      </c>
      <c r="V77" s="143">
        <v>0</v>
      </c>
      <c r="W77" s="193"/>
      <c r="X77" s="138">
        <v>0</v>
      </c>
      <c r="Y77" s="141">
        <v>0</v>
      </c>
      <c r="Z77" s="143">
        <v>0</v>
      </c>
      <c r="AA77" s="193"/>
      <c r="AB77" s="138">
        <v>0</v>
      </c>
      <c r="AC77" s="141">
        <v>0</v>
      </c>
      <c r="AD77" s="143">
        <v>0</v>
      </c>
      <c r="AE77" s="193"/>
      <c r="AF77" s="138">
        <v>0</v>
      </c>
      <c r="AG77" s="141">
        <v>0</v>
      </c>
      <c r="AH77" s="143">
        <v>0</v>
      </c>
      <c r="AI77" s="193"/>
      <c r="AJ77" s="138">
        <v>0</v>
      </c>
      <c r="AK77" s="141">
        <v>0</v>
      </c>
      <c r="AL77" s="143">
        <v>0</v>
      </c>
      <c r="AM77" s="194"/>
      <c r="AN77" s="138">
        <v>0</v>
      </c>
      <c r="AO77" s="141">
        <v>0</v>
      </c>
      <c r="AP77" s="143">
        <v>0</v>
      </c>
      <c r="AQ77" s="194"/>
      <c r="AR77" s="138">
        <v>0</v>
      </c>
      <c r="AS77" s="141">
        <v>0</v>
      </c>
      <c r="AT77" s="143">
        <v>0</v>
      </c>
      <c r="AU77" s="194"/>
      <c r="AV77" s="138">
        <v>0</v>
      </c>
      <c r="AW77" s="141">
        <v>0</v>
      </c>
      <c r="AX77" s="143">
        <v>0</v>
      </c>
      <c r="AY77" s="194"/>
      <c r="AZ77" s="138">
        <v>0</v>
      </c>
      <c r="BA77" s="141">
        <v>0</v>
      </c>
      <c r="BB77" s="143">
        <v>0</v>
      </c>
      <c r="BC77" s="194"/>
    </row>
    <row r="78" spans="1:55" s="190" customFormat="1" x14ac:dyDescent="0.25">
      <c r="A78" s="123">
        <v>50</v>
      </c>
      <c r="B78" s="124">
        <v>2007</v>
      </c>
      <c r="C78" s="125" t="s">
        <v>4066</v>
      </c>
      <c r="D78" s="126">
        <v>9.2399999999999996E-2</v>
      </c>
      <c r="E78" s="153">
        <v>111000</v>
      </c>
      <c r="F78" s="154"/>
      <c r="G78" s="139"/>
      <c r="H78" s="139">
        <f>446201.8/SUM(E$76:E$78,E$54)*E78</f>
        <v>41239.300416319733</v>
      </c>
      <c r="I78" s="140">
        <v>2017</v>
      </c>
      <c r="J78" s="153" t="s">
        <v>4102</v>
      </c>
      <c r="K78" s="141">
        <v>12110.288542880933</v>
      </c>
      <c r="L78" s="141">
        <v>3365.5292422980851</v>
      </c>
      <c r="M78" s="142">
        <v>15475.817785179019</v>
      </c>
      <c r="N78" s="189"/>
      <c r="O78" s="189"/>
      <c r="P78" s="138">
        <v>14402.893263946711</v>
      </c>
      <c r="Q78" s="141">
        <v>620.6314071606995</v>
      </c>
      <c r="R78" s="143">
        <v>15023.524671107411</v>
      </c>
      <c r="S78" s="189"/>
      <c r="T78" s="138">
        <v>0</v>
      </c>
      <c r="U78" s="141">
        <v>0</v>
      </c>
      <c r="V78" s="143">
        <v>0</v>
      </c>
      <c r="W78" s="189"/>
      <c r="X78" s="138">
        <v>0</v>
      </c>
      <c r="Y78" s="141">
        <v>0</v>
      </c>
      <c r="Z78" s="143">
        <v>0</v>
      </c>
      <c r="AA78" s="189"/>
      <c r="AB78" s="138">
        <v>0</v>
      </c>
      <c r="AC78" s="141">
        <v>0</v>
      </c>
      <c r="AD78" s="143">
        <v>0</v>
      </c>
      <c r="AE78" s="189"/>
      <c r="AF78" s="138">
        <v>0</v>
      </c>
      <c r="AG78" s="141">
        <v>0</v>
      </c>
      <c r="AH78" s="143">
        <v>0</v>
      </c>
      <c r="AI78" s="189"/>
      <c r="AJ78" s="138">
        <v>0</v>
      </c>
      <c r="AK78" s="141">
        <v>0</v>
      </c>
      <c r="AL78" s="143">
        <v>0</v>
      </c>
      <c r="AM78" s="191"/>
      <c r="AN78" s="138">
        <v>0</v>
      </c>
      <c r="AO78" s="141">
        <v>0</v>
      </c>
      <c r="AP78" s="143">
        <v>0</v>
      </c>
      <c r="AQ78" s="191"/>
      <c r="AR78" s="138">
        <v>0</v>
      </c>
      <c r="AS78" s="141">
        <v>0</v>
      </c>
      <c r="AT78" s="143">
        <v>0</v>
      </c>
      <c r="AU78" s="191"/>
      <c r="AV78" s="138">
        <v>0</v>
      </c>
      <c r="AW78" s="141">
        <v>0</v>
      </c>
      <c r="AX78" s="143">
        <v>0</v>
      </c>
      <c r="AY78" s="191"/>
      <c r="AZ78" s="138">
        <v>0</v>
      </c>
      <c r="BA78" s="141">
        <v>0</v>
      </c>
      <c r="BB78" s="143">
        <v>0</v>
      </c>
      <c r="BC78" s="191"/>
    </row>
    <row r="79" spans="1:55" s="190" customFormat="1" x14ac:dyDescent="0.25">
      <c r="A79" s="123">
        <v>65</v>
      </c>
      <c r="B79" s="124">
        <v>2009</v>
      </c>
      <c r="C79" s="125" t="s">
        <v>4076</v>
      </c>
      <c r="D79" s="126">
        <v>1</v>
      </c>
      <c r="E79" s="153">
        <v>1000000</v>
      </c>
      <c r="F79" s="154"/>
      <c r="G79" s="139"/>
      <c r="H79" s="139">
        <v>853057.85</v>
      </c>
      <c r="I79" s="140">
        <v>2012</v>
      </c>
      <c r="J79" s="153" t="s">
        <v>4103</v>
      </c>
      <c r="K79" s="141">
        <v>24780.277682956636</v>
      </c>
      <c r="L79" s="141">
        <v>60031.615194351958</v>
      </c>
      <c r="M79" s="142">
        <v>84811.892877308594</v>
      </c>
      <c r="N79" s="141"/>
      <c r="O79" s="141"/>
      <c r="P79" s="138">
        <v>30093.819658568274</v>
      </c>
      <c r="Q79" s="141">
        <v>54718.073218740319</v>
      </c>
      <c r="R79" s="143">
        <v>84811.892877308594</v>
      </c>
      <c r="S79" s="141"/>
      <c r="T79" s="138">
        <v>32107.096193726487</v>
      </c>
      <c r="U79" s="141">
        <v>52704.796683582106</v>
      </c>
      <c r="V79" s="143">
        <v>84811.892877308594</v>
      </c>
      <c r="W79" s="141"/>
      <c r="X79" s="138">
        <v>34255.060929086794</v>
      </c>
      <c r="Y79" s="141">
        <v>50556.831948221799</v>
      </c>
      <c r="Z79" s="143">
        <v>84811.892877308594</v>
      </c>
      <c r="AA79" s="141"/>
      <c r="AB79" s="138">
        <v>36546.724505242695</v>
      </c>
      <c r="AC79" s="141">
        <v>48265.168372065898</v>
      </c>
      <c r="AD79" s="143">
        <v>84811.892877308594</v>
      </c>
      <c r="AE79" s="141"/>
      <c r="AF79" s="138">
        <v>38991.700374643427</v>
      </c>
      <c r="AG79" s="141">
        <v>45820.192502665166</v>
      </c>
      <c r="AH79" s="143">
        <v>84811.892877308594</v>
      </c>
      <c r="AI79" s="141"/>
      <c r="AJ79" s="138">
        <v>41600.245129707073</v>
      </c>
      <c r="AK79" s="141">
        <v>43211.647747601521</v>
      </c>
      <c r="AL79" s="143">
        <v>84811.892877308594</v>
      </c>
      <c r="AM79" s="144"/>
      <c r="AN79" s="138">
        <v>44383.301528884476</v>
      </c>
      <c r="AO79" s="141">
        <v>40428.591348424117</v>
      </c>
      <c r="AP79" s="143">
        <v>84811.892877308594</v>
      </c>
      <c r="AQ79" s="144"/>
      <c r="AR79" s="138">
        <v>47352.544401166844</v>
      </c>
      <c r="AS79" s="141">
        <v>37459.348476141749</v>
      </c>
      <c r="AT79" s="143">
        <v>84811.892877308594</v>
      </c>
      <c r="AU79" s="144"/>
      <c r="AV79" s="138">
        <v>50520.429621604904</v>
      </c>
      <c r="AW79" s="141">
        <v>34291.463255703689</v>
      </c>
      <c r="AX79" s="143">
        <v>84811.892877308594</v>
      </c>
      <c r="AY79" s="144"/>
      <c r="AZ79" s="138">
        <v>53900.24636329028</v>
      </c>
      <c r="BA79" s="141">
        <v>30911.646514018317</v>
      </c>
      <c r="BB79" s="143">
        <v>84811.892877308594</v>
      </c>
      <c r="BC79" s="144"/>
    </row>
    <row r="80" spans="1:55" s="190" customFormat="1" x14ac:dyDescent="0.25">
      <c r="A80" s="123">
        <v>64</v>
      </c>
      <c r="B80" s="124">
        <v>2009</v>
      </c>
      <c r="C80" s="125" t="s">
        <v>4076</v>
      </c>
      <c r="D80" s="126">
        <v>0.2051</v>
      </c>
      <c r="E80" s="153">
        <v>400000</v>
      </c>
      <c r="F80" s="154"/>
      <c r="G80" s="139"/>
      <c r="H80" s="139">
        <f>1761683.26/SUM(E$80,E$32,E$60)*E80</f>
        <v>361370.9251282051</v>
      </c>
      <c r="I80" s="140">
        <v>2034</v>
      </c>
      <c r="J80" s="153" t="s">
        <v>4100</v>
      </c>
      <c r="K80" s="141">
        <v>10201.051228476801</v>
      </c>
      <c r="L80" s="141">
        <v>24774.848693917527</v>
      </c>
      <c r="M80" s="142">
        <v>34975.899922394325</v>
      </c>
      <c r="N80" s="141"/>
      <c r="O80" s="141"/>
      <c r="P80" s="138">
        <v>12391.908181065162</v>
      </c>
      <c r="Q80" s="141">
        <v>22583.99174132917</v>
      </c>
      <c r="R80" s="143">
        <v>34975.899922394332</v>
      </c>
      <c r="S80" s="141"/>
      <c r="T80" s="138">
        <v>13222.166029196527</v>
      </c>
      <c r="U80" s="141">
        <v>21753.733893197801</v>
      </c>
      <c r="V80" s="143">
        <v>34975.899922394325</v>
      </c>
      <c r="W80" s="141"/>
      <c r="X80" s="138">
        <v>14108.051153152695</v>
      </c>
      <c r="Y80" s="141">
        <v>20867.848769241638</v>
      </c>
      <c r="Z80" s="143">
        <v>34975.899922394332</v>
      </c>
      <c r="AA80" s="141"/>
      <c r="AB80" s="138">
        <v>15053.290580413925</v>
      </c>
      <c r="AC80" s="141">
        <v>19922.609341980406</v>
      </c>
      <c r="AD80" s="143">
        <v>34975.899922394332</v>
      </c>
      <c r="AE80" s="141"/>
      <c r="AF80" s="138">
        <v>16061.861049301659</v>
      </c>
      <c r="AG80" s="141">
        <v>18914.038873092672</v>
      </c>
      <c r="AH80" s="143">
        <v>34975.899922394332</v>
      </c>
      <c r="AI80" s="141"/>
      <c r="AJ80" s="138">
        <v>17138.005739604869</v>
      </c>
      <c r="AK80" s="141">
        <v>17837.894182789463</v>
      </c>
      <c r="AL80" s="143">
        <v>34975.899922394332</v>
      </c>
      <c r="AM80" s="144"/>
      <c r="AN80" s="138">
        <v>18286.252124158396</v>
      </c>
      <c r="AO80" s="141">
        <v>16689.647798235936</v>
      </c>
      <c r="AP80" s="143">
        <v>34975.899922394332</v>
      </c>
      <c r="AQ80" s="144"/>
      <c r="AR80" s="138">
        <v>19511.431016477007</v>
      </c>
      <c r="AS80" s="141">
        <v>15464.468905917325</v>
      </c>
      <c r="AT80" s="143">
        <v>34975.899922394332</v>
      </c>
      <c r="AU80" s="144"/>
      <c r="AV80" s="138">
        <v>20818.696894580968</v>
      </c>
      <c r="AW80" s="141">
        <v>14157.203027813364</v>
      </c>
      <c r="AX80" s="143">
        <v>34975.899922394332</v>
      </c>
      <c r="AY80" s="75"/>
      <c r="AZ80" s="138">
        <v>22213.549586517893</v>
      </c>
      <c r="BA80" s="141">
        <v>12762.350335876437</v>
      </c>
      <c r="BB80" s="143">
        <v>34975.899922394332</v>
      </c>
      <c r="BC80" s="75"/>
    </row>
    <row r="81" spans="1:55" s="151" customFormat="1" x14ac:dyDescent="0.25">
      <c r="A81" s="156"/>
      <c r="B81" s="157"/>
      <c r="C81" s="158"/>
      <c r="D81" s="126"/>
      <c r="E81" s="160"/>
      <c r="F81" s="165"/>
      <c r="G81" s="146"/>
      <c r="H81" s="146"/>
      <c r="I81" s="135"/>
      <c r="J81" s="135"/>
      <c r="K81" s="148"/>
      <c r="L81" s="148"/>
      <c r="M81" s="149"/>
      <c r="N81" s="148"/>
      <c r="O81" s="148"/>
      <c r="P81" s="146"/>
      <c r="Q81" s="148"/>
      <c r="R81" s="150"/>
      <c r="S81" s="148"/>
      <c r="T81" s="146"/>
      <c r="U81" s="148"/>
      <c r="V81" s="150"/>
      <c r="W81" s="148"/>
      <c r="X81" s="146"/>
      <c r="Y81" s="148"/>
      <c r="Z81" s="150"/>
      <c r="AA81" s="148"/>
      <c r="AB81" s="146"/>
      <c r="AC81" s="148"/>
      <c r="AD81" s="150"/>
      <c r="AE81" s="148"/>
      <c r="AF81" s="146"/>
      <c r="AG81" s="148"/>
      <c r="AH81" s="150"/>
      <c r="AI81" s="148"/>
      <c r="AJ81" s="146"/>
      <c r="AK81" s="148"/>
      <c r="AL81" s="150"/>
      <c r="AM81" s="148"/>
      <c r="AN81" s="146"/>
      <c r="AO81" s="148"/>
      <c r="AP81" s="150"/>
      <c r="AQ81" s="148"/>
      <c r="AR81" s="146"/>
      <c r="AS81" s="148"/>
      <c r="AT81" s="150"/>
      <c r="AU81" s="148"/>
      <c r="AV81" s="146"/>
      <c r="AW81" s="148"/>
      <c r="AX81" s="150"/>
      <c r="AY81" s="148"/>
      <c r="AZ81" s="146"/>
      <c r="BA81" s="148"/>
      <c r="BB81" s="150"/>
      <c r="BC81" s="148"/>
    </row>
    <row r="82" spans="1:55" s="151" customFormat="1" x14ac:dyDescent="0.25">
      <c r="A82" s="156"/>
      <c r="B82" s="157"/>
      <c r="C82" s="158"/>
      <c r="D82" s="126"/>
      <c r="E82" s="160"/>
      <c r="F82" s="165"/>
      <c r="G82" s="146"/>
      <c r="H82" s="146"/>
      <c r="I82" s="135"/>
      <c r="J82" s="135" t="s">
        <v>4104</v>
      </c>
      <c r="K82" s="148"/>
      <c r="L82" s="148"/>
      <c r="M82" s="149"/>
      <c r="N82" s="148"/>
      <c r="O82" s="148"/>
      <c r="P82" s="146">
        <f>SUM(P70:P81)</f>
        <v>144366.98864060803</v>
      </c>
      <c r="Q82" s="148">
        <f>SUM(Q70:Q81)</f>
        <v>132816.75897121616</v>
      </c>
      <c r="R82" s="150">
        <f>SUM(R70:R81)</f>
        <v>277183.74761182419</v>
      </c>
      <c r="S82" s="148"/>
      <c r="T82" s="146">
        <f>SUM(T70:T81)</f>
        <v>125876.84719494465</v>
      </c>
      <c r="U82" s="148">
        <f>SUM(U70:U81)</f>
        <v>124102.13952595532</v>
      </c>
      <c r="V82" s="150">
        <f>SUM(V70:V81)</f>
        <v>249978.98672089999</v>
      </c>
      <c r="W82" s="148"/>
      <c r="X82" s="146">
        <f>SUM(X70:X81)</f>
        <v>134528.21592836722</v>
      </c>
      <c r="Y82" s="148">
        <f>SUM(Y70:Y81)</f>
        <v>115450.77079253276</v>
      </c>
      <c r="Z82" s="150">
        <f>SUM(Z70:Z81)</f>
        <v>249978.98672089999</v>
      </c>
      <c r="AA82" s="148"/>
      <c r="AB82" s="146">
        <f>SUM(AB70:AB81)</f>
        <v>124038.08609194138</v>
      </c>
      <c r="AC82" s="148">
        <f>SUM(AC70:AC81)</f>
        <v>107130.13285644675</v>
      </c>
      <c r="AD82" s="150">
        <f>SUM(AD70:AD81)</f>
        <v>231168.21894838815</v>
      </c>
      <c r="AE82" s="148"/>
      <c r="AF82" s="146">
        <f>SUM(AF70:AF81)</f>
        <v>132253.19527232417</v>
      </c>
      <c r="AG82" s="148">
        <f>SUM(AG70:AG81)</f>
        <v>98915.023676063982</v>
      </c>
      <c r="AH82" s="150">
        <f>SUM(AH70:AH81)</f>
        <v>231168.21894838815</v>
      </c>
      <c r="AI82" s="148"/>
      <c r="AJ82" s="146">
        <f>SUM(AJ70:AJ81)</f>
        <v>141002.74170092971</v>
      </c>
      <c r="AK82" s="148">
        <f>SUM(AK70:AK81)</f>
        <v>90165.477247458446</v>
      </c>
      <c r="AL82" s="150">
        <f>SUM(AL70:AL81)</f>
        <v>231168.21894838815</v>
      </c>
      <c r="AM82" s="148"/>
      <c r="AN82" s="146">
        <f>SUM(AN70:AN81)</f>
        <v>150331.43512221592</v>
      </c>
      <c r="AO82" s="148">
        <f>SUM(AO70:AO81)</f>
        <v>80836.783826172235</v>
      </c>
      <c r="AP82" s="150">
        <f>SUM(AP70:AP81)</f>
        <v>231168.21894838815</v>
      </c>
      <c r="AQ82" s="148"/>
      <c r="AR82" s="146">
        <f>SUM(AR70:AR81)</f>
        <v>160169.98977931525</v>
      </c>
      <c r="AS82" s="148">
        <f>SUM(AS70:AS81)</f>
        <v>70998.229169072874</v>
      </c>
      <c r="AT82" s="150">
        <f>SUM(AT70:AT81)</f>
        <v>231168.21894838815</v>
      </c>
      <c r="AU82" s="148"/>
      <c r="AV82" s="146">
        <f>SUM(AV70:AV81)</f>
        <v>170903.33247266698</v>
      </c>
      <c r="AW82" s="148">
        <f>SUM(AW70:AW81)</f>
        <v>60264.886475721156</v>
      </c>
      <c r="AX82" s="150">
        <f>SUM(AX70:AX81)</f>
        <v>231168.21894838815</v>
      </c>
      <c r="AY82" s="148"/>
      <c r="AZ82" s="146">
        <f>SUM(AZ70:AZ81)</f>
        <v>182183.02307241742</v>
      </c>
      <c r="BA82" s="148">
        <f>SUM(BA70:BA81)</f>
        <v>48985.195875970712</v>
      </c>
      <c r="BB82" s="150">
        <f>SUM(BB70:BB81)</f>
        <v>231168.21894838815</v>
      </c>
      <c r="BC82" s="148"/>
    </row>
    <row r="83" spans="1:55" s="151" customFormat="1" x14ac:dyDescent="0.25">
      <c r="A83" s="156"/>
      <c r="B83" s="157"/>
      <c r="C83" s="158"/>
      <c r="D83" s="126"/>
      <c r="E83" s="160"/>
      <c r="F83" s="165"/>
      <c r="G83" s="146"/>
      <c r="H83" s="146"/>
      <c r="I83" s="135"/>
      <c r="J83" s="135"/>
      <c r="K83" s="148"/>
      <c r="L83" s="148"/>
      <c r="M83" s="149"/>
      <c r="N83" s="148"/>
      <c r="O83" s="148"/>
      <c r="P83" s="146"/>
      <c r="Q83" s="148"/>
      <c r="R83" s="150"/>
      <c r="S83" s="148"/>
      <c r="T83" s="146"/>
      <c r="U83" s="148"/>
      <c r="V83" s="150"/>
      <c r="W83" s="148"/>
      <c r="X83" s="146"/>
      <c r="Y83" s="148"/>
      <c r="Z83" s="150"/>
      <c r="AA83" s="148"/>
      <c r="AB83" s="146"/>
      <c r="AC83" s="148"/>
      <c r="AD83" s="150"/>
      <c r="AE83" s="148"/>
      <c r="AF83" s="146"/>
      <c r="AG83" s="148"/>
      <c r="AH83" s="150"/>
      <c r="AI83" s="148"/>
      <c r="AJ83" s="146"/>
      <c r="AK83" s="148"/>
      <c r="AL83" s="150"/>
      <c r="AM83" s="148"/>
      <c r="AN83" s="146"/>
      <c r="AO83" s="148"/>
      <c r="AP83" s="150"/>
      <c r="AQ83" s="148"/>
      <c r="AR83" s="146"/>
      <c r="AS83" s="148"/>
      <c r="AT83" s="150"/>
      <c r="AU83" s="148"/>
      <c r="AV83" s="146"/>
      <c r="AW83" s="148"/>
      <c r="AX83" s="150"/>
      <c r="AY83" s="148"/>
      <c r="AZ83" s="146"/>
      <c r="BA83" s="148"/>
      <c r="BB83" s="150"/>
      <c r="BC83" s="148"/>
    </row>
    <row r="84" spans="1:55" s="151" customFormat="1" x14ac:dyDescent="0.25">
      <c r="A84" s="156"/>
      <c r="B84" s="157"/>
      <c r="C84" s="158"/>
      <c r="D84" s="159"/>
      <c r="E84" s="135"/>
      <c r="F84" s="145"/>
      <c r="G84" s="146"/>
      <c r="H84" s="146"/>
      <c r="I84" s="135"/>
      <c r="J84" s="135"/>
      <c r="K84" s="148"/>
      <c r="L84" s="148"/>
      <c r="M84" s="149"/>
      <c r="N84" s="148"/>
      <c r="O84" s="148"/>
      <c r="P84" s="146"/>
      <c r="Q84" s="148"/>
      <c r="R84" s="150"/>
      <c r="S84" s="148"/>
      <c r="T84" s="146"/>
      <c r="U84" s="148"/>
      <c r="V84" s="150"/>
      <c r="W84" s="148"/>
      <c r="X84" s="146"/>
      <c r="Y84" s="148"/>
      <c r="Z84" s="150"/>
      <c r="AA84" s="148"/>
      <c r="AB84" s="146"/>
      <c r="AC84" s="148"/>
      <c r="AD84" s="150"/>
      <c r="AE84" s="148"/>
      <c r="AF84" s="146"/>
      <c r="AG84" s="148"/>
      <c r="AH84" s="150"/>
      <c r="AI84" s="148"/>
      <c r="AJ84" s="146"/>
      <c r="AK84" s="148"/>
      <c r="AL84" s="150"/>
      <c r="AN84" s="146"/>
      <c r="AO84" s="148"/>
      <c r="AP84" s="150"/>
      <c r="AR84" s="146"/>
      <c r="AS84" s="148"/>
      <c r="AT84" s="150"/>
      <c r="AV84" s="146"/>
      <c r="AW84" s="148"/>
      <c r="AX84" s="150"/>
      <c r="AZ84" s="146"/>
      <c r="BA84" s="148"/>
      <c r="BB84" s="150"/>
    </row>
    <row r="85" spans="1:55" s="151" customFormat="1" ht="15.75" thickBot="1" x14ac:dyDescent="0.3">
      <c r="A85" s="202"/>
      <c r="B85" s="203"/>
      <c r="C85" s="204"/>
      <c r="D85" s="205"/>
      <c r="E85" s="206">
        <f>E41+E51+E57</f>
        <v>14524500</v>
      </c>
      <c r="F85" s="207"/>
      <c r="G85" s="208"/>
      <c r="H85" s="177" t="e">
        <f>H41+H51+H57+H60+H67</f>
        <v>#REF!</v>
      </c>
      <c r="I85" s="209"/>
      <c r="J85" s="210" t="s">
        <v>4105</v>
      </c>
      <c r="K85" s="177">
        <f>K41+K51+K57</f>
        <v>375821.4005478489</v>
      </c>
      <c r="L85" s="177">
        <f>L41+L51+L57</f>
        <v>458281.9230085098</v>
      </c>
      <c r="M85" s="178">
        <f>M41+M51+M57</f>
        <v>834103.32355635869</v>
      </c>
      <c r="N85" s="211"/>
      <c r="O85" s="177"/>
      <c r="P85" s="180">
        <f>P41+P51+P57+P60+P67+P82</f>
        <v>637279.72293804027</v>
      </c>
      <c r="Q85" s="177">
        <f>Q41+Q51+Q57+Q60+Q67+Q82</f>
        <v>583604.30272854026</v>
      </c>
      <c r="R85" s="181">
        <f>R41+R51+R57+R60+R67+R82</f>
        <v>1220884.0256665805</v>
      </c>
      <c r="S85" s="177"/>
      <c r="T85" s="180">
        <f>T41+T51+T57+T60+T67+T82</f>
        <v>553720.91993702494</v>
      </c>
      <c r="U85" s="177">
        <f>U41+U51+U57+U60+U67+U82</f>
        <v>643131.28844091832</v>
      </c>
      <c r="V85" s="181">
        <f>V41+V51+V57+V60+V67+V82</f>
        <v>1196852.2083779431</v>
      </c>
      <c r="W85" s="177"/>
      <c r="X85" s="180">
        <f>X41+X51+X57+X60+X67+X82</f>
        <v>624659.54324164568</v>
      </c>
      <c r="Y85" s="177">
        <f>Y41+Y51+Y57+Y60+Y67+Y82</f>
        <v>704971.01033766009</v>
      </c>
      <c r="Z85" s="181">
        <f>Z41+Z51+Z57+Z60+Z67+Z82</f>
        <v>1329630.5535793058</v>
      </c>
      <c r="AA85" s="177"/>
      <c r="AB85" s="180">
        <f>AB41+AB51+AB57+AB60+AB67+AB82</f>
        <v>592145.40076725231</v>
      </c>
      <c r="AC85" s="177">
        <f>AC41+AC51+AC57+AC60+AC67+AC82</f>
        <v>766859.62726241606</v>
      </c>
      <c r="AD85" s="181">
        <f>AD41+AD51+AD57+AD60+AD67+AD82</f>
        <v>1359005.0280296686</v>
      </c>
      <c r="AE85" s="177"/>
      <c r="AF85" s="180">
        <f>AF41+AF51+AF57+AF60+AF67+AF82</f>
        <v>630078.94659558276</v>
      </c>
      <c r="AG85" s="177">
        <f>AG41+AG51+AG57+AG60+AG67+AG82</f>
        <v>728907.26400508569</v>
      </c>
      <c r="AH85" s="181">
        <f>AH41+AH51+AH57+AH60+AH67+AH82</f>
        <v>1358986.2106006686</v>
      </c>
      <c r="AI85" s="177"/>
      <c r="AJ85" s="180">
        <f>AJ41+AJ51+AJ57+AJ60+AJ67+AJ82</f>
        <v>668808.51131897757</v>
      </c>
      <c r="AK85" s="177">
        <f>AK41+AK51+AK57+AK60+AK67+AK82</f>
        <v>690177.69003269088</v>
      </c>
      <c r="AL85" s="181">
        <f>AL41+AL51+AL57+AL60+AL67+AL82</f>
        <v>1358986.2013516685</v>
      </c>
      <c r="AM85" s="177"/>
      <c r="AN85" s="180">
        <f>AN41+AN51+AN57+AN60+AN67+AN82</f>
        <v>553182.80082393484</v>
      </c>
      <c r="AO85" s="177">
        <f>AO41+AO51+AO57+AO60+AO67+AO82</f>
        <v>551189.28977673361</v>
      </c>
      <c r="AP85" s="181">
        <f>AP41+AP51+AP57+AP60+AP67+AP82</f>
        <v>1104372.0906006687</v>
      </c>
      <c r="AQ85" s="212"/>
      <c r="AR85" s="180">
        <f>AR41+AR51+AR57+AR60+AR67+AR82</f>
        <v>587741.02418310579</v>
      </c>
      <c r="AS85" s="177">
        <f>AS41+AS51+AS57+AS60+AS67+AS82</f>
        <v>516631.05716856272</v>
      </c>
      <c r="AT85" s="181">
        <f>AT41+AT51+AT57+AT60+AT67+AT82</f>
        <v>1104372.0813516686</v>
      </c>
      <c r="AU85" s="177"/>
      <c r="AV85" s="180">
        <f>AV41+AV51+AV57+AV60+AV67+AV82</f>
        <v>625227.2595273474</v>
      </c>
      <c r="AW85" s="177">
        <f>AW41+AW51+AW57+AW60+AW67+AW82</f>
        <v>479144.83107332105</v>
      </c>
      <c r="AX85" s="181">
        <f>AX41+AX51+AX57+AX60+AX67+AX82</f>
        <v>1104372.0906006687</v>
      </c>
      <c r="AY85" s="177"/>
      <c r="AZ85" s="180">
        <f>AZ41+AZ51+AZ57+AZ60+AZ67+AZ82</f>
        <v>667792.25447278819</v>
      </c>
      <c r="BA85" s="177">
        <f>BA41+BA51+BA57+BA60+BA67+BA82</f>
        <v>436579.83687888028</v>
      </c>
      <c r="BB85" s="181">
        <f>BB41+BB51+BB57+BB60+BB67+BB82</f>
        <v>1104372.0913516686</v>
      </c>
      <c r="BC85" s="177"/>
    </row>
    <row r="86" spans="1:55" x14ac:dyDescent="0.25">
      <c r="A86" s="213"/>
      <c r="B86" s="214"/>
      <c r="C86" s="214"/>
      <c r="D86" s="215"/>
      <c r="E86" s="216"/>
      <c r="F86" s="217"/>
      <c r="G86" s="218"/>
      <c r="H86" s="218"/>
      <c r="I86" s="219"/>
      <c r="J86" s="219"/>
      <c r="K86" s="141"/>
      <c r="L86" s="141"/>
      <c r="M86" s="142"/>
      <c r="N86" s="141"/>
      <c r="O86" s="141"/>
      <c r="P86" s="138"/>
      <c r="Q86" s="141"/>
      <c r="R86" s="143"/>
      <c r="S86" s="141"/>
      <c r="T86" s="138"/>
      <c r="U86" s="141"/>
      <c r="V86" s="143"/>
      <c r="W86" s="141"/>
      <c r="X86" s="138"/>
      <c r="Y86" s="141"/>
      <c r="Z86" s="143"/>
      <c r="AA86" s="141"/>
      <c r="AB86" s="138"/>
      <c r="AC86" s="141"/>
      <c r="AD86" s="143"/>
      <c r="AE86" s="141"/>
      <c r="AF86" s="138"/>
      <c r="AG86" s="141"/>
      <c r="AH86" s="143"/>
      <c r="AI86" s="141"/>
      <c r="AJ86" s="138"/>
      <c r="AK86" s="141"/>
      <c r="AL86" s="143"/>
      <c r="AN86" s="138"/>
      <c r="AO86" s="141"/>
      <c r="AP86" s="143"/>
      <c r="AR86" s="138"/>
      <c r="AS86" s="141"/>
      <c r="AT86" s="143"/>
      <c r="AV86" s="138"/>
      <c r="AW86" s="141"/>
      <c r="AX86" s="143"/>
      <c r="AZ86" s="138"/>
      <c r="BA86" s="141"/>
      <c r="BB86" s="143"/>
    </row>
    <row r="87" spans="1:55" s="151" customFormat="1" ht="15.75" thickBot="1" x14ac:dyDescent="0.3">
      <c r="A87" s="202"/>
      <c r="B87" s="204"/>
      <c r="C87" s="204"/>
      <c r="D87" s="205"/>
      <c r="E87" s="220">
        <f>E25+E85</f>
        <v>22840700</v>
      </c>
      <c r="F87" s="221"/>
      <c r="G87" s="222"/>
      <c r="H87" s="222" t="e">
        <f>H25+H85</f>
        <v>#REF!</v>
      </c>
      <c r="I87" s="210"/>
      <c r="J87" s="210" t="s">
        <v>4119</v>
      </c>
      <c r="K87" s="211" t="e">
        <f>K25+K85</f>
        <v>#REF!</v>
      </c>
      <c r="L87" s="211" t="e">
        <f>L25+L85</f>
        <v>#REF!</v>
      </c>
      <c r="M87" s="223" t="e">
        <f>M25+M85</f>
        <v>#REF!</v>
      </c>
      <c r="N87" s="211">
        <v>0</v>
      </c>
      <c r="O87" s="224">
        <v>0</v>
      </c>
      <c r="P87" s="225">
        <f>P25+P85</f>
        <v>953278.58405656484</v>
      </c>
      <c r="Q87" s="220">
        <f>Q25+Q85</f>
        <v>1037634.0321243661</v>
      </c>
      <c r="R87" s="226">
        <f>R25+R85</f>
        <v>1990912.616180931</v>
      </c>
      <c r="S87" s="224">
        <v>0</v>
      </c>
      <c r="T87" s="225">
        <f>T25+T85</f>
        <v>892788.81661859876</v>
      </c>
      <c r="U87" s="220">
        <f>U25+U85</f>
        <v>1074091.9822736948</v>
      </c>
      <c r="V87" s="226">
        <f>V25+V85</f>
        <v>1966880.7988922936</v>
      </c>
      <c r="W87" s="224">
        <v>0</v>
      </c>
      <c r="X87" s="225">
        <f>X25+X85</f>
        <v>988493.68999466416</v>
      </c>
      <c r="Y87" s="220">
        <f>Y25+Y85</f>
        <v>1111165.454098992</v>
      </c>
      <c r="Z87" s="226">
        <f>Z25+Z85</f>
        <v>2099659.144093656</v>
      </c>
      <c r="AA87" s="224">
        <v>0</v>
      </c>
      <c r="AB87" s="225">
        <f>AB25+AB85</f>
        <v>982568.86861090618</v>
      </c>
      <c r="AC87" s="220">
        <f>AC25+AC85</f>
        <v>1146464.7499331126</v>
      </c>
      <c r="AD87" s="226">
        <f>AD25+AD85</f>
        <v>2129033.6185440188</v>
      </c>
      <c r="AE87" s="224">
        <v>0</v>
      </c>
      <c r="AF87" s="225">
        <f>AF25+AF85</f>
        <v>985280.39730275702</v>
      </c>
      <c r="AG87" s="220">
        <f>AG25+AG85</f>
        <v>1078959.9438122618</v>
      </c>
      <c r="AH87" s="226">
        <f>AH25+AH85</f>
        <v>2064240.3411150191</v>
      </c>
      <c r="AI87" s="224">
        <v>0</v>
      </c>
      <c r="AJ87" s="225">
        <f>AJ25+AJ85</f>
        <v>1049795.6428762816</v>
      </c>
      <c r="AK87" s="220">
        <f>AK25+AK85</f>
        <v>1014444.6889897373</v>
      </c>
      <c r="AL87" s="226">
        <f>AL25+AL85</f>
        <v>2064240.3318660189</v>
      </c>
      <c r="AM87" s="224">
        <v>0</v>
      </c>
      <c r="AN87" s="225">
        <f>AN25+AN85</f>
        <v>961844.27429724927</v>
      </c>
      <c r="AO87" s="220">
        <f>AO25+AO85</f>
        <v>847781.94681776967</v>
      </c>
      <c r="AP87" s="226">
        <f>AP25+AP85</f>
        <v>1809626.2211150192</v>
      </c>
      <c r="AQ87" s="224">
        <v>0</v>
      </c>
      <c r="AR87" s="225">
        <f>AR25+AR85</f>
        <v>985768.88236592663</v>
      </c>
      <c r="AS87" s="220">
        <f>AS25+AS85</f>
        <v>783520.27950009226</v>
      </c>
      <c r="AT87" s="226">
        <f>AT25+AT85</f>
        <v>1769289.161866019</v>
      </c>
      <c r="AU87" s="224">
        <v>0</v>
      </c>
      <c r="AV87" s="225">
        <f>AV25+AV85</f>
        <v>780762.6540387962</v>
      </c>
      <c r="AW87" s="220">
        <f>AW25+AW85</f>
        <v>724480.36707622278</v>
      </c>
      <c r="AX87" s="226">
        <f>AX25+AX85</f>
        <v>1505243.021115019</v>
      </c>
      <c r="AY87" s="224">
        <v>0</v>
      </c>
      <c r="AZ87" s="225">
        <f>AZ25+AZ85</f>
        <v>836112.65841307794</v>
      </c>
      <c r="BA87" s="220">
        <f>BA25+BA85</f>
        <v>669130.36345294095</v>
      </c>
      <c r="BB87" s="226">
        <f>BB25+BB85</f>
        <v>1505243.0218660189</v>
      </c>
      <c r="BC87" s="224">
        <v>0</v>
      </c>
    </row>
    <row r="88" spans="1:55" x14ac:dyDescent="0.25">
      <c r="E88" s="199"/>
      <c r="F88" s="228"/>
      <c r="J88" s="144"/>
      <c r="K88" s="229"/>
      <c r="L88" s="141"/>
      <c r="M88" s="142"/>
      <c r="N88" s="144"/>
      <c r="O88" s="144"/>
      <c r="P88" s="229"/>
      <c r="Q88" s="141"/>
      <c r="R88" s="142"/>
      <c r="S88" s="144"/>
      <c r="T88" s="229"/>
      <c r="U88" s="141"/>
      <c r="V88" s="142"/>
      <c r="W88" s="144"/>
      <c r="X88" s="229"/>
      <c r="Y88" s="141"/>
      <c r="Z88" s="142"/>
      <c r="AA88" s="144"/>
      <c r="AB88" s="229"/>
      <c r="AC88" s="141"/>
      <c r="AD88" s="142"/>
      <c r="AE88" s="144"/>
      <c r="AF88" s="229"/>
      <c r="AG88" s="141"/>
      <c r="AH88" s="142"/>
      <c r="AI88" s="144"/>
      <c r="AJ88" s="229"/>
      <c r="AK88" s="141"/>
      <c r="AL88" s="142"/>
      <c r="AN88" s="229"/>
      <c r="AO88" s="141"/>
      <c r="AP88" s="142"/>
      <c r="AR88" s="229"/>
      <c r="AS88" s="141"/>
      <c r="AT88" s="142"/>
      <c r="AV88" s="229"/>
      <c r="AW88" s="141"/>
      <c r="AX88" s="142"/>
      <c r="AZ88" s="229"/>
      <c r="BA88" s="141"/>
      <c r="BB88" s="142"/>
    </row>
    <row r="89" spans="1:55" x14ac:dyDescent="0.25">
      <c r="K89" s="105"/>
      <c r="L89" s="105"/>
      <c r="M89" s="105"/>
      <c r="N89" s="151"/>
      <c r="O89" s="151"/>
      <c r="P89" s="105"/>
      <c r="Q89" s="105"/>
      <c r="R89" s="105"/>
      <c r="S89" s="151"/>
      <c r="T89" s="105"/>
      <c r="U89" s="105"/>
      <c r="V89" s="105"/>
      <c r="W89" s="151"/>
      <c r="X89" s="105"/>
      <c r="Y89" s="105"/>
      <c r="Z89" s="105"/>
      <c r="AA89" s="151"/>
      <c r="AB89" s="105"/>
      <c r="AC89" s="105"/>
      <c r="AD89" s="105"/>
      <c r="AE89" s="151"/>
      <c r="AF89" s="105"/>
      <c r="AG89" s="105"/>
      <c r="AH89" s="105"/>
      <c r="AI89" s="151"/>
      <c r="AJ89" s="105"/>
      <c r="AK89" s="105"/>
      <c r="AL89" s="105"/>
      <c r="AM89" s="151"/>
      <c r="AN89" s="105"/>
      <c r="AO89" s="105"/>
      <c r="AP89" s="105"/>
      <c r="AQ89" s="151"/>
      <c r="AR89" s="105"/>
      <c r="AS89" s="105"/>
      <c r="AT89" s="105"/>
      <c r="AU89" s="151"/>
      <c r="AV89" s="105"/>
      <c r="AW89" s="105"/>
      <c r="AX89" s="105"/>
      <c r="AY89" s="151"/>
      <c r="AZ89" s="105"/>
      <c r="BA89" s="105"/>
      <c r="BB89" s="105"/>
      <c r="BC89" s="151"/>
    </row>
    <row r="90" spans="1:55" x14ac:dyDescent="0.25">
      <c r="C90" s="233"/>
      <c r="D90" s="186"/>
      <c r="I90" s="79"/>
      <c r="J90" s="100" t="s">
        <v>4106</v>
      </c>
    </row>
    <row r="91" spans="1:55" s="101" customFormat="1" ht="15.75" thickBot="1" x14ac:dyDescent="0.3">
      <c r="B91" s="76"/>
      <c r="C91" s="76"/>
      <c r="D91" s="227"/>
      <c r="E91" s="231"/>
      <c r="F91" s="230"/>
      <c r="G91" s="144"/>
      <c r="H91" s="144"/>
      <c r="I91" s="79"/>
      <c r="J91" s="234"/>
      <c r="K91" s="486" t="s">
        <v>4051</v>
      </c>
      <c r="L91" s="486"/>
      <c r="M91" s="486"/>
      <c r="N91" s="99"/>
      <c r="O91" s="99"/>
      <c r="P91" s="486" t="s">
        <v>11</v>
      </c>
      <c r="Q91" s="487"/>
      <c r="R91" s="488"/>
      <c r="S91" s="99"/>
      <c r="T91" s="486" t="s">
        <v>12</v>
      </c>
      <c r="U91" s="487"/>
      <c r="V91" s="488"/>
      <c r="W91" s="99"/>
      <c r="X91" s="486" t="s">
        <v>13</v>
      </c>
      <c r="Y91" s="487"/>
      <c r="Z91" s="488"/>
      <c r="AA91" s="100"/>
      <c r="AB91" s="486" t="s">
        <v>15</v>
      </c>
      <c r="AC91" s="487"/>
      <c r="AD91" s="488"/>
      <c r="AE91" s="100"/>
      <c r="AF91" s="486" t="s">
        <v>16</v>
      </c>
      <c r="AG91" s="487"/>
      <c r="AH91" s="488"/>
      <c r="AI91" s="99"/>
      <c r="AJ91" s="486" t="s">
        <v>17</v>
      </c>
      <c r="AK91" s="487"/>
      <c r="AL91" s="488"/>
      <c r="AN91" s="486" t="s">
        <v>18</v>
      </c>
      <c r="AO91" s="487"/>
      <c r="AP91" s="488"/>
      <c r="AR91" s="486" t="s">
        <v>19</v>
      </c>
      <c r="AS91" s="487"/>
      <c r="AT91" s="488"/>
      <c r="AV91" s="489" t="s">
        <v>20</v>
      </c>
      <c r="AW91" s="489"/>
      <c r="AX91" s="490"/>
      <c r="AZ91" s="489" t="s">
        <v>21</v>
      </c>
      <c r="BA91" s="489"/>
      <c r="BB91" s="490"/>
    </row>
    <row r="92" spans="1:55" ht="45.75" thickBot="1" x14ac:dyDescent="0.3">
      <c r="A92" s="235" t="s">
        <v>4052</v>
      </c>
      <c r="B92" s="236" t="s">
        <v>4053</v>
      </c>
      <c r="C92" s="236" t="s">
        <v>4054</v>
      </c>
      <c r="D92" s="237" t="s">
        <v>4055</v>
      </c>
      <c r="E92" s="236" t="s">
        <v>4056</v>
      </c>
      <c r="F92" s="237" t="s">
        <v>4057</v>
      </c>
      <c r="G92" s="236" t="s">
        <v>4058</v>
      </c>
      <c r="H92" s="236" t="str">
        <f>H5</f>
        <v>Outstanding @ 30/6/14</v>
      </c>
      <c r="I92" s="236" t="s">
        <v>4060</v>
      </c>
      <c r="J92" s="236" t="s">
        <v>4061</v>
      </c>
      <c r="K92" s="238" t="s">
        <v>4062</v>
      </c>
      <c r="L92" s="239" t="s">
        <v>4063</v>
      </c>
      <c r="M92" s="240" t="s">
        <v>4051</v>
      </c>
      <c r="N92" s="241"/>
      <c r="O92" s="100"/>
      <c r="P92" s="242" t="s">
        <v>4062</v>
      </c>
      <c r="Q92" s="243" t="s">
        <v>4063</v>
      </c>
      <c r="R92" s="244" t="s">
        <v>11</v>
      </c>
      <c r="S92" s="100"/>
      <c r="T92" s="242" t="s">
        <v>4062</v>
      </c>
      <c r="U92" s="243" t="s">
        <v>4063</v>
      </c>
      <c r="V92" s="244" t="s">
        <v>12</v>
      </c>
      <c r="W92" s="108"/>
      <c r="X92" s="242" t="s">
        <v>4062</v>
      </c>
      <c r="Y92" s="243" t="s">
        <v>4063</v>
      </c>
      <c r="Z92" s="244" t="s">
        <v>13</v>
      </c>
      <c r="AA92" s="108"/>
      <c r="AB92" s="242" t="s">
        <v>4062</v>
      </c>
      <c r="AC92" s="243" t="s">
        <v>4063</v>
      </c>
      <c r="AD92" s="244" t="s">
        <v>15</v>
      </c>
      <c r="AE92" s="108"/>
      <c r="AF92" s="242" t="s">
        <v>4062</v>
      </c>
      <c r="AG92" s="243" t="s">
        <v>4063</v>
      </c>
      <c r="AH92" s="244" t="s">
        <v>16</v>
      </c>
      <c r="AI92" s="108"/>
      <c r="AJ92" s="242" t="s">
        <v>4062</v>
      </c>
      <c r="AK92" s="243" t="s">
        <v>4063</v>
      </c>
      <c r="AL92" s="244" t="s">
        <v>17</v>
      </c>
      <c r="AM92" s="110"/>
      <c r="AN92" s="242" t="s">
        <v>4062</v>
      </c>
      <c r="AO92" s="243" t="s">
        <v>4063</v>
      </c>
      <c r="AP92" s="244" t="s">
        <v>18</v>
      </c>
      <c r="AQ92" s="110"/>
      <c r="AR92" s="242" t="s">
        <v>4062</v>
      </c>
      <c r="AS92" s="243" t="s">
        <v>4063</v>
      </c>
      <c r="AT92" s="244" t="s">
        <v>19</v>
      </c>
      <c r="AU92" s="110"/>
      <c r="AV92" s="242" t="s">
        <v>4062</v>
      </c>
      <c r="AW92" s="243" t="s">
        <v>4063</v>
      </c>
      <c r="AX92" s="244" t="s">
        <v>20</v>
      </c>
      <c r="AY92" s="110"/>
      <c r="AZ92" s="242" t="s">
        <v>4062</v>
      </c>
      <c r="BA92" s="243" t="s">
        <v>4063</v>
      </c>
      <c r="BB92" s="244" t="s">
        <v>21</v>
      </c>
      <c r="BC92" s="110"/>
    </row>
    <row r="93" spans="1:55" s="151" customFormat="1" x14ac:dyDescent="0.25">
      <c r="A93" s="156"/>
      <c r="B93" s="157"/>
      <c r="C93" s="158"/>
      <c r="D93" s="159"/>
      <c r="E93" s="135"/>
      <c r="F93" s="145"/>
      <c r="G93" s="135"/>
      <c r="H93" s="148"/>
      <c r="I93" s="245"/>
      <c r="J93" s="150"/>
      <c r="K93" s="232"/>
      <c r="L93" s="148"/>
      <c r="M93" s="142"/>
      <c r="N93" s="141"/>
      <c r="O93" s="141"/>
      <c r="P93" s="246"/>
      <c r="Q93" s="105"/>
      <c r="R93" s="247"/>
      <c r="S93" s="141"/>
      <c r="T93" s="246"/>
      <c r="U93" s="105"/>
      <c r="V93" s="247"/>
      <c r="W93" s="141"/>
      <c r="X93" s="246"/>
      <c r="Y93" s="105"/>
      <c r="Z93" s="247"/>
      <c r="AA93" s="141"/>
      <c r="AB93" s="246"/>
      <c r="AC93" s="105"/>
      <c r="AD93" s="247"/>
      <c r="AE93" s="141"/>
      <c r="AF93" s="246"/>
      <c r="AG93" s="105"/>
      <c r="AH93" s="247"/>
      <c r="AI93" s="141"/>
      <c r="AJ93" s="246"/>
      <c r="AK93" s="105"/>
      <c r="AL93" s="247"/>
      <c r="AN93" s="246"/>
      <c r="AO93" s="105"/>
      <c r="AP93" s="247"/>
      <c r="AR93" s="246"/>
      <c r="AS93" s="105"/>
      <c r="AT93" s="247"/>
      <c r="AV93" s="246"/>
      <c r="AW93" s="105"/>
      <c r="AX93" s="247"/>
      <c r="AZ93" s="246"/>
      <c r="BA93" s="105"/>
      <c r="BB93" s="247"/>
    </row>
    <row r="94" spans="1:55" s="151" customFormat="1" x14ac:dyDescent="0.25">
      <c r="A94" s="156"/>
      <c r="B94" s="157"/>
      <c r="C94" s="158"/>
      <c r="D94" s="159"/>
      <c r="E94" s="135"/>
      <c r="F94" s="145"/>
      <c r="G94" s="135"/>
      <c r="H94" s="148"/>
      <c r="I94" s="135"/>
      <c r="J94" s="150" t="s">
        <v>4107</v>
      </c>
      <c r="K94" s="232"/>
      <c r="L94" s="148"/>
      <c r="M94" s="142"/>
      <c r="N94" s="141"/>
      <c r="O94" s="141"/>
      <c r="P94" s="246"/>
      <c r="Q94" s="105"/>
      <c r="R94" s="247"/>
      <c r="S94" s="141"/>
      <c r="T94" s="246"/>
      <c r="U94" s="105"/>
      <c r="V94" s="247"/>
      <c r="W94" s="141"/>
      <c r="X94" s="246"/>
      <c r="Y94" s="105"/>
      <c r="Z94" s="247"/>
      <c r="AA94" s="141"/>
      <c r="AB94" s="246"/>
      <c r="AC94" s="105"/>
      <c r="AD94" s="247"/>
      <c r="AE94" s="141"/>
      <c r="AF94" s="246"/>
      <c r="AG94" s="105"/>
      <c r="AH94" s="247"/>
      <c r="AI94" s="141"/>
      <c r="AJ94" s="246"/>
      <c r="AK94" s="105"/>
      <c r="AL94" s="247"/>
      <c r="AN94" s="246"/>
      <c r="AO94" s="105"/>
      <c r="AP94" s="247"/>
      <c r="AR94" s="246"/>
      <c r="AS94" s="105"/>
      <c r="AT94" s="247"/>
      <c r="AV94" s="246"/>
      <c r="AW94" s="105"/>
      <c r="AX94" s="247"/>
      <c r="AZ94" s="246"/>
      <c r="BA94" s="105"/>
      <c r="BB94" s="247"/>
    </row>
    <row r="95" spans="1:55" s="151" customFormat="1" x14ac:dyDescent="0.25">
      <c r="A95" s="156"/>
      <c r="B95" s="157"/>
      <c r="C95" s="158"/>
      <c r="D95" s="159"/>
      <c r="E95" s="135"/>
      <c r="F95" s="145"/>
      <c r="G95" s="135"/>
      <c r="H95" s="148"/>
      <c r="I95" s="135"/>
      <c r="J95" s="150"/>
      <c r="K95" s="232"/>
      <c r="L95" s="148"/>
      <c r="M95" s="142"/>
      <c r="N95" s="141"/>
      <c r="O95" s="141"/>
      <c r="P95" s="246"/>
      <c r="Q95" s="105"/>
      <c r="R95" s="247"/>
      <c r="S95" s="141"/>
      <c r="T95" s="246"/>
      <c r="U95" s="105"/>
      <c r="V95" s="247"/>
      <c r="W95" s="141"/>
      <c r="X95" s="246"/>
      <c r="Y95" s="105"/>
      <c r="Z95" s="247"/>
      <c r="AA95" s="141"/>
      <c r="AB95" s="246"/>
      <c r="AC95" s="105"/>
      <c r="AD95" s="247"/>
      <c r="AE95" s="141"/>
      <c r="AF95" s="246"/>
      <c r="AG95" s="105"/>
      <c r="AH95" s="247"/>
      <c r="AI95" s="141"/>
      <c r="AJ95" s="246"/>
      <c r="AK95" s="105"/>
      <c r="AL95" s="247"/>
      <c r="AN95" s="246"/>
      <c r="AO95" s="105"/>
      <c r="AP95" s="247"/>
      <c r="AR95" s="246"/>
      <c r="AS95" s="105"/>
      <c r="AT95" s="247"/>
      <c r="AV95" s="246"/>
      <c r="AW95" s="105"/>
      <c r="AX95" s="247"/>
      <c r="AZ95" s="246"/>
      <c r="BA95" s="105"/>
      <c r="BB95" s="247"/>
    </row>
    <row r="96" spans="1:55" x14ac:dyDescent="0.25">
      <c r="A96" s="123"/>
      <c r="B96" s="124"/>
      <c r="C96" s="125"/>
      <c r="D96" s="126">
        <v>1</v>
      </c>
      <c r="E96" s="153"/>
      <c r="F96" s="154">
        <v>7.6300000000000007E-2</v>
      </c>
      <c r="G96" s="153">
        <v>63701.34</v>
      </c>
      <c r="H96" s="189">
        <v>340539.97</v>
      </c>
      <c r="I96" s="153"/>
      <c r="J96" s="197"/>
      <c r="K96" s="229">
        <v>35664.51</v>
      </c>
      <c r="L96" s="141">
        <v>28036.83</v>
      </c>
      <c r="M96" s="142">
        <v>63701.34</v>
      </c>
      <c r="N96" s="141"/>
      <c r="O96" s="141"/>
      <c r="P96" s="138"/>
      <c r="Q96" s="141"/>
      <c r="R96" s="143"/>
      <c r="S96" s="141"/>
      <c r="T96" s="138"/>
      <c r="U96" s="141"/>
      <c r="V96" s="143"/>
      <c r="W96" s="141"/>
      <c r="X96" s="138"/>
      <c r="Y96" s="141"/>
      <c r="Z96" s="143"/>
      <c r="AA96" s="141"/>
      <c r="AB96" s="138"/>
      <c r="AC96" s="141"/>
      <c r="AD96" s="143"/>
      <c r="AE96" s="141"/>
      <c r="AF96" s="138"/>
      <c r="AG96" s="141"/>
      <c r="AH96" s="143"/>
      <c r="AI96" s="141"/>
      <c r="AJ96" s="138"/>
      <c r="AK96" s="141"/>
      <c r="AL96" s="143"/>
      <c r="AN96" s="138"/>
      <c r="AO96" s="141"/>
      <c r="AP96" s="143"/>
      <c r="AR96" s="138"/>
      <c r="AS96" s="141"/>
      <c r="AT96" s="143"/>
      <c r="AV96" s="138"/>
      <c r="AW96" s="141"/>
      <c r="AX96" s="143"/>
      <c r="AZ96" s="138"/>
      <c r="BA96" s="141"/>
      <c r="BB96" s="143"/>
    </row>
    <row r="97" spans="1:55" s="190" customFormat="1" x14ac:dyDescent="0.25">
      <c r="A97" s="248"/>
      <c r="B97" s="124"/>
      <c r="C97" s="125"/>
      <c r="D97" s="126"/>
      <c r="E97" s="153"/>
      <c r="F97" s="154"/>
      <c r="G97" s="153"/>
      <c r="H97" s="189"/>
      <c r="I97" s="153"/>
      <c r="J97" s="197"/>
      <c r="K97" s="249"/>
      <c r="L97" s="189"/>
      <c r="M97" s="195"/>
      <c r="N97" s="189"/>
      <c r="O97" s="189"/>
      <c r="P97" s="139"/>
      <c r="Q97" s="189"/>
      <c r="R97" s="197"/>
      <c r="S97" s="189"/>
      <c r="T97" s="139"/>
      <c r="U97" s="189"/>
      <c r="V97" s="197"/>
      <c r="W97" s="189"/>
      <c r="X97" s="139"/>
      <c r="Y97" s="189"/>
      <c r="Z97" s="197"/>
      <c r="AA97" s="189"/>
      <c r="AB97" s="139"/>
      <c r="AC97" s="189"/>
      <c r="AD97" s="197"/>
      <c r="AE97" s="189"/>
      <c r="AF97" s="139"/>
      <c r="AG97" s="189"/>
      <c r="AH97" s="197"/>
      <c r="AI97" s="189"/>
      <c r="AJ97" s="139"/>
      <c r="AK97" s="189"/>
      <c r="AL97" s="197"/>
      <c r="AN97" s="139"/>
      <c r="AO97" s="189"/>
      <c r="AP97" s="197"/>
      <c r="AR97" s="139"/>
      <c r="AS97" s="189"/>
      <c r="AT97" s="197"/>
      <c r="AV97" s="139"/>
      <c r="AW97" s="189"/>
      <c r="AX97" s="197"/>
      <c r="AZ97" s="139"/>
      <c r="BA97" s="189"/>
      <c r="BB97" s="197"/>
    </row>
    <row r="98" spans="1:55" s="151" customFormat="1" ht="15.75" thickBot="1" x14ac:dyDescent="0.3">
      <c r="A98" s="202"/>
      <c r="B98" s="204"/>
      <c r="C98" s="204"/>
      <c r="D98" s="205"/>
      <c r="E98" s="206">
        <f>SUM(E96:E97)</f>
        <v>0</v>
      </c>
      <c r="F98" s="207"/>
      <c r="G98" s="250">
        <f>SUM(G96:G97)</f>
        <v>63701.34</v>
      </c>
      <c r="H98" s="250">
        <f>SUM(H96:H97)</f>
        <v>340539.97</v>
      </c>
      <c r="I98" s="206" t="s">
        <v>3412</v>
      </c>
      <c r="J98" s="251" t="s">
        <v>4108</v>
      </c>
      <c r="K98" s="224">
        <f>SUM(K96:K97)</f>
        <v>35664.51</v>
      </c>
      <c r="L98" s="211">
        <f>SUM(L96:L97)</f>
        <v>28036.83</v>
      </c>
      <c r="M98" s="223">
        <f>SUM(M96:M97)</f>
        <v>63701.34</v>
      </c>
      <c r="N98" s="180">
        <v>0</v>
      </c>
      <c r="O98" s="177">
        <v>0</v>
      </c>
      <c r="P98" s="225">
        <f>SUM(P96:P97)</f>
        <v>0</v>
      </c>
      <c r="Q98" s="220">
        <f>SUM(Q96:Q97)</f>
        <v>0</v>
      </c>
      <c r="R98" s="226">
        <f>SUM(R96:R97)</f>
        <v>0</v>
      </c>
      <c r="S98" s="177">
        <v>0</v>
      </c>
      <c r="T98" s="225">
        <f>SUM(T96:T97)</f>
        <v>0</v>
      </c>
      <c r="U98" s="220">
        <f>SUM(U96:U97)</f>
        <v>0</v>
      </c>
      <c r="V98" s="226">
        <f>SUM(V96:V97)</f>
        <v>0</v>
      </c>
      <c r="W98" s="181">
        <v>0</v>
      </c>
      <c r="X98" s="225">
        <f>SUM(X96:X97)</f>
        <v>0</v>
      </c>
      <c r="Y98" s="220">
        <f>SUM(Y96:Y97)</f>
        <v>0</v>
      </c>
      <c r="Z98" s="226">
        <f>SUM(Z96:Z97)</f>
        <v>0</v>
      </c>
      <c r="AA98" s="173">
        <v>0</v>
      </c>
      <c r="AB98" s="225">
        <f>SUM(AB96:AB97)</f>
        <v>0</v>
      </c>
      <c r="AC98" s="220">
        <f>SUM(AC96:AC97)</f>
        <v>0</v>
      </c>
      <c r="AD98" s="226">
        <f>SUM(AD96:AD97)</f>
        <v>0</v>
      </c>
      <c r="AE98" s="173">
        <v>0</v>
      </c>
      <c r="AF98" s="225">
        <f>SUM(AF96:AF97)</f>
        <v>0</v>
      </c>
      <c r="AG98" s="220">
        <f>SUM(AG96:AG97)</f>
        <v>0</v>
      </c>
      <c r="AH98" s="226">
        <f>SUM(AH96:AH97)</f>
        <v>0</v>
      </c>
      <c r="AI98" s="173">
        <v>0</v>
      </c>
      <c r="AJ98" s="225">
        <f>SUM(AJ96:AJ97)</f>
        <v>0</v>
      </c>
      <c r="AK98" s="220">
        <f>SUM(AK96:AK97)</f>
        <v>0</v>
      </c>
      <c r="AL98" s="226">
        <f>SUM(AL96:AL97)</f>
        <v>0</v>
      </c>
      <c r="AM98" s="173">
        <v>0</v>
      </c>
      <c r="AN98" s="225">
        <f>SUM(AN96:AN97)</f>
        <v>0</v>
      </c>
      <c r="AO98" s="220">
        <f>SUM(AO96:AO97)</f>
        <v>0</v>
      </c>
      <c r="AP98" s="226">
        <f>SUM(AP96:AP97)</f>
        <v>0</v>
      </c>
      <c r="AQ98" s="173">
        <v>0</v>
      </c>
      <c r="AR98" s="225">
        <f>SUM(AR96:AR97)</f>
        <v>0</v>
      </c>
      <c r="AS98" s="220">
        <f>SUM(AS96:AS97)</f>
        <v>0</v>
      </c>
      <c r="AT98" s="226">
        <f>SUM(AT96:AT97)</f>
        <v>0</v>
      </c>
      <c r="AU98" s="173">
        <v>0</v>
      </c>
      <c r="AV98" s="225">
        <f>SUM(AV96:AV97)</f>
        <v>0</v>
      </c>
      <c r="AW98" s="220">
        <f>SUM(AW96:AW97)</f>
        <v>0</v>
      </c>
      <c r="AX98" s="226">
        <f>SUM(AX96:AX97)</f>
        <v>0</v>
      </c>
      <c r="AY98" s="173">
        <v>0</v>
      </c>
      <c r="AZ98" s="225">
        <f>SUM(AZ96:AZ97)</f>
        <v>0</v>
      </c>
      <c r="BA98" s="220">
        <f>SUM(BA96:BA97)</f>
        <v>0</v>
      </c>
      <c r="BB98" s="226">
        <f>SUM(BB96:BB97)</f>
        <v>0</v>
      </c>
      <c r="BC98" s="173">
        <v>0</v>
      </c>
    </row>
    <row r="101" spans="1:55" x14ac:dyDescent="0.25">
      <c r="A101" s="84"/>
      <c r="B101" s="85"/>
      <c r="C101" s="85"/>
      <c r="D101" s="93"/>
      <c r="E101" s="94"/>
      <c r="F101" s="95"/>
      <c r="G101" s="89"/>
      <c r="H101" s="89"/>
      <c r="I101" s="89"/>
      <c r="J101" s="252" t="s">
        <v>4109</v>
      </c>
      <c r="K101" s="91"/>
      <c r="L101" s="91"/>
      <c r="M101" s="91"/>
      <c r="N101" s="91"/>
    </row>
    <row r="102" spans="1:55" s="101" customFormat="1" ht="15.75" thickBot="1" x14ac:dyDescent="0.3">
      <c r="A102" s="92"/>
      <c r="B102" s="85"/>
      <c r="C102" s="85"/>
      <c r="D102" s="93"/>
      <c r="E102" s="94"/>
      <c r="F102" s="95"/>
      <c r="G102" s="253"/>
      <c r="H102" s="253"/>
      <c r="I102" s="86"/>
      <c r="J102" s="254"/>
      <c r="K102" s="486" t="s">
        <v>4051</v>
      </c>
      <c r="L102" s="486"/>
      <c r="M102" s="486"/>
      <c r="N102" s="99"/>
      <c r="O102" s="99"/>
      <c r="P102" s="486" t="s">
        <v>11</v>
      </c>
      <c r="Q102" s="487"/>
      <c r="R102" s="488"/>
      <c r="S102" s="99"/>
      <c r="T102" s="486" t="s">
        <v>12</v>
      </c>
      <c r="U102" s="487"/>
      <c r="V102" s="488"/>
      <c r="W102" s="99"/>
      <c r="X102" s="486" t="s">
        <v>13</v>
      </c>
      <c r="Y102" s="487"/>
      <c r="Z102" s="488"/>
      <c r="AA102" s="100"/>
      <c r="AB102" s="486" t="s">
        <v>15</v>
      </c>
      <c r="AC102" s="487"/>
      <c r="AD102" s="488"/>
      <c r="AE102" s="100"/>
      <c r="AF102" s="486" t="s">
        <v>16</v>
      </c>
      <c r="AG102" s="487"/>
      <c r="AH102" s="488"/>
      <c r="AI102" s="99"/>
      <c r="AJ102" s="486" t="s">
        <v>17</v>
      </c>
      <c r="AK102" s="487"/>
      <c r="AL102" s="488"/>
      <c r="AN102" s="486" t="s">
        <v>18</v>
      </c>
      <c r="AO102" s="487"/>
      <c r="AP102" s="488"/>
      <c r="AR102" s="486" t="s">
        <v>19</v>
      </c>
      <c r="AS102" s="487"/>
      <c r="AT102" s="488"/>
      <c r="AV102" s="489" t="s">
        <v>20</v>
      </c>
      <c r="AW102" s="489"/>
      <c r="AX102" s="490"/>
      <c r="AZ102" s="489" t="s">
        <v>21</v>
      </c>
      <c r="BA102" s="489"/>
      <c r="BB102" s="490"/>
    </row>
    <row r="103" spans="1:55" ht="45.75" thickBot="1" x14ac:dyDescent="0.3">
      <c r="A103" s="235" t="s">
        <v>4052</v>
      </c>
      <c r="B103" s="235" t="s">
        <v>4053</v>
      </c>
      <c r="C103" s="235" t="s">
        <v>4054</v>
      </c>
      <c r="D103" s="237" t="s">
        <v>4055</v>
      </c>
      <c r="E103" s="236" t="s">
        <v>4056</v>
      </c>
      <c r="F103" s="237" t="s">
        <v>4057</v>
      </c>
      <c r="G103" s="236" t="s">
        <v>4058</v>
      </c>
      <c r="H103" s="236" t="str">
        <f>H5</f>
        <v>Outstanding @ 30/6/14</v>
      </c>
      <c r="I103" s="236" t="s">
        <v>4060</v>
      </c>
      <c r="J103" s="236" t="s">
        <v>4061</v>
      </c>
      <c r="K103" s="238" t="s">
        <v>4062</v>
      </c>
      <c r="L103" s="239" t="s">
        <v>4063</v>
      </c>
      <c r="M103" s="240" t="s">
        <v>4051</v>
      </c>
      <c r="N103" s="241"/>
      <c r="O103" s="108"/>
      <c r="P103" s="242" t="s">
        <v>4062</v>
      </c>
      <c r="Q103" s="243" t="s">
        <v>4063</v>
      </c>
      <c r="R103" s="244" t="s">
        <v>11</v>
      </c>
      <c r="S103" s="100"/>
      <c r="T103" s="242" t="s">
        <v>4062</v>
      </c>
      <c r="U103" s="243" t="s">
        <v>4063</v>
      </c>
      <c r="V103" s="244" t="s">
        <v>12</v>
      </c>
      <c r="W103" s="108"/>
      <c r="X103" s="242" t="s">
        <v>4062</v>
      </c>
      <c r="Y103" s="243" t="s">
        <v>4063</v>
      </c>
      <c r="Z103" s="244" t="s">
        <v>13</v>
      </c>
      <c r="AA103" s="108"/>
      <c r="AB103" s="242" t="s">
        <v>4062</v>
      </c>
      <c r="AC103" s="243" t="s">
        <v>4063</v>
      </c>
      <c r="AD103" s="244" t="s">
        <v>15</v>
      </c>
      <c r="AE103" s="108"/>
      <c r="AF103" s="242" t="s">
        <v>4062</v>
      </c>
      <c r="AG103" s="243" t="s">
        <v>4063</v>
      </c>
      <c r="AH103" s="244" t="s">
        <v>16</v>
      </c>
      <c r="AI103" s="108"/>
      <c r="AJ103" s="242" t="s">
        <v>4062</v>
      </c>
      <c r="AK103" s="243" t="s">
        <v>4063</v>
      </c>
      <c r="AL103" s="244" t="s">
        <v>17</v>
      </c>
      <c r="AM103" s="110"/>
      <c r="AN103" s="242" t="s">
        <v>4062</v>
      </c>
      <c r="AO103" s="243" t="s">
        <v>4063</v>
      </c>
      <c r="AP103" s="244" t="s">
        <v>18</v>
      </c>
      <c r="AQ103" s="110"/>
      <c r="AR103" s="242" t="s">
        <v>4062</v>
      </c>
      <c r="AS103" s="243" t="s">
        <v>4063</v>
      </c>
      <c r="AT103" s="244" t="s">
        <v>19</v>
      </c>
      <c r="AU103" s="110"/>
      <c r="AV103" s="242" t="s">
        <v>4062</v>
      </c>
      <c r="AW103" s="243" t="s">
        <v>4063</v>
      </c>
      <c r="AX103" s="244" t="s">
        <v>20</v>
      </c>
      <c r="AY103" s="110"/>
      <c r="AZ103" s="242" t="s">
        <v>4062</v>
      </c>
      <c r="BA103" s="243" t="s">
        <v>4063</v>
      </c>
      <c r="BB103" s="244" t="s">
        <v>21</v>
      </c>
      <c r="BC103" s="110"/>
    </row>
    <row r="104" spans="1:55" s="151" customFormat="1" x14ac:dyDescent="0.25">
      <c r="A104" s="255"/>
      <c r="B104" s="157"/>
      <c r="C104" s="158"/>
      <c r="D104" s="159"/>
      <c r="E104" s="245"/>
      <c r="F104" s="256"/>
      <c r="G104" s="148"/>
      <c r="H104" s="146"/>
      <c r="I104" s="135"/>
      <c r="J104" s="135"/>
      <c r="K104" s="232"/>
      <c r="L104" s="148"/>
      <c r="M104" s="142"/>
      <c r="N104" s="141"/>
      <c r="O104" s="141"/>
      <c r="P104" s="246"/>
      <c r="Q104" s="105"/>
      <c r="R104" s="247"/>
      <c r="S104" s="141"/>
      <c r="T104" s="246"/>
      <c r="U104" s="105"/>
      <c r="V104" s="247"/>
      <c r="W104" s="141"/>
      <c r="X104" s="246"/>
      <c r="Y104" s="105"/>
      <c r="Z104" s="247"/>
      <c r="AA104" s="141"/>
      <c r="AB104" s="246"/>
      <c r="AC104" s="105"/>
      <c r="AD104" s="247"/>
      <c r="AE104" s="141"/>
      <c r="AF104" s="246"/>
      <c r="AG104" s="105"/>
      <c r="AH104" s="247"/>
      <c r="AI104" s="141"/>
      <c r="AJ104" s="246"/>
      <c r="AK104" s="105"/>
      <c r="AL104" s="247"/>
      <c r="AN104" s="246"/>
      <c r="AO104" s="105"/>
      <c r="AP104" s="247"/>
      <c r="AR104" s="246"/>
      <c r="AS104" s="105"/>
      <c r="AT104" s="247"/>
      <c r="AV104" s="246"/>
      <c r="AW104" s="105"/>
      <c r="AX104" s="247"/>
      <c r="AZ104" s="246"/>
      <c r="BA104" s="105"/>
      <c r="BB104" s="247"/>
    </row>
    <row r="105" spans="1:55" s="151" customFormat="1" x14ac:dyDescent="0.25">
      <c r="A105" s="255"/>
      <c r="B105" s="157"/>
      <c r="C105" s="158"/>
      <c r="D105" s="159"/>
      <c r="E105" s="135"/>
      <c r="F105" s="145"/>
      <c r="G105" s="148"/>
      <c r="H105" s="146"/>
      <c r="I105" s="135"/>
      <c r="J105" s="135" t="s">
        <v>4110</v>
      </c>
      <c r="K105" s="232"/>
      <c r="L105" s="148"/>
      <c r="M105" s="142"/>
      <c r="N105" s="141"/>
      <c r="O105" s="141"/>
      <c r="P105" s="246"/>
      <c r="Q105" s="105"/>
      <c r="R105" s="247"/>
      <c r="S105" s="141"/>
      <c r="T105" s="246"/>
      <c r="U105" s="105"/>
      <c r="V105" s="247"/>
      <c r="W105" s="141"/>
      <c r="X105" s="246"/>
      <c r="Y105" s="105"/>
      <c r="Z105" s="247"/>
      <c r="AA105" s="141"/>
      <c r="AB105" s="246"/>
      <c r="AC105" s="105"/>
      <c r="AD105" s="247"/>
      <c r="AE105" s="141"/>
      <c r="AF105" s="246"/>
      <c r="AG105" s="105"/>
      <c r="AH105" s="247"/>
      <c r="AI105" s="141"/>
      <c r="AJ105" s="246"/>
      <c r="AK105" s="105"/>
      <c r="AL105" s="247"/>
      <c r="AN105" s="246"/>
      <c r="AO105" s="105"/>
      <c r="AP105" s="247"/>
      <c r="AR105" s="246"/>
      <c r="AS105" s="105"/>
      <c r="AT105" s="247"/>
      <c r="AV105" s="246"/>
      <c r="AW105" s="105"/>
      <c r="AX105" s="247"/>
      <c r="AZ105" s="246"/>
      <c r="BA105" s="105"/>
      <c r="BB105" s="247"/>
    </row>
    <row r="106" spans="1:55" s="151" customFormat="1" x14ac:dyDescent="0.25">
      <c r="A106" s="255"/>
      <c r="B106" s="157"/>
      <c r="C106" s="163"/>
      <c r="D106" s="164"/>
      <c r="E106" s="135"/>
      <c r="F106" s="145"/>
      <c r="G106" s="148"/>
      <c r="H106" s="146"/>
      <c r="I106" s="135"/>
      <c r="J106" s="135"/>
      <c r="K106" s="232"/>
      <c r="L106" s="148"/>
      <c r="M106" s="142"/>
      <c r="N106" s="141"/>
      <c r="O106" s="141"/>
      <c r="P106" s="246"/>
      <c r="Q106" s="105"/>
      <c r="R106" s="247"/>
      <c r="S106" s="141"/>
      <c r="T106" s="246"/>
      <c r="U106" s="105"/>
      <c r="V106" s="247"/>
      <c r="W106" s="141"/>
      <c r="X106" s="246"/>
      <c r="Y106" s="105"/>
      <c r="Z106" s="247"/>
      <c r="AA106" s="141"/>
      <c r="AB106" s="246"/>
      <c r="AC106" s="105"/>
      <c r="AD106" s="247"/>
      <c r="AE106" s="141"/>
      <c r="AF106" s="246"/>
      <c r="AG106" s="105"/>
      <c r="AH106" s="247"/>
      <c r="AI106" s="141"/>
      <c r="AJ106" s="246"/>
      <c r="AK106" s="105"/>
      <c r="AL106" s="247"/>
      <c r="AN106" s="246"/>
      <c r="AO106" s="105"/>
      <c r="AP106" s="247"/>
      <c r="AR106" s="246"/>
      <c r="AS106" s="105"/>
      <c r="AT106" s="247"/>
      <c r="AV106" s="246"/>
      <c r="AW106" s="105"/>
      <c r="AX106" s="247"/>
      <c r="AZ106" s="246"/>
      <c r="BA106" s="105"/>
      <c r="BB106" s="247"/>
    </row>
    <row r="107" spans="1:55" x14ac:dyDescent="0.25">
      <c r="A107" s="257">
        <v>46</v>
      </c>
      <c r="B107" s="258">
        <v>2005</v>
      </c>
      <c r="C107" s="125" t="s">
        <v>4076</v>
      </c>
      <c r="D107" s="126"/>
      <c r="E107" s="136">
        <v>5700000</v>
      </c>
      <c r="F107" s="137"/>
      <c r="G107" s="141"/>
      <c r="H107" s="138">
        <v>4894927.46</v>
      </c>
      <c r="I107" s="140">
        <v>2035</v>
      </c>
      <c r="J107" s="136" t="s">
        <v>4112</v>
      </c>
      <c r="K107" s="229">
        <v>112687.44</v>
      </c>
      <c r="L107" s="141">
        <v>301438.12</v>
      </c>
      <c r="M107" s="142">
        <v>414125.56</v>
      </c>
      <c r="N107" s="141"/>
      <c r="O107" s="141"/>
      <c r="P107" s="138">
        <v>133378.69</v>
      </c>
      <c r="Q107" s="141">
        <v>280746.87</v>
      </c>
      <c r="R107" s="143">
        <v>414125.56</v>
      </c>
      <c r="S107" s="141"/>
      <c r="T107" s="138">
        <v>144011.19</v>
      </c>
      <c r="U107" s="141">
        <v>270114.36</v>
      </c>
      <c r="V107" s="143">
        <v>414125.55</v>
      </c>
      <c r="W107" s="141"/>
      <c r="X107" s="138">
        <v>152928.60999999999</v>
      </c>
      <c r="Y107" s="141">
        <v>261196.94</v>
      </c>
      <c r="Z107" s="143">
        <v>414125.55</v>
      </c>
      <c r="AA107" s="141"/>
      <c r="AB107" s="138">
        <v>160982.74</v>
      </c>
      <c r="AC107" s="141">
        <v>253142.8</v>
      </c>
      <c r="AD107" s="143">
        <v>414125.54</v>
      </c>
      <c r="AE107" s="141"/>
      <c r="AF107" s="138">
        <v>171677.99</v>
      </c>
      <c r="AG107" s="141">
        <v>242447.57</v>
      </c>
      <c r="AH107" s="143">
        <v>414125.56</v>
      </c>
      <c r="AI107" s="141"/>
      <c r="AJ107" s="138">
        <v>182338.44</v>
      </c>
      <c r="AK107" s="141">
        <v>231787.1</v>
      </c>
      <c r="AL107" s="143">
        <v>414125.54</v>
      </c>
      <c r="AN107" s="138">
        <v>192407.51</v>
      </c>
      <c r="AO107" s="141">
        <v>221718.05</v>
      </c>
      <c r="AP107" s="143">
        <v>414125.56</v>
      </c>
      <c r="AR107" s="138">
        <v>206202.07</v>
      </c>
      <c r="AS107" s="141">
        <v>207923.48</v>
      </c>
      <c r="AT107" s="143">
        <v>414125.55</v>
      </c>
      <c r="AV107" s="138">
        <v>218412.82</v>
      </c>
      <c r="AW107" s="141">
        <v>195712.74</v>
      </c>
      <c r="AX107" s="143">
        <v>414125.56</v>
      </c>
      <c r="AZ107" s="138">
        <v>231975.29</v>
      </c>
      <c r="BA107" s="141">
        <v>182150.25</v>
      </c>
      <c r="BB107" s="143">
        <v>414125.54</v>
      </c>
    </row>
    <row r="108" spans="1:55" x14ac:dyDescent="0.25">
      <c r="A108" s="257">
        <v>47</v>
      </c>
      <c r="B108" s="258">
        <v>2005</v>
      </c>
      <c r="C108" s="125" t="s">
        <v>4066</v>
      </c>
      <c r="D108" s="126"/>
      <c r="E108" s="136">
        <v>10000000</v>
      </c>
      <c r="F108" s="137"/>
      <c r="G108" s="141"/>
      <c r="H108" s="138">
        <v>8118526.8900000015</v>
      </c>
      <c r="I108" s="140">
        <v>2030</v>
      </c>
      <c r="J108" s="136" t="s">
        <v>4113</v>
      </c>
      <c r="K108" s="229">
        <v>275787.46999999997</v>
      </c>
      <c r="L108" s="141">
        <v>513263.81</v>
      </c>
      <c r="M108" s="142">
        <v>789051.28</v>
      </c>
      <c r="N108" s="141"/>
      <c r="O108" s="141"/>
      <c r="P108" s="138">
        <v>331509.26</v>
      </c>
      <c r="Q108" s="141">
        <v>457542.02</v>
      </c>
      <c r="R108" s="143">
        <v>789051.28</v>
      </c>
      <c r="S108" s="141"/>
      <c r="T108" s="138">
        <v>352510.93</v>
      </c>
      <c r="U108" s="141">
        <v>436540.35</v>
      </c>
      <c r="V108" s="143">
        <v>789051.28</v>
      </c>
      <c r="W108" s="141"/>
      <c r="X108" s="138">
        <v>374843.09</v>
      </c>
      <c r="Y108" s="141">
        <v>414208.19</v>
      </c>
      <c r="Z108" s="143">
        <v>789051.28</v>
      </c>
      <c r="AA108" s="141"/>
      <c r="AB108" s="138">
        <v>397511.82</v>
      </c>
      <c r="AC108" s="141">
        <v>391539.46</v>
      </c>
      <c r="AD108" s="143">
        <v>789051.28</v>
      </c>
      <c r="AE108" s="141"/>
      <c r="AF108" s="138">
        <v>423773.1</v>
      </c>
      <c r="AG108" s="141">
        <v>365278.18</v>
      </c>
      <c r="AH108" s="143">
        <v>789051.28</v>
      </c>
      <c r="AI108" s="141"/>
      <c r="AJ108" s="138">
        <v>450619.84</v>
      </c>
      <c r="AK108" s="141">
        <v>338431.44</v>
      </c>
      <c r="AL108" s="143">
        <v>789051.28</v>
      </c>
      <c r="AN108" s="138">
        <v>479167.36</v>
      </c>
      <c r="AO108" s="141">
        <v>309883.92</v>
      </c>
      <c r="AP108" s="143">
        <v>789051.28</v>
      </c>
      <c r="AR108" s="138">
        <v>508756.23</v>
      </c>
      <c r="AS108" s="141">
        <v>280295.05</v>
      </c>
      <c r="AT108" s="143">
        <v>789051.28</v>
      </c>
      <c r="AV108" s="138">
        <v>541753.99</v>
      </c>
      <c r="AW108" s="141">
        <v>247297.29</v>
      </c>
      <c r="AX108" s="143">
        <v>789051.28</v>
      </c>
      <c r="AZ108" s="138">
        <v>576075.03</v>
      </c>
      <c r="BA108" s="141">
        <v>212976.25</v>
      </c>
      <c r="BB108" s="143">
        <v>789051.28</v>
      </c>
    </row>
    <row r="109" spans="1:55" x14ac:dyDescent="0.25">
      <c r="A109" s="257">
        <v>51</v>
      </c>
      <c r="B109" s="258">
        <v>2007</v>
      </c>
      <c r="C109" s="125" t="s">
        <v>4066</v>
      </c>
      <c r="D109" s="126">
        <v>0.80600000000000005</v>
      </c>
      <c r="E109" s="153">
        <v>4000000</v>
      </c>
      <c r="F109" s="154"/>
      <c r="G109" s="189"/>
      <c r="H109" s="139">
        <v>3153961.8193399999</v>
      </c>
      <c r="I109" s="140">
        <v>2027</v>
      </c>
      <c r="J109" s="136" t="s">
        <v>4111</v>
      </c>
      <c r="K109" s="229">
        <v>146840.32999999999</v>
      </c>
      <c r="L109" s="141">
        <v>221640.97</v>
      </c>
      <c r="M109" s="142">
        <v>368481.3</v>
      </c>
      <c r="N109" s="141"/>
      <c r="O109" s="141"/>
      <c r="P109" s="138">
        <v>179869.68</v>
      </c>
      <c r="Q109" s="141">
        <v>188611.63</v>
      </c>
      <c r="R109" s="143">
        <v>368481.31</v>
      </c>
      <c r="S109" s="141"/>
      <c r="T109" s="138">
        <v>192468.53</v>
      </c>
      <c r="U109" s="141">
        <v>176012.78</v>
      </c>
      <c r="V109" s="143">
        <v>368481.31</v>
      </c>
      <c r="W109" s="141"/>
      <c r="X109" s="138">
        <v>205949.75</v>
      </c>
      <c r="Y109" s="141">
        <v>162531.56</v>
      </c>
      <c r="Z109" s="143">
        <v>368481.31</v>
      </c>
      <c r="AA109" s="141"/>
      <c r="AB109" s="138">
        <v>219967.52</v>
      </c>
      <c r="AC109" s="141">
        <v>148513.79999999999</v>
      </c>
      <c r="AD109" s="143">
        <v>368481.32</v>
      </c>
      <c r="AE109" s="141"/>
      <c r="AF109" s="138">
        <v>235782.39999999999</v>
      </c>
      <c r="AG109" s="141">
        <v>132698.92000000001</v>
      </c>
      <c r="AH109" s="143">
        <v>368481.32</v>
      </c>
      <c r="AI109" s="141"/>
      <c r="AJ109" s="138">
        <v>252297.24</v>
      </c>
      <c r="AK109" s="141">
        <v>116184.07</v>
      </c>
      <c r="AL109" s="143">
        <v>368481.31</v>
      </c>
      <c r="AN109" s="138">
        <v>269968.73</v>
      </c>
      <c r="AO109" s="141">
        <v>98512.58</v>
      </c>
      <c r="AP109" s="143">
        <v>368481.31</v>
      </c>
      <c r="AR109" s="138">
        <v>288662.77</v>
      </c>
      <c r="AS109" s="141">
        <v>79818.55</v>
      </c>
      <c r="AT109" s="143">
        <v>368481.32</v>
      </c>
      <c r="AV109" s="138">
        <v>309096.36</v>
      </c>
      <c r="AW109" s="141">
        <v>59384.959999999999</v>
      </c>
      <c r="AX109" s="143">
        <v>368481.32</v>
      </c>
      <c r="AZ109" s="138">
        <v>330745.95</v>
      </c>
      <c r="BA109" s="141">
        <v>37735.370000000003</v>
      </c>
      <c r="BB109" s="143">
        <v>368481.32</v>
      </c>
    </row>
    <row r="110" spans="1:55" x14ac:dyDescent="0.25">
      <c r="A110" s="259">
        <v>53</v>
      </c>
      <c r="B110" s="258">
        <v>2008</v>
      </c>
      <c r="C110" s="125" t="s">
        <v>4066</v>
      </c>
      <c r="D110" s="126">
        <v>0.92490000000000006</v>
      </c>
      <c r="E110" s="153">
        <v>3450000</v>
      </c>
      <c r="F110" s="154"/>
      <c r="G110" s="189"/>
      <c r="H110" s="139">
        <v>3116678.4601040003</v>
      </c>
      <c r="I110" s="140">
        <v>2033</v>
      </c>
      <c r="J110" s="136" t="s">
        <v>4114</v>
      </c>
      <c r="K110" s="229">
        <v>67338.112166999999</v>
      </c>
      <c r="L110" s="141">
        <v>254971.95548400001</v>
      </c>
      <c r="M110" s="142">
        <v>322310.06765099999</v>
      </c>
      <c r="N110" s="141"/>
      <c r="O110" s="141"/>
      <c r="P110" s="138">
        <v>86112.370547999992</v>
      </c>
      <c r="Q110" s="141">
        <v>236197.78959299999</v>
      </c>
      <c r="R110" s="143">
        <v>322310.160141</v>
      </c>
      <c r="S110" s="141"/>
      <c r="T110" s="138">
        <v>92614.399049999993</v>
      </c>
      <c r="U110" s="141">
        <v>229695.66860100001</v>
      </c>
      <c r="V110" s="143">
        <v>322310.06765099999</v>
      </c>
      <c r="W110" s="141"/>
      <c r="X110" s="138">
        <v>100317.604431</v>
      </c>
      <c r="Y110" s="141">
        <v>221992.46321999998</v>
      </c>
      <c r="Z110" s="143">
        <v>322310.06765099999</v>
      </c>
      <c r="AA110" s="141"/>
      <c r="AB110" s="138">
        <v>108067.119555</v>
      </c>
      <c r="AC110" s="141">
        <v>214242.93884699995</v>
      </c>
      <c r="AD110" s="143">
        <v>322310.05840199994</v>
      </c>
      <c r="AE110" s="141"/>
      <c r="AF110" s="138">
        <v>116476.17161999999</v>
      </c>
      <c r="AG110" s="141">
        <v>205833.89603099998</v>
      </c>
      <c r="AH110" s="143">
        <v>322310.06765099999</v>
      </c>
      <c r="AI110" s="141"/>
      <c r="AJ110" s="138">
        <v>127880.06838299998</v>
      </c>
      <c r="AK110" s="141">
        <v>194430.00851699998</v>
      </c>
      <c r="AL110" s="143">
        <v>322310.07689999999</v>
      </c>
      <c r="AN110" s="138">
        <v>138486.47012099996</v>
      </c>
      <c r="AO110" s="141">
        <v>183823.59752999997</v>
      </c>
      <c r="AP110" s="143">
        <v>322310.06765099993</v>
      </c>
      <c r="AR110" s="138">
        <v>149013.85765199998</v>
      </c>
      <c r="AS110" s="141">
        <v>173296.21924799998</v>
      </c>
      <c r="AT110" s="143">
        <v>322310.07689999999</v>
      </c>
      <c r="AV110" s="138">
        <v>161887.18929000001</v>
      </c>
      <c r="AW110" s="141">
        <v>160422.87836100001</v>
      </c>
      <c r="AX110" s="143">
        <v>322310.06765099999</v>
      </c>
      <c r="AZ110" s="138">
        <v>175316.72804099999</v>
      </c>
      <c r="BA110" s="141">
        <v>146993.34885899996</v>
      </c>
      <c r="BB110" s="143">
        <v>322310.07689999999</v>
      </c>
    </row>
    <row r="111" spans="1:55" x14ac:dyDescent="0.25">
      <c r="A111" s="257" t="s">
        <v>4115</v>
      </c>
      <c r="B111" s="258">
        <v>2009</v>
      </c>
      <c r="C111" s="125" t="s">
        <v>4076</v>
      </c>
      <c r="D111" s="126"/>
      <c r="E111" s="153">
        <v>5000000</v>
      </c>
      <c r="F111" s="154"/>
      <c r="G111" s="189"/>
      <c r="H111" s="139">
        <v>3988500</v>
      </c>
      <c r="I111" s="140">
        <v>2034</v>
      </c>
      <c r="J111" s="136" t="s">
        <v>4114</v>
      </c>
      <c r="K111" s="229">
        <v>94801.42</v>
      </c>
      <c r="L111" s="141">
        <v>356813.66</v>
      </c>
      <c r="M111" s="142">
        <v>451615.08</v>
      </c>
      <c r="N111" s="141"/>
      <c r="O111" s="141"/>
      <c r="P111" s="138">
        <v>348076.92000000004</v>
      </c>
      <c r="Q111" s="141">
        <v>164005.97</v>
      </c>
      <c r="R111" s="143">
        <v>512082.9</v>
      </c>
      <c r="S111" s="141"/>
      <c r="T111" s="138">
        <v>367095</v>
      </c>
      <c r="U111" s="141">
        <v>144987.90000000002</v>
      </c>
      <c r="V111" s="143">
        <v>512082.9</v>
      </c>
      <c r="W111" s="141"/>
      <c r="X111" s="138">
        <v>385665.17000000004</v>
      </c>
      <c r="Y111" s="141">
        <v>126417.73</v>
      </c>
      <c r="Z111" s="143">
        <v>512082.9</v>
      </c>
      <c r="AA111" s="141"/>
      <c r="AB111" s="138">
        <v>404579.6</v>
      </c>
      <c r="AC111" s="141">
        <v>107503.29000000001</v>
      </c>
      <c r="AD111" s="143">
        <v>512082.9</v>
      </c>
      <c r="AE111" s="141"/>
      <c r="AF111" s="138">
        <v>425382.93</v>
      </c>
      <c r="AG111" s="141">
        <v>86699.97</v>
      </c>
      <c r="AH111" s="143">
        <v>512082.9</v>
      </c>
      <c r="AI111" s="141"/>
      <c r="AJ111" s="138">
        <v>446961.55</v>
      </c>
      <c r="AK111" s="141">
        <v>65121.350000000006</v>
      </c>
      <c r="AL111" s="143">
        <v>512082.9</v>
      </c>
      <c r="AN111" s="138">
        <v>469363.85</v>
      </c>
      <c r="AO111" s="141">
        <v>42719.05</v>
      </c>
      <c r="AP111" s="143">
        <v>512082.9</v>
      </c>
      <c r="AR111" s="138">
        <v>493513.87</v>
      </c>
      <c r="AS111" s="141">
        <v>18569.02</v>
      </c>
      <c r="AT111" s="143">
        <v>512082.9</v>
      </c>
      <c r="AV111" s="138"/>
      <c r="AW111" s="141"/>
      <c r="AX111" s="143"/>
      <c r="AZ111" s="138"/>
      <c r="BA111" s="141"/>
      <c r="BB111" s="143"/>
    </row>
    <row r="112" spans="1:55" x14ac:dyDescent="0.25">
      <c r="A112" s="259">
        <v>58</v>
      </c>
      <c r="B112" s="258">
        <v>2010</v>
      </c>
      <c r="C112" s="125" t="s">
        <v>4076</v>
      </c>
      <c r="D112" s="126">
        <v>0.9365</v>
      </c>
      <c r="E112" s="136">
        <v>18730000</v>
      </c>
      <c r="F112" s="137">
        <v>8.0799999999999997E-2</v>
      </c>
      <c r="G112" s="141"/>
      <c r="H112" s="138">
        <v>17921805.031774998</v>
      </c>
      <c r="I112" s="140">
        <v>2034</v>
      </c>
      <c r="J112" s="136" t="s">
        <v>4114</v>
      </c>
      <c r="K112" s="229">
        <v>206038.26929500003</v>
      </c>
      <c r="L112" s="141">
        <v>1279520.6297749998</v>
      </c>
      <c r="M112" s="142">
        <v>1485558.8990699998</v>
      </c>
      <c r="N112" s="141"/>
      <c r="O112" s="141"/>
      <c r="P112" s="138">
        <v>264957.52061000007</v>
      </c>
      <c r="Q112" s="141">
        <v>1399718.6912100003</v>
      </c>
      <c r="R112" s="143">
        <v>1664676.2118200003</v>
      </c>
      <c r="S112" s="141"/>
      <c r="T112" s="138">
        <v>286961.26239000005</v>
      </c>
      <c r="U112" s="141">
        <v>1377714.9494300003</v>
      </c>
      <c r="V112" s="143">
        <v>1664676.2118200003</v>
      </c>
      <c r="W112" s="141"/>
      <c r="X112" s="138">
        <v>306909.55524000002</v>
      </c>
      <c r="Y112" s="141">
        <v>1357766.6565800002</v>
      </c>
      <c r="Z112" s="143">
        <v>1664676.2118200003</v>
      </c>
      <c r="AA112" s="141"/>
      <c r="AB112" s="138">
        <v>322072.10833000008</v>
      </c>
      <c r="AC112" s="141">
        <v>1342604.1034900001</v>
      </c>
      <c r="AD112" s="143">
        <v>1664676.2118200003</v>
      </c>
      <c r="AE112" s="141"/>
      <c r="AF112" s="138">
        <v>372762.75635306397</v>
      </c>
      <c r="AG112" s="141">
        <v>1291913.453646936</v>
      </c>
      <c r="AH112" s="143">
        <v>1664676.21</v>
      </c>
      <c r="AI112" s="141"/>
      <c r="AJ112" s="138">
        <v>376858.56071332749</v>
      </c>
      <c r="AK112" s="141">
        <v>1287817.6492866725</v>
      </c>
      <c r="AL112" s="143">
        <v>1664676.21</v>
      </c>
      <c r="AN112" s="138">
        <v>407308.73241896438</v>
      </c>
      <c r="AO112" s="141">
        <v>1257367.4775810356</v>
      </c>
      <c r="AP112" s="143">
        <v>1664676.21</v>
      </c>
      <c r="AR112" s="138">
        <v>440219.27799841668</v>
      </c>
      <c r="AS112" s="141">
        <v>1224456.9320015833</v>
      </c>
      <c r="AT112" s="143">
        <v>1664676.21</v>
      </c>
      <c r="AV112" s="138">
        <v>475788.9956606885</v>
      </c>
      <c r="AW112" s="141">
        <v>1188887.2143393115</v>
      </c>
      <c r="AX112" s="143">
        <v>1664676.21</v>
      </c>
      <c r="AZ112" s="138">
        <v>514232.74651007215</v>
      </c>
      <c r="BA112" s="141">
        <v>1150443.4634899278</v>
      </c>
      <c r="BB112" s="143">
        <v>1664676.21</v>
      </c>
    </row>
    <row r="113" spans="1:55" x14ac:dyDescent="0.25">
      <c r="A113" s="259">
        <v>59</v>
      </c>
      <c r="B113" s="258">
        <v>2010</v>
      </c>
      <c r="C113" s="125" t="s">
        <v>4066</v>
      </c>
      <c r="D113" s="126"/>
      <c r="E113" s="136">
        <v>8575000</v>
      </c>
      <c r="F113" s="137"/>
      <c r="G113" s="141"/>
      <c r="H113" s="138">
        <v>7931502.6899999995</v>
      </c>
      <c r="I113" s="140">
        <v>2034</v>
      </c>
      <c r="J113" s="136" t="s">
        <v>4114</v>
      </c>
      <c r="K113" s="229">
        <v>164958.9</v>
      </c>
      <c r="L113" s="141">
        <v>682254.94</v>
      </c>
      <c r="M113" s="142">
        <v>847213.84</v>
      </c>
      <c r="N113" s="141"/>
      <c r="O113" s="141"/>
      <c r="P113" s="138">
        <v>213596.56</v>
      </c>
      <c r="Q113" s="141">
        <v>633617.25</v>
      </c>
      <c r="R113" s="143">
        <v>847213.81</v>
      </c>
      <c r="S113" s="141"/>
      <c r="T113" s="138">
        <v>232263.57</v>
      </c>
      <c r="U113" s="141">
        <v>614950.26</v>
      </c>
      <c r="V113" s="143">
        <v>847213.83</v>
      </c>
      <c r="W113" s="141"/>
      <c r="X113" s="138">
        <v>250848.93</v>
      </c>
      <c r="Y113" s="141">
        <v>596364.88</v>
      </c>
      <c r="Z113" s="143">
        <v>847213.81</v>
      </c>
      <c r="AA113" s="141"/>
      <c r="AB113" s="138">
        <v>271234.09000000003</v>
      </c>
      <c r="AC113" s="141">
        <v>575979.74</v>
      </c>
      <c r="AD113" s="143">
        <v>847213.83</v>
      </c>
      <c r="AE113" s="141"/>
      <c r="AF113" s="138">
        <v>296605.02</v>
      </c>
      <c r="AG113" s="141">
        <v>550608.81000000006</v>
      </c>
      <c r="AH113" s="143">
        <v>847213.83</v>
      </c>
      <c r="AI113" s="141"/>
      <c r="AJ113" s="138">
        <v>319581.33</v>
      </c>
      <c r="AK113" s="141">
        <v>527632.51</v>
      </c>
      <c r="AL113" s="143">
        <v>847213.84</v>
      </c>
      <c r="AN113" s="138">
        <v>352039.58</v>
      </c>
      <c r="AO113" s="141">
        <v>495174.25</v>
      </c>
      <c r="AP113" s="143">
        <v>847213.83</v>
      </c>
      <c r="AR113" s="138">
        <v>381563.06</v>
      </c>
      <c r="AS113" s="141">
        <v>465650.77</v>
      </c>
      <c r="AT113" s="143">
        <v>847213.83</v>
      </c>
      <c r="AV113" s="138">
        <v>442798.04379399994</v>
      </c>
      <c r="AW113" s="141">
        <v>404415.79620600003</v>
      </c>
      <c r="AX113" s="143">
        <v>847213.84</v>
      </c>
      <c r="AZ113" s="138">
        <v>480391.5977121105</v>
      </c>
      <c r="BA113" s="141">
        <v>366822.24228788947</v>
      </c>
      <c r="BB113" s="143">
        <v>847213.84</v>
      </c>
    </row>
    <row r="114" spans="1:55" ht="30" x14ac:dyDescent="0.25">
      <c r="A114" s="259">
        <v>62</v>
      </c>
      <c r="B114" s="124">
        <v>2011</v>
      </c>
      <c r="C114" s="125" t="s">
        <v>4069</v>
      </c>
      <c r="D114" s="126">
        <v>0.26640000000000003</v>
      </c>
      <c r="E114" s="153">
        <v>1546500</v>
      </c>
      <c r="F114" s="154">
        <v>8.2199999999999995E-2</v>
      </c>
      <c r="G114" s="189"/>
      <c r="H114" s="139">
        <v>1481229.8057669997</v>
      </c>
      <c r="I114" s="153">
        <v>2036</v>
      </c>
      <c r="J114" s="260" t="s">
        <v>4116</v>
      </c>
      <c r="K114" s="229">
        <v>22932.925681481196</v>
      </c>
      <c r="L114" s="189">
        <v>123770.80431851881</v>
      </c>
      <c r="M114" s="142">
        <v>146703.73000000001</v>
      </c>
      <c r="N114" s="141"/>
      <c r="O114" s="141"/>
      <c r="P114" s="138">
        <v>29065.784711025408</v>
      </c>
      <c r="Q114" s="189">
        <v>117637.9452889746</v>
      </c>
      <c r="R114" s="143">
        <v>146703.73000000001</v>
      </c>
      <c r="S114" s="141"/>
      <c r="T114" s="138">
        <v>31454.992214271697</v>
      </c>
      <c r="U114" s="189">
        <v>115248.73778572831</v>
      </c>
      <c r="V114" s="143">
        <v>146703.73000000001</v>
      </c>
      <c r="W114" s="141"/>
      <c r="X114" s="138">
        <v>34040.592574284834</v>
      </c>
      <c r="Y114" s="189">
        <v>112663.13742571518</v>
      </c>
      <c r="Z114" s="143">
        <v>146703.73000000001</v>
      </c>
      <c r="AA114" s="141"/>
      <c r="AB114" s="138">
        <v>36838.729283891051</v>
      </c>
      <c r="AC114" s="189">
        <v>109865.00071610896</v>
      </c>
      <c r="AD114" s="143">
        <v>146703.73000000001</v>
      </c>
      <c r="AE114" s="141"/>
      <c r="AF114" s="138">
        <v>39866.872831026907</v>
      </c>
      <c r="AG114" s="189">
        <v>106836.8571689731</v>
      </c>
      <c r="AH114" s="143">
        <v>146703.73000000001</v>
      </c>
      <c r="AI114" s="141"/>
      <c r="AJ114" s="138">
        <v>43143.929777737314</v>
      </c>
      <c r="AK114" s="189">
        <v>103559.8002222627</v>
      </c>
      <c r="AL114" s="143">
        <v>146703.73000000001</v>
      </c>
      <c r="AN114" s="138">
        <v>46690.36080546731</v>
      </c>
      <c r="AO114" s="189">
        <v>100013.3691945327</v>
      </c>
      <c r="AP114" s="143">
        <v>146703.73000000001</v>
      </c>
      <c r="AR114" s="138">
        <v>50528.308463676716</v>
      </c>
      <c r="AS114" s="189">
        <v>96175.421536323294</v>
      </c>
      <c r="AT114" s="143">
        <v>146703.73000000001</v>
      </c>
      <c r="AV114" s="138">
        <v>54681.735419390956</v>
      </c>
      <c r="AW114" s="189">
        <v>92021.994580609055</v>
      </c>
      <c r="AX114" s="143">
        <v>146703.73000000001</v>
      </c>
      <c r="AZ114" s="138">
        <v>59176.574070864895</v>
      </c>
      <c r="BA114" s="189">
        <v>87527.155929135115</v>
      </c>
      <c r="BB114" s="143">
        <v>146703.73000000001</v>
      </c>
    </row>
    <row r="115" spans="1:55" s="190" customFormat="1" x14ac:dyDescent="0.25">
      <c r="A115" s="261"/>
      <c r="B115" s="125"/>
      <c r="C115" s="125"/>
      <c r="D115" s="126"/>
      <c r="E115" s="153"/>
      <c r="F115" s="154"/>
      <c r="G115" s="189"/>
      <c r="H115" s="139"/>
      <c r="I115" s="153"/>
      <c r="J115" s="153"/>
      <c r="K115" s="249"/>
      <c r="L115" s="189"/>
      <c r="M115" s="195"/>
      <c r="N115" s="189"/>
      <c r="O115" s="189"/>
      <c r="P115" s="262"/>
      <c r="Q115" s="81"/>
      <c r="R115" s="263"/>
      <c r="S115" s="189"/>
      <c r="T115" s="262"/>
      <c r="U115" s="81"/>
      <c r="V115" s="263"/>
      <c r="W115" s="189"/>
      <c r="X115" s="262"/>
      <c r="Y115" s="81"/>
      <c r="Z115" s="263"/>
      <c r="AA115" s="189"/>
      <c r="AB115" s="262"/>
      <c r="AC115" s="81"/>
      <c r="AD115" s="263"/>
      <c r="AE115" s="189"/>
      <c r="AF115" s="262"/>
      <c r="AG115" s="81"/>
      <c r="AH115" s="263"/>
      <c r="AI115" s="189"/>
      <c r="AJ115" s="262"/>
      <c r="AK115" s="81"/>
      <c r="AL115" s="263"/>
      <c r="AN115" s="262"/>
      <c r="AO115" s="81"/>
      <c r="AP115" s="263"/>
      <c r="AR115" s="262"/>
      <c r="AS115" s="81"/>
      <c r="AT115" s="263"/>
      <c r="AV115" s="262"/>
      <c r="AW115" s="81"/>
      <c r="AX115" s="263"/>
      <c r="AZ115" s="262"/>
      <c r="BA115" s="81"/>
      <c r="BB115" s="263"/>
    </row>
    <row r="116" spans="1:55" s="151" customFormat="1" ht="15.75" thickBot="1" x14ac:dyDescent="0.3">
      <c r="A116" s="264"/>
      <c r="B116" s="204"/>
      <c r="C116" s="204"/>
      <c r="D116" s="205"/>
      <c r="E116" s="206">
        <f>SUM(E107:E115)</f>
        <v>57001500</v>
      </c>
      <c r="F116" s="207"/>
      <c r="G116" s="250"/>
      <c r="H116" s="250">
        <f>SUM(H107:H115)</f>
        <v>50607132.156985998</v>
      </c>
      <c r="I116" s="206"/>
      <c r="J116" s="210" t="s">
        <v>4117</v>
      </c>
      <c r="K116" s="224">
        <f>SUM(K107:K115)</f>
        <v>1091384.867143481</v>
      </c>
      <c r="L116" s="211">
        <f>SUM(L107:L115)</f>
        <v>3733674.8895775182</v>
      </c>
      <c r="M116" s="223">
        <f>SUM(M107:M115)</f>
        <v>4825059.7567210002</v>
      </c>
      <c r="N116" s="180">
        <v>0</v>
      </c>
      <c r="O116" s="177">
        <v>0</v>
      </c>
      <c r="P116" s="225">
        <f>SUM(P107:P115)</f>
        <v>1586566.7858690254</v>
      </c>
      <c r="Q116" s="220">
        <f>SUM(Q107:Q115)</f>
        <v>3478078.1660919748</v>
      </c>
      <c r="R116" s="226">
        <f>SUM(R107:R115)</f>
        <v>5064644.9619610012</v>
      </c>
      <c r="S116" s="177">
        <v>0</v>
      </c>
      <c r="T116" s="225">
        <f>SUM(T107:T115)</f>
        <v>1699379.8736542719</v>
      </c>
      <c r="U116" s="220">
        <f>SUM(U107:U115)</f>
        <v>3365265.0058167283</v>
      </c>
      <c r="V116" s="226">
        <f>SUM(V107:V115)</f>
        <v>5064644.8794710003</v>
      </c>
      <c r="W116" s="181">
        <v>0</v>
      </c>
      <c r="X116" s="225">
        <f>SUM(X107:X115)</f>
        <v>1811503.3022452847</v>
      </c>
      <c r="Y116" s="220">
        <f>SUM(Y107:Y115)</f>
        <v>3253141.5572257154</v>
      </c>
      <c r="Z116" s="226">
        <f>SUM(Z107:Z115)</f>
        <v>5064644.8594710007</v>
      </c>
      <c r="AA116" s="173">
        <v>0</v>
      </c>
      <c r="AB116" s="225">
        <f>SUM(AB107:AB115)</f>
        <v>1921253.7271688913</v>
      </c>
      <c r="AC116" s="220">
        <f>SUM(AC107:AC115)</f>
        <v>3143391.133053109</v>
      </c>
      <c r="AD116" s="226">
        <f>SUM(AD107:AD115)</f>
        <v>5064644.8702220004</v>
      </c>
      <c r="AE116" s="173">
        <v>0</v>
      </c>
      <c r="AF116" s="225">
        <f>SUM(AF107:AF115)</f>
        <v>2082327.2408040911</v>
      </c>
      <c r="AG116" s="220">
        <f>SUM(AG107:AG115)</f>
        <v>2982317.6568469089</v>
      </c>
      <c r="AH116" s="226">
        <f>SUM(AH107:AH115)</f>
        <v>5064644.8976509999</v>
      </c>
      <c r="AI116" s="173">
        <v>0</v>
      </c>
      <c r="AJ116" s="225">
        <f>SUM(AJ107:AJ115)</f>
        <v>2199680.9588740645</v>
      </c>
      <c r="AK116" s="220">
        <f>SUM(AK107:AK115)</f>
        <v>2864963.9280259348</v>
      </c>
      <c r="AL116" s="226">
        <f>SUM(AL107:AL115)</f>
        <v>5064644.8869000003</v>
      </c>
      <c r="AM116" s="173">
        <v>0</v>
      </c>
      <c r="AN116" s="225">
        <f>SUM(AN107:AN115)</f>
        <v>2355432.5933454316</v>
      </c>
      <c r="AO116" s="220">
        <f>SUM(AO107:AO115)</f>
        <v>2709212.2943055686</v>
      </c>
      <c r="AP116" s="226">
        <f>SUM(AP107:AP115)</f>
        <v>5064644.8876510002</v>
      </c>
      <c r="AQ116" s="173">
        <v>0</v>
      </c>
      <c r="AR116" s="225">
        <f>SUM(AR107:AR115)</f>
        <v>2518459.4441140937</v>
      </c>
      <c r="AS116" s="220">
        <f>SUM(AS107:AS115)</f>
        <v>2546185.4427859066</v>
      </c>
      <c r="AT116" s="226">
        <f>SUM(AT107:AT115)</f>
        <v>5064644.8969000001</v>
      </c>
      <c r="AU116" s="173">
        <v>0</v>
      </c>
      <c r="AV116" s="225">
        <f>SUM(AV107:AV115)</f>
        <v>2204419.1341640791</v>
      </c>
      <c r="AW116" s="220">
        <f>SUM(AW107:AW115)</f>
        <v>2348142.8734869207</v>
      </c>
      <c r="AX116" s="226">
        <f>SUM(AX107:AX115)</f>
        <v>4552562.0076510003</v>
      </c>
      <c r="AY116" s="173">
        <v>0</v>
      </c>
      <c r="AZ116" s="225">
        <f>SUM(AZ107:AZ115)</f>
        <v>2367913.9163340474</v>
      </c>
      <c r="BA116" s="220">
        <f>SUM(BA107:BA115)</f>
        <v>2184648.0805659522</v>
      </c>
      <c r="BB116" s="226">
        <f>SUM(BB107:BB115)</f>
        <v>4552561.9969000006</v>
      </c>
      <c r="BC116" s="173">
        <v>0</v>
      </c>
    </row>
    <row r="118" spans="1:55" x14ac:dyDescent="0.25">
      <c r="J118" s="75" t="s">
        <v>4118</v>
      </c>
      <c r="P118" s="144">
        <f>P116+P98+P87</f>
        <v>2539845.3699255902</v>
      </c>
      <c r="Q118" s="144">
        <f t="shared" ref="Q118:BB118" si="7">Q116+Q98+Q87</f>
        <v>4515712.1982163414</v>
      </c>
      <c r="R118" s="144">
        <f t="shared" si="7"/>
        <v>7055557.5781419324</v>
      </c>
      <c r="S118" s="144">
        <f t="shared" si="7"/>
        <v>0</v>
      </c>
      <c r="T118" s="144">
        <f t="shared" si="7"/>
        <v>2592168.6902728705</v>
      </c>
      <c r="U118" s="144">
        <f t="shared" si="7"/>
        <v>4439356.9880904229</v>
      </c>
      <c r="V118" s="144">
        <f t="shared" si="7"/>
        <v>7031525.6783632934</v>
      </c>
      <c r="W118" s="144">
        <f t="shared" si="7"/>
        <v>0</v>
      </c>
      <c r="X118" s="144">
        <f t="shared" si="7"/>
        <v>2799996.9922399488</v>
      </c>
      <c r="Y118" s="144">
        <f t="shared" si="7"/>
        <v>4364307.0113247074</v>
      </c>
      <c r="Z118" s="144">
        <f t="shared" si="7"/>
        <v>7164304.0035646567</v>
      </c>
      <c r="AA118" s="144">
        <f t="shared" si="7"/>
        <v>0</v>
      </c>
      <c r="AB118" s="144">
        <f t="shared" si="7"/>
        <v>2903822.5957797975</v>
      </c>
      <c r="AC118" s="144">
        <f t="shared" si="7"/>
        <v>4289855.8829862215</v>
      </c>
      <c r="AD118" s="144">
        <f t="shared" si="7"/>
        <v>7193678.4887660192</v>
      </c>
      <c r="AE118" s="144">
        <f t="shared" si="7"/>
        <v>0</v>
      </c>
      <c r="AF118" s="144">
        <f t="shared" si="7"/>
        <v>3067607.6381068481</v>
      </c>
      <c r="AG118" s="144">
        <f t="shared" si="7"/>
        <v>4061277.6006591707</v>
      </c>
      <c r="AH118" s="144">
        <f t="shared" si="7"/>
        <v>7128885.2387660192</v>
      </c>
      <c r="AI118" s="144">
        <f t="shared" si="7"/>
        <v>0</v>
      </c>
      <c r="AJ118" s="144">
        <f t="shared" si="7"/>
        <v>3249476.6017503459</v>
      </c>
      <c r="AK118" s="144">
        <f t="shared" si="7"/>
        <v>3879408.6170156719</v>
      </c>
      <c r="AL118" s="144">
        <f t="shared" si="7"/>
        <v>7128885.2187660187</v>
      </c>
      <c r="AM118" s="144">
        <f t="shared" si="7"/>
        <v>0</v>
      </c>
      <c r="AN118" s="144">
        <f t="shared" si="7"/>
        <v>3317276.8676426811</v>
      </c>
      <c r="AO118" s="144">
        <f t="shared" si="7"/>
        <v>3556994.2411233382</v>
      </c>
      <c r="AP118" s="144">
        <f t="shared" si="7"/>
        <v>6874271.1087660193</v>
      </c>
      <c r="AQ118" s="144">
        <f t="shared" si="7"/>
        <v>0</v>
      </c>
      <c r="AR118" s="144">
        <f t="shared" si="7"/>
        <v>3504228.3264800203</v>
      </c>
      <c r="AS118" s="144">
        <f t="shared" si="7"/>
        <v>3329705.722285999</v>
      </c>
      <c r="AT118" s="144">
        <f t="shared" si="7"/>
        <v>6833934.0587660186</v>
      </c>
      <c r="AU118" s="144">
        <f t="shared" si="7"/>
        <v>0</v>
      </c>
      <c r="AV118" s="144">
        <f t="shared" si="7"/>
        <v>2985181.7882028753</v>
      </c>
      <c r="AW118" s="144">
        <f t="shared" si="7"/>
        <v>3072623.2405631435</v>
      </c>
      <c r="AX118" s="144">
        <f t="shared" si="7"/>
        <v>6057805.0287660193</v>
      </c>
      <c r="AY118" s="144">
        <f t="shared" si="7"/>
        <v>0</v>
      </c>
      <c r="AZ118" s="144">
        <f t="shared" si="7"/>
        <v>3204026.5747471256</v>
      </c>
      <c r="BA118" s="144">
        <f t="shared" si="7"/>
        <v>2853778.4440188929</v>
      </c>
      <c r="BB118" s="144">
        <f t="shared" si="7"/>
        <v>6057805.0187660195</v>
      </c>
    </row>
  </sheetData>
  <mergeCells count="33">
    <mergeCell ref="AV102:AX102"/>
    <mergeCell ref="AB102:AD102"/>
    <mergeCell ref="AF102:AH102"/>
    <mergeCell ref="AJ102:AL102"/>
    <mergeCell ref="AN102:AP102"/>
    <mergeCell ref="AR102:AT102"/>
    <mergeCell ref="K102:M102"/>
    <mergeCell ref="P102:R102"/>
    <mergeCell ref="T102:V102"/>
    <mergeCell ref="X102:Z102"/>
    <mergeCell ref="AZ91:BB91"/>
    <mergeCell ref="AB91:AD91"/>
    <mergeCell ref="AF91:AH91"/>
    <mergeCell ref="AJ91:AL91"/>
    <mergeCell ref="AN91:AP91"/>
    <mergeCell ref="AR91:AT91"/>
    <mergeCell ref="AV91:AX91"/>
    <mergeCell ref="K91:M91"/>
    <mergeCell ref="P91:R91"/>
    <mergeCell ref="T91:V91"/>
    <mergeCell ref="X91:Z91"/>
    <mergeCell ref="AZ102:BB102"/>
    <mergeCell ref="K4:M4"/>
    <mergeCell ref="P4:R4"/>
    <mergeCell ref="T4:V4"/>
    <mergeCell ref="X4:Z4"/>
    <mergeCell ref="AZ4:BB4"/>
    <mergeCell ref="AB4:AD4"/>
    <mergeCell ref="AF4:AH4"/>
    <mergeCell ref="AJ4:AL4"/>
    <mergeCell ref="AN4:AP4"/>
    <mergeCell ref="AR4:AT4"/>
    <mergeCell ref="AV4:AX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69"/>
  <sheetViews>
    <sheetView workbookViewId="0">
      <selection activeCell="S31" sqref="S31"/>
    </sheetView>
  </sheetViews>
  <sheetFormatPr defaultRowHeight="15" x14ac:dyDescent="0.25"/>
  <cols>
    <col min="1" max="1" width="12.7109375" customWidth="1"/>
    <col min="2" max="2" width="14" customWidth="1"/>
    <col min="3" max="5" width="12.7109375" customWidth="1"/>
    <col min="7" max="11" width="12.7109375" customWidth="1"/>
    <col min="13" max="17" width="12.7109375" customWidth="1"/>
    <col min="18" max="18" width="10.7109375" bestFit="1" customWidth="1"/>
    <col min="19" max="19" width="9.5703125" bestFit="1" customWidth="1"/>
  </cols>
  <sheetData>
    <row r="1" spans="1:19" ht="15.75" x14ac:dyDescent="0.25">
      <c r="A1" s="403" t="s">
        <v>0</v>
      </c>
    </row>
    <row r="2" spans="1:19" ht="15.75" x14ac:dyDescent="0.25">
      <c r="A2" s="403" t="s">
        <v>4569</v>
      </c>
    </row>
    <row r="4" spans="1:19" x14ac:dyDescent="0.25">
      <c r="A4" t="s">
        <v>4580</v>
      </c>
      <c r="G4" t="s">
        <v>4581</v>
      </c>
      <c r="M4" t="s">
        <v>4582</v>
      </c>
    </row>
    <row r="5" spans="1:19" x14ac:dyDescent="0.25">
      <c r="A5" t="s">
        <v>4578</v>
      </c>
      <c r="C5" t="s">
        <v>12</v>
      </c>
      <c r="G5" t="s">
        <v>4578</v>
      </c>
      <c r="I5" t="s">
        <v>13</v>
      </c>
      <c r="M5" t="s">
        <v>4578</v>
      </c>
      <c r="O5" t="s">
        <v>15</v>
      </c>
    </row>
    <row r="6" spans="1:19" x14ac:dyDescent="0.25">
      <c r="A6" t="s">
        <v>4571</v>
      </c>
      <c r="C6" s="285">
        <v>2000000</v>
      </c>
      <c r="G6" t="s">
        <v>4571</v>
      </c>
      <c r="I6" s="285">
        <v>2000000</v>
      </c>
      <c r="M6" t="s">
        <v>4571</v>
      </c>
      <c r="O6" s="285">
        <v>2000000</v>
      </c>
    </row>
    <row r="7" spans="1:19" x14ac:dyDescent="0.25">
      <c r="A7" t="s">
        <v>4057</v>
      </c>
      <c r="C7" s="333">
        <f>Assumptions!C16</f>
        <v>4.9000000000000002E-2</v>
      </c>
      <c r="G7" t="s">
        <v>4057</v>
      </c>
      <c r="I7" s="333">
        <f>Assumptions!D16</f>
        <v>4.9000000000000002E-2</v>
      </c>
      <c r="M7" t="s">
        <v>4057</v>
      </c>
      <c r="O7" s="333">
        <f>Assumptions!E16</f>
        <v>4.9000000000000002E-2</v>
      </c>
    </row>
    <row r="8" spans="1:19" x14ac:dyDescent="0.25">
      <c r="A8" t="s">
        <v>4573</v>
      </c>
      <c r="C8" s="333">
        <f>C7/C9</f>
        <v>2.4500000000000001E-2</v>
      </c>
      <c r="G8" t="s">
        <v>4573</v>
      </c>
      <c r="I8" s="333">
        <f>I7/I9</f>
        <v>2.4500000000000001E-2</v>
      </c>
      <c r="M8" t="s">
        <v>4573</v>
      </c>
      <c r="O8" s="333">
        <f>O7/O9</f>
        <v>2.4500000000000001E-2</v>
      </c>
    </row>
    <row r="9" spans="1:19" x14ac:dyDescent="0.25">
      <c r="A9" t="s">
        <v>4574</v>
      </c>
      <c r="C9">
        <v>2</v>
      </c>
      <c r="G9" t="s">
        <v>4574</v>
      </c>
      <c r="I9">
        <v>2</v>
      </c>
      <c r="M9" t="s">
        <v>4574</v>
      </c>
      <c r="O9">
        <v>2</v>
      </c>
    </row>
    <row r="10" spans="1:19" x14ac:dyDescent="0.25">
      <c r="A10" t="s">
        <v>4575</v>
      </c>
      <c r="C10">
        <v>25</v>
      </c>
      <c r="G10" t="s">
        <v>4575</v>
      </c>
      <c r="I10">
        <v>25</v>
      </c>
      <c r="M10" t="s">
        <v>4575</v>
      </c>
      <c r="O10">
        <v>25</v>
      </c>
    </row>
    <row r="11" spans="1:19" x14ac:dyDescent="0.25">
      <c r="A11" t="s">
        <v>4576</v>
      </c>
      <c r="C11">
        <f>C9*C10</f>
        <v>50</v>
      </c>
      <c r="G11" t="s">
        <v>4576</v>
      </c>
      <c r="I11">
        <f>I9*I10</f>
        <v>50</v>
      </c>
      <c r="M11" t="s">
        <v>4576</v>
      </c>
      <c r="O11">
        <f>O9*O10</f>
        <v>50</v>
      </c>
    </row>
    <row r="12" spans="1:19" x14ac:dyDescent="0.25">
      <c r="A12" t="s">
        <v>4577</v>
      </c>
      <c r="C12" s="285">
        <f>PMT(C8,C11,-C6)</f>
        <v>69813.237600681314</v>
      </c>
      <c r="G12" t="s">
        <v>4577</v>
      </c>
      <c r="I12" s="285">
        <f>PMT(I8,I11,-I6)</f>
        <v>69813.237600681314</v>
      </c>
      <c r="M12" t="s">
        <v>4577</v>
      </c>
      <c r="O12" s="285">
        <f>PMT(O8,O11,-O6)</f>
        <v>69813.237600681314</v>
      </c>
    </row>
    <row r="13" spans="1:19" x14ac:dyDescent="0.25">
      <c r="A13" s="460" t="s">
        <v>4570</v>
      </c>
      <c r="B13" s="460" t="s">
        <v>4571</v>
      </c>
      <c r="C13" s="460" t="s">
        <v>787</v>
      </c>
      <c r="D13" s="460" t="s">
        <v>4572</v>
      </c>
      <c r="E13" s="460" t="s">
        <v>4153</v>
      </c>
      <c r="G13" s="460" t="s">
        <v>4570</v>
      </c>
      <c r="H13" s="460" t="s">
        <v>4571</v>
      </c>
      <c r="I13" s="460" t="s">
        <v>787</v>
      </c>
      <c r="J13" s="460" t="s">
        <v>4572</v>
      </c>
      <c r="K13" s="460" t="s">
        <v>4153</v>
      </c>
      <c r="M13" s="460" t="s">
        <v>4570</v>
      </c>
      <c r="N13" s="460" t="s">
        <v>4571</v>
      </c>
      <c r="O13" s="460" t="s">
        <v>787</v>
      </c>
      <c r="P13" s="460" t="s">
        <v>4572</v>
      </c>
      <c r="Q13" s="460" t="s">
        <v>4153</v>
      </c>
    </row>
    <row r="14" spans="1:19" x14ac:dyDescent="0.25">
      <c r="A14" s="459">
        <v>43100</v>
      </c>
      <c r="B14" s="285">
        <f>D14-C14</f>
        <v>20813.237600681314</v>
      </c>
      <c r="C14" s="285">
        <f>C6*C8</f>
        <v>49000</v>
      </c>
      <c r="D14" s="285">
        <f t="shared" ref="D14:D45" si="0">$C$12</f>
        <v>69813.237600681314</v>
      </c>
      <c r="E14" s="285">
        <f>C6-B14</f>
        <v>1979186.7623993186</v>
      </c>
      <c r="G14" s="461"/>
      <c r="H14" s="461"/>
      <c r="I14" s="461"/>
      <c r="J14" s="461"/>
      <c r="K14" s="461"/>
      <c r="M14" s="461"/>
      <c r="N14" s="461"/>
      <c r="O14" s="461"/>
      <c r="P14" s="461"/>
      <c r="Q14" s="461"/>
    </row>
    <row r="15" spans="1:19" x14ac:dyDescent="0.25">
      <c r="A15" s="459">
        <v>43281</v>
      </c>
      <c r="B15" s="285">
        <f>D15-C15</f>
        <v>21323.161921898005</v>
      </c>
      <c r="C15" s="285">
        <f>E14*$C$8</f>
        <v>48490.075678783309</v>
      </c>
      <c r="D15" s="285">
        <f t="shared" si="0"/>
        <v>69813.237600681314</v>
      </c>
      <c r="E15" s="285">
        <f>E14-B15</f>
        <v>1957863.6004774207</v>
      </c>
      <c r="G15" s="461"/>
      <c r="H15" s="461"/>
      <c r="I15" s="461"/>
      <c r="J15" s="461"/>
      <c r="K15" s="461"/>
      <c r="M15" s="461"/>
      <c r="N15" s="461"/>
      <c r="O15" s="461"/>
      <c r="P15" s="461"/>
      <c r="Q15" s="461"/>
      <c r="R15" s="459">
        <v>43281</v>
      </c>
      <c r="S15" s="285">
        <f>E15+K15+Q15</f>
        <v>1957863.6004774207</v>
      </c>
    </row>
    <row r="16" spans="1:19" x14ac:dyDescent="0.25">
      <c r="A16" s="459">
        <v>43465</v>
      </c>
      <c r="B16" s="285">
        <f t="shared" ref="B16:B63" si="1">D16-C16</f>
        <v>21845.579388984501</v>
      </c>
      <c r="C16" s="285">
        <f t="shared" ref="C16:C51" si="2">E15*$C$8</f>
        <v>47967.658211696813</v>
      </c>
      <c r="D16" s="285">
        <f t="shared" si="0"/>
        <v>69813.237600681314</v>
      </c>
      <c r="E16" s="285">
        <f t="shared" ref="E16:E63" si="3">E15-B16</f>
        <v>1936018.0210884362</v>
      </c>
      <c r="G16" s="459">
        <v>43465</v>
      </c>
      <c r="H16" s="285">
        <f>J16-I16</f>
        <v>20813.237600681314</v>
      </c>
      <c r="I16" s="285">
        <f>I6*I8</f>
        <v>49000</v>
      </c>
      <c r="J16" s="285">
        <f>$I$12</f>
        <v>69813.237600681314</v>
      </c>
      <c r="K16" s="285">
        <f>I6-H16</f>
        <v>1979186.7623993186</v>
      </c>
      <c r="M16" s="461"/>
      <c r="N16" s="461"/>
      <c r="O16" s="461"/>
      <c r="P16" s="461"/>
      <c r="Q16" s="461"/>
      <c r="R16" s="459"/>
    </row>
    <row r="17" spans="1:19" x14ac:dyDescent="0.25">
      <c r="A17" s="459">
        <v>43646</v>
      </c>
      <c r="B17" s="285">
        <f t="shared" si="1"/>
        <v>22380.796084014626</v>
      </c>
      <c r="C17" s="285">
        <f t="shared" si="2"/>
        <v>47432.441516666688</v>
      </c>
      <c r="D17" s="285">
        <f t="shared" si="0"/>
        <v>69813.237600681314</v>
      </c>
      <c r="E17" s="285">
        <f t="shared" si="3"/>
        <v>1913637.2250044215</v>
      </c>
      <c r="G17" s="459">
        <v>43646</v>
      </c>
      <c r="H17" s="285">
        <f>J17-I17</f>
        <v>21323.161921898005</v>
      </c>
      <c r="I17" s="285">
        <f>K16*$I$8</f>
        <v>48490.075678783309</v>
      </c>
      <c r="J17" s="285">
        <f t="shared" ref="J17:J65" si="4">$I$12</f>
        <v>69813.237600681314</v>
      </c>
      <c r="K17" s="285">
        <f>K16-H17</f>
        <v>1957863.6004774207</v>
      </c>
      <c r="M17" s="461"/>
      <c r="N17" s="461"/>
      <c r="O17" s="461"/>
      <c r="P17" s="461"/>
      <c r="Q17" s="461"/>
      <c r="R17" s="459">
        <v>43646</v>
      </c>
      <c r="S17" s="285">
        <f>E17+K17+Q17</f>
        <v>3871500.8254818423</v>
      </c>
    </row>
    <row r="18" spans="1:19" x14ac:dyDescent="0.25">
      <c r="A18" s="459">
        <v>43830</v>
      </c>
      <c r="B18" s="285">
        <f t="shared" si="1"/>
        <v>22929.12558807298</v>
      </c>
      <c r="C18" s="285">
        <f t="shared" si="2"/>
        <v>46884.112012608333</v>
      </c>
      <c r="D18" s="285">
        <f t="shared" si="0"/>
        <v>69813.237600681314</v>
      </c>
      <c r="E18" s="285">
        <f t="shared" si="3"/>
        <v>1890708.0994163486</v>
      </c>
      <c r="G18" s="459">
        <v>43830</v>
      </c>
      <c r="H18" s="285">
        <f t="shared" ref="H18:H65" si="5">J18-I18</f>
        <v>21845.579388984501</v>
      </c>
      <c r="I18" s="285">
        <f t="shared" ref="I18:I65" si="6">K17*$I$8</f>
        <v>47967.658211696813</v>
      </c>
      <c r="J18" s="285">
        <f t="shared" si="4"/>
        <v>69813.237600681314</v>
      </c>
      <c r="K18" s="285">
        <f t="shared" ref="K18:K65" si="7">K17-H18</f>
        <v>1936018.0210884362</v>
      </c>
      <c r="M18" s="459">
        <v>43830</v>
      </c>
      <c r="N18" s="285">
        <f>P18-O18</f>
        <v>20813.237600681314</v>
      </c>
      <c r="O18" s="285">
        <f>O6*O8</f>
        <v>49000</v>
      </c>
      <c r="P18" s="285">
        <f>$O$12</f>
        <v>69813.237600681314</v>
      </c>
      <c r="Q18" s="285">
        <f>O6-N18</f>
        <v>1979186.7623993186</v>
      </c>
    </row>
    <row r="19" spans="1:19" x14ac:dyDescent="0.25">
      <c r="A19" s="459">
        <v>44012</v>
      </c>
      <c r="B19" s="285">
        <f t="shared" si="1"/>
        <v>23490.88916498077</v>
      </c>
      <c r="C19" s="285">
        <f t="shared" si="2"/>
        <v>46322.348435700544</v>
      </c>
      <c r="D19" s="285">
        <f t="shared" si="0"/>
        <v>69813.237600681314</v>
      </c>
      <c r="E19" s="285">
        <f t="shared" si="3"/>
        <v>1867217.2102513679</v>
      </c>
      <c r="G19" s="459">
        <v>44012</v>
      </c>
      <c r="H19" s="285">
        <f t="shared" si="5"/>
        <v>22380.796084014626</v>
      </c>
      <c r="I19" s="285">
        <f t="shared" si="6"/>
        <v>47432.441516666688</v>
      </c>
      <c r="J19" s="285">
        <f t="shared" si="4"/>
        <v>69813.237600681314</v>
      </c>
      <c r="K19" s="285">
        <f t="shared" si="7"/>
        <v>1913637.2250044215</v>
      </c>
      <c r="M19" s="459">
        <v>44012</v>
      </c>
      <c r="N19" s="285">
        <f>P19-O19</f>
        <v>21323.161921898005</v>
      </c>
      <c r="O19" s="285">
        <f>Q18*$O$8</f>
        <v>48490.075678783309</v>
      </c>
      <c r="P19" s="285">
        <f t="shared" ref="P19:P67" si="8">$O$12</f>
        <v>69813.237600681314</v>
      </c>
      <c r="Q19" s="285">
        <f>Q18-N19</f>
        <v>1957863.6004774207</v>
      </c>
      <c r="R19" s="459">
        <v>44012</v>
      </c>
      <c r="S19" s="285">
        <f>E19+K19+Q19</f>
        <v>5738718.0357332099</v>
      </c>
    </row>
    <row r="20" spans="1:19" x14ac:dyDescent="0.25">
      <c r="A20" s="459">
        <v>44196</v>
      </c>
      <c r="B20" s="285">
        <f t="shared" si="1"/>
        <v>24066.415949522801</v>
      </c>
      <c r="C20" s="285">
        <f t="shared" si="2"/>
        <v>45746.821651158512</v>
      </c>
      <c r="D20" s="285">
        <f t="shared" si="0"/>
        <v>69813.237600681314</v>
      </c>
      <c r="E20" s="285">
        <f t="shared" si="3"/>
        <v>1843150.7943018451</v>
      </c>
      <c r="G20" s="459">
        <v>44196</v>
      </c>
      <c r="H20" s="285">
        <f t="shared" si="5"/>
        <v>22929.12558807298</v>
      </c>
      <c r="I20" s="285">
        <f t="shared" si="6"/>
        <v>46884.112012608333</v>
      </c>
      <c r="J20" s="285">
        <f t="shared" si="4"/>
        <v>69813.237600681314</v>
      </c>
      <c r="K20" s="285">
        <f t="shared" si="7"/>
        <v>1890708.0994163486</v>
      </c>
      <c r="M20" s="459">
        <v>44196</v>
      </c>
      <c r="N20" s="285">
        <f t="shared" ref="N20:N67" si="9">P20-O20</f>
        <v>21845.579388984501</v>
      </c>
      <c r="O20" s="285">
        <f t="shared" ref="O20:O55" si="10">Q19*$C$8</f>
        <v>47967.658211696813</v>
      </c>
      <c r="P20" s="285">
        <f t="shared" si="8"/>
        <v>69813.237600681314</v>
      </c>
      <c r="Q20" s="285">
        <f t="shared" ref="Q20:Q67" si="11">Q19-N20</f>
        <v>1936018.0210884362</v>
      </c>
    </row>
    <row r="21" spans="1:19" x14ac:dyDescent="0.25">
      <c r="A21" s="459">
        <v>44377</v>
      </c>
      <c r="B21" s="285">
        <f t="shared" si="1"/>
        <v>24656.043140286107</v>
      </c>
      <c r="C21" s="285">
        <f t="shared" si="2"/>
        <v>45157.194460395207</v>
      </c>
      <c r="D21" s="285">
        <f t="shared" si="0"/>
        <v>69813.237600681314</v>
      </c>
      <c r="E21" s="285">
        <f t="shared" si="3"/>
        <v>1818494.751161559</v>
      </c>
      <c r="G21" s="459">
        <v>44377</v>
      </c>
      <c r="H21" s="285">
        <f t="shared" si="5"/>
        <v>23490.88916498077</v>
      </c>
      <c r="I21" s="285">
        <f t="shared" si="6"/>
        <v>46322.348435700544</v>
      </c>
      <c r="J21" s="285">
        <f t="shared" si="4"/>
        <v>69813.237600681314</v>
      </c>
      <c r="K21" s="285">
        <f t="shared" si="7"/>
        <v>1867217.2102513679</v>
      </c>
      <c r="M21" s="459">
        <v>44377</v>
      </c>
      <c r="N21" s="285">
        <f t="shared" si="9"/>
        <v>22380.796084014626</v>
      </c>
      <c r="O21" s="285">
        <f t="shared" si="10"/>
        <v>47432.441516666688</v>
      </c>
      <c r="P21" s="285">
        <f t="shared" si="8"/>
        <v>69813.237600681314</v>
      </c>
      <c r="Q21" s="285">
        <f t="shared" si="11"/>
        <v>1913637.2250044215</v>
      </c>
      <c r="R21" s="459">
        <v>44377</v>
      </c>
      <c r="S21" s="285">
        <f>E21+K21+Q21</f>
        <v>5599349.1864173487</v>
      </c>
    </row>
    <row r="22" spans="1:19" x14ac:dyDescent="0.25">
      <c r="A22" s="459">
        <v>44561</v>
      </c>
      <c r="B22" s="285">
        <f t="shared" si="1"/>
        <v>25260.116197223113</v>
      </c>
      <c r="C22" s="285">
        <f t="shared" si="2"/>
        <v>44553.121403458201</v>
      </c>
      <c r="D22" s="285">
        <f t="shared" si="0"/>
        <v>69813.237600681314</v>
      </c>
      <c r="E22" s="285">
        <f t="shared" si="3"/>
        <v>1793234.6349643359</v>
      </c>
      <c r="G22" s="459">
        <v>44561</v>
      </c>
      <c r="H22" s="285">
        <f t="shared" si="5"/>
        <v>24066.415949522801</v>
      </c>
      <c r="I22" s="285">
        <f t="shared" si="6"/>
        <v>45746.821651158512</v>
      </c>
      <c r="J22" s="285">
        <f t="shared" si="4"/>
        <v>69813.237600681314</v>
      </c>
      <c r="K22" s="285">
        <f t="shared" si="7"/>
        <v>1843150.7943018451</v>
      </c>
      <c r="M22" s="459">
        <v>44561</v>
      </c>
      <c r="N22" s="285">
        <f t="shared" si="9"/>
        <v>22929.12558807298</v>
      </c>
      <c r="O22" s="285">
        <f t="shared" si="10"/>
        <v>46884.112012608333</v>
      </c>
      <c r="P22" s="285">
        <f t="shared" si="8"/>
        <v>69813.237600681314</v>
      </c>
      <c r="Q22" s="285">
        <f t="shared" si="11"/>
        <v>1890708.0994163486</v>
      </c>
    </row>
    <row r="23" spans="1:19" x14ac:dyDescent="0.25">
      <c r="A23" s="459">
        <v>44742</v>
      </c>
      <c r="B23" s="285">
        <f t="shared" si="1"/>
        <v>25878.989044055081</v>
      </c>
      <c r="C23" s="285">
        <f t="shared" si="2"/>
        <v>43934.248556626233</v>
      </c>
      <c r="D23" s="285">
        <f t="shared" si="0"/>
        <v>69813.237600681314</v>
      </c>
      <c r="E23" s="285">
        <f t="shared" si="3"/>
        <v>1767355.6459202808</v>
      </c>
      <c r="G23" s="459">
        <v>44742</v>
      </c>
      <c r="H23" s="285">
        <f t="shared" si="5"/>
        <v>24656.043140286107</v>
      </c>
      <c r="I23" s="285">
        <f t="shared" si="6"/>
        <v>45157.194460395207</v>
      </c>
      <c r="J23" s="285">
        <f t="shared" si="4"/>
        <v>69813.237600681314</v>
      </c>
      <c r="K23" s="285">
        <f t="shared" si="7"/>
        <v>1818494.751161559</v>
      </c>
      <c r="M23" s="459">
        <v>44742</v>
      </c>
      <c r="N23" s="285">
        <f t="shared" si="9"/>
        <v>23490.88916498077</v>
      </c>
      <c r="O23" s="285">
        <f t="shared" si="10"/>
        <v>46322.348435700544</v>
      </c>
      <c r="P23" s="285">
        <f t="shared" si="8"/>
        <v>69813.237600681314</v>
      </c>
      <c r="Q23" s="285">
        <f t="shared" si="11"/>
        <v>1867217.2102513679</v>
      </c>
      <c r="R23" s="459">
        <v>44742</v>
      </c>
      <c r="S23" s="285">
        <f>E23+K23+Q23</f>
        <v>5453067.6073332075</v>
      </c>
    </row>
    <row r="24" spans="1:19" x14ac:dyDescent="0.25">
      <c r="A24" s="459">
        <v>44926</v>
      </c>
      <c r="B24" s="285">
        <f t="shared" si="1"/>
        <v>26513.024275634431</v>
      </c>
      <c r="C24" s="285">
        <f t="shared" si="2"/>
        <v>43300.213325046883</v>
      </c>
      <c r="D24" s="285">
        <f t="shared" si="0"/>
        <v>69813.237600681314</v>
      </c>
      <c r="E24" s="285">
        <f t="shared" si="3"/>
        <v>1740842.6216446464</v>
      </c>
      <c r="G24" s="459">
        <v>44926</v>
      </c>
      <c r="H24" s="285">
        <f t="shared" si="5"/>
        <v>25260.116197223113</v>
      </c>
      <c r="I24" s="285">
        <f t="shared" si="6"/>
        <v>44553.121403458201</v>
      </c>
      <c r="J24" s="285">
        <f t="shared" si="4"/>
        <v>69813.237600681314</v>
      </c>
      <c r="K24" s="285">
        <f t="shared" si="7"/>
        <v>1793234.6349643359</v>
      </c>
      <c r="M24" s="459">
        <v>44926</v>
      </c>
      <c r="N24" s="285">
        <f t="shared" si="9"/>
        <v>24066.415949522801</v>
      </c>
      <c r="O24" s="285">
        <f t="shared" si="10"/>
        <v>45746.821651158512</v>
      </c>
      <c r="P24" s="285">
        <f t="shared" si="8"/>
        <v>69813.237600681314</v>
      </c>
      <c r="Q24" s="285">
        <f t="shared" si="11"/>
        <v>1843150.7943018451</v>
      </c>
    </row>
    <row r="25" spans="1:19" x14ac:dyDescent="0.25">
      <c r="A25" s="459">
        <v>45107</v>
      </c>
      <c r="B25" s="285">
        <f t="shared" si="1"/>
        <v>27162.593370387476</v>
      </c>
      <c r="C25" s="285">
        <f t="shared" si="2"/>
        <v>42650.644230293838</v>
      </c>
      <c r="D25" s="285">
        <f t="shared" si="0"/>
        <v>69813.237600681314</v>
      </c>
      <c r="E25" s="285">
        <f t="shared" si="3"/>
        <v>1713680.0282742588</v>
      </c>
      <c r="G25" s="459">
        <v>45107</v>
      </c>
      <c r="H25" s="285">
        <f t="shared" si="5"/>
        <v>25878.989044055081</v>
      </c>
      <c r="I25" s="285">
        <f t="shared" si="6"/>
        <v>43934.248556626233</v>
      </c>
      <c r="J25" s="285">
        <f t="shared" si="4"/>
        <v>69813.237600681314</v>
      </c>
      <c r="K25" s="285">
        <f t="shared" si="7"/>
        <v>1767355.6459202808</v>
      </c>
      <c r="M25" s="459">
        <v>45107</v>
      </c>
      <c r="N25" s="285">
        <f t="shared" si="9"/>
        <v>24656.043140286107</v>
      </c>
      <c r="O25" s="285">
        <f t="shared" si="10"/>
        <v>45157.194460395207</v>
      </c>
      <c r="P25" s="285">
        <f t="shared" si="8"/>
        <v>69813.237600681314</v>
      </c>
      <c r="Q25" s="285">
        <f t="shared" si="11"/>
        <v>1818494.751161559</v>
      </c>
      <c r="R25" s="459">
        <v>45107</v>
      </c>
      <c r="S25" s="285">
        <f>E25+K25+Q25</f>
        <v>5299530.4253560994</v>
      </c>
    </row>
    <row r="26" spans="1:19" x14ac:dyDescent="0.25">
      <c r="A26" s="459">
        <v>45291</v>
      </c>
      <c r="B26" s="285">
        <f t="shared" si="1"/>
        <v>27828.076907961971</v>
      </c>
      <c r="C26" s="285">
        <f t="shared" si="2"/>
        <v>41985.160692719342</v>
      </c>
      <c r="D26" s="285">
        <f t="shared" si="0"/>
        <v>69813.237600681314</v>
      </c>
      <c r="E26" s="285">
        <f t="shared" si="3"/>
        <v>1685851.951366297</v>
      </c>
      <c r="G26" s="459">
        <v>45291</v>
      </c>
      <c r="H26" s="285">
        <f t="shared" si="5"/>
        <v>26513.024275634431</v>
      </c>
      <c r="I26" s="285">
        <f t="shared" si="6"/>
        <v>43300.213325046883</v>
      </c>
      <c r="J26" s="285">
        <f t="shared" si="4"/>
        <v>69813.237600681314</v>
      </c>
      <c r="K26" s="285">
        <f t="shared" si="7"/>
        <v>1740842.6216446464</v>
      </c>
      <c r="M26" s="459">
        <v>45291</v>
      </c>
      <c r="N26" s="285">
        <f t="shared" si="9"/>
        <v>25260.116197223113</v>
      </c>
      <c r="O26" s="285">
        <f t="shared" si="10"/>
        <v>44553.121403458201</v>
      </c>
      <c r="P26" s="285">
        <f t="shared" si="8"/>
        <v>69813.237600681314</v>
      </c>
      <c r="Q26" s="285">
        <f t="shared" si="11"/>
        <v>1793234.6349643359</v>
      </c>
    </row>
    <row r="27" spans="1:19" x14ac:dyDescent="0.25">
      <c r="A27" s="459">
        <v>45473</v>
      </c>
      <c r="B27" s="285">
        <f t="shared" si="1"/>
        <v>28509.864792207038</v>
      </c>
      <c r="C27" s="285">
        <f t="shared" si="2"/>
        <v>41303.372808474276</v>
      </c>
      <c r="D27" s="285">
        <f t="shared" si="0"/>
        <v>69813.237600681314</v>
      </c>
      <c r="E27" s="285">
        <f t="shared" si="3"/>
        <v>1657342.0865740899</v>
      </c>
      <c r="G27" s="459">
        <v>45473</v>
      </c>
      <c r="H27" s="285">
        <f t="shared" si="5"/>
        <v>27162.593370387476</v>
      </c>
      <c r="I27" s="285">
        <f t="shared" si="6"/>
        <v>42650.644230293838</v>
      </c>
      <c r="J27" s="285">
        <f t="shared" si="4"/>
        <v>69813.237600681314</v>
      </c>
      <c r="K27" s="285">
        <f t="shared" si="7"/>
        <v>1713680.0282742588</v>
      </c>
      <c r="M27" s="459">
        <v>45473</v>
      </c>
      <c r="N27" s="285">
        <f t="shared" si="9"/>
        <v>25878.989044055081</v>
      </c>
      <c r="O27" s="285">
        <f t="shared" si="10"/>
        <v>43934.248556626233</v>
      </c>
      <c r="P27" s="285">
        <f t="shared" si="8"/>
        <v>69813.237600681314</v>
      </c>
      <c r="Q27" s="285">
        <f t="shared" si="11"/>
        <v>1767355.6459202808</v>
      </c>
      <c r="R27" s="459">
        <v>45473</v>
      </c>
      <c r="S27" s="285">
        <f>E27+K27+Q27</f>
        <v>5138377.7607686296</v>
      </c>
    </row>
    <row r="28" spans="1:19" x14ac:dyDescent="0.25">
      <c r="A28" s="459">
        <v>45657</v>
      </c>
      <c r="B28" s="285">
        <f t="shared" si="1"/>
        <v>29208.356479616108</v>
      </c>
      <c r="C28" s="285">
        <f t="shared" si="2"/>
        <v>40604.881121065206</v>
      </c>
      <c r="D28" s="285">
        <f t="shared" si="0"/>
        <v>69813.237600681314</v>
      </c>
      <c r="E28" s="285">
        <f t="shared" si="3"/>
        <v>1628133.7300944738</v>
      </c>
      <c r="G28" s="459">
        <v>45657</v>
      </c>
      <c r="H28" s="285">
        <f t="shared" si="5"/>
        <v>27828.076907961971</v>
      </c>
      <c r="I28" s="285">
        <f t="shared" si="6"/>
        <v>41985.160692719342</v>
      </c>
      <c r="J28" s="285">
        <f t="shared" si="4"/>
        <v>69813.237600681314</v>
      </c>
      <c r="K28" s="285">
        <f t="shared" si="7"/>
        <v>1685851.951366297</v>
      </c>
      <c r="M28" s="459">
        <v>45657</v>
      </c>
      <c r="N28" s="285">
        <f t="shared" si="9"/>
        <v>26513.024275634431</v>
      </c>
      <c r="O28" s="285">
        <f t="shared" si="10"/>
        <v>43300.213325046883</v>
      </c>
      <c r="P28" s="285">
        <f t="shared" si="8"/>
        <v>69813.237600681314</v>
      </c>
      <c r="Q28" s="285">
        <f t="shared" si="11"/>
        <v>1740842.6216446464</v>
      </c>
    </row>
    <row r="29" spans="1:19" x14ac:dyDescent="0.25">
      <c r="A29" s="459">
        <v>45838</v>
      </c>
      <c r="B29" s="285">
        <f t="shared" si="1"/>
        <v>29923.961213366703</v>
      </c>
      <c r="C29" s="285">
        <f t="shared" si="2"/>
        <v>39889.27638731461</v>
      </c>
      <c r="D29" s="285">
        <f t="shared" si="0"/>
        <v>69813.237600681314</v>
      </c>
      <c r="E29" s="285">
        <f t="shared" si="3"/>
        <v>1598209.7688811072</v>
      </c>
      <c r="G29" s="459">
        <v>45838</v>
      </c>
      <c r="H29" s="285">
        <f t="shared" si="5"/>
        <v>28509.864792207038</v>
      </c>
      <c r="I29" s="285">
        <f t="shared" si="6"/>
        <v>41303.372808474276</v>
      </c>
      <c r="J29" s="285">
        <f t="shared" si="4"/>
        <v>69813.237600681314</v>
      </c>
      <c r="K29" s="285">
        <f t="shared" si="7"/>
        <v>1657342.0865740899</v>
      </c>
      <c r="M29" s="459">
        <v>45838</v>
      </c>
      <c r="N29" s="285">
        <f t="shared" si="9"/>
        <v>27162.593370387476</v>
      </c>
      <c r="O29" s="285">
        <f t="shared" si="10"/>
        <v>42650.644230293838</v>
      </c>
      <c r="P29" s="285">
        <f t="shared" si="8"/>
        <v>69813.237600681314</v>
      </c>
      <c r="Q29" s="285">
        <f t="shared" si="11"/>
        <v>1713680.0282742588</v>
      </c>
      <c r="R29" s="459">
        <v>45838</v>
      </c>
      <c r="S29" s="285">
        <f>E29+K29+Q29</f>
        <v>4969231.883729456</v>
      </c>
    </row>
    <row r="30" spans="1:19" x14ac:dyDescent="0.25">
      <c r="A30" s="459">
        <v>46022</v>
      </c>
      <c r="B30" s="285">
        <f t="shared" si="1"/>
        <v>30657.098263094187</v>
      </c>
      <c r="C30" s="285">
        <f t="shared" si="2"/>
        <v>39156.139337587127</v>
      </c>
      <c r="D30" s="285">
        <f t="shared" si="0"/>
        <v>69813.237600681314</v>
      </c>
      <c r="E30" s="285">
        <f t="shared" si="3"/>
        <v>1567552.670618013</v>
      </c>
      <c r="G30" s="459">
        <v>46022</v>
      </c>
      <c r="H30" s="285">
        <f t="shared" si="5"/>
        <v>29208.356479616108</v>
      </c>
      <c r="I30" s="285">
        <f t="shared" si="6"/>
        <v>40604.881121065206</v>
      </c>
      <c r="J30" s="285">
        <f t="shared" si="4"/>
        <v>69813.237600681314</v>
      </c>
      <c r="K30" s="285">
        <f t="shared" si="7"/>
        <v>1628133.7300944738</v>
      </c>
      <c r="M30" s="459">
        <v>46022</v>
      </c>
      <c r="N30" s="285">
        <f t="shared" si="9"/>
        <v>27828.076907961971</v>
      </c>
      <c r="O30" s="285">
        <f t="shared" si="10"/>
        <v>41985.160692719342</v>
      </c>
      <c r="P30" s="285">
        <f t="shared" si="8"/>
        <v>69813.237600681314</v>
      </c>
      <c r="Q30" s="285">
        <f t="shared" si="11"/>
        <v>1685851.951366297</v>
      </c>
    </row>
    <row r="31" spans="1:19" x14ac:dyDescent="0.25">
      <c r="A31" s="459">
        <v>46203</v>
      </c>
      <c r="B31" s="285">
        <f t="shared" si="1"/>
        <v>31408.197170539992</v>
      </c>
      <c r="C31" s="285">
        <f t="shared" si="2"/>
        <v>38405.040430141322</v>
      </c>
      <c r="D31" s="285">
        <f t="shared" si="0"/>
        <v>69813.237600681314</v>
      </c>
      <c r="E31" s="285">
        <f t="shared" si="3"/>
        <v>1536144.473447473</v>
      </c>
      <c r="G31" s="459">
        <v>46203</v>
      </c>
      <c r="H31" s="285">
        <f t="shared" si="5"/>
        <v>29923.961213366703</v>
      </c>
      <c r="I31" s="285">
        <f t="shared" si="6"/>
        <v>39889.27638731461</v>
      </c>
      <c r="J31" s="285">
        <f t="shared" si="4"/>
        <v>69813.237600681314</v>
      </c>
      <c r="K31" s="285">
        <f t="shared" si="7"/>
        <v>1598209.7688811072</v>
      </c>
      <c r="M31" s="459">
        <v>46203</v>
      </c>
      <c r="N31" s="285">
        <f t="shared" si="9"/>
        <v>28509.864792207038</v>
      </c>
      <c r="O31" s="285">
        <f t="shared" si="10"/>
        <v>41303.372808474276</v>
      </c>
      <c r="P31" s="285">
        <f t="shared" si="8"/>
        <v>69813.237600681314</v>
      </c>
      <c r="Q31" s="285">
        <f t="shared" si="11"/>
        <v>1657342.0865740899</v>
      </c>
      <c r="R31" s="459">
        <v>46203</v>
      </c>
      <c r="S31" s="285">
        <f>E31+K31+Q31</f>
        <v>4791696.3289026702</v>
      </c>
    </row>
    <row r="32" spans="1:19" x14ac:dyDescent="0.25">
      <c r="A32" s="459">
        <v>46387</v>
      </c>
      <c r="B32" s="285">
        <f t="shared" si="1"/>
        <v>32177.698001218225</v>
      </c>
      <c r="C32" s="285">
        <f t="shared" si="2"/>
        <v>37635.539599463089</v>
      </c>
      <c r="D32" s="285">
        <f t="shared" si="0"/>
        <v>69813.237600681314</v>
      </c>
      <c r="E32" s="285">
        <f t="shared" si="3"/>
        <v>1503966.7754462548</v>
      </c>
      <c r="G32" s="459">
        <v>46387</v>
      </c>
      <c r="H32" s="285">
        <f t="shared" si="5"/>
        <v>30657.098263094187</v>
      </c>
      <c r="I32" s="285">
        <f t="shared" si="6"/>
        <v>39156.139337587127</v>
      </c>
      <c r="J32" s="285">
        <f t="shared" si="4"/>
        <v>69813.237600681314</v>
      </c>
      <c r="K32" s="285">
        <f t="shared" si="7"/>
        <v>1567552.670618013</v>
      </c>
      <c r="M32" s="459">
        <v>46387</v>
      </c>
      <c r="N32" s="285">
        <f t="shared" si="9"/>
        <v>29208.356479616108</v>
      </c>
      <c r="O32" s="285">
        <f t="shared" si="10"/>
        <v>40604.881121065206</v>
      </c>
      <c r="P32" s="285">
        <f t="shared" si="8"/>
        <v>69813.237600681314</v>
      </c>
      <c r="Q32" s="285">
        <f t="shared" si="11"/>
        <v>1628133.7300944738</v>
      </c>
    </row>
    <row r="33" spans="1:17" x14ac:dyDescent="0.25">
      <c r="A33" s="459">
        <v>46568</v>
      </c>
      <c r="B33" s="285">
        <f t="shared" si="1"/>
        <v>32966.051602248073</v>
      </c>
      <c r="C33" s="285">
        <f t="shared" si="2"/>
        <v>36847.18599843324</v>
      </c>
      <c r="D33" s="285">
        <f t="shared" si="0"/>
        <v>69813.237600681314</v>
      </c>
      <c r="E33" s="285">
        <f t="shared" si="3"/>
        <v>1471000.7238440067</v>
      </c>
      <c r="G33" s="459">
        <v>46568</v>
      </c>
      <c r="H33" s="285">
        <f t="shared" si="5"/>
        <v>31408.197170539992</v>
      </c>
      <c r="I33" s="285">
        <f t="shared" si="6"/>
        <v>38405.040430141322</v>
      </c>
      <c r="J33" s="285">
        <f t="shared" si="4"/>
        <v>69813.237600681314</v>
      </c>
      <c r="K33" s="285">
        <f t="shared" si="7"/>
        <v>1536144.473447473</v>
      </c>
      <c r="M33" s="459">
        <v>46568</v>
      </c>
      <c r="N33" s="285">
        <f t="shared" si="9"/>
        <v>29923.961213366703</v>
      </c>
      <c r="O33" s="285">
        <f t="shared" si="10"/>
        <v>39889.27638731461</v>
      </c>
      <c r="P33" s="285">
        <f t="shared" si="8"/>
        <v>69813.237600681314</v>
      </c>
      <c r="Q33" s="285">
        <f t="shared" si="11"/>
        <v>1598209.7688811072</v>
      </c>
    </row>
    <row r="34" spans="1:17" x14ac:dyDescent="0.25">
      <c r="A34" s="459">
        <v>46752</v>
      </c>
      <c r="B34" s="285">
        <f t="shared" si="1"/>
        <v>33773.719866503146</v>
      </c>
      <c r="C34" s="285">
        <f t="shared" si="2"/>
        <v>36039.517734178167</v>
      </c>
      <c r="D34" s="285">
        <f t="shared" si="0"/>
        <v>69813.237600681314</v>
      </c>
      <c r="E34" s="285">
        <f t="shared" si="3"/>
        <v>1437227.0039775036</v>
      </c>
      <c r="G34" s="459">
        <v>46752</v>
      </c>
      <c r="H34" s="285">
        <f t="shared" si="5"/>
        <v>32177.698001218225</v>
      </c>
      <c r="I34" s="285">
        <f t="shared" si="6"/>
        <v>37635.539599463089</v>
      </c>
      <c r="J34" s="285">
        <f t="shared" si="4"/>
        <v>69813.237600681314</v>
      </c>
      <c r="K34" s="285">
        <f t="shared" si="7"/>
        <v>1503966.7754462548</v>
      </c>
      <c r="M34" s="459">
        <v>46752</v>
      </c>
      <c r="N34" s="285">
        <f t="shared" si="9"/>
        <v>30657.098263094187</v>
      </c>
      <c r="O34" s="285">
        <f t="shared" si="10"/>
        <v>39156.139337587127</v>
      </c>
      <c r="P34" s="285">
        <f t="shared" si="8"/>
        <v>69813.237600681314</v>
      </c>
      <c r="Q34" s="285">
        <f t="shared" si="11"/>
        <v>1567552.670618013</v>
      </c>
    </row>
    <row r="35" spans="1:17" x14ac:dyDescent="0.25">
      <c r="A35" s="459">
        <v>46934</v>
      </c>
      <c r="B35" s="285">
        <f t="shared" si="1"/>
        <v>34601.176003232475</v>
      </c>
      <c r="C35" s="285">
        <f t="shared" si="2"/>
        <v>35212.061597448839</v>
      </c>
      <c r="D35" s="285">
        <f t="shared" si="0"/>
        <v>69813.237600681314</v>
      </c>
      <c r="E35" s="285">
        <f t="shared" si="3"/>
        <v>1402625.8279742713</v>
      </c>
      <c r="G35" s="459">
        <v>46934</v>
      </c>
      <c r="H35" s="285">
        <f t="shared" si="5"/>
        <v>32966.051602248073</v>
      </c>
      <c r="I35" s="285">
        <f t="shared" si="6"/>
        <v>36847.18599843324</v>
      </c>
      <c r="J35" s="285">
        <f t="shared" si="4"/>
        <v>69813.237600681314</v>
      </c>
      <c r="K35" s="285">
        <f t="shared" si="7"/>
        <v>1471000.7238440067</v>
      </c>
      <c r="M35" s="459">
        <v>46934</v>
      </c>
      <c r="N35" s="285">
        <f t="shared" si="9"/>
        <v>31408.197170539992</v>
      </c>
      <c r="O35" s="285">
        <f t="shared" si="10"/>
        <v>38405.040430141322</v>
      </c>
      <c r="P35" s="285">
        <f t="shared" si="8"/>
        <v>69813.237600681314</v>
      </c>
      <c r="Q35" s="285">
        <f t="shared" si="11"/>
        <v>1536144.473447473</v>
      </c>
    </row>
    <row r="36" spans="1:17" x14ac:dyDescent="0.25">
      <c r="A36" s="459">
        <v>47118</v>
      </c>
      <c r="B36" s="285">
        <f t="shared" si="1"/>
        <v>35448.904815311667</v>
      </c>
      <c r="C36" s="285">
        <f t="shared" si="2"/>
        <v>34364.332785369646</v>
      </c>
      <c r="D36" s="285">
        <f t="shared" si="0"/>
        <v>69813.237600681314</v>
      </c>
      <c r="E36" s="285">
        <f t="shared" si="3"/>
        <v>1367176.9231589595</v>
      </c>
      <c r="G36" s="459">
        <v>47118</v>
      </c>
      <c r="H36" s="285">
        <f t="shared" si="5"/>
        <v>33773.719866503146</v>
      </c>
      <c r="I36" s="285">
        <f t="shared" si="6"/>
        <v>36039.517734178167</v>
      </c>
      <c r="J36" s="285">
        <f t="shared" si="4"/>
        <v>69813.237600681314</v>
      </c>
      <c r="K36" s="285">
        <f t="shared" si="7"/>
        <v>1437227.0039775036</v>
      </c>
      <c r="M36" s="459">
        <v>47118</v>
      </c>
      <c r="N36" s="285">
        <f t="shared" si="9"/>
        <v>32177.698001218225</v>
      </c>
      <c r="O36" s="285">
        <f t="shared" si="10"/>
        <v>37635.539599463089</v>
      </c>
      <c r="P36" s="285">
        <f t="shared" si="8"/>
        <v>69813.237600681314</v>
      </c>
      <c r="Q36" s="285">
        <f t="shared" si="11"/>
        <v>1503966.7754462548</v>
      </c>
    </row>
    <row r="37" spans="1:17" x14ac:dyDescent="0.25">
      <c r="A37" s="459">
        <v>47299</v>
      </c>
      <c r="B37" s="285">
        <f t="shared" si="1"/>
        <v>36317.402983286804</v>
      </c>
      <c r="C37" s="285">
        <f t="shared" si="2"/>
        <v>33495.83461739451</v>
      </c>
      <c r="D37" s="285">
        <f t="shared" si="0"/>
        <v>69813.237600681314</v>
      </c>
      <c r="E37" s="285">
        <f t="shared" si="3"/>
        <v>1330859.5201756726</v>
      </c>
      <c r="G37" s="459">
        <v>47299</v>
      </c>
      <c r="H37" s="285">
        <f t="shared" si="5"/>
        <v>34601.176003232475</v>
      </c>
      <c r="I37" s="285">
        <f t="shared" si="6"/>
        <v>35212.061597448839</v>
      </c>
      <c r="J37" s="285">
        <f t="shared" si="4"/>
        <v>69813.237600681314</v>
      </c>
      <c r="K37" s="285">
        <f t="shared" si="7"/>
        <v>1402625.8279742713</v>
      </c>
      <c r="M37" s="459">
        <v>47299</v>
      </c>
      <c r="N37" s="285">
        <f t="shared" si="9"/>
        <v>32966.051602248073</v>
      </c>
      <c r="O37" s="285">
        <f t="shared" si="10"/>
        <v>36847.18599843324</v>
      </c>
      <c r="P37" s="285">
        <f t="shared" si="8"/>
        <v>69813.237600681314</v>
      </c>
      <c r="Q37" s="285">
        <f t="shared" si="11"/>
        <v>1471000.7238440067</v>
      </c>
    </row>
    <row r="38" spans="1:17" x14ac:dyDescent="0.25">
      <c r="A38" s="459">
        <v>47483</v>
      </c>
      <c r="B38" s="285">
        <f t="shared" si="1"/>
        <v>37207.179356377339</v>
      </c>
      <c r="C38" s="285">
        <f t="shared" si="2"/>
        <v>32606.058244303978</v>
      </c>
      <c r="D38" s="285">
        <f t="shared" si="0"/>
        <v>69813.237600681314</v>
      </c>
      <c r="E38" s="285">
        <f t="shared" si="3"/>
        <v>1293652.3408192953</v>
      </c>
      <c r="G38" s="459">
        <v>47483</v>
      </c>
      <c r="H38" s="285">
        <f t="shared" si="5"/>
        <v>35448.904815311667</v>
      </c>
      <c r="I38" s="285">
        <f t="shared" si="6"/>
        <v>34364.332785369646</v>
      </c>
      <c r="J38" s="285">
        <f t="shared" si="4"/>
        <v>69813.237600681314</v>
      </c>
      <c r="K38" s="285">
        <f t="shared" si="7"/>
        <v>1367176.9231589595</v>
      </c>
      <c r="M38" s="459">
        <v>47483</v>
      </c>
      <c r="N38" s="285">
        <f t="shared" si="9"/>
        <v>33773.719866503146</v>
      </c>
      <c r="O38" s="285">
        <f t="shared" si="10"/>
        <v>36039.517734178167</v>
      </c>
      <c r="P38" s="285">
        <f t="shared" si="8"/>
        <v>69813.237600681314</v>
      </c>
      <c r="Q38" s="285">
        <f t="shared" si="11"/>
        <v>1437227.0039775036</v>
      </c>
    </row>
    <row r="39" spans="1:17" x14ac:dyDescent="0.25">
      <c r="A39" s="459">
        <v>47664</v>
      </c>
      <c r="B39" s="285">
        <f t="shared" si="1"/>
        <v>38118.755250608578</v>
      </c>
      <c r="C39" s="285">
        <f t="shared" si="2"/>
        <v>31694.482350072736</v>
      </c>
      <c r="D39" s="285">
        <f t="shared" si="0"/>
        <v>69813.237600681314</v>
      </c>
      <c r="E39" s="285">
        <f t="shared" si="3"/>
        <v>1255533.5855686867</v>
      </c>
      <c r="G39" s="459">
        <v>47664</v>
      </c>
      <c r="H39" s="285">
        <f t="shared" si="5"/>
        <v>36317.402983286804</v>
      </c>
      <c r="I39" s="285">
        <f t="shared" si="6"/>
        <v>33495.83461739451</v>
      </c>
      <c r="J39" s="285">
        <f t="shared" si="4"/>
        <v>69813.237600681314</v>
      </c>
      <c r="K39" s="285">
        <f t="shared" si="7"/>
        <v>1330859.5201756726</v>
      </c>
      <c r="M39" s="459">
        <v>47664</v>
      </c>
      <c r="N39" s="285">
        <f t="shared" si="9"/>
        <v>34601.176003232475</v>
      </c>
      <c r="O39" s="285">
        <f t="shared" si="10"/>
        <v>35212.061597448839</v>
      </c>
      <c r="P39" s="285">
        <f t="shared" si="8"/>
        <v>69813.237600681314</v>
      </c>
      <c r="Q39" s="285">
        <f t="shared" si="11"/>
        <v>1402625.8279742713</v>
      </c>
    </row>
    <row r="40" spans="1:17" x14ac:dyDescent="0.25">
      <c r="A40" s="459">
        <v>47848</v>
      </c>
      <c r="B40" s="285">
        <f t="shared" si="1"/>
        <v>39052.664754248486</v>
      </c>
      <c r="C40" s="285">
        <f t="shared" si="2"/>
        <v>30760.572846432824</v>
      </c>
      <c r="D40" s="285">
        <f t="shared" si="0"/>
        <v>69813.237600681314</v>
      </c>
      <c r="E40" s="285">
        <f t="shared" si="3"/>
        <v>1216480.9208144383</v>
      </c>
      <c r="G40" s="459">
        <v>47848</v>
      </c>
      <c r="H40" s="285">
        <f t="shared" si="5"/>
        <v>37207.179356377339</v>
      </c>
      <c r="I40" s="285">
        <f t="shared" si="6"/>
        <v>32606.058244303978</v>
      </c>
      <c r="J40" s="285">
        <f t="shared" si="4"/>
        <v>69813.237600681314</v>
      </c>
      <c r="K40" s="285">
        <f t="shared" si="7"/>
        <v>1293652.3408192953</v>
      </c>
      <c r="M40" s="459">
        <v>47848</v>
      </c>
      <c r="N40" s="285">
        <f t="shared" si="9"/>
        <v>35448.904815311667</v>
      </c>
      <c r="O40" s="285">
        <f t="shared" si="10"/>
        <v>34364.332785369646</v>
      </c>
      <c r="P40" s="285">
        <f t="shared" si="8"/>
        <v>69813.237600681314</v>
      </c>
      <c r="Q40" s="285">
        <f t="shared" si="11"/>
        <v>1367176.9231589595</v>
      </c>
    </row>
    <row r="41" spans="1:17" x14ac:dyDescent="0.25">
      <c r="A41" s="459">
        <v>48029</v>
      </c>
      <c r="B41" s="285">
        <f t="shared" si="1"/>
        <v>40009.455040727575</v>
      </c>
      <c r="C41" s="285">
        <f t="shared" si="2"/>
        <v>29803.782559953739</v>
      </c>
      <c r="D41" s="285">
        <f t="shared" si="0"/>
        <v>69813.237600681314</v>
      </c>
      <c r="E41" s="285">
        <f t="shared" si="3"/>
        <v>1176471.4657737107</v>
      </c>
      <c r="G41" s="459">
        <v>48029</v>
      </c>
      <c r="H41" s="285">
        <f t="shared" si="5"/>
        <v>38118.755250608578</v>
      </c>
      <c r="I41" s="285">
        <f t="shared" si="6"/>
        <v>31694.482350072736</v>
      </c>
      <c r="J41" s="285">
        <f t="shared" si="4"/>
        <v>69813.237600681314</v>
      </c>
      <c r="K41" s="285">
        <f t="shared" si="7"/>
        <v>1255533.5855686867</v>
      </c>
      <c r="M41" s="459">
        <v>48029</v>
      </c>
      <c r="N41" s="285">
        <f t="shared" si="9"/>
        <v>36317.402983286804</v>
      </c>
      <c r="O41" s="285">
        <f t="shared" si="10"/>
        <v>33495.83461739451</v>
      </c>
      <c r="P41" s="285">
        <f t="shared" si="8"/>
        <v>69813.237600681314</v>
      </c>
      <c r="Q41" s="285">
        <f t="shared" si="11"/>
        <v>1330859.5201756726</v>
      </c>
    </row>
    <row r="42" spans="1:17" x14ac:dyDescent="0.25">
      <c r="A42" s="459">
        <v>48029</v>
      </c>
      <c r="B42" s="285">
        <f t="shared" si="1"/>
        <v>40989.686689225404</v>
      </c>
      <c r="C42" s="285">
        <f t="shared" si="2"/>
        <v>28823.550911455914</v>
      </c>
      <c r="D42" s="285">
        <f t="shared" si="0"/>
        <v>69813.237600681314</v>
      </c>
      <c r="E42" s="285">
        <f t="shared" si="3"/>
        <v>1135481.7790844853</v>
      </c>
      <c r="G42" s="459">
        <v>48213</v>
      </c>
      <c r="H42" s="285">
        <f t="shared" si="5"/>
        <v>39052.664754248486</v>
      </c>
      <c r="I42" s="285">
        <f t="shared" si="6"/>
        <v>30760.572846432824</v>
      </c>
      <c r="J42" s="285">
        <f t="shared" si="4"/>
        <v>69813.237600681314</v>
      </c>
      <c r="K42" s="285">
        <f t="shared" si="7"/>
        <v>1216480.9208144383</v>
      </c>
      <c r="M42" s="459">
        <v>48213</v>
      </c>
      <c r="N42" s="285">
        <f t="shared" si="9"/>
        <v>37207.179356377339</v>
      </c>
      <c r="O42" s="285">
        <f t="shared" si="10"/>
        <v>32606.058244303978</v>
      </c>
      <c r="P42" s="285">
        <f t="shared" si="8"/>
        <v>69813.237600681314</v>
      </c>
      <c r="Q42" s="285">
        <f t="shared" si="11"/>
        <v>1293652.3408192953</v>
      </c>
    </row>
    <row r="43" spans="1:17" x14ac:dyDescent="0.25">
      <c r="A43" s="459">
        <v>48029</v>
      </c>
      <c r="B43" s="285">
        <f t="shared" si="1"/>
        <v>41993.934013111422</v>
      </c>
      <c r="C43" s="285">
        <f t="shared" si="2"/>
        <v>27819.303587569892</v>
      </c>
      <c r="D43" s="285">
        <f t="shared" si="0"/>
        <v>69813.237600681314</v>
      </c>
      <c r="E43" s="285">
        <f t="shared" si="3"/>
        <v>1093487.8450713737</v>
      </c>
      <c r="G43" s="459">
        <v>48395</v>
      </c>
      <c r="H43" s="285">
        <f t="shared" si="5"/>
        <v>40009.455040727575</v>
      </c>
      <c r="I43" s="285">
        <f t="shared" si="6"/>
        <v>29803.782559953739</v>
      </c>
      <c r="J43" s="285">
        <f t="shared" si="4"/>
        <v>69813.237600681314</v>
      </c>
      <c r="K43" s="285">
        <f t="shared" si="7"/>
        <v>1176471.4657737107</v>
      </c>
      <c r="M43" s="459">
        <v>48395</v>
      </c>
      <c r="N43" s="285">
        <f t="shared" si="9"/>
        <v>38118.755250608578</v>
      </c>
      <c r="O43" s="285">
        <f t="shared" si="10"/>
        <v>31694.482350072736</v>
      </c>
      <c r="P43" s="285">
        <f t="shared" si="8"/>
        <v>69813.237600681314</v>
      </c>
      <c r="Q43" s="285">
        <f t="shared" si="11"/>
        <v>1255533.5855686867</v>
      </c>
    </row>
    <row r="44" spans="1:17" x14ac:dyDescent="0.25">
      <c r="A44" s="459">
        <v>48029</v>
      </c>
      <c r="B44" s="285">
        <f t="shared" si="1"/>
        <v>43022.785396432657</v>
      </c>
      <c r="C44" s="285">
        <f t="shared" si="2"/>
        <v>26790.452204248657</v>
      </c>
      <c r="D44" s="285">
        <f t="shared" si="0"/>
        <v>69813.237600681314</v>
      </c>
      <c r="E44" s="285">
        <f t="shared" si="3"/>
        <v>1050465.059674941</v>
      </c>
      <c r="G44" s="459">
        <v>48579</v>
      </c>
      <c r="H44" s="285">
        <f t="shared" si="5"/>
        <v>40989.686689225404</v>
      </c>
      <c r="I44" s="285">
        <f t="shared" si="6"/>
        <v>28823.550911455914</v>
      </c>
      <c r="J44" s="285">
        <f t="shared" si="4"/>
        <v>69813.237600681314</v>
      </c>
      <c r="K44" s="285">
        <f t="shared" si="7"/>
        <v>1135481.7790844853</v>
      </c>
      <c r="M44" s="459">
        <v>48579</v>
      </c>
      <c r="N44" s="285">
        <f t="shared" si="9"/>
        <v>39052.664754248486</v>
      </c>
      <c r="O44" s="285">
        <f t="shared" si="10"/>
        <v>30760.572846432824</v>
      </c>
      <c r="P44" s="285">
        <f t="shared" si="8"/>
        <v>69813.237600681314</v>
      </c>
      <c r="Q44" s="285">
        <f t="shared" si="11"/>
        <v>1216480.9208144383</v>
      </c>
    </row>
    <row r="45" spans="1:17" x14ac:dyDescent="0.25">
      <c r="A45" s="459">
        <v>48029</v>
      </c>
      <c r="B45" s="285">
        <f t="shared" si="1"/>
        <v>44076.843638645259</v>
      </c>
      <c r="C45" s="285">
        <f t="shared" si="2"/>
        <v>25736.393962036054</v>
      </c>
      <c r="D45" s="285">
        <f t="shared" si="0"/>
        <v>69813.237600681314</v>
      </c>
      <c r="E45" s="285">
        <f t="shared" si="3"/>
        <v>1006388.2160362958</v>
      </c>
      <c r="G45" s="459">
        <v>48760</v>
      </c>
      <c r="H45" s="285">
        <f t="shared" si="5"/>
        <v>41993.934013111422</v>
      </c>
      <c r="I45" s="285">
        <f t="shared" si="6"/>
        <v>27819.303587569892</v>
      </c>
      <c r="J45" s="285">
        <f t="shared" si="4"/>
        <v>69813.237600681314</v>
      </c>
      <c r="K45" s="285">
        <f t="shared" si="7"/>
        <v>1093487.8450713737</v>
      </c>
      <c r="M45" s="459">
        <v>48760</v>
      </c>
      <c r="N45" s="285">
        <f t="shared" si="9"/>
        <v>40009.455040727575</v>
      </c>
      <c r="O45" s="285">
        <f t="shared" si="10"/>
        <v>29803.782559953739</v>
      </c>
      <c r="P45" s="285">
        <f t="shared" si="8"/>
        <v>69813.237600681314</v>
      </c>
      <c r="Q45" s="285">
        <f t="shared" si="11"/>
        <v>1176471.4657737107</v>
      </c>
    </row>
    <row r="46" spans="1:17" x14ac:dyDescent="0.25">
      <c r="A46" s="459">
        <v>48029</v>
      </c>
      <c r="B46" s="285">
        <f t="shared" si="1"/>
        <v>45156.726307792065</v>
      </c>
      <c r="C46" s="285">
        <f t="shared" si="2"/>
        <v>24656.511292889249</v>
      </c>
      <c r="D46" s="285">
        <f t="shared" ref="D46:D63" si="12">$C$12</f>
        <v>69813.237600681314</v>
      </c>
      <c r="E46" s="285">
        <f t="shared" si="3"/>
        <v>961231.48972850363</v>
      </c>
      <c r="G46" s="459">
        <v>48944</v>
      </c>
      <c r="H46" s="285">
        <f t="shared" si="5"/>
        <v>43022.785396432657</v>
      </c>
      <c r="I46" s="285">
        <f t="shared" si="6"/>
        <v>26790.452204248657</v>
      </c>
      <c r="J46" s="285">
        <f t="shared" si="4"/>
        <v>69813.237600681314</v>
      </c>
      <c r="K46" s="285">
        <f t="shared" si="7"/>
        <v>1050465.059674941</v>
      </c>
      <c r="M46" s="459">
        <v>48944</v>
      </c>
      <c r="N46" s="285">
        <f t="shared" si="9"/>
        <v>40989.686689225404</v>
      </c>
      <c r="O46" s="285">
        <f t="shared" si="10"/>
        <v>28823.550911455914</v>
      </c>
      <c r="P46" s="285">
        <f t="shared" si="8"/>
        <v>69813.237600681314</v>
      </c>
      <c r="Q46" s="285">
        <f t="shared" si="11"/>
        <v>1135481.7790844853</v>
      </c>
    </row>
    <row r="47" spans="1:17" x14ac:dyDescent="0.25">
      <c r="A47" s="459">
        <v>48029</v>
      </c>
      <c r="B47" s="285">
        <f t="shared" si="1"/>
        <v>46263.066102332974</v>
      </c>
      <c r="C47" s="285">
        <f t="shared" si="2"/>
        <v>23550.17149834834</v>
      </c>
      <c r="D47" s="285">
        <f t="shared" si="12"/>
        <v>69813.237600681314</v>
      </c>
      <c r="E47" s="285">
        <f t="shared" si="3"/>
        <v>914968.42362617061</v>
      </c>
      <c r="G47" s="459">
        <v>49125</v>
      </c>
      <c r="H47" s="285">
        <f t="shared" si="5"/>
        <v>44076.843638645259</v>
      </c>
      <c r="I47" s="285">
        <f t="shared" si="6"/>
        <v>25736.393962036054</v>
      </c>
      <c r="J47" s="285">
        <f t="shared" si="4"/>
        <v>69813.237600681314</v>
      </c>
      <c r="K47" s="285">
        <f t="shared" si="7"/>
        <v>1006388.2160362958</v>
      </c>
      <c r="M47" s="459">
        <v>49125</v>
      </c>
      <c r="N47" s="285">
        <f t="shared" si="9"/>
        <v>41993.934013111422</v>
      </c>
      <c r="O47" s="285">
        <f t="shared" si="10"/>
        <v>27819.303587569892</v>
      </c>
      <c r="P47" s="285">
        <f t="shared" si="8"/>
        <v>69813.237600681314</v>
      </c>
      <c r="Q47" s="285">
        <f t="shared" si="11"/>
        <v>1093487.8450713737</v>
      </c>
    </row>
    <row r="48" spans="1:17" x14ac:dyDescent="0.25">
      <c r="A48" s="459">
        <v>48029</v>
      </c>
      <c r="B48" s="285">
        <f t="shared" si="1"/>
        <v>47396.511221840134</v>
      </c>
      <c r="C48" s="285">
        <f t="shared" si="2"/>
        <v>22416.72637884118</v>
      </c>
      <c r="D48" s="285">
        <f t="shared" si="12"/>
        <v>69813.237600681314</v>
      </c>
      <c r="E48" s="285">
        <f t="shared" si="3"/>
        <v>867571.91240433045</v>
      </c>
      <c r="G48" s="459">
        <v>49309</v>
      </c>
      <c r="H48" s="285">
        <f t="shared" si="5"/>
        <v>45156.726307792065</v>
      </c>
      <c r="I48" s="285">
        <f t="shared" si="6"/>
        <v>24656.511292889249</v>
      </c>
      <c r="J48" s="285">
        <f t="shared" si="4"/>
        <v>69813.237600681314</v>
      </c>
      <c r="K48" s="285">
        <f t="shared" si="7"/>
        <v>961231.48972850363</v>
      </c>
      <c r="M48" s="459">
        <v>49309</v>
      </c>
      <c r="N48" s="285">
        <f t="shared" si="9"/>
        <v>43022.785396432657</v>
      </c>
      <c r="O48" s="285">
        <f t="shared" si="10"/>
        <v>26790.452204248657</v>
      </c>
      <c r="P48" s="285">
        <f t="shared" si="8"/>
        <v>69813.237600681314</v>
      </c>
      <c r="Q48" s="285">
        <f t="shared" si="11"/>
        <v>1050465.059674941</v>
      </c>
    </row>
    <row r="49" spans="1:17" x14ac:dyDescent="0.25">
      <c r="A49" s="459">
        <v>48029</v>
      </c>
      <c r="B49" s="285">
        <f t="shared" si="1"/>
        <v>48557.725746775221</v>
      </c>
      <c r="C49" s="285">
        <f t="shared" si="2"/>
        <v>21255.511853906097</v>
      </c>
      <c r="D49" s="285">
        <f t="shared" si="12"/>
        <v>69813.237600681314</v>
      </c>
      <c r="E49" s="285">
        <f t="shared" si="3"/>
        <v>819014.18665755517</v>
      </c>
      <c r="G49" s="459">
        <v>49490</v>
      </c>
      <c r="H49" s="285">
        <f t="shared" si="5"/>
        <v>46263.066102332974</v>
      </c>
      <c r="I49" s="285">
        <f t="shared" si="6"/>
        <v>23550.17149834834</v>
      </c>
      <c r="J49" s="285">
        <f t="shared" si="4"/>
        <v>69813.237600681314</v>
      </c>
      <c r="K49" s="285">
        <f t="shared" si="7"/>
        <v>914968.42362617061</v>
      </c>
      <c r="M49" s="459">
        <v>49490</v>
      </c>
      <c r="N49" s="285">
        <f t="shared" si="9"/>
        <v>44076.843638645259</v>
      </c>
      <c r="O49" s="285">
        <f t="shared" si="10"/>
        <v>25736.393962036054</v>
      </c>
      <c r="P49" s="285">
        <f t="shared" si="8"/>
        <v>69813.237600681314</v>
      </c>
      <c r="Q49" s="285">
        <f t="shared" si="11"/>
        <v>1006388.2160362958</v>
      </c>
    </row>
    <row r="50" spans="1:17" x14ac:dyDescent="0.25">
      <c r="A50" s="459">
        <v>48029</v>
      </c>
      <c r="B50" s="285">
        <f t="shared" si="1"/>
        <v>49747.390027571208</v>
      </c>
      <c r="C50" s="285">
        <f t="shared" si="2"/>
        <v>20065.847573110103</v>
      </c>
      <c r="D50" s="285">
        <f t="shared" si="12"/>
        <v>69813.237600681314</v>
      </c>
      <c r="E50" s="285">
        <f t="shared" si="3"/>
        <v>769266.79662998393</v>
      </c>
      <c r="G50" s="459">
        <v>49674</v>
      </c>
      <c r="H50" s="285">
        <f t="shared" si="5"/>
        <v>47396.511221840134</v>
      </c>
      <c r="I50" s="285">
        <f t="shared" si="6"/>
        <v>22416.72637884118</v>
      </c>
      <c r="J50" s="285">
        <f t="shared" si="4"/>
        <v>69813.237600681314</v>
      </c>
      <c r="K50" s="285">
        <f t="shared" si="7"/>
        <v>867571.91240433045</v>
      </c>
      <c r="M50" s="459">
        <v>49674</v>
      </c>
      <c r="N50" s="285">
        <f t="shared" si="9"/>
        <v>45156.726307792065</v>
      </c>
      <c r="O50" s="285">
        <f t="shared" si="10"/>
        <v>24656.511292889249</v>
      </c>
      <c r="P50" s="285">
        <f t="shared" si="8"/>
        <v>69813.237600681314</v>
      </c>
      <c r="Q50" s="285">
        <f t="shared" si="11"/>
        <v>961231.48972850363</v>
      </c>
    </row>
    <row r="51" spans="1:17" x14ac:dyDescent="0.25">
      <c r="A51" s="459">
        <v>48029</v>
      </c>
      <c r="B51" s="285">
        <f t="shared" si="1"/>
        <v>50966.201083246706</v>
      </c>
      <c r="C51" s="285">
        <f t="shared" si="2"/>
        <v>18847.036517434608</v>
      </c>
      <c r="D51" s="285">
        <f t="shared" si="12"/>
        <v>69813.237600681314</v>
      </c>
      <c r="E51" s="285">
        <f t="shared" si="3"/>
        <v>718300.5955467372</v>
      </c>
      <c r="G51" s="459">
        <v>49856</v>
      </c>
      <c r="H51" s="285">
        <f t="shared" si="5"/>
        <v>48557.725746775221</v>
      </c>
      <c r="I51" s="285">
        <f t="shared" si="6"/>
        <v>21255.511853906097</v>
      </c>
      <c r="J51" s="285">
        <f t="shared" si="4"/>
        <v>69813.237600681314</v>
      </c>
      <c r="K51" s="285">
        <f t="shared" si="7"/>
        <v>819014.18665755517</v>
      </c>
      <c r="M51" s="459">
        <v>49856</v>
      </c>
      <c r="N51" s="285">
        <f t="shared" si="9"/>
        <v>46263.066102332974</v>
      </c>
      <c r="O51" s="285">
        <f t="shared" si="10"/>
        <v>23550.17149834834</v>
      </c>
      <c r="P51" s="285">
        <f t="shared" si="8"/>
        <v>69813.237600681314</v>
      </c>
      <c r="Q51" s="285">
        <f t="shared" si="11"/>
        <v>914968.42362617061</v>
      </c>
    </row>
    <row r="52" spans="1:17" x14ac:dyDescent="0.25">
      <c r="A52" s="459">
        <v>48029</v>
      </c>
      <c r="B52" s="285">
        <f t="shared" si="1"/>
        <v>52214.873009786257</v>
      </c>
      <c r="C52" s="285">
        <f t="shared" ref="C52:C63" si="13">E51*$C$8</f>
        <v>17598.36459089506</v>
      </c>
      <c r="D52" s="285">
        <f t="shared" si="12"/>
        <v>69813.237600681314</v>
      </c>
      <c r="E52" s="285">
        <f t="shared" si="3"/>
        <v>666085.72253695095</v>
      </c>
      <c r="G52" s="459">
        <v>50040</v>
      </c>
      <c r="H52" s="285">
        <f t="shared" si="5"/>
        <v>49747.390027571208</v>
      </c>
      <c r="I52" s="285">
        <f t="shared" si="6"/>
        <v>20065.847573110103</v>
      </c>
      <c r="J52" s="285">
        <f t="shared" si="4"/>
        <v>69813.237600681314</v>
      </c>
      <c r="K52" s="285">
        <f t="shared" si="7"/>
        <v>769266.79662998393</v>
      </c>
      <c r="M52" s="459">
        <v>50040</v>
      </c>
      <c r="N52" s="285">
        <f t="shared" si="9"/>
        <v>47396.511221840134</v>
      </c>
      <c r="O52" s="285">
        <f t="shared" si="10"/>
        <v>22416.72637884118</v>
      </c>
      <c r="P52" s="285">
        <f t="shared" si="8"/>
        <v>69813.237600681314</v>
      </c>
      <c r="Q52" s="285">
        <f t="shared" si="11"/>
        <v>867571.91240433045</v>
      </c>
    </row>
    <row r="53" spans="1:17" x14ac:dyDescent="0.25">
      <c r="A53" s="459">
        <v>48029</v>
      </c>
      <c r="B53" s="285">
        <f t="shared" si="1"/>
        <v>53494.137398526014</v>
      </c>
      <c r="C53" s="285">
        <f t="shared" si="13"/>
        <v>16319.100202155299</v>
      </c>
      <c r="D53" s="285">
        <f t="shared" si="12"/>
        <v>69813.237600681314</v>
      </c>
      <c r="E53" s="285">
        <f t="shared" si="3"/>
        <v>612591.585138425</v>
      </c>
      <c r="G53" s="459">
        <v>50221</v>
      </c>
      <c r="H53" s="285">
        <f t="shared" si="5"/>
        <v>50966.201083246706</v>
      </c>
      <c r="I53" s="285">
        <f t="shared" si="6"/>
        <v>18847.036517434608</v>
      </c>
      <c r="J53" s="285">
        <f t="shared" si="4"/>
        <v>69813.237600681314</v>
      </c>
      <c r="K53" s="285">
        <f t="shared" si="7"/>
        <v>718300.5955467372</v>
      </c>
      <c r="M53" s="459">
        <v>50221</v>
      </c>
      <c r="N53" s="285">
        <f t="shared" si="9"/>
        <v>48557.725746775221</v>
      </c>
      <c r="O53" s="285">
        <f t="shared" si="10"/>
        <v>21255.511853906097</v>
      </c>
      <c r="P53" s="285">
        <f t="shared" si="8"/>
        <v>69813.237600681314</v>
      </c>
      <c r="Q53" s="285">
        <f t="shared" si="11"/>
        <v>819014.18665755517</v>
      </c>
    </row>
    <row r="54" spans="1:17" x14ac:dyDescent="0.25">
      <c r="A54" s="459">
        <v>48029</v>
      </c>
      <c r="B54" s="285">
        <f t="shared" si="1"/>
        <v>54804.743764789899</v>
      </c>
      <c r="C54" s="285">
        <f t="shared" si="13"/>
        <v>15008.493835891413</v>
      </c>
      <c r="D54" s="285">
        <f t="shared" si="12"/>
        <v>69813.237600681314</v>
      </c>
      <c r="E54" s="285">
        <f t="shared" si="3"/>
        <v>557786.84137363511</v>
      </c>
      <c r="G54" s="459">
        <v>50405</v>
      </c>
      <c r="H54" s="285">
        <f t="shared" si="5"/>
        <v>52214.873009786257</v>
      </c>
      <c r="I54" s="285">
        <f t="shared" si="6"/>
        <v>17598.36459089506</v>
      </c>
      <c r="J54" s="285">
        <f t="shared" si="4"/>
        <v>69813.237600681314</v>
      </c>
      <c r="K54" s="285">
        <f t="shared" si="7"/>
        <v>666085.72253695095</v>
      </c>
      <c r="M54" s="459">
        <v>50405</v>
      </c>
      <c r="N54" s="285">
        <f t="shared" si="9"/>
        <v>49747.390027571208</v>
      </c>
      <c r="O54" s="285">
        <f t="shared" si="10"/>
        <v>20065.847573110103</v>
      </c>
      <c r="P54" s="285">
        <f t="shared" si="8"/>
        <v>69813.237600681314</v>
      </c>
      <c r="Q54" s="285">
        <f t="shared" si="11"/>
        <v>769266.79662998393</v>
      </c>
    </row>
    <row r="55" spans="1:17" x14ac:dyDescent="0.25">
      <c r="A55" s="459">
        <v>48029</v>
      </c>
      <c r="B55" s="285">
        <f t="shared" si="1"/>
        <v>56147.45998702725</v>
      </c>
      <c r="C55" s="285">
        <f t="shared" si="13"/>
        <v>13665.777613654061</v>
      </c>
      <c r="D55" s="285">
        <f t="shared" si="12"/>
        <v>69813.237600681314</v>
      </c>
      <c r="E55" s="285">
        <f t="shared" si="3"/>
        <v>501639.38138660789</v>
      </c>
      <c r="G55" s="459">
        <v>50586</v>
      </c>
      <c r="H55" s="285">
        <f t="shared" si="5"/>
        <v>53494.137398526014</v>
      </c>
      <c r="I55" s="285">
        <f t="shared" si="6"/>
        <v>16319.100202155299</v>
      </c>
      <c r="J55" s="285">
        <f t="shared" si="4"/>
        <v>69813.237600681314</v>
      </c>
      <c r="K55" s="285">
        <f t="shared" si="7"/>
        <v>612591.585138425</v>
      </c>
      <c r="M55" s="459">
        <v>50586</v>
      </c>
      <c r="N55" s="285">
        <f t="shared" si="9"/>
        <v>50966.201083246706</v>
      </c>
      <c r="O55" s="285">
        <f t="shared" si="10"/>
        <v>18847.036517434608</v>
      </c>
      <c r="P55" s="285">
        <f t="shared" si="8"/>
        <v>69813.237600681314</v>
      </c>
      <c r="Q55" s="285">
        <f t="shared" si="11"/>
        <v>718300.5955467372</v>
      </c>
    </row>
    <row r="56" spans="1:17" x14ac:dyDescent="0.25">
      <c r="A56" s="459">
        <v>48029</v>
      </c>
      <c r="B56" s="285">
        <f t="shared" si="1"/>
        <v>57523.072756709422</v>
      </c>
      <c r="C56" s="285">
        <f t="shared" si="13"/>
        <v>12290.164843971894</v>
      </c>
      <c r="D56" s="285">
        <f t="shared" si="12"/>
        <v>69813.237600681314</v>
      </c>
      <c r="E56" s="285">
        <f t="shared" si="3"/>
        <v>444116.30862989847</v>
      </c>
      <c r="G56" s="459">
        <v>50770</v>
      </c>
      <c r="H56" s="285">
        <f t="shared" si="5"/>
        <v>54804.743764789899</v>
      </c>
      <c r="I56" s="285">
        <f t="shared" si="6"/>
        <v>15008.493835891413</v>
      </c>
      <c r="J56" s="285">
        <f t="shared" si="4"/>
        <v>69813.237600681314</v>
      </c>
      <c r="K56" s="285">
        <f t="shared" si="7"/>
        <v>557786.84137363511</v>
      </c>
      <c r="M56" s="459">
        <v>50770</v>
      </c>
      <c r="N56" s="285">
        <f t="shared" si="9"/>
        <v>52214.873009786257</v>
      </c>
      <c r="O56" s="285">
        <f t="shared" ref="O56:O67" si="14">Q55*$C$8</f>
        <v>17598.36459089506</v>
      </c>
      <c r="P56" s="285">
        <f t="shared" si="8"/>
        <v>69813.237600681314</v>
      </c>
      <c r="Q56" s="285">
        <f t="shared" si="11"/>
        <v>666085.72253695095</v>
      </c>
    </row>
    <row r="57" spans="1:17" x14ac:dyDescent="0.25">
      <c r="A57" s="459">
        <v>48029</v>
      </c>
      <c r="B57" s="285">
        <f t="shared" si="1"/>
        <v>58932.388039248799</v>
      </c>
      <c r="C57" s="285">
        <f t="shared" si="13"/>
        <v>10880.849561432513</v>
      </c>
      <c r="D57" s="285">
        <f t="shared" si="12"/>
        <v>69813.237600681314</v>
      </c>
      <c r="E57" s="285">
        <f t="shared" si="3"/>
        <v>385183.92059064965</v>
      </c>
      <c r="G57" s="459">
        <v>50951</v>
      </c>
      <c r="H57" s="285">
        <f t="shared" si="5"/>
        <v>56147.45998702725</v>
      </c>
      <c r="I57" s="285">
        <f t="shared" si="6"/>
        <v>13665.777613654061</v>
      </c>
      <c r="J57" s="285">
        <f t="shared" si="4"/>
        <v>69813.237600681314</v>
      </c>
      <c r="K57" s="285">
        <f t="shared" si="7"/>
        <v>501639.38138660789</v>
      </c>
      <c r="M57" s="459">
        <v>50951</v>
      </c>
      <c r="N57" s="285">
        <f t="shared" si="9"/>
        <v>53494.137398526014</v>
      </c>
      <c r="O57" s="285">
        <f t="shared" si="14"/>
        <v>16319.100202155299</v>
      </c>
      <c r="P57" s="285">
        <f t="shared" si="8"/>
        <v>69813.237600681314</v>
      </c>
      <c r="Q57" s="285">
        <f t="shared" si="11"/>
        <v>612591.585138425</v>
      </c>
    </row>
    <row r="58" spans="1:17" x14ac:dyDescent="0.25">
      <c r="A58" s="459">
        <v>48029</v>
      </c>
      <c r="B58" s="285">
        <f t="shared" si="1"/>
        <v>60376.231546210394</v>
      </c>
      <c r="C58" s="285">
        <f t="shared" si="13"/>
        <v>9437.0060544709177</v>
      </c>
      <c r="D58" s="285">
        <f t="shared" si="12"/>
        <v>69813.237600681314</v>
      </c>
      <c r="E58" s="285">
        <f t="shared" si="3"/>
        <v>324807.68904443923</v>
      </c>
      <c r="G58" s="459">
        <v>51135</v>
      </c>
      <c r="H58" s="285">
        <f t="shared" si="5"/>
        <v>57523.072756709422</v>
      </c>
      <c r="I58" s="285">
        <f t="shared" si="6"/>
        <v>12290.164843971894</v>
      </c>
      <c r="J58" s="285">
        <f t="shared" si="4"/>
        <v>69813.237600681314</v>
      </c>
      <c r="K58" s="285">
        <f t="shared" si="7"/>
        <v>444116.30862989847</v>
      </c>
      <c r="M58" s="459">
        <v>51135</v>
      </c>
      <c r="N58" s="285">
        <f t="shared" si="9"/>
        <v>54804.743764789899</v>
      </c>
      <c r="O58" s="285">
        <f t="shared" si="14"/>
        <v>15008.493835891413</v>
      </c>
      <c r="P58" s="285">
        <f t="shared" si="8"/>
        <v>69813.237600681314</v>
      </c>
      <c r="Q58" s="285">
        <f t="shared" si="11"/>
        <v>557786.84137363511</v>
      </c>
    </row>
    <row r="59" spans="1:17" x14ac:dyDescent="0.25">
      <c r="A59" s="459">
        <v>48029</v>
      </c>
      <c r="B59" s="285">
        <f t="shared" si="1"/>
        <v>61855.449219092552</v>
      </c>
      <c r="C59" s="285">
        <f t="shared" si="13"/>
        <v>7957.7883815887617</v>
      </c>
      <c r="D59" s="285">
        <f t="shared" si="12"/>
        <v>69813.237600681314</v>
      </c>
      <c r="E59" s="285">
        <f t="shared" si="3"/>
        <v>262952.23982534668</v>
      </c>
      <c r="G59" s="459">
        <v>51317</v>
      </c>
      <c r="H59" s="285">
        <f t="shared" si="5"/>
        <v>58932.388039248799</v>
      </c>
      <c r="I59" s="285">
        <f t="shared" si="6"/>
        <v>10880.849561432513</v>
      </c>
      <c r="J59" s="285">
        <f t="shared" si="4"/>
        <v>69813.237600681314</v>
      </c>
      <c r="K59" s="285">
        <f t="shared" si="7"/>
        <v>385183.92059064965</v>
      </c>
      <c r="M59" s="459">
        <v>51317</v>
      </c>
      <c r="N59" s="285">
        <f t="shared" si="9"/>
        <v>56147.45998702725</v>
      </c>
      <c r="O59" s="285">
        <f t="shared" si="14"/>
        <v>13665.777613654061</v>
      </c>
      <c r="P59" s="285">
        <f t="shared" si="8"/>
        <v>69813.237600681314</v>
      </c>
      <c r="Q59" s="285">
        <f t="shared" si="11"/>
        <v>501639.38138660789</v>
      </c>
    </row>
    <row r="60" spans="1:17" x14ac:dyDescent="0.25">
      <c r="A60" s="459">
        <v>48029</v>
      </c>
      <c r="B60" s="285">
        <f t="shared" si="1"/>
        <v>63370.907724960322</v>
      </c>
      <c r="C60" s="285">
        <f t="shared" si="13"/>
        <v>6442.3298757209941</v>
      </c>
      <c r="D60" s="285">
        <f t="shared" si="12"/>
        <v>69813.237600681314</v>
      </c>
      <c r="E60" s="285">
        <f t="shared" si="3"/>
        <v>199581.33210038635</v>
      </c>
      <c r="G60" s="459">
        <v>51501</v>
      </c>
      <c r="H60" s="285">
        <f t="shared" si="5"/>
        <v>60376.231546210394</v>
      </c>
      <c r="I60" s="285">
        <f t="shared" si="6"/>
        <v>9437.0060544709177</v>
      </c>
      <c r="J60" s="285">
        <f t="shared" si="4"/>
        <v>69813.237600681314</v>
      </c>
      <c r="K60" s="285">
        <f t="shared" si="7"/>
        <v>324807.68904443923</v>
      </c>
      <c r="M60" s="459">
        <v>51501</v>
      </c>
      <c r="N60" s="285">
        <f t="shared" si="9"/>
        <v>57523.072756709422</v>
      </c>
      <c r="O60" s="285">
        <f t="shared" si="14"/>
        <v>12290.164843971894</v>
      </c>
      <c r="P60" s="285">
        <f t="shared" si="8"/>
        <v>69813.237600681314</v>
      </c>
      <c r="Q60" s="285">
        <f t="shared" si="11"/>
        <v>444116.30862989847</v>
      </c>
    </row>
    <row r="61" spans="1:17" x14ac:dyDescent="0.25">
      <c r="A61" s="459">
        <v>48029</v>
      </c>
      <c r="B61" s="285">
        <f t="shared" si="1"/>
        <v>64923.494964221849</v>
      </c>
      <c r="C61" s="285">
        <f t="shared" si="13"/>
        <v>4889.7426364594658</v>
      </c>
      <c r="D61" s="285">
        <f t="shared" si="12"/>
        <v>69813.237600681314</v>
      </c>
      <c r="E61" s="285">
        <f t="shared" si="3"/>
        <v>134657.83713616451</v>
      </c>
      <c r="G61" s="459">
        <v>51682</v>
      </c>
      <c r="H61" s="285">
        <f t="shared" si="5"/>
        <v>61855.449219092552</v>
      </c>
      <c r="I61" s="285">
        <f t="shared" si="6"/>
        <v>7957.7883815887617</v>
      </c>
      <c r="J61" s="285">
        <f t="shared" si="4"/>
        <v>69813.237600681314</v>
      </c>
      <c r="K61" s="285">
        <f t="shared" si="7"/>
        <v>262952.23982534668</v>
      </c>
      <c r="M61" s="459">
        <v>51682</v>
      </c>
      <c r="N61" s="285">
        <f t="shared" si="9"/>
        <v>58932.388039248799</v>
      </c>
      <c r="O61" s="285">
        <f t="shared" si="14"/>
        <v>10880.849561432513</v>
      </c>
      <c r="P61" s="285">
        <f t="shared" si="8"/>
        <v>69813.237600681314</v>
      </c>
      <c r="Q61" s="285">
        <f t="shared" si="11"/>
        <v>385183.92059064965</v>
      </c>
    </row>
    <row r="62" spans="1:17" x14ac:dyDescent="0.25">
      <c r="A62" s="459">
        <v>48029</v>
      </c>
      <c r="B62" s="285">
        <f t="shared" si="1"/>
        <v>66514.120590845283</v>
      </c>
      <c r="C62" s="285">
        <f t="shared" si="13"/>
        <v>3299.1170098360308</v>
      </c>
      <c r="D62" s="285">
        <f t="shared" si="12"/>
        <v>69813.237600681314</v>
      </c>
      <c r="E62" s="285">
        <f t="shared" si="3"/>
        <v>68143.716545319228</v>
      </c>
      <c r="G62" s="459">
        <v>51866</v>
      </c>
      <c r="H62" s="285">
        <f t="shared" si="5"/>
        <v>63370.907724960322</v>
      </c>
      <c r="I62" s="285">
        <f t="shared" si="6"/>
        <v>6442.3298757209941</v>
      </c>
      <c r="J62" s="285">
        <f t="shared" si="4"/>
        <v>69813.237600681314</v>
      </c>
      <c r="K62" s="285">
        <f t="shared" si="7"/>
        <v>199581.33210038635</v>
      </c>
      <c r="M62" s="459">
        <v>51866</v>
      </c>
      <c r="N62" s="285">
        <f t="shared" si="9"/>
        <v>60376.231546210394</v>
      </c>
      <c r="O62" s="285">
        <f t="shared" si="14"/>
        <v>9437.0060544709177</v>
      </c>
      <c r="P62" s="285">
        <f t="shared" si="8"/>
        <v>69813.237600681314</v>
      </c>
      <c r="Q62" s="285">
        <f t="shared" si="11"/>
        <v>324807.68904443923</v>
      </c>
    </row>
    <row r="63" spans="1:17" x14ac:dyDescent="0.25">
      <c r="A63" s="459">
        <v>48029</v>
      </c>
      <c r="B63" s="285">
        <f t="shared" si="1"/>
        <v>68143.716545320989</v>
      </c>
      <c r="C63" s="285">
        <f t="shared" si="13"/>
        <v>1669.5210553603213</v>
      </c>
      <c r="D63" s="285">
        <f t="shared" si="12"/>
        <v>69813.237600681314</v>
      </c>
      <c r="E63" s="285">
        <f t="shared" si="3"/>
        <v>-1.7607817426323891E-9</v>
      </c>
      <c r="G63" s="459">
        <v>52047</v>
      </c>
      <c r="H63" s="285">
        <f t="shared" si="5"/>
        <v>64923.494964221849</v>
      </c>
      <c r="I63" s="285">
        <f t="shared" si="6"/>
        <v>4889.7426364594658</v>
      </c>
      <c r="J63" s="285">
        <f t="shared" si="4"/>
        <v>69813.237600681314</v>
      </c>
      <c r="K63" s="285">
        <f t="shared" si="7"/>
        <v>134657.83713616451</v>
      </c>
      <c r="M63" s="459">
        <v>52047</v>
      </c>
      <c r="N63" s="285">
        <f t="shared" si="9"/>
        <v>61855.449219092552</v>
      </c>
      <c r="O63" s="285">
        <f t="shared" si="14"/>
        <v>7957.7883815887617</v>
      </c>
      <c r="P63" s="285">
        <f t="shared" si="8"/>
        <v>69813.237600681314</v>
      </c>
      <c r="Q63" s="285">
        <f t="shared" si="11"/>
        <v>262952.23982534668</v>
      </c>
    </row>
    <row r="64" spans="1:17" x14ac:dyDescent="0.25">
      <c r="A64" s="285"/>
      <c r="B64" s="285"/>
      <c r="C64" s="285"/>
      <c r="D64" s="285"/>
      <c r="E64" s="285"/>
      <c r="G64" s="459">
        <v>52231</v>
      </c>
      <c r="H64" s="285">
        <f t="shared" si="5"/>
        <v>66514.120590845283</v>
      </c>
      <c r="I64" s="285">
        <f t="shared" si="6"/>
        <v>3299.1170098360308</v>
      </c>
      <c r="J64" s="285">
        <f t="shared" si="4"/>
        <v>69813.237600681314</v>
      </c>
      <c r="K64" s="285">
        <f t="shared" si="7"/>
        <v>68143.716545319228</v>
      </c>
      <c r="M64" s="459">
        <v>52231</v>
      </c>
      <c r="N64" s="285">
        <f t="shared" si="9"/>
        <v>63370.907724960322</v>
      </c>
      <c r="O64" s="285">
        <f t="shared" si="14"/>
        <v>6442.3298757209941</v>
      </c>
      <c r="P64" s="285">
        <f t="shared" si="8"/>
        <v>69813.237600681314</v>
      </c>
      <c r="Q64" s="285">
        <f t="shared" si="11"/>
        <v>199581.33210038635</v>
      </c>
    </row>
    <row r="65" spans="1:17" x14ac:dyDescent="0.25">
      <c r="A65" s="334" t="s">
        <v>4579</v>
      </c>
      <c r="B65" s="354">
        <f t="shared" ref="B65:D65" si="15">SUM(B14:B64)</f>
        <v>2000000.0000000016</v>
      </c>
      <c r="C65" s="354">
        <f t="shared" si="15"/>
        <v>1490661.8800340639</v>
      </c>
      <c r="D65" s="354">
        <f t="shared" si="15"/>
        <v>3490661.8800340681</v>
      </c>
      <c r="E65" s="285"/>
      <c r="G65" s="459">
        <v>52412</v>
      </c>
      <c r="H65" s="285">
        <f t="shared" si="5"/>
        <v>68143.716545320989</v>
      </c>
      <c r="I65" s="285">
        <f t="shared" si="6"/>
        <v>1669.5210553603213</v>
      </c>
      <c r="J65" s="285">
        <f t="shared" si="4"/>
        <v>69813.237600681314</v>
      </c>
      <c r="K65" s="285">
        <f t="shared" si="7"/>
        <v>-1.7607817426323891E-9</v>
      </c>
      <c r="M65" s="459">
        <v>52412</v>
      </c>
      <c r="N65" s="285">
        <f t="shared" si="9"/>
        <v>64923.494964221849</v>
      </c>
      <c r="O65" s="285">
        <f t="shared" si="14"/>
        <v>4889.7426364594658</v>
      </c>
      <c r="P65" s="285">
        <f t="shared" si="8"/>
        <v>69813.237600681314</v>
      </c>
      <c r="Q65" s="285">
        <f t="shared" si="11"/>
        <v>134657.83713616451</v>
      </c>
    </row>
    <row r="66" spans="1:17" x14ac:dyDescent="0.25">
      <c r="A66" s="285"/>
      <c r="B66" s="285"/>
      <c r="C66" s="285"/>
      <c r="D66" s="285"/>
      <c r="E66" s="285"/>
      <c r="G66" s="285"/>
      <c r="H66" s="285"/>
      <c r="I66" s="285"/>
      <c r="J66" s="285"/>
      <c r="K66" s="285"/>
      <c r="M66" s="459">
        <v>52596</v>
      </c>
      <c r="N66" s="285">
        <f t="shared" si="9"/>
        <v>66514.120590845283</v>
      </c>
      <c r="O66" s="285">
        <f t="shared" si="14"/>
        <v>3299.1170098360308</v>
      </c>
      <c r="P66" s="285">
        <f t="shared" si="8"/>
        <v>69813.237600681314</v>
      </c>
      <c r="Q66" s="285">
        <f t="shared" si="11"/>
        <v>68143.716545319228</v>
      </c>
    </row>
    <row r="67" spans="1:17" x14ac:dyDescent="0.25">
      <c r="A67" s="285"/>
      <c r="B67" s="285"/>
      <c r="C67" s="285"/>
      <c r="D67" s="285"/>
      <c r="E67" s="285"/>
      <c r="G67" s="334" t="s">
        <v>4579</v>
      </c>
      <c r="H67" s="354">
        <f t="shared" ref="H67" si="16">SUM(H16:H66)</f>
        <v>2000000.0000000016</v>
      </c>
      <c r="I67" s="354">
        <f t="shared" ref="I67" si="17">SUM(I16:I66)</f>
        <v>1490661.8800340639</v>
      </c>
      <c r="J67" s="354">
        <f t="shared" ref="J67" si="18">SUM(J16:J66)</f>
        <v>3490661.8800340681</v>
      </c>
      <c r="K67" s="285"/>
      <c r="M67" s="459">
        <v>52778</v>
      </c>
      <c r="N67" s="285">
        <f t="shared" si="9"/>
        <v>68143.716545320989</v>
      </c>
      <c r="O67" s="285">
        <f t="shared" si="14"/>
        <v>1669.5210553603213</v>
      </c>
      <c r="P67" s="285">
        <f t="shared" si="8"/>
        <v>69813.237600681314</v>
      </c>
      <c r="Q67" s="285">
        <f t="shared" si="11"/>
        <v>-1.7607817426323891E-9</v>
      </c>
    </row>
    <row r="68" spans="1:17" x14ac:dyDescent="0.25">
      <c r="A68" s="285"/>
      <c r="B68" s="285"/>
      <c r="C68" s="285"/>
      <c r="D68" s="285"/>
      <c r="E68" s="285"/>
    </row>
    <row r="69" spans="1:17" x14ac:dyDescent="0.25">
      <c r="A69" s="285"/>
      <c r="B69" s="285"/>
      <c r="C69" s="285"/>
      <c r="D69" s="285"/>
      <c r="E69" s="285"/>
      <c r="M69" s="334" t="s">
        <v>4579</v>
      </c>
      <c r="N69" s="354">
        <f t="shared" ref="N69:P69" si="19">SUM(N18:N68)</f>
        <v>2000000.0000000016</v>
      </c>
      <c r="O69" s="354">
        <f t="shared" si="19"/>
        <v>1490661.8800340639</v>
      </c>
      <c r="P69" s="354">
        <f t="shared" si="19"/>
        <v>3490661.8800340681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95"/>
  <sheetViews>
    <sheetView workbookViewId="0">
      <selection activeCell="A3" sqref="A3"/>
    </sheetView>
  </sheetViews>
  <sheetFormatPr defaultRowHeight="15" x14ac:dyDescent="0.25"/>
  <cols>
    <col min="1" max="1" width="16.7109375" customWidth="1"/>
    <col min="2" max="2" width="27.28515625" customWidth="1"/>
    <col min="3" max="30" width="12.7109375" customWidth="1"/>
  </cols>
  <sheetData>
    <row r="1" spans="1:30" s="16" customFormat="1" ht="15.75" x14ac:dyDescent="0.25">
      <c r="A1" s="283" t="s">
        <v>4318</v>
      </c>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30" s="16" customFormat="1" ht="15.75" x14ac:dyDescent="0.25">
      <c r="A2" s="269" t="s">
        <v>4629</v>
      </c>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30" s="16" customFormat="1" ht="12.75" customHeight="1" x14ac:dyDescent="0.25">
      <c r="A3" s="17"/>
      <c r="B3" s="17"/>
      <c r="C3" s="284"/>
      <c r="D3" s="480" t="s">
        <v>30</v>
      </c>
      <c r="E3" s="480"/>
      <c r="F3" s="480"/>
      <c r="G3" s="480"/>
      <c r="H3" s="480"/>
      <c r="I3" s="480"/>
      <c r="J3" s="480"/>
      <c r="K3" s="480"/>
      <c r="L3" s="480"/>
      <c r="M3" s="480"/>
      <c r="N3" s="480"/>
      <c r="O3" s="480"/>
      <c r="P3" s="480"/>
      <c r="Q3" s="480"/>
      <c r="R3" s="480"/>
      <c r="S3" s="480"/>
      <c r="T3" s="480"/>
      <c r="U3" s="480"/>
      <c r="V3" s="480"/>
      <c r="W3" s="480"/>
      <c r="X3" s="480"/>
      <c r="Y3" s="480"/>
      <c r="Z3" s="480"/>
      <c r="AA3" s="480"/>
      <c r="AB3" s="480"/>
      <c r="AC3" s="23"/>
      <c r="AD3" s="23"/>
    </row>
    <row r="4" spans="1:30" s="16" customFormat="1" ht="12.75" customHeight="1" x14ac:dyDescent="0.25">
      <c r="A4" s="18" t="s">
        <v>4409</v>
      </c>
      <c r="B4" s="18"/>
      <c r="C4" s="26"/>
      <c r="D4" s="26">
        <v>2018</v>
      </c>
      <c r="E4" s="26"/>
      <c r="F4" s="26"/>
      <c r="G4" s="26">
        <v>2019</v>
      </c>
      <c r="H4" s="26"/>
      <c r="I4" s="26"/>
      <c r="J4" s="26">
        <v>2020</v>
      </c>
      <c r="K4" s="26"/>
      <c r="L4" s="26"/>
      <c r="M4" s="26">
        <v>2021</v>
      </c>
      <c r="N4" s="26"/>
      <c r="O4" s="26"/>
      <c r="P4" s="26">
        <v>2022</v>
      </c>
      <c r="Q4" s="26"/>
      <c r="R4" s="26"/>
      <c r="S4" s="26">
        <v>2023</v>
      </c>
      <c r="T4" s="26"/>
      <c r="U4" s="26"/>
      <c r="V4" s="26">
        <v>2024</v>
      </c>
      <c r="W4" s="26"/>
      <c r="X4" s="26"/>
      <c r="Y4" s="26">
        <v>2025</v>
      </c>
      <c r="Z4" s="26"/>
      <c r="AA4" s="26"/>
      <c r="AB4" s="26">
        <v>2026</v>
      </c>
      <c r="AC4" s="332"/>
      <c r="AD4" s="332"/>
    </row>
    <row r="5" spans="1:30" x14ac:dyDescent="0.25">
      <c r="D5" s="293"/>
      <c r="E5" s="293"/>
      <c r="F5" s="293"/>
      <c r="G5" s="293"/>
      <c r="H5" s="293"/>
      <c r="I5" s="293"/>
      <c r="J5" s="293"/>
      <c r="K5" s="293"/>
      <c r="L5" s="293"/>
      <c r="M5" s="293"/>
      <c r="N5" s="293"/>
      <c r="O5" s="293"/>
      <c r="P5" s="293"/>
      <c r="Q5" s="293"/>
      <c r="R5" s="293"/>
      <c r="S5" s="293"/>
      <c r="T5" s="293"/>
      <c r="U5" s="293"/>
      <c r="V5" s="293"/>
      <c r="W5" s="293"/>
      <c r="X5" s="293"/>
      <c r="Y5" s="293"/>
      <c r="Z5" s="293"/>
      <c r="AA5" s="293"/>
      <c r="AB5" s="293"/>
    </row>
    <row r="6" spans="1:30" x14ac:dyDescent="0.25">
      <c r="B6" t="s">
        <v>4412</v>
      </c>
      <c r="D6" s="293">
        <f>reservessummary!B155</f>
        <v>57947326</v>
      </c>
      <c r="E6" s="293">
        <f ca="1">reservessummary!C155</f>
        <v>-1439911</v>
      </c>
      <c r="F6" s="293">
        <f ca="1">reservessummary!D155</f>
        <v>56507415</v>
      </c>
      <c r="G6" s="293">
        <f ca="1">reservessummary!E155</f>
        <v>56507415</v>
      </c>
      <c r="H6" s="293">
        <f ca="1">reservessummary!F155</f>
        <v>6134369</v>
      </c>
      <c r="I6" s="293">
        <f ca="1">reservessummary!G155</f>
        <v>62641784</v>
      </c>
      <c r="J6" s="293">
        <f ca="1">reservessummary!H155</f>
        <v>62641784</v>
      </c>
      <c r="K6" s="293">
        <f ca="1">reservessummary!I155</f>
        <v>-5584605</v>
      </c>
      <c r="L6" s="293">
        <f ca="1">reservessummary!J155</f>
        <v>57057179</v>
      </c>
      <c r="M6" s="293">
        <f ca="1">reservessummary!K155</f>
        <v>57057179</v>
      </c>
      <c r="N6" s="293">
        <f ca="1">reservessummary!L155</f>
        <v>6898766</v>
      </c>
      <c r="O6" s="293">
        <f ca="1">reservessummary!M155</f>
        <v>63955945</v>
      </c>
      <c r="P6" s="293">
        <f ca="1">reservessummary!N155</f>
        <v>63955945</v>
      </c>
      <c r="Q6" s="293">
        <f ca="1">reservessummary!O155</f>
        <v>7149447</v>
      </c>
      <c r="R6" s="293">
        <f ca="1">reservessummary!P155</f>
        <v>71105392</v>
      </c>
      <c r="S6" s="293">
        <f ca="1">reservessummary!Q155</f>
        <v>71105392</v>
      </c>
      <c r="T6" s="293">
        <f ca="1">reservessummary!R155</f>
        <v>6704986</v>
      </c>
      <c r="U6" s="293">
        <f ca="1">reservessummary!S155</f>
        <v>77810378</v>
      </c>
      <c r="V6" s="293">
        <f ca="1">reservessummary!T155</f>
        <v>77810378</v>
      </c>
      <c r="W6" s="293">
        <f ca="1">reservessummary!U155</f>
        <v>6166819</v>
      </c>
      <c r="X6" s="293">
        <f ca="1">reservessummary!V155</f>
        <v>83977197</v>
      </c>
      <c r="Y6" s="293">
        <f ca="1">reservessummary!W155</f>
        <v>83977197</v>
      </c>
      <c r="Z6" s="293">
        <f ca="1">reservessummary!X155</f>
        <v>5041060</v>
      </c>
      <c r="AA6" s="293">
        <f ca="1">reservessummary!Y155</f>
        <v>89018257</v>
      </c>
      <c r="AB6" s="293">
        <f ca="1">reservessummary!Z155</f>
        <v>89018257</v>
      </c>
      <c r="AC6" s="293">
        <f ca="1">reservessummary!AA155</f>
        <v>-5610502</v>
      </c>
      <c r="AD6" s="293">
        <f ca="1">reservessummary!AB155</f>
        <v>83407755</v>
      </c>
    </row>
    <row r="7" spans="1:30" x14ac:dyDescent="0.25">
      <c r="B7" t="s">
        <v>4413</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row>
    <row r="8" spans="1:30" x14ac:dyDescent="0.25">
      <c r="D8" s="293"/>
      <c r="E8" s="293"/>
      <c r="F8" s="293"/>
      <c r="G8" s="293"/>
      <c r="H8" s="293"/>
      <c r="I8" s="293"/>
      <c r="J8" s="293"/>
      <c r="K8" s="293"/>
      <c r="L8" s="293"/>
      <c r="M8" s="293"/>
      <c r="N8" s="293"/>
      <c r="O8" s="293"/>
      <c r="P8" s="293"/>
      <c r="Q8" s="293"/>
      <c r="R8" s="293"/>
      <c r="S8" s="293"/>
      <c r="T8" s="293"/>
      <c r="U8" s="293"/>
      <c r="V8" s="293"/>
      <c r="W8" s="293"/>
      <c r="X8" s="293"/>
      <c r="Y8" s="293"/>
      <c r="Z8" s="293"/>
      <c r="AA8" s="293"/>
      <c r="AB8" s="293"/>
    </row>
    <row r="9" spans="1:30" x14ac:dyDescent="0.25">
      <c r="B9" t="s">
        <v>4418</v>
      </c>
      <c r="D9" s="293">
        <f ca="1">(D6+F6)/2</f>
        <v>57227370.5</v>
      </c>
      <c r="E9" s="293"/>
      <c r="F9" s="293"/>
      <c r="G9" s="293">
        <f ca="1">(G6+I6)/2</f>
        <v>59574599.5</v>
      </c>
      <c r="H9" s="293"/>
      <c r="I9" s="293"/>
      <c r="J9" s="293">
        <f ca="1">(J6+L6)/2</f>
        <v>59849481.5</v>
      </c>
      <c r="K9" s="293"/>
      <c r="L9" s="293"/>
      <c r="M9" s="293">
        <f ca="1">(M6+O6)/2</f>
        <v>60506562</v>
      </c>
      <c r="N9" s="293"/>
      <c r="O9" s="293"/>
      <c r="P9" s="293">
        <f ca="1">(P6+R6)/2</f>
        <v>67530668.5</v>
      </c>
      <c r="Q9" s="293"/>
      <c r="R9" s="293"/>
      <c r="S9" s="293">
        <f ca="1">(S6+U6)/2</f>
        <v>74457885</v>
      </c>
      <c r="T9" s="293"/>
      <c r="U9" s="293"/>
      <c r="V9" s="293">
        <f ca="1">(V6+X6)/2</f>
        <v>80893787.5</v>
      </c>
      <c r="W9" s="293"/>
      <c r="X9" s="293"/>
      <c r="Y9" s="293">
        <f ca="1">(Y6+AA6)/2</f>
        <v>86497727</v>
      </c>
      <c r="Z9" s="293"/>
      <c r="AA9" s="293"/>
      <c r="AB9" s="293">
        <f ca="1">(AB6+AD6)/2</f>
        <v>86213006</v>
      </c>
    </row>
    <row r="10" spans="1:30" x14ac:dyDescent="0.25">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row>
    <row r="11" spans="1:30" x14ac:dyDescent="0.25">
      <c r="A11" t="s">
        <v>4417</v>
      </c>
      <c r="D11" s="316">
        <v>57264900</v>
      </c>
      <c r="E11" s="293"/>
      <c r="F11" s="293"/>
      <c r="G11" s="316">
        <v>59756400</v>
      </c>
      <c r="H11" s="293"/>
      <c r="I11" s="293"/>
      <c r="J11" s="316">
        <v>60307000</v>
      </c>
      <c r="K11" s="293"/>
      <c r="L11" s="293"/>
      <c r="M11" s="316">
        <v>61497900</v>
      </c>
      <c r="N11" s="293"/>
      <c r="O11" s="293"/>
      <c r="P11" s="316">
        <v>69386400</v>
      </c>
      <c r="Q11" s="293"/>
      <c r="R11" s="293"/>
      <c r="S11" s="316">
        <v>77174600</v>
      </c>
      <c r="T11" s="299"/>
      <c r="U11" s="293"/>
      <c r="V11" s="316">
        <v>84489000</v>
      </c>
      <c r="W11" s="293"/>
      <c r="X11" s="293"/>
      <c r="Y11" s="316">
        <v>91294500</v>
      </c>
      <c r="Z11" s="293"/>
      <c r="AA11" s="293"/>
      <c r="AB11" s="316">
        <v>92546700</v>
      </c>
    </row>
    <row r="12" spans="1:30" x14ac:dyDescent="0.25">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row>
    <row r="13" spans="1:30" x14ac:dyDescent="0.25">
      <c r="B13" t="s">
        <v>4414</v>
      </c>
      <c r="D13" s="293">
        <f>ROUND(D11*Assumptions!C10,-2)</f>
        <v>1603400</v>
      </c>
      <c r="E13" s="293"/>
      <c r="F13" s="293"/>
      <c r="G13" s="293">
        <f>ROUND(G11*Assumptions!D10,-2)</f>
        <v>1673200</v>
      </c>
      <c r="H13" s="293"/>
      <c r="I13" s="293"/>
      <c r="J13" s="293">
        <f>ROUND(J11*Assumptions!E10,-2)</f>
        <v>1748900</v>
      </c>
      <c r="K13" s="293"/>
      <c r="L13" s="293"/>
      <c r="M13" s="293">
        <f>ROUND(M11*Assumptions!F10,-2)</f>
        <v>1844900</v>
      </c>
      <c r="N13" s="293"/>
      <c r="O13" s="293"/>
      <c r="P13" s="293">
        <f>ROUND(P11*Assumptions!G10,-2)</f>
        <v>2151000</v>
      </c>
      <c r="Q13" s="293"/>
      <c r="R13" s="293"/>
      <c r="S13" s="293">
        <f>ROUND(S11*Assumptions!H10,-2)</f>
        <v>2546800</v>
      </c>
      <c r="T13" s="293"/>
      <c r="U13" s="293"/>
      <c r="V13" s="293">
        <f>ROUND(V11*Assumptions!I10,-2)</f>
        <v>2957100</v>
      </c>
      <c r="W13" s="293"/>
      <c r="X13" s="293"/>
      <c r="Y13" s="293">
        <f>ROUND(Y11*Assumptions!J10,-2)</f>
        <v>3377900</v>
      </c>
      <c r="Z13" s="293"/>
      <c r="AA13" s="293"/>
      <c r="AB13" s="293">
        <f>ROUND(AB11*Assumptions!K10,-2)</f>
        <v>3609300</v>
      </c>
    </row>
    <row r="14" spans="1:30" x14ac:dyDescent="0.25">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row>
    <row r="15" spans="1:30" x14ac:dyDescent="0.25">
      <c r="A15" t="s">
        <v>4419</v>
      </c>
      <c r="B15" t="s">
        <v>4420</v>
      </c>
      <c r="C15" s="333">
        <f>SUM(reservessummary!D63:D122)/reservessummary!D146</f>
        <v>0.32543314749983498</v>
      </c>
      <c r="D15" s="293">
        <f>ROUND((D$13*C15),-2)</f>
        <v>521800</v>
      </c>
      <c r="E15" s="293"/>
      <c r="F15" s="333">
        <f>SUM(reservessummary!G63:G122)/reservessummary!G146</f>
        <v>0.33001946208245148</v>
      </c>
      <c r="G15" s="293">
        <f>ROUND((G$13*F15),-2)</f>
        <v>552200</v>
      </c>
      <c r="H15" s="293"/>
      <c r="I15" s="333">
        <f>SUM(reservessummary!J63:J122)/reservessummary!J146</f>
        <v>0.39539091051961001</v>
      </c>
      <c r="J15" s="293">
        <f>ROUND((J$13*I15),-2)</f>
        <v>691500</v>
      </c>
      <c r="K15" s="293"/>
      <c r="L15" s="333">
        <f>SUM(reservessummary!M63:M122)/reservessummary!M146</f>
        <v>0.38721058980558248</v>
      </c>
      <c r="M15" s="293">
        <f>ROUND((M$13*L15),-2)</f>
        <v>714400</v>
      </c>
      <c r="N15" s="293"/>
      <c r="O15" s="333">
        <f>SUM(reservessummary!P63:P122)/reservessummary!P146</f>
        <v>0.37958591520230278</v>
      </c>
      <c r="P15" s="293">
        <f>ROUND((P$13*O15),-2)</f>
        <v>816500</v>
      </c>
      <c r="Q15" s="293"/>
      <c r="R15" s="333">
        <f>SUM(reservessummary!S63:S122)/reservessummary!S146</f>
        <v>0.37358657845011062</v>
      </c>
      <c r="S15" s="293">
        <f>ROUND((S$13*R15),-2)</f>
        <v>951500</v>
      </c>
      <c r="T15" s="293"/>
      <c r="U15" s="333">
        <f>SUM(reservessummary!V63:V122)/reservessummary!V146</f>
        <v>0.37162702998549341</v>
      </c>
      <c r="V15" s="293">
        <f>ROUND((V$13*U15),-2)</f>
        <v>1098900</v>
      </c>
      <c r="W15" s="293"/>
      <c r="X15" s="333">
        <f>SUM(reservessummary!Y63:Y122)/reservessummary!Y146</f>
        <v>0.37548883633323865</v>
      </c>
      <c r="Y15" s="293">
        <f>ROUND((Y$13*X15),-2)</f>
        <v>1268400</v>
      </c>
      <c r="Z15" s="293"/>
      <c r="AA15" s="333">
        <f>SUM(reservessummary!AB63:AB122)/reservessummary!AB146</f>
        <v>0.42995463887741969</v>
      </c>
      <c r="AB15" s="293">
        <f>ROUND((AB$13*AA15),-2)</f>
        <v>1551800</v>
      </c>
    </row>
    <row r="16" spans="1:30" x14ac:dyDescent="0.25">
      <c r="B16" t="s">
        <v>4421</v>
      </c>
      <c r="C16" s="333">
        <f>SUM(reservessummary!D61:D63)/reservessummary!D146</f>
        <v>4.9774898797976572E-2</v>
      </c>
      <c r="D16" s="293">
        <f t="shared" ref="D16:D20" si="0">ROUND((D$13*C16),-2)</f>
        <v>79800</v>
      </c>
      <c r="E16" s="293"/>
      <c r="F16" s="333">
        <f>SUM(reservessummary!G61:G63)/reservessummary!G146</f>
        <v>5.4265043114849761E-2</v>
      </c>
      <c r="G16" s="293">
        <f t="shared" ref="G16:G20" si="1">ROUND((G$13*F16),-2)</f>
        <v>90800</v>
      </c>
      <c r="H16" s="293"/>
      <c r="I16" s="333">
        <f>SUM(reservessummary!J61:J63)/reservessummary!J146</f>
        <v>7.0126325567713477E-2</v>
      </c>
      <c r="J16" s="293">
        <f t="shared" ref="J16:J20" si="2">ROUND((J$13*I16),-2)</f>
        <v>122600</v>
      </c>
      <c r="K16" s="293"/>
      <c r="L16" s="333">
        <f>SUM(reservessummary!M61:M63)/reservessummary!M146</f>
        <v>7.218793410390649E-2</v>
      </c>
      <c r="M16" s="293">
        <f t="shared" ref="M16:M20" si="3">ROUND((M$13*L16),-2)</f>
        <v>133200</v>
      </c>
      <c r="N16" s="293"/>
      <c r="O16" s="333">
        <f>SUM(reservessummary!P61:P63)/reservessummary!P146</f>
        <v>7.4461803266821516E-2</v>
      </c>
      <c r="P16" s="293">
        <f t="shared" ref="P16:P20" si="4">ROUND((P$13*O16),-2)</f>
        <v>160200</v>
      </c>
      <c r="Q16" s="293"/>
      <c r="R16" s="333">
        <f>SUM(reservessummary!S61:S63)/reservessummary!S146</f>
        <v>7.6782550740640762E-2</v>
      </c>
      <c r="S16" s="293">
        <f t="shared" ref="S16:S20" si="5">ROUND((S$13*R16),-2)</f>
        <v>195500</v>
      </c>
      <c r="T16" s="293"/>
      <c r="U16" s="333">
        <f>SUM(reservessummary!V61:V63)/reservessummary!V146</f>
        <v>7.923313246022691E-2</v>
      </c>
      <c r="V16" s="293">
        <f t="shared" ref="V16:V20" si="6">ROUND((V$13*U16),-2)</f>
        <v>234300</v>
      </c>
      <c r="W16" s="293"/>
      <c r="X16" s="333">
        <f>SUM(reservessummary!Y61:Y63)/reservessummary!Y146</f>
        <v>8.2376272456431837E-2</v>
      </c>
      <c r="Y16" s="293">
        <f t="shared" ref="Y16:Y20" si="7">ROUND((Y$13*X16),-2)</f>
        <v>278300</v>
      </c>
      <c r="Z16" s="293"/>
      <c r="AA16" s="333">
        <f>SUM(reservessummary!AB61:AB63)/reservessummary!AB146</f>
        <v>9.6204968840985797E-2</v>
      </c>
      <c r="AB16" s="293">
        <f t="shared" ref="AB16:AB20" si="8">ROUND((AB$13*AA16),-2)</f>
        <v>347200</v>
      </c>
    </row>
    <row r="17" spans="1:28" x14ac:dyDescent="0.25">
      <c r="B17" t="s">
        <v>4422</v>
      </c>
      <c r="C17" s="333">
        <f>reservessummary!D132/reservessummary!D146</f>
        <v>4.4723495062322434E-2</v>
      </c>
      <c r="D17" s="293">
        <f t="shared" si="0"/>
        <v>71700</v>
      </c>
      <c r="E17" s="293"/>
      <c r="F17" s="333">
        <f>reservessummary!G132/reservessummary!G146</f>
        <v>4.823229812774954E-2</v>
      </c>
      <c r="G17" s="293">
        <f t="shared" si="1"/>
        <v>80700</v>
      </c>
      <c r="H17" s="293"/>
      <c r="I17" s="333">
        <f>reservessummary!J132/reservessummary!J146</f>
        <v>6.1822608867196635E-2</v>
      </c>
      <c r="J17" s="293">
        <f t="shared" si="2"/>
        <v>108100</v>
      </c>
      <c r="K17" s="293"/>
      <c r="L17" s="333">
        <f>reservessummary!M132/reservessummary!M146</f>
        <v>6.1241160176782154E-2</v>
      </c>
      <c r="M17" s="293">
        <f t="shared" si="3"/>
        <v>113000</v>
      </c>
      <c r="N17" s="293"/>
      <c r="O17" s="333">
        <f>reservessummary!P132/reservessummary!P146</f>
        <v>5.3455139404179189E-2</v>
      </c>
      <c r="P17" s="293">
        <f t="shared" si="4"/>
        <v>115000</v>
      </c>
      <c r="Q17" s="293"/>
      <c r="R17" s="333">
        <f>reservessummary!S132/reservessummary!S146</f>
        <v>5.5172315008879085E-2</v>
      </c>
      <c r="S17" s="293">
        <f t="shared" si="5"/>
        <v>140500</v>
      </c>
      <c r="T17" s="293"/>
      <c r="U17" s="333">
        <f>reservessummary!V132/reservessummary!V146</f>
        <v>5.6981147959441113E-2</v>
      </c>
      <c r="V17" s="293">
        <f t="shared" si="6"/>
        <v>168500</v>
      </c>
      <c r="W17" s="293"/>
      <c r="X17" s="333">
        <f>reservessummary!Y132/reservessummary!Y146</f>
        <v>5.9289478047947153E-2</v>
      </c>
      <c r="Y17" s="293">
        <f t="shared" si="7"/>
        <v>200300</v>
      </c>
      <c r="Z17" s="293"/>
      <c r="AA17" s="333">
        <f>reservessummary!AB132/reservessummary!AB146</f>
        <v>6.8686115515927473E-2</v>
      </c>
      <c r="AB17" s="293">
        <f t="shared" si="8"/>
        <v>247900</v>
      </c>
    </row>
    <row r="18" spans="1:28" x14ac:dyDescent="0.25">
      <c r="B18" t="s">
        <v>4423</v>
      </c>
      <c r="C18" s="333">
        <f>reservessummary!D133/reservessummary!D146</f>
        <v>5.5549264020082541E-2</v>
      </c>
      <c r="D18" s="293">
        <f t="shared" si="0"/>
        <v>89100</v>
      </c>
      <c r="E18" s="293"/>
      <c r="F18" s="333">
        <f>reservessummary!G133/reservessummary!G146</f>
        <v>4.1589526237026157E-2</v>
      </c>
      <c r="G18" s="293">
        <f t="shared" si="1"/>
        <v>69600</v>
      </c>
      <c r="H18" s="293"/>
      <c r="I18" s="333">
        <f>reservessummary!J133/reservessummary!J146</f>
        <v>6.4472345859627869E-2</v>
      </c>
      <c r="J18" s="293">
        <f t="shared" si="2"/>
        <v>112800</v>
      </c>
      <c r="K18" s="293"/>
      <c r="L18" s="333">
        <f>reservessummary!M133/reservessummary!M146</f>
        <v>6.2681173025338405E-2</v>
      </c>
      <c r="M18" s="293">
        <f t="shared" si="3"/>
        <v>115600</v>
      </c>
      <c r="N18" s="293"/>
      <c r="O18" s="333">
        <f>reservessummary!P133/reservessummary!P146</f>
        <v>7.2414199389147019E-2</v>
      </c>
      <c r="P18" s="293">
        <f t="shared" si="4"/>
        <v>155800</v>
      </c>
      <c r="Q18" s="293"/>
      <c r="R18" s="333">
        <f>reservessummary!S133/reservessummary!S146</f>
        <v>6.0158796584313168E-2</v>
      </c>
      <c r="S18" s="293">
        <f t="shared" si="5"/>
        <v>153200</v>
      </c>
      <c r="T18" s="293"/>
      <c r="U18" s="333">
        <f>reservessummary!V133/reservessummary!V146</f>
        <v>6.5649606466652535E-2</v>
      </c>
      <c r="V18" s="293">
        <f t="shared" si="6"/>
        <v>194100</v>
      </c>
      <c r="W18" s="293"/>
      <c r="X18" s="333">
        <f>reservessummary!Y133/reservessummary!Y146</f>
        <v>6.935146199460937E-2</v>
      </c>
      <c r="Y18" s="293">
        <f t="shared" si="7"/>
        <v>234300</v>
      </c>
      <c r="Z18" s="293"/>
      <c r="AA18" s="333">
        <f>reservessummary!AB133/reservessummary!AB146</f>
        <v>7.9381148163469167E-2</v>
      </c>
      <c r="AB18" s="293">
        <f t="shared" si="8"/>
        <v>286500</v>
      </c>
    </row>
    <row r="19" spans="1:28" x14ac:dyDescent="0.25">
      <c r="B19" t="s">
        <v>4424</v>
      </c>
      <c r="C19" s="333">
        <f>reservessummary!D140/reservessummary!D146</f>
        <v>0.12827031837613928</v>
      </c>
      <c r="D19" s="293">
        <f t="shared" si="0"/>
        <v>205700</v>
      </c>
      <c r="E19" s="293"/>
      <c r="F19" s="333">
        <f>reservessummary!G140/reservessummary!G146</f>
        <v>0.13466708364638152</v>
      </c>
      <c r="G19" s="293">
        <f t="shared" si="1"/>
        <v>225300</v>
      </c>
      <c r="H19" s="293"/>
      <c r="I19" s="333">
        <f>reservessummary!J140/reservessummary!J146</f>
        <v>-3.3170786248942416E-2</v>
      </c>
      <c r="J19" s="293">
        <f t="shared" si="2"/>
        <v>-58000</v>
      </c>
      <c r="K19" s="293"/>
      <c r="L19" s="333">
        <f>reservessummary!M140/reservessummary!M146</f>
        <v>-9.2939651094213933E-3</v>
      </c>
      <c r="M19" s="293">
        <f t="shared" si="3"/>
        <v>-17100</v>
      </c>
      <c r="N19" s="293"/>
      <c r="O19" s="333">
        <f>reservessummary!P140/reservessummary!P146</f>
        <v>-3.8113820416676354E-3</v>
      </c>
      <c r="P19" s="293">
        <f t="shared" si="4"/>
        <v>-8200</v>
      </c>
      <c r="Q19" s="293"/>
      <c r="R19" s="333">
        <f>reservessummary!S140/reservessummary!S146</f>
        <v>1.126864839366412E-2</v>
      </c>
      <c r="S19" s="293">
        <f t="shared" si="5"/>
        <v>28700</v>
      </c>
      <c r="T19" s="293"/>
      <c r="U19" s="333">
        <f>reservessummary!V140/reservessummary!V146</f>
        <v>1.2603370156876549E-2</v>
      </c>
      <c r="V19" s="293">
        <f t="shared" si="6"/>
        <v>37300</v>
      </c>
      <c r="W19" s="293"/>
      <c r="X19" s="333">
        <f>reservessummary!Y140/reservessummary!Y146</f>
        <v>-7.7474333406570717E-3</v>
      </c>
      <c r="Y19" s="293">
        <f t="shared" si="7"/>
        <v>-26200</v>
      </c>
      <c r="Z19" s="293"/>
      <c r="AA19" s="333">
        <f>reservessummary!AB140/reservessummary!AB146</f>
        <v>-0.13262162767183835</v>
      </c>
      <c r="AB19" s="293">
        <f t="shared" si="8"/>
        <v>-478700</v>
      </c>
    </row>
    <row r="20" spans="1:28" x14ac:dyDescent="0.25">
      <c r="B20" t="s">
        <v>4425</v>
      </c>
      <c r="C20" s="333">
        <f>(reservessummary!D141+reservessummary!D142)/reservessummary!D146</f>
        <v>0.16689438847906013</v>
      </c>
      <c r="D20" s="293">
        <f t="shared" si="0"/>
        <v>267600</v>
      </c>
      <c r="E20" s="293"/>
      <c r="F20" s="333">
        <f>(reservessummary!G141+reservessummary!G142)/reservessummary!G146</f>
        <v>0.18340893614681769</v>
      </c>
      <c r="G20" s="293">
        <f t="shared" si="1"/>
        <v>306900</v>
      </c>
      <c r="H20" s="293"/>
      <c r="I20" s="333">
        <f>(reservessummary!J141+reservessummary!J142)/reservessummary!J146</f>
        <v>0.23192880118365752</v>
      </c>
      <c r="J20" s="293">
        <f t="shared" si="2"/>
        <v>405600</v>
      </c>
      <c r="K20" s="293"/>
      <c r="L20" s="333">
        <f>(reservessummary!M141+reservessummary!M142)/reservessummary!M146</f>
        <v>0.21935829862132272</v>
      </c>
      <c r="M20" s="293">
        <f t="shared" si="3"/>
        <v>404700</v>
      </c>
      <c r="N20" s="293"/>
      <c r="O20" s="333">
        <f>(reservessummary!P141+reservessummary!P142)/reservessummary!P146</f>
        <v>0.21854921757080042</v>
      </c>
      <c r="P20" s="293">
        <f t="shared" si="4"/>
        <v>470100</v>
      </c>
      <c r="Q20" s="293"/>
      <c r="R20" s="333">
        <f>(reservessummary!S141+reservessummary!S142)/reservessummary!S146</f>
        <v>0.21595473538233376</v>
      </c>
      <c r="S20" s="293">
        <f t="shared" si="5"/>
        <v>550000</v>
      </c>
      <c r="T20" s="293"/>
      <c r="U20" s="333">
        <f>(reservessummary!V141+reservessummary!V142)/reservessummary!V146</f>
        <v>0.20450676395304362</v>
      </c>
      <c r="V20" s="293">
        <f t="shared" si="6"/>
        <v>604700</v>
      </c>
      <c r="W20" s="293"/>
      <c r="X20" s="333">
        <f>(reservessummary!Y141+reservessummary!Y142)/reservessummary!Y146</f>
        <v>0.20583115322874729</v>
      </c>
      <c r="Y20" s="293">
        <f t="shared" si="7"/>
        <v>695300</v>
      </c>
      <c r="Z20" s="293"/>
      <c r="AA20" s="333">
        <f>(reservessummary!AB141+reservessummary!AB142)/reservessummary!AB146</f>
        <v>0.20891045254714663</v>
      </c>
      <c r="AB20" s="293">
        <f t="shared" si="8"/>
        <v>754000</v>
      </c>
    </row>
    <row r="21" spans="1:28" x14ac:dyDescent="0.25">
      <c r="D21" s="293"/>
      <c r="E21" s="293"/>
      <c r="G21" s="293"/>
      <c r="H21" s="293"/>
      <c r="J21" s="293"/>
      <c r="K21" s="293"/>
      <c r="M21" s="293"/>
      <c r="N21" s="293"/>
      <c r="P21" s="293"/>
      <c r="Q21" s="293"/>
      <c r="S21" s="293"/>
      <c r="T21" s="293"/>
      <c r="V21" s="293"/>
      <c r="W21" s="293"/>
      <c r="Y21" s="293"/>
      <c r="Z21" s="293"/>
      <c r="AB21" s="293"/>
    </row>
    <row r="22" spans="1:28" x14ac:dyDescent="0.25">
      <c r="B22" t="s">
        <v>4426</v>
      </c>
      <c r="D22" s="293">
        <f>D13-D15-D16-D17-D18-D19-D20</f>
        <v>367700</v>
      </c>
      <c r="E22" s="293"/>
      <c r="G22" s="293">
        <f>G13-G15-G16-G17-G18-G19-G20</f>
        <v>347700</v>
      </c>
      <c r="H22" s="293"/>
      <c r="J22" s="293">
        <f>J13-J15-J16-J17-J18-J19-J20</f>
        <v>366300</v>
      </c>
      <c r="K22" s="293"/>
      <c r="M22" s="293">
        <f>M13-M15-M16-M17-M18-M19-M20</f>
        <v>381100</v>
      </c>
      <c r="N22" s="293"/>
      <c r="P22" s="293">
        <f>P13-P15-P16-P17-P18-P19-P20</f>
        <v>441600</v>
      </c>
      <c r="Q22" s="293"/>
      <c r="S22" s="293">
        <f>S13-S15-S16-S17-S18-S19-S20</f>
        <v>527400</v>
      </c>
      <c r="T22" s="293"/>
      <c r="V22" s="293">
        <f>V13-V15-V16-V17-V18-V19-V20</f>
        <v>619300</v>
      </c>
      <c r="W22" s="293"/>
      <c r="Y22" s="293">
        <f>Y13-Y15-Y16-Y17-Y18-Y19-Y20</f>
        <v>727500</v>
      </c>
      <c r="Z22" s="293"/>
      <c r="AB22" s="293">
        <f>AB13-AB15-AB16-AB17-AB18-AB19-AB20</f>
        <v>900600</v>
      </c>
    </row>
    <row r="23" spans="1:28" x14ac:dyDescent="0.25">
      <c r="D23" s="293"/>
      <c r="E23" s="293"/>
      <c r="G23" s="293"/>
      <c r="H23" s="293"/>
      <c r="J23" s="293"/>
      <c r="K23" s="293"/>
      <c r="M23" s="293"/>
      <c r="N23" s="293"/>
      <c r="P23" s="293"/>
      <c r="Q23" s="293"/>
      <c r="S23" s="293"/>
      <c r="T23" s="293"/>
      <c r="V23" s="293"/>
      <c r="W23" s="293"/>
      <c r="Y23" s="293"/>
      <c r="Z23" s="293"/>
      <c r="AB23" s="293"/>
    </row>
    <row r="24" spans="1:28" x14ac:dyDescent="0.25">
      <c r="C24" s="285"/>
      <c r="D24" s="26">
        <v>2018</v>
      </c>
      <c r="E24" s="26">
        <v>2019</v>
      </c>
      <c r="F24" s="26">
        <v>2020</v>
      </c>
      <c r="G24" s="26">
        <v>2021</v>
      </c>
      <c r="H24" s="26">
        <v>2022</v>
      </c>
      <c r="I24" s="26">
        <v>2023</v>
      </c>
      <c r="J24" s="26">
        <v>2024</v>
      </c>
      <c r="K24" s="26">
        <v>2025</v>
      </c>
      <c r="L24" s="26">
        <v>2026</v>
      </c>
    </row>
    <row r="25" spans="1:28" x14ac:dyDescent="0.25">
      <c r="A25" s="281" t="s">
        <v>4419</v>
      </c>
      <c r="B25" s="281" t="s">
        <v>4420</v>
      </c>
      <c r="C25" s="336"/>
      <c r="D25" s="316">
        <v>466700</v>
      </c>
      <c r="E25" s="316">
        <v>459500</v>
      </c>
      <c r="F25" s="316">
        <v>541300</v>
      </c>
      <c r="G25" s="316">
        <v>556300</v>
      </c>
      <c r="H25" s="316">
        <v>573900</v>
      </c>
      <c r="I25" s="316">
        <v>615400</v>
      </c>
      <c r="J25" s="316">
        <v>665900</v>
      </c>
      <c r="K25" s="316">
        <v>726300</v>
      </c>
      <c r="L25" s="316">
        <v>859600</v>
      </c>
    </row>
    <row r="26" spans="1:28" x14ac:dyDescent="0.25">
      <c r="A26" s="281"/>
      <c r="B26" s="281" t="s">
        <v>4421</v>
      </c>
      <c r="C26" s="336"/>
      <c r="D26" s="316">
        <v>68000</v>
      </c>
      <c r="E26" s="316">
        <v>71100</v>
      </c>
      <c r="F26" s="316">
        <v>88300</v>
      </c>
      <c r="G26" s="316">
        <v>94900</v>
      </c>
      <c r="H26" s="316">
        <v>101900</v>
      </c>
      <c r="I26" s="316">
        <v>113400</v>
      </c>
      <c r="J26" s="316">
        <v>126900</v>
      </c>
      <c r="K26" s="316">
        <v>142900</v>
      </c>
      <c r="L26" s="316">
        <v>174200</v>
      </c>
    </row>
    <row r="27" spans="1:28" x14ac:dyDescent="0.25">
      <c r="A27" s="281" t="s">
        <v>4432</v>
      </c>
      <c r="B27" s="281" t="s">
        <v>4422</v>
      </c>
      <c r="C27" s="336"/>
      <c r="D27" s="316">
        <v>63100</v>
      </c>
      <c r="E27" s="316">
        <v>66400</v>
      </c>
      <c r="F27" s="316">
        <v>82200</v>
      </c>
      <c r="G27" s="316">
        <v>85600</v>
      </c>
      <c r="H27" s="316">
        <v>78700</v>
      </c>
      <c r="I27" s="316">
        <v>88100</v>
      </c>
      <c r="J27" s="316">
        <v>98700</v>
      </c>
      <c r="K27" s="316">
        <v>110900</v>
      </c>
      <c r="L27" s="316">
        <v>133200</v>
      </c>
    </row>
    <row r="28" spans="1:28" x14ac:dyDescent="0.25">
      <c r="A28" s="281" t="s">
        <v>4433</v>
      </c>
      <c r="B28" s="281" t="s">
        <v>4423</v>
      </c>
      <c r="C28" s="336"/>
      <c r="D28" s="316">
        <v>77800</v>
      </c>
      <c r="E28" s="316">
        <v>57500</v>
      </c>
      <c r="F28" s="316">
        <v>86700</v>
      </c>
      <c r="G28" s="316">
        <v>89900</v>
      </c>
      <c r="H28" s="316">
        <v>110800</v>
      </c>
      <c r="I28" s="316">
        <v>103000</v>
      </c>
      <c r="J28" s="316">
        <v>124700</v>
      </c>
      <c r="K28" s="316">
        <v>146000</v>
      </c>
      <c r="L28" s="316">
        <v>178800</v>
      </c>
    </row>
    <row r="29" spans="1:28" x14ac:dyDescent="0.25">
      <c r="A29" s="281" t="s">
        <v>4434</v>
      </c>
      <c r="B29" s="281" t="s">
        <v>4424</v>
      </c>
      <c r="C29" s="336"/>
      <c r="D29" s="316">
        <v>181100</v>
      </c>
      <c r="E29" s="316">
        <v>185500</v>
      </c>
      <c r="F29" s="316">
        <v>-44100</v>
      </c>
      <c r="G29" s="316">
        <v>-13000</v>
      </c>
      <c r="H29" s="316">
        <v>-5600</v>
      </c>
      <c r="I29" s="316">
        <v>18000</v>
      </c>
      <c r="J29" s="316">
        <v>21800</v>
      </c>
      <c r="K29" s="316">
        <v>-14500</v>
      </c>
      <c r="L29" s="316">
        <v>-257200</v>
      </c>
    </row>
    <row r="30" spans="1:28" x14ac:dyDescent="0.25">
      <c r="A30" s="281"/>
      <c r="B30" s="281" t="s">
        <v>4425</v>
      </c>
      <c r="C30" s="336"/>
      <c r="D30" s="316">
        <v>229400</v>
      </c>
      <c r="E30" s="316">
        <v>242300</v>
      </c>
      <c r="F30" s="316">
        <v>297600</v>
      </c>
      <c r="G30" s="316">
        <v>296800</v>
      </c>
      <c r="H30" s="316">
        <v>313500</v>
      </c>
      <c r="I30" s="316">
        <v>337400</v>
      </c>
      <c r="J30" s="316">
        <v>349300</v>
      </c>
      <c r="K30" s="316">
        <v>384200</v>
      </c>
      <c r="L30" s="316">
        <v>416800</v>
      </c>
    </row>
    <row r="31" spans="1:28" x14ac:dyDescent="0.25">
      <c r="A31" s="281"/>
      <c r="B31" s="281"/>
      <c r="C31" s="336"/>
      <c r="D31" s="316"/>
      <c r="E31" s="316"/>
      <c r="F31" s="316"/>
      <c r="G31" s="316"/>
      <c r="H31" s="316"/>
      <c r="I31" s="316"/>
      <c r="J31" s="316"/>
      <c r="K31" s="316"/>
      <c r="L31" s="316"/>
    </row>
    <row r="32" spans="1:28" x14ac:dyDescent="0.25">
      <c r="A32" s="281"/>
      <c r="B32" s="281" t="s">
        <v>4426</v>
      </c>
      <c r="C32" s="336"/>
      <c r="D32" s="316">
        <f>D22+D34</f>
        <v>517700</v>
      </c>
      <c r="E32" s="316">
        <f>G22+D34</f>
        <v>497700</v>
      </c>
      <c r="F32" s="316">
        <f>J22+D34</f>
        <v>516300</v>
      </c>
      <c r="G32" s="316">
        <f>M22+D34</f>
        <v>531100</v>
      </c>
      <c r="H32" s="316">
        <f>P22+D34</f>
        <v>591600</v>
      </c>
      <c r="I32" s="316">
        <f>S22+D34</f>
        <v>677400</v>
      </c>
      <c r="J32" s="316">
        <f>V22+D34</f>
        <v>769300</v>
      </c>
      <c r="K32" s="316">
        <f>Y22+D34</f>
        <v>877500</v>
      </c>
      <c r="L32" s="316">
        <f>AB22+D34</f>
        <v>1050600</v>
      </c>
    </row>
    <row r="33" spans="1:28" x14ac:dyDescent="0.25">
      <c r="C33" s="285"/>
      <c r="D33" s="293"/>
      <c r="E33" s="293"/>
      <c r="F33" s="293"/>
      <c r="G33" s="293"/>
      <c r="H33" s="293"/>
      <c r="I33" s="293"/>
      <c r="J33" s="293"/>
      <c r="K33" s="293"/>
      <c r="L33" s="293"/>
    </row>
    <row r="34" spans="1:28" x14ac:dyDescent="0.25">
      <c r="B34" t="s">
        <v>4554</v>
      </c>
      <c r="C34" s="285"/>
      <c r="D34" s="293">
        <v>150000</v>
      </c>
      <c r="E34" s="293"/>
      <c r="F34" s="293"/>
      <c r="G34" s="293"/>
      <c r="H34" s="293"/>
      <c r="I34" s="293"/>
      <c r="J34" s="293"/>
      <c r="K34" s="293"/>
      <c r="L34" s="293"/>
      <c r="M34" s="293"/>
      <c r="N34" s="293"/>
      <c r="O34" s="293"/>
      <c r="P34" s="293"/>
      <c r="Q34" s="293"/>
      <c r="R34" s="293"/>
    </row>
    <row r="35" spans="1:28" x14ac:dyDescent="0.25">
      <c r="C35" s="285"/>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row>
    <row r="36" spans="1:28" x14ac:dyDescent="0.25">
      <c r="C36" s="285"/>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row>
    <row r="37" spans="1:28" x14ac:dyDescent="0.25">
      <c r="C37" s="285"/>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row>
    <row r="38" spans="1:28" x14ac:dyDescent="0.25">
      <c r="C38" s="285"/>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row>
    <row r="39" spans="1:28" x14ac:dyDescent="0.25">
      <c r="A39" t="s">
        <v>4416</v>
      </c>
      <c r="C39" s="285"/>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row>
    <row r="40" spans="1:28" x14ac:dyDescent="0.25">
      <c r="A40" t="s">
        <v>4427</v>
      </c>
      <c r="C40" s="285" t="s">
        <v>787</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row>
    <row r="41" spans="1:28" x14ac:dyDescent="0.25">
      <c r="A41" t="s">
        <v>4051</v>
      </c>
      <c r="C41" s="285"/>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row>
    <row r="42" spans="1:28" x14ac:dyDescent="0.25">
      <c r="A42" t="s">
        <v>4420</v>
      </c>
      <c r="C42" s="285">
        <v>690000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row>
    <row r="43" spans="1:28" x14ac:dyDescent="0.25">
      <c r="A43" t="s">
        <v>4421</v>
      </c>
      <c r="C43" s="285">
        <v>1324000</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row>
    <row r="44" spans="1:28" x14ac:dyDescent="0.25">
      <c r="A44" t="s">
        <v>4422</v>
      </c>
      <c r="C44" s="285">
        <f>480000/2</f>
        <v>240000</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row>
    <row r="45" spans="1:28" x14ac:dyDescent="0.25">
      <c r="A45" t="s">
        <v>4423</v>
      </c>
      <c r="C45" s="285">
        <v>13000</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row>
    <row r="46" spans="1:28" x14ac:dyDescent="0.25">
      <c r="A46" t="s">
        <v>4424</v>
      </c>
      <c r="C46" s="285">
        <f>480000/2</f>
        <v>240000</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row>
    <row r="47" spans="1:28" x14ac:dyDescent="0.25">
      <c r="A47" t="s">
        <v>4425</v>
      </c>
      <c r="C47" s="285">
        <v>41000</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row>
    <row r="48" spans="1:28" x14ac:dyDescent="0.25">
      <c r="A48" s="47" t="s">
        <v>3234</v>
      </c>
      <c r="C48" s="334">
        <f>SUM(C42:C47)</f>
        <v>2548000</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row>
    <row r="49" spans="1:28" x14ac:dyDescent="0.25">
      <c r="C49" s="285"/>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row>
    <row r="50" spans="1:28" x14ac:dyDescent="0.25">
      <c r="A50" t="s">
        <v>4415</v>
      </c>
      <c r="C50" s="285"/>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row>
    <row r="51" spans="1:28" x14ac:dyDescent="0.25">
      <c r="A51" t="s">
        <v>4420</v>
      </c>
      <c r="C51" s="285">
        <v>683000</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row>
    <row r="52" spans="1:28" x14ac:dyDescent="0.25">
      <c r="A52" t="s">
        <v>4428</v>
      </c>
      <c r="C52" s="285">
        <v>911000</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row>
    <row r="53" spans="1:28" x14ac:dyDescent="0.25">
      <c r="A53" t="s">
        <v>4422</v>
      </c>
      <c r="C53" s="285">
        <f>530000/2</f>
        <v>265000</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row>
    <row r="54" spans="1:28" x14ac:dyDescent="0.25">
      <c r="A54" t="s">
        <v>4423</v>
      </c>
      <c r="C54" s="285">
        <v>20000</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row>
    <row r="55" spans="1:28" x14ac:dyDescent="0.25">
      <c r="A55" t="s">
        <v>4424</v>
      </c>
      <c r="C55" s="285">
        <f>530000/2</f>
        <v>265000</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row>
    <row r="56" spans="1:28" x14ac:dyDescent="0.25">
      <c r="A56" t="s">
        <v>4425</v>
      </c>
      <c r="C56" s="285">
        <v>49000</v>
      </c>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row>
    <row r="57" spans="1:28" x14ac:dyDescent="0.25">
      <c r="A57" s="47" t="s">
        <v>3234</v>
      </c>
      <c r="C57" s="334">
        <f>SUM(C51:C56)</f>
        <v>2193000</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row>
    <row r="58" spans="1:28" x14ac:dyDescent="0.25">
      <c r="C58" s="285"/>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row>
    <row r="59" spans="1:28" x14ac:dyDescent="0.25">
      <c r="A59" t="s">
        <v>4147</v>
      </c>
      <c r="C59" s="285"/>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row>
    <row r="60" spans="1:28" x14ac:dyDescent="0.25">
      <c r="A60" t="s">
        <v>4420</v>
      </c>
      <c r="C60" s="285">
        <v>646000</v>
      </c>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row>
    <row r="61" spans="1:28" x14ac:dyDescent="0.25">
      <c r="A61" t="s">
        <v>4421</v>
      </c>
      <c r="C61" s="285">
        <v>1105000</v>
      </c>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row>
    <row r="62" spans="1:28" x14ac:dyDescent="0.25">
      <c r="A62" t="s">
        <v>4422</v>
      </c>
      <c r="C62" s="285">
        <f>556000/2</f>
        <v>278000</v>
      </c>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row>
    <row r="63" spans="1:28" x14ac:dyDescent="0.25">
      <c r="A63" t="s">
        <v>4423</v>
      </c>
      <c r="C63" s="285">
        <v>21000</v>
      </c>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row>
    <row r="64" spans="1:28" x14ac:dyDescent="0.25">
      <c r="A64" t="s">
        <v>4424</v>
      </c>
      <c r="C64" s="285">
        <f>556000/2</f>
        <v>278000</v>
      </c>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row>
    <row r="65" spans="1:28" x14ac:dyDescent="0.25">
      <c r="A65" t="s">
        <v>4425</v>
      </c>
      <c r="C65" s="285">
        <v>47000</v>
      </c>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row>
    <row r="66" spans="1:28" x14ac:dyDescent="0.25">
      <c r="A66" s="47" t="s">
        <v>3234</v>
      </c>
      <c r="C66" s="334">
        <f>SUM(C60:C65)</f>
        <v>2375000</v>
      </c>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row>
    <row r="67" spans="1:28" x14ac:dyDescent="0.25">
      <c r="C67" s="285"/>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row>
    <row r="68" spans="1:28" x14ac:dyDescent="0.25">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row>
    <row r="69" spans="1:28" x14ac:dyDescent="0.25">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row>
    <row r="70" spans="1:28" x14ac:dyDescent="0.25">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row>
    <row r="71" spans="1:28" x14ac:dyDescent="0.25">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row>
    <row r="72" spans="1:28" x14ac:dyDescent="0.25">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row>
    <row r="73" spans="1:28" x14ac:dyDescent="0.25">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row>
    <row r="74" spans="1:28" x14ac:dyDescent="0.25">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row>
    <row r="75" spans="1:28" x14ac:dyDescent="0.25">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row>
    <row r="76" spans="1:28" x14ac:dyDescent="0.25">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row>
    <row r="77" spans="1:28" x14ac:dyDescent="0.25">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row>
    <row r="78" spans="1:28" x14ac:dyDescent="0.25">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row>
    <row r="79" spans="1:28" x14ac:dyDescent="0.25">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row>
    <row r="80" spans="1:28" x14ac:dyDescent="0.25">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row>
    <row r="81" spans="4:28" x14ac:dyDescent="0.25">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row>
    <row r="82" spans="4:28" x14ac:dyDescent="0.25">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row>
    <row r="83" spans="4:28" x14ac:dyDescent="0.25">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row>
    <row r="84" spans="4:28" x14ac:dyDescent="0.25">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row>
    <row r="85" spans="4:28" x14ac:dyDescent="0.25">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row>
    <row r="86" spans="4:28" x14ac:dyDescent="0.25">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row>
    <row r="87" spans="4:28" x14ac:dyDescent="0.25">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row>
    <row r="88" spans="4:28" x14ac:dyDescent="0.25">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row>
    <row r="89" spans="4:28" x14ac:dyDescent="0.25">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row>
    <row r="90" spans="4:28" x14ac:dyDescent="0.25">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row>
    <row r="91" spans="4:28" x14ac:dyDescent="0.25">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row>
    <row r="92" spans="4:28" x14ac:dyDescent="0.25">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row>
    <row r="93" spans="4:28" x14ac:dyDescent="0.25">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row>
    <row r="94" spans="4:28" x14ac:dyDescent="0.25">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row>
    <row r="95" spans="4:28" x14ac:dyDescent="0.25">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row>
  </sheetData>
  <mergeCells count="1">
    <mergeCell ref="D3:A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64"/>
  <sheetViews>
    <sheetView zoomScaleNormal="100" zoomScaleSheetLayoutView="85" workbookViewId="0">
      <pane xSplit="1" ySplit="5" topLeftCell="N36" activePane="bottomRight" state="frozen"/>
      <selection pane="topRight" activeCell="B1" sqref="B1"/>
      <selection pane="bottomLeft" activeCell="A6" sqref="A6"/>
      <selection pane="bottomRight" activeCell="AD147" sqref="AD147"/>
    </sheetView>
  </sheetViews>
  <sheetFormatPr defaultRowHeight="15" x14ac:dyDescent="0.25"/>
  <cols>
    <col min="1" max="1" width="58.85546875" customWidth="1"/>
    <col min="2" max="28" width="12.7109375" style="285" customWidth="1"/>
  </cols>
  <sheetData>
    <row r="1" spans="1:28" ht="15.75" x14ac:dyDescent="0.25">
      <c r="A1" s="48" t="s">
        <v>0</v>
      </c>
    </row>
    <row r="2" spans="1:28" ht="15.75" x14ac:dyDescent="0.25">
      <c r="A2" s="48" t="s">
        <v>4630</v>
      </c>
    </row>
    <row r="3" spans="1:28" x14ac:dyDescent="0.25">
      <c r="A3" s="277"/>
      <c r="B3" s="491" t="s">
        <v>12</v>
      </c>
      <c r="C3" s="492"/>
      <c r="D3" s="493"/>
      <c r="E3" s="491" t="s">
        <v>13</v>
      </c>
      <c r="F3" s="492"/>
      <c r="G3" s="493"/>
      <c r="H3" s="491" t="s">
        <v>15</v>
      </c>
      <c r="I3" s="492"/>
      <c r="J3" s="493"/>
      <c r="K3" s="491" t="s">
        <v>16</v>
      </c>
      <c r="L3" s="492"/>
      <c r="M3" s="493"/>
      <c r="N3" s="491" t="s">
        <v>17</v>
      </c>
      <c r="O3" s="492"/>
      <c r="P3" s="493"/>
      <c r="Q3" s="491" t="s">
        <v>18</v>
      </c>
      <c r="R3" s="492"/>
      <c r="S3" s="493"/>
      <c r="T3" s="491" t="s">
        <v>19</v>
      </c>
      <c r="U3" s="492"/>
      <c r="V3" s="493"/>
      <c r="W3" s="491" t="s">
        <v>20</v>
      </c>
      <c r="X3" s="492"/>
      <c r="Y3" s="493"/>
      <c r="Z3" s="491" t="s">
        <v>21</v>
      </c>
      <c r="AA3" s="492"/>
      <c r="AB3" s="493"/>
    </row>
    <row r="4" spans="1:28" x14ac:dyDescent="0.25">
      <c r="A4" s="278"/>
      <c r="B4" s="346" t="s">
        <v>4152</v>
      </c>
      <c r="C4" s="347" t="s">
        <v>4154</v>
      </c>
      <c r="D4" s="348" t="s">
        <v>4156</v>
      </c>
      <c r="E4" s="346" t="s">
        <v>4152</v>
      </c>
      <c r="F4" s="347" t="s">
        <v>4154</v>
      </c>
      <c r="G4" s="348" t="s">
        <v>4156</v>
      </c>
      <c r="H4" s="346" t="s">
        <v>4152</v>
      </c>
      <c r="I4" s="347" t="s">
        <v>4154</v>
      </c>
      <c r="J4" s="348" t="s">
        <v>4156</v>
      </c>
      <c r="K4" s="346" t="s">
        <v>4152</v>
      </c>
      <c r="L4" s="347" t="s">
        <v>4154</v>
      </c>
      <c r="M4" s="348" t="s">
        <v>4156</v>
      </c>
      <c r="N4" s="346" t="s">
        <v>4152</v>
      </c>
      <c r="O4" s="347" t="s">
        <v>4154</v>
      </c>
      <c r="P4" s="348" t="s">
        <v>4156</v>
      </c>
      <c r="Q4" s="346" t="s">
        <v>4152</v>
      </c>
      <c r="R4" s="347" t="s">
        <v>4154</v>
      </c>
      <c r="S4" s="348" t="s">
        <v>4156</v>
      </c>
      <c r="T4" s="346" t="s">
        <v>4152</v>
      </c>
      <c r="U4" s="347" t="s">
        <v>4154</v>
      </c>
      <c r="V4" s="348" t="s">
        <v>4156</v>
      </c>
      <c r="W4" s="346" t="s">
        <v>4152</v>
      </c>
      <c r="X4" s="347" t="s">
        <v>4154</v>
      </c>
      <c r="Y4" s="348" t="s">
        <v>4156</v>
      </c>
      <c r="Z4" s="346" t="s">
        <v>4152</v>
      </c>
      <c r="AA4" s="347" t="s">
        <v>4154</v>
      </c>
      <c r="AB4" s="348" t="s">
        <v>4156</v>
      </c>
    </row>
    <row r="5" spans="1:28" x14ac:dyDescent="0.25">
      <c r="A5" s="278" t="s">
        <v>4157</v>
      </c>
      <c r="B5" s="346" t="s">
        <v>4153</v>
      </c>
      <c r="C5" s="347" t="s">
        <v>4155</v>
      </c>
      <c r="D5" s="348" t="s">
        <v>4153</v>
      </c>
      <c r="E5" s="346" t="s">
        <v>4153</v>
      </c>
      <c r="F5" s="347" t="s">
        <v>4155</v>
      </c>
      <c r="G5" s="348" t="s">
        <v>4153</v>
      </c>
      <c r="H5" s="346" t="s">
        <v>4153</v>
      </c>
      <c r="I5" s="347" t="s">
        <v>4155</v>
      </c>
      <c r="J5" s="348" t="s">
        <v>4153</v>
      </c>
      <c r="K5" s="346" t="s">
        <v>4153</v>
      </c>
      <c r="L5" s="347" t="s">
        <v>4155</v>
      </c>
      <c r="M5" s="348" t="s">
        <v>4153</v>
      </c>
      <c r="N5" s="346" t="s">
        <v>4153</v>
      </c>
      <c r="O5" s="347" t="s">
        <v>4155</v>
      </c>
      <c r="P5" s="348" t="s">
        <v>4153</v>
      </c>
      <c r="Q5" s="346" t="s">
        <v>4153</v>
      </c>
      <c r="R5" s="347" t="s">
        <v>4155</v>
      </c>
      <c r="S5" s="348" t="s">
        <v>4153</v>
      </c>
      <c r="T5" s="346" t="s">
        <v>4153</v>
      </c>
      <c r="U5" s="347" t="s">
        <v>4155</v>
      </c>
      <c r="V5" s="348" t="s">
        <v>4153</v>
      </c>
      <c r="W5" s="346" t="s">
        <v>4153</v>
      </c>
      <c r="X5" s="347" t="s">
        <v>4155</v>
      </c>
      <c r="Y5" s="348" t="s">
        <v>4153</v>
      </c>
      <c r="Z5" s="346" t="s">
        <v>4153</v>
      </c>
      <c r="AA5" s="347" t="s">
        <v>4155</v>
      </c>
      <c r="AB5" s="348" t="s">
        <v>4153</v>
      </c>
    </row>
    <row r="6" spans="1:28" x14ac:dyDescent="0.25">
      <c r="A6" s="47" t="s">
        <v>3232</v>
      </c>
      <c r="B6" s="349"/>
      <c r="C6" s="350"/>
      <c r="D6" s="351"/>
      <c r="E6" s="352"/>
      <c r="F6" s="350"/>
      <c r="G6" s="351"/>
      <c r="H6" s="346"/>
      <c r="I6" s="347"/>
      <c r="J6" s="348"/>
      <c r="K6" s="346"/>
      <c r="L6" s="347"/>
      <c r="M6" s="348"/>
      <c r="N6" s="346"/>
      <c r="O6" s="347"/>
      <c r="P6" s="348"/>
      <c r="Q6" s="346"/>
      <c r="R6" s="347"/>
      <c r="S6" s="348"/>
      <c r="T6" s="346"/>
      <c r="U6" s="347"/>
      <c r="V6" s="348"/>
      <c r="W6" s="346"/>
      <c r="X6" s="347"/>
      <c r="Y6" s="348"/>
      <c r="Z6" s="346"/>
      <c r="AA6" s="347"/>
      <c r="AB6" s="348"/>
    </row>
    <row r="7" spans="1:28" x14ac:dyDescent="0.25">
      <c r="A7" s="47"/>
      <c r="B7" s="349"/>
      <c r="C7" s="350"/>
      <c r="D7" s="351"/>
      <c r="E7" s="352"/>
      <c r="F7" s="350"/>
      <c r="G7" s="351"/>
      <c r="H7" s="346"/>
      <c r="I7" s="347"/>
      <c r="J7" s="348"/>
      <c r="K7" s="346"/>
      <c r="L7" s="347"/>
      <c r="M7" s="348"/>
      <c r="N7" s="346"/>
      <c r="O7" s="347"/>
      <c r="P7" s="348"/>
      <c r="Q7" s="346"/>
      <c r="R7" s="347"/>
      <c r="S7" s="348"/>
      <c r="T7" s="346"/>
      <c r="U7" s="347"/>
      <c r="V7" s="348"/>
      <c r="W7" s="346"/>
      <c r="X7" s="347"/>
      <c r="Y7" s="348"/>
      <c r="Z7" s="346"/>
      <c r="AA7" s="347"/>
      <c r="AB7" s="348"/>
    </row>
    <row r="8" spans="1:28" x14ac:dyDescent="0.25">
      <c r="A8" s="47" t="s">
        <v>4158</v>
      </c>
      <c r="B8" s="349"/>
      <c r="C8" s="350"/>
      <c r="D8" s="351"/>
      <c r="E8" s="352"/>
      <c r="F8" s="350"/>
      <c r="G8" s="351"/>
      <c r="H8" s="352"/>
      <c r="I8" s="350"/>
      <c r="J8" s="351"/>
      <c r="K8" s="352"/>
      <c r="L8" s="350"/>
      <c r="M8" s="351"/>
      <c r="N8" s="352"/>
      <c r="O8" s="350"/>
      <c r="P8" s="351"/>
      <c r="Q8" s="352"/>
      <c r="R8" s="350"/>
      <c r="S8" s="351"/>
      <c r="T8" s="352"/>
      <c r="U8" s="350"/>
      <c r="V8" s="351"/>
      <c r="W8" s="352"/>
      <c r="X8" s="350"/>
      <c r="Y8" s="351"/>
      <c r="Z8" s="352"/>
      <c r="AA8" s="350"/>
      <c r="AB8" s="351"/>
    </row>
    <row r="9" spans="1:28" x14ac:dyDescent="0.25">
      <c r="A9" s="190" t="s">
        <v>4127</v>
      </c>
      <c r="B9" s="349">
        <v>207543</v>
      </c>
      <c r="C9" s="350">
        <f>'reservecalc-internal'!B33</f>
        <v>0</v>
      </c>
      <c r="D9" s="351">
        <f>B9+C9</f>
        <v>207543</v>
      </c>
      <c r="E9" s="352">
        <f>D9</f>
        <v>207543</v>
      </c>
      <c r="F9" s="350">
        <f>'reservecalc-internal'!C33</f>
        <v>0</v>
      </c>
      <c r="G9" s="351">
        <f>E9+F9</f>
        <v>207543</v>
      </c>
      <c r="H9" s="352">
        <f>G9</f>
        <v>207543</v>
      </c>
      <c r="I9" s="350">
        <f>'reservecalc-internal'!D33</f>
        <v>0</v>
      </c>
      <c r="J9" s="351">
        <f>H9+I9</f>
        <v>207543</v>
      </c>
      <c r="K9" s="352">
        <f>J9</f>
        <v>207543</v>
      </c>
      <c r="L9" s="350">
        <f>'reservecalc-internal'!E33</f>
        <v>0</v>
      </c>
      <c r="M9" s="351">
        <f>K9+L9</f>
        <v>207543</v>
      </c>
      <c r="N9" s="352">
        <f>M9</f>
        <v>207543</v>
      </c>
      <c r="O9" s="350">
        <f>'reservecalc-internal'!F33</f>
        <v>0</v>
      </c>
      <c r="P9" s="351">
        <f>N9+O9</f>
        <v>207543</v>
      </c>
      <c r="Q9" s="352">
        <f>P9</f>
        <v>207543</v>
      </c>
      <c r="R9" s="350">
        <f>'reservecalc-internal'!G33</f>
        <v>0</v>
      </c>
      <c r="S9" s="351">
        <f>Q9+R9</f>
        <v>207543</v>
      </c>
      <c r="T9" s="352">
        <f>S9</f>
        <v>207543</v>
      </c>
      <c r="U9" s="350">
        <f>'reservecalc-internal'!H33</f>
        <v>0</v>
      </c>
      <c r="V9" s="351">
        <f>T9+U9</f>
        <v>207543</v>
      </c>
      <c r="W9" s="352">
        <f>V9</f>
        <v>207543</v>
      </c>
      <c r="X9" s="350">
        <f>'reservecalc-internal'!I33</f>
        <v>0</v>
      </c>
      <c r="Y9" s="351">
        <f>W9+X9</f>
        <v>207543</v>
      </c>
      <c r="Z9" s="352">
        <f>Y9</f>
        <v>207543</v>
      </c>
      <c r="AA9" s="350">
        <f>'reservecalc-internal'!J33</f>
        <v>0</v>
      </c>
      <c r="AB9" s="351">
        <f>Z9+AA9</f>
        <v>207543</v>
      </c>
    </row>
    <row r="10" spans="1:28" x14ac:dyDescent="0.25">
      <c r="A10" s="190" t="s">
        <v>4170</v>
      </c>
      <c r="B10" s="349">
        <f>2304727.95-1346600</f>
        <v>958127.95000000019</v>
      </c>
      <c r="C10" s="350">
        <f>'reservecalc-internal'!B65</f>
        <v>301300</v>
      </c>
      <c r="D10" s="351">
        <f t="shared" ref="D10:D55" si="0">B10+C10</f>
        <v>1259427.9500000002</v>
      </c>
      <c r="E10" s="352">
        <f t="shared" ref="E10:E55" si="1">D10</f>
        <v>1259427.9500000002</v>
      </c>
      <c r="F10" s="350">
        <f>'reservecalc-internal'!C65</f>
        <v>468900</v>
      </c>
      <c r="G10" s="351">
        <f t="shared" ref="G10:G55" si="2">E10+F10</f>
        <v>1728327.9500000002</v>
      </c>
      <c r="H10" s="352">
        <f t="shared" ref="H10:H55" si="3">G10</f>
        <v>1728327.9500000002</v>
      </c>
      <c r="I10" s="350">
        <f>'reservecalc-internal'!D65</f>
        <v>348800</v>
      </c>
      <c r="J10" s="351">
        <f t="shared" ref="J10:J55" si="4">H10+I10</f>
        <v>2077127.9500000002</v>
      </c>
      <c r="K10" s="352">
        <f t="shared" ref="K10:K55" si="5">J10</f>
        <v>2077127.9500000002</v>
      </c>
      <c r="L10" s="350">
        <f>'reservecalc-internal'!E65</f>
        <v>525100</v>
      </c>
      <c r="M10" s="351">
        <f t="shared" ref="M10:M55" si="6">K10+L10</f>
        <v>2602227.9500000002</v>
      </c>
      <c r="N10" s="352">
        <f t="shared" ref="N10:N55" si="7">M10</f>
        <v>2602227.9500000002</v>
      </c>
      <c r="O10" s="350">
        <f>'reservecalc-internal'!F65</f>
        <v>562500</v>
      </c>
      <c r="P10" s="351">
        <f t="shared" ref="P10:P55" si="8">N10+O10</f>
        <v>3164727.95</v>
      </c>
      <c r="Q10" s="352">
        <f t="shared" ref="Q10:Q55" si="9">P10</f>
        <v>3164727.95</v>
      </c>
      <c r="R10" s="350">
        <f>'reservecalc-internal'!G65</f>
        <v>495800</v>
      </c>
      <c r="S10" s="351">
        <f t="shared" ref="S10:S55" si="10">Q10+R10</f>
        <v>3660527.95</v>
      </c>
      <c r="T10" s="352">
        <f t="shared" ref="T10:T55" si="11">S10</f>
        <v>3660527.95</v>
      </c>
      <c r="U10" s="350">
        <f>'reservecalc-internal'!H65</f>
        <v>616300</v>
      </c>
      <c r="V10" s="351">
        <f t="shared" ref="V10:V55" si="12">T10+U10</f>
        <v>4276827.95</v>
      </c>
      <c r="W10" s="352">
        <f t="shared" ref="W10:W55" si="13">V10</f>
        <v>4276827.95</v>
      </c>
      <c r="X10" s="350">
        <f>'reservecalc-internal'!I65</f>
        <v>637300</v>
      </c>
      <c r="Y10" s="351">
        <f t="shared" ref="Y10:Y55" si="14">W10+X10</f>
        <v>4914127.95</v>
      </c>
      <c r="Z10" s="352">
        <f t="shared" ref="Z10:Z55" si="15">Y10</f>
        <v>4914127.95</v>
      </c>
      <c r="AA10" s="350">
        <f>'reservecalc-internal'!J65</f>
        <v>658700</v>
      </c>
      <c r="AB10" s="351">
        <f t="shared" ref="AB10:AB55" si="16">Z10+AA10</f>
        <v>5572827.9500000002</v>
      </c>
    </row>
    <row r="11" spans="1:28" x14ac:dyDescent="0.25">
      <c r="A11" s="190" t="s">
        <v>132</v>
      </c>
      <c r="B11" s="349">
        <v>1071413</v>
      </c>
      <c r="C11" s="350">
        <f>'reservecalc-internal'!B96</f>
        <v>0</v>
      </c>
      <c r="D11" s="351">
        <f t="shared" si="0"/>
        <v>1071413</v>
      </c>
      <c r="E11" s="352">
        <f t="shared" si="1"/>
        <v>1071413</v>
      </c>
      <c r="F11" s="350">
        <f>'reservecalc-internal'!C96</f>
        <v>0</v>
      </c>
      <c r="G11" s="351">
        <f t="shared" si="2"/>
        <v>1071413</v>
      </c>
      <c r="H11" s="352">
        <f t="shared" si="3"/>
        <v>1071413</v>
      </c>
      <c r="I11" s="350">
        <f>'reservecalc-internal'!D96</f>
        <v>0</v>
      </c>
      <c r="J11" s="351">
        <f t="shared" si="4"/>
        <v>1071413</v>
      </c>
      <c r="K11" s="352">
        <f t="shared" si="5"/>
        <v>1071413</v>
      </c>
      <c r="L11" s="350">
        <f>'reservecalc-internal'!E96</f>
        <v>0</v>
      </c>
      <c r="M11" s="351">
        <f t="shared" si="6"/>
        <v>1071413</v>
      </c>
      <c r="N11" s="352">
        <f t="shared" si="7"/>
        <v>1071413</v>
      </c>
      <c r="O11" s="350">
        <f>'reservecalc-internal'!F96</f>
        <v>0</v>
      </c>
      <c r="P11" s="351">
        <f t="shared" si="8"/>
        <v>1071413</v>
      </c>
      <c r="Q11" s="352">
        <f t="shared" si="9"/>
        <v>1071413</v>
      </c>
      <c r="R11" s="350">
        <f>'reservecalc-internal'!G96</f>
        <v>0</v>
      </c>
      <c r="S11" s="351">
        <f t="shared" si="10"/>
        <v>1071413</v>
      </c>
      <c r="T11" s="352">
        <f t="shared" si="11"/>
        <v>1071413</v>
      </c>
      <c r="U11" s="350">
        <f>'reservecalc-internal'!H96</f>
        <v>0</v>
      </c>
      <c r="V11" s="351">
        <f t="shared" si="12"/>
        <v>1071413</v>
      </c>
      <c r="W11" s="352">
        <f t="shared" si="13"/>
        <v>1071413</v>
      </c>
      <c r="X11" s="350">
        <f>'reservecalc-internal'!I96</f>
        <v>0</v>
      </c>
      <c r="Y11" s="351">
        <f t="shared" si="14"/>
        <v>1071413</v>
      </c>
      <c r="Z11" s="352">
        <f t="shared" si="15"/>
        <v>1071413</v>
      </c>
      <c r="AA11" s="350">
        <f>'reservecalc-internal'!J96</f>
        <v>0</v>
      </c>
      <c r="AB11" s="351">
        <f t="shared" si="16"/>
        <v>1071413</v>
      </c>
    </row>
    <row r="12" spans="1:28" x14ac:dyDescent="0.25">
      <c r="A12" s="190" t="s">
        <v>4171</v>
      </c>
      <c r="B12" s="349">
        <f>1852443+267300</f>
        <v>2119743</v>
      </c>
      <c r="C12" s="350">
        <f>'reservecalc-internal'!B128</f>
        <v>-1970800</v>
      </c>
      <c r="D12" s="351">
        <f t="shared" si="0"/>
        <v>148943</v>
      </c>
      <c r="E12" s="352">
        <f t="shared" si="1"/>
        <v>148943</v>
      </c>
      <c r="F12" s="350">
        <f>'reservecalc-internal'!C128</f>
        <v>537200</v>
      </c>
      <c r="G12" s="351">
        <f t="shared" si="2"/>
        <v>686143</v>
      </c>
      <c r="H12" s="352">
        <f t="shared" si="3"/>
        <v>686143</v>
      </c>
      <c r="I12" s="350">
        <f>'reservecalc-internal'!D128</f>
        <v>-653500</v>
      </c>
      <c r="J12" s="351">
        <f t="shared" si="4"/>
        <v>32643</v>
      </c>
      <c r="K12" s="352">
        <f t="shared" si="5"/>
        <v>32643</v>
      </c>
      <c r="L12" s="350">
        <f>'reservecalc-internal'!E128</f>
        <v>958300</v>
      </c>
      <c r="M12" s="351">
        <f t="shared" si="6"/>
        <v>990943</v>
      </c>
      <c r="N12" s="352">
        <f t="shared" si="7"/>
        <v>990943</v>
      </c>
      <c r="O12" s="350">
        <f>'reservecalc-internal'!F128</f>
        <v>1022000</v>
      </c>
      <c r="P12" s="351">
        <f t="shared" si="8"/>
        <v>2012943</v>
      </c>
      <c r="Q12" s="352">
        <f t="shared" si="9"/>
        <v>2012943</v>
      </c>
      <c r="R12" s="350">
        <f>'reservecalc-internal'!G128</f>
        <v>1343300</v>
      </c>
      <c r="S12" s="351">
        <f t="shared" si="10"/>
        <v>3356243</v>
      </c>
      <c r="T12" s="352">
        <f t="shared" si="11"/>
        <v>3356243</v>
      </c>
      <c r="U12" s="350">
        <f>'reservecalc-internal'!H128</f>
        <v>1376900</v>
      </c>
      <c r="V12" s="351">
        <f t="shared" si="12"/>
        <v>4733143</v>
      </c>
      <c r="W12" s="352">
        <f t="shared" si="13"/>
        <v>4733143</v>
      </c>
      <c r="X12" s="350">
        <f>'reservecalc-internal'!I128</f>
        <v>1161400</v>
      </c>
      <c r="Y12" s="351">
        <f t="shared" si="14"/>
        <v>5894543</v>
      </c>
      <c r="Z12" s="352">
        <f t="shared" si="15"/>
        <v>5894543</v>
      </c>
      <c r="AA12" s="350">
        <f>'reservecalc-internal'!J128</f>
        <v>1446700</v>
      </c>
      <c r="AB12" s="351">
        <f t="shared" si="16"/>
        <v>7341243</v>
      </c>
    </row>
    <row r="13" spans="1:28" x14ac:dyDescent="0.25">
      <c r="A13" s="190" t="s">
        <v>4172</v>
      </c>
      <c r="B13" s="349">
        <f>1341701-396300</f>
        <v>945401</v>
      </c>
      <c r="C13" s="350">
        <f>'reservecalc-internal'!B160</f>
        <v>-329100</v>
      </c>
      <c r="D13" s="351">
        <f t="shared" si="0"/>
        <v>616301</v>
      </c>
      <c r="E13" s="352">
        <f t="shared" si="1"/>
        <v>616301</v>
      </c>
      <c r="F13" s="350">
        <f>'reservecalc-internal'!C160</f>
        <v>-426200</v>
      </c>
      <c r="G13" s="351">
        <f t="shared" si="2"/>
        <v>190101</v>
      </c>
      <c r="H13" s="352">
        <f t="shared" si="3"/>
        <v>190101</v>
      </c>
      <c r="I13" s="350">
        <f>'reservecalc-internal'!D160</f>
        <v>-198701</v>
      </c>
      <c r="J13" s="351">
        <f t="shared" si="4"/>
        <v>-8600</v>
      </c>
      <c r="K13" s="352">
        <f t="shared" si="5"/>
        <v>-8600</v>
      </c>
      <c r="L13" s="350">
        <f>'reservecalc-internal'!E160</f>
        <v>-3000</v>
      </c>
      <c r="M13" s="351">
        <f t="shared" si="6"/>
        <v>-11600</v>
      </c>
      <c r="N13" s="352">
        <f t="shared" si="7"/>
        <v>-11600</v>
      </c>
      <c r="O13" s="350">
        <f>'reservecalc-internal'!F160</f>
        <v>-3000</v>
      </c>
      <c r="P13" s="351">
        <f t="shared" si="8"/>
        <v>-14600</v>
      </c>
      <c r="Q13" s="352">
        <f t="shared" si="9"/>
        <v>-14600</v>
      </c>
      <c r="R13" s="350">
        <f>'reservecalc-internal'!G160</f>
        <v>-2800</v>
      </c>
      <c r="S13" s="351">
        <f t="shared" si="10"/>
        <v>-17400</v>
      </c>
      <c r="T13" s="352">
        <f t="shared" si="11"/>
        <v>-17400</v>
      </c>
      <c r="U13" s="350">
        <f>'reservecalc-internal'!H160</f>
        <v>-2100</v>
      </c>
      <c r="V13" s="351">
        <f t="shared" si="12"/>
        <v>-19500</v>
      </c>
      <c r="W13" s="352">
        <f t="shared" si="13"/>
        <v>-19500</v>
      </c>
      <c r="X13" s="350">
        <f>'reservecalc-internal'!I160</f>
        <v>-1500</v>
      </c>
      <c r="Y13" s="351">
        <f t="shared" si="14"/>
        <v>-21000</v>
      </c>
      <c r="Z13" s="352">
        <f t="shared" si="15"/>
        <v>-21000</v>
      </c>
      <c r="AA13" s="350">
        <f>'reservecalc-internal'!J160</f>
        <v>-1200</v>
      </c>
      <c r="AB13" s="351">
        <f t="shared" si="16"/>
        <v>-22200</v>
      </c>
    </row>
    <row r="14" spans="1:28" x14ac:dyDescent="0.25">
      <c r="A14" s="190" t="s">
        <v>4146</v>
      </c>
      <c r="B14" s="349">
        <f>838330</f>
        <v>838330</v>
      </c>
      <c r="C14" s="350">
        <f>'reservecalc-internal'!B191</f>
        <v>0</v>
      </c>
      <c r="D14" s="351">
        <f t="shared" si="0"/>
        <v>838330</v>
      </c>
      <c r="E14" s="352">
        <f t="shared" si="1"/>
        <v>838330</v>
      </c>
      <c r="F14" s="350">
        <f>'reservecalc-internal'!C191</f>
        <v>0</v>
      </c>
      <c r="G14" s="351">
        <f t="shared" si="2"/>
        <v>838330</v>
      </c>
      <c r="H14" s="352">
        <f t="shared" si="3"/>
        <v>838330</v>
      </c>
      <c r="I14" s="350">
        <f>'reservecalc-internal'!D191</f>
        <v>0</v>
      </c>
      <c r="J14" s="351">
        <f t="shared" si="4"/>
        <v>838330</v>
      </c>
      <c r="K14" s="352">
        <f t="shared" si="5"/>
        <v>838330</v>
      </c>
      <c r="L14" s="350">
        <f>'reservecalc-internal'!E191</f>
        <v>0</v>
      </c>
      <c r="M14" s="351">
        <f t="shared" si="6"/>
        <v>838330</v>
      </c>
      <c r="N14" s="352">
        <f t="shared" si="7"/>
        <v>838330</v>
      </c>
      <c r="O14" s="350">
        <f>'reservecalc-internal'!F191</f>
        <v>0</v>
      </c>
      <c r="P14" s="351">
        <f t="shared" si="8"/>
        <v>838330</v>
      </c>
      <c r="Q14" s="352">
        <f t="shared" si="9"/>
        <v>838330</v>
      </c>
      <c r="R14" s="350">
        <f>'reservecalc-internal'!G191</f>
        <v>0</v>
      </c>
      <c r="S14" s="351">
        <f t="shared" si="10"/>
        <v>838330</v>
      </c>
      <c r="T14" s="352">
        <f t="shared" si="11"/>
        <v>838330</v>
      </c>
      <c r="U14" s="350">
        <f>'reservecalc-internal'!H191</f>
        <v>0</v>
      </c>
      <c r="V14" s="351">
        <f t="shared" si="12"/>
        <v>838330</v>
      </c>
      <c r="W14" s="352">
        <f t="shared" si="13"/>
        <v>838330</v>
      </c>
      <c r="X14" s="350">
        <f>'reservecalc-internal'!I191</f>
        <v>0</v>
      </c>
      <c r="Y14" s="351">
        <f t="shared" si="14"/>
        <v>838330</v>
      </c>
      <c r="Z14" s="352">
        <f t="shared" si="15"/>
        <v>838330</v>
      </c>
      <c r="AA14" s="350">
        <f>'reservecalc-internal'!J191</f>
        <v>0</v>
      </c>
      <c r="AB14" s="351">
        <f t="shared" si="16"/>
        <v>838330</v>
      </c>
    </row>
    <row r="15" spans="1:28" x14ac:dyDescent="0.25">
      <c r="A15" s="190" t="s">
        <v>4128</v>
      </c>
      <c r="B15" s="349">
        <f>183513-25700</f>
        <v>157813</v>
      </c>
      <c r="C15" s="350">
        <f>'reservecalc-internal'!B222</f>
        <v>0</v>
      </c>
      <c r="D15" s="351">
        <f t="shared" si="0"/>
        <v>157813</v>
      </c>
      <c r="E15" s="352">
        <f t="shared" si="1"/>
        <v>157813</v>
      </c>
      <c r="F15" s="350">
        <f>'reservecalc-internal'!C222</f>
        <v>0</v>
      </c>
      <c r="G15" s="351">
        <f t="shared" si="2"/>
        <v>157813</v>
      </c>
      <c r="H15" s="352">
        <f t="shared" si="3"/>
        <v>157813</v>
      </c>
      <c r="I15" s="350">
        <f>'reservecalc-internal'!D222</f>
        <v>0</v>
      </c>
      <c r="J15" s="351">
        <f t="shared" si="4"/>
        <v>157813</v>
      </c>
      <c r="K15" s="352">
        <f t="shared" si="5"/>
        <v>157813</v>
      </c>
      <c r="L15" s="350">
        <f>'reservecalc-internal'!E222</f>
        <v>0</v>
      </c>
      <c r="M15" s="351">
        <f t="shared" si="6"/>
        <v>157813</v>
      </c>
      <c r="N15" s="352">
        <f t="shared" si="7"/>
        <v>157813</v>
      </c>
      <c r="O15" s="350">
        <f>'reservecalc-internal'!F222</f>
        <v>0</v>
      </c>
      <c r="P15" s="351">
        <f t="shared" si="8"/>
        <v>157813</v>
      </c>
      <c r="Q15" s="352">
        <f t="shared" si="9"/>
        <v>157813</v>
      </c>
      <c r="R15" s="350">
        <f>'reservecalc-internal'!G222</f>
        <v>0</v>
      </c>
      <c r="S15" s="351">
        <f t="shared" si="10"/>
        <v>157813</v>
      </c>
      <c r="T15" s="352">
        <f t="shared" si="11"/>
        <v>157813</v>
      </c>
      <c r="U15" s="350">
        <f>'reservecalc-internal'!H222</f>
        <v>0</v>
      </c>
      <c r="V15" s="351">
        <f t="shared" si="12"/>
        <v>157813</v>
      </c>
      <c r="W15" s="352">
        <f t="shared" si="13"/>
        <v>157813</v>
      </c>
      <c r="X15" s="350">
        <f>'reservecalc-internal'!I222</f>
        <v>0</v>
      </c>
      <c r="Y15" s="351">
        <f t="shared" si="14"/>
        <v>157813</v>
      </c>
      <c r="Z15" s="352">
        <f t="shared" si="15"/>
        <v>157813</v>
      </c>
      <c r="AA15" s="350">
        <f>'reservecalc-internal'!J222</f>
        <v>0</v>
      </c>
      <c r="AB15" s="351">
        <f t="shared" si="16"/>
        <v>157813</v>
      </c>
    </row>
    <row r="16" spans="1:28" x14ac:dyDescent="0.25">
      <c r="A16" s="190" t="s">
        <v>4129</v>
      </c>
      <c r="B16" s="349">
        <f>740465-47900</f>
        <v>692565</v>
      </c>
      <c r="C16" s="350">
        <f>'reservecalc-internal'!B253</f>
        <v>0</v>
      </c>
      <c r="D16" s="351">
        <f t="shared" si="0"/>
        <v>692565</v>
      </c>
      <c r="E16" s="352">
        <f t="shared" si="1"/>
        <v>692565</v>
      </c>
      <c r="F16" s="350">
        <f>'reservecalc-internal'!C253</f>
        <v>0</v>
      </c>
      <c r="G16" s="351">
        <f t="shared" si="2"/>
        <v>692565</v>
      </c>
      <c r="H16" s="352">
        <f t="shared" si="3"/>
        <v>692565</v>
      </c>
      <c r="I16" s="350">
        <f>'reservecalc-internal'!D253</f>
        <v>0</v>
      </c>
      <c r="J16" s="351">
        <f t="shared" si="4"/>
        <v>692565</v>
      </c>
      <c r="K16" s="352">
        <f t="shared" si="5"/>
        <v>692565</v>
      </c>
      <c r="L16" s="350">
        <f>'reservecalc-internal'!E253</f>
        <v>0</v>
      </c>
      <c r="M16" s="351">
        <f t="shared" si="6"/>
        <v>692565</v>
      </c>
      <c r="N16" s="352">
        <f t="shared" si="7"/>
        <v>692565</v>
      </c>
      <c r="O16" s="350">
        <f>'reservecalc-internal'!F253</f>
        <v>0</v>
      </c>
      <c r="P16" s="351">
        <f t="shared" si="8"/>
        <v>692565</v>
      </c>
      <c r="Q16" s="352">
        <f t="shared" si="9"/>
        <v>692565</v>
      </c>
      <c r="R16" s="350">
        <f>'reservecalc-internal'!G253</f>
        <v>0</v>
      </c>
      <c r="S16" s="351">
        <f t="shared" si="10"/>
        <v>692565</v>
      </c>
      <c r="T16" s="352">
        <f t="shared" si="11"/>
        <v>692565</v>
      </c>
      <c r="U16" s="350">
        <f>'reservecalc-internal'!H253</f>
        <v>0</v>
      </c>
      <c r="V16" s="351">
        <f t="shared" si="12"/>
        <v>692565</v>
      </c>
      <c r="W16" s="352">
        <f t="shared" si="13"/>
        <v>692565</v>
      </c>
      <c r="X16" s="350">
        <f>'reservecalc-internal'!I253</f>
        <v>0</v>
      </c>
      <c r="Y16" s="351">
        <f t="shared" si="14"/>
        <v>692565</v>
      </c>
      <c r="Z16" s="352">
        <f t="shared" si="15"/>
        <v>692565</v>
      </c>
      <c r="AA16" s="350">
        <f>'reservecalc-internal'!J253</f>
        <v>0</v>
      </c>
      <c r="AB16" s="351">
        <f t="shared" si="16"/>
        <v>692565</v>
      </c>
    </row>
    <row r="17" spans="1:28" x14ac:dyDescent="0.25">
      <c r="A17" s="190" t="s">
        <v>4173</v>
      </c>
      <c r="B17" s="349">
        <f>952177-50000</f>
        <v>902177</v>
      </c>
      <c r="C17" s="350">
        <f>'reservecalc-internal'!B284</f>
        <v>0</v>
      </c>
      <c r="D17" s="351">
        <f t="shared" si="0"/>
        <v>902177</v>
      </c>
      <c r="E17" s="352">
        <f t="shared" si="1"/>
        <v>902177</v>
      </c>
      <c r="F17" s="350">
        <f>'reservecalc-internal'!C284</f>
        <v>0</v>
      </c>
      <c r="G17" s="351">
        <f t="shared" si="2"/>
        <v>902177</v>
      </c>
      <c r="H17" s="352">
        <f t="shared" si="3"/>
        <v>902177</v>
      </c>
      <c r="I17" s="350">
        <f>'reservecalc-internal'!D284</f>
        <v>0</v>
      </c>
      <c r="J17" s="351">
        <f t="shared" si="4"/>
        <v>902177</v>
      </c>
      <c r="K17" s="352">
        <f t="shared" si="5"/>
        <v>902177</v>
      </c>
      <c r="L17" s="350">
        <f>'reservecalc-internal'!E284</f>
        <v>0</v>
      </c>
      <c r="M17" s="351">
        <f t="shared" si="6"/>
        <v>902177</v>
      </c>
      <c r="N17" s="352">
        <f t="shared" si="7"/>
        <v>902177</v>
      </c>
      <c r="O17" s="350">
        <f>'reservecalc-internal'!F284</f>
        <v>0</v>
      </c>
      <c r="P17" s="351">
        <f t="shared" si="8"/>
        <v>902177</v>
      </c>
      <c r="Q17" s="352">
        <f t="shared" si="9"/>
        <v>902177</v>
      </c>
      <c r="R17" s="350">
        <f>'reservecalc-internal'!G284</f>
        <v>0</v>
      </c>
      <c r="S17" s="351">
        <f t="shared" si="10"/>
        <v>902177</v>
      </c>
      <c r="T17" s="352">
        <f t="shared" si="11"/>
        <v>902177</v>
      </c>
      <c r="U17" s="350">
        <f>'reservecalc-internal'!H284</f>
        <v>0</v>
      </c>
      <c r="V17" s="351">
        <f t="shared" si="12"/>
        <v>902177</v>
      </c>
      <c r="W17" s="352">
        <f t="shared" si="13"/>
        <v>902177</v>
      </c>
      <c r="X17" s="350">
        <f>'reservecalc-internal'!I284</f>
        <v>0</v>
      </c>
      <c r="Y17" s="351">
        <f t="shared" si="14"/>
        <v>902177</v>
      </c>
      <c r="Z17" s="352">
        <f t="shared" si="15"/>
        <v>902177</v>
      </c>
      <c r="AA17" s="350">
        <f>'reservecalc-internal'!J284</f>
        <v>0</v>
      </c>
      <c r="AB17" s="351">
        <f t="shared" si="16"/>
        <v>902177</v>
      </c>
    </row>
    <row r="18" spans="1:28" x14ac:dyDescent="0.25">
      <c r="A18" s="190" t="s">
        <v>4174</v>
      </c>
      <c r="B18" s="349">
        <f>191790-83300</f>
        <v>108490</v>
      </c>
      <c r="C18" s="350">
        <f>'reservecalc-internal'!B315</f>
        <v>0</v>
      </c>
      <c r="D18" s="351">
        <f t="shared" si="0"/>
        <v>108490</v>
      </c>
      <c r="E18" s="352">
        <f t="shared" si="1"/>
        <v>108490</v>
      </c>
      <c r="F18" s="350">
        <f>'reservecalc-internal'!C315</f>
        <v>0</v>
      </c>
      <c r="G18" s="351">
        <f t="shared" si="2"/>
        <v>108490</v>
      </c>
      <c r="H18" s="352">
        <f t="shared" si="3"/>
        <v>108490</v>
      </c>
      <c r="I18" s="350">
        <f>'reservecalc-internal'!D315</f>
        <v>0</v>
      </c>
      <c r="J18" s="351">
        <f t="shared" si="4"/>
        <v>108490</v>
      </c>
      <c r="K18" s="352">
        <f t="shared" si="5"/>
        <v>108490</v>
      </c>
      <c r="L18" s="350">
        <f>'reservecalc-internal'!E315</f>
        <v>0</v>
      </c>
      <c r="M18" s="351">
        <f t="shared" si="6"/>
        <v>108490</v>
      </c>
      <c r="N18" s="352">
        <f t="shared" si="7"/>
        <v>108490</v>
      </c>
      <c r="O18" s="350">
        <f>'reservecalc-internal'!F315</f>
        <v>0</v>
      </c>
      <c r="P18" s="351">
        <f t="shared" si="8"/>
        <v>108490</v>
      </c>
      <c r="Q18" s="352">
        <f t="shared" si="9"/>
        <v>108490</v>
      </c>
      <c r="R18" s="350">
        <f>'reservecalc-internal'!G315</f>
        <v>0</v>
      </c>
      <c r="S18" s="351">
        <f t="shared" si="10"/>
        <v>108490</v>
      </c>
      <c r="T18" s="352">
        <f t="shared" si="11"/>
        <v>108490</v>
      </c>
      <c r="U18" s="350">
        <f>'reservecalc-internal'!H315</f>
        <v>0</v>
      </c>
      <c r="V18" s="351">
        <f t="shared" si="12"/>
        <v>108490</v>
      </c>
      <c r="W18" s="352">
        <f t="shared" si="13"/>
        <v>108490</v>
      </c>
      <c r="X18" s="350">
        <f>'reservecalc-internal'!I315</f>
        <v>0</v>
      </c>
      <c r="Y18" s="351">
        <f t="shared" si="14"/>
        <v>108490</v>
      </c>
      <c r="Z18" s="352">
        <f t="shared" si="15"/>
        <v>108490</v>
      </c>
      <c r="AA18" s="350">
        <f>'reservecalc-internal'!J315</f>
        <v>0</v>
      </c>
      <c r="AB18" s="351">
        <f t="shared" si="16"/>
        <v>108490</v>
      </c>
    </row>
    <row r="19" spans="1:28" x14ac:dyDescent="0.25">
      <c r="A19" s="190" t="s">
        <v>2602</v>
      </c>
      <c r="B19" s="349">
        <f>231820-100200</f>
        <v>131620</v>
      </c>
      <c r="C19" s="350">
        <f>'reservecalc-internal'!B346</f>
        <v>107100</v>
      </c>
      <c r="D19" s="351">
        <f t="shared" si="0"/>
        <v>238720</v>
      </c>
      <c r="E19" s="352">
        <f t="shared" si="1"/>
        <v>238720</v>
      </c>
      <c r="F19" s="350">
        <f>'reservecalc-internal'!C346</f>
        <v>110200</v>
      </c>
      <c r="G19" s="351">
        <f t="shared" si="2"/>
        <v>348920</v>
      </c>
      <c r="H19" s="352">
        <f t="shared" si="3"/>
        <v>348920</v>
      </c>
      <c r="I19" s="350">
        <f>'reservecalc-internal'!D346</f>
        <v>113100</v>
      </c>
      <c r="J19" s="351">
        <f t="shared" si="4"/>
        <v>462020</v>
      </c>
      <c r="K19" s="352">
        <f t="shared" si="5"/>
        <v>462020</v>
      </c>
      <c r="L19" s="350">
        <f>'reservecalc-internal'!E346</f>
        <v>116000</v>
      </c>
      <c r="M19" s="351">
        <f t="shared" si="6"/>
        <v>578020</v>
      </c>
      <c r="N19" s="352">
        <f t="shared" si="7"/>
        <v>578020</v>
      </c>
      <c r="O19" s="350">
        <f>'reservecalc-internal'!F346</f>
        <v>119000</v>
      </c>
      <c r="P19" s="351">
        <f t="shared" si="8"/>
        <v>697020</v>
      </c>
      <c r="Q19" s="352">
        <f t="shared" si="9"/>
        <v>697020</v>
      </c>
      <c r="R19" s="350">
        <f>'reservecalc-internal'!G346</f>
        <v>122100</v>
      </c>
      <c r="S19" s="351">
        <f t="shared" si="10"/>
        <v>819120</v>
      </c>
      <c r="T19" s="352">
        <f t="shared" si="11"/>
        <v>819120</v>
      </c>
      <c r="U19" s="350">
        <f>'reservecalc-internal'!H346</f>
        <v>125200</v>
      </c>
      <c r="V19" s="351">
        <f t="shared" si="12"/>
        <v>944320</v>
      </c>
      <c r="W19" s="352">
        <f t="shared" si="13"/>
        <v>944320</v>
      </c>
      <c r="X19" s="350">
        <f>'reservecalc-internal'!I346</f>
        <v>128400</v>
      </c>
      <c r="Y19" s="351">
        <f t="shared" si="14"/>
        <v>1072720</v>
      </c>
      <c r="Z19" s="352">
        <f t="shared" si="15"/>
        <v>1072720</v>
      </c>
      <c r="AA19" s="350">
        <f>'reservecalc-internal'!J346</f>
        <v>131600</v>
      </c>
      <c r="AB19" s="351">
        <f t="shared" si="16"/>
        <v>1204320</v>
      </c>
    </row>
    <row r="20" spans="1:28" x14ac:dyDescent="0.25">
      <c r="A20" s="190" t="s">
        <v>3943</v>
      </c>
      <c r="B20" s="349">
        <f>241627-50000</f>
        <v>191627</v>
      </c>
      <c r="C20" s="350">
        <f>'reservecalc-internal'!B377</f>
        <v>0</v>
      </c>
      <c r="D20" s="351">
        <f t="shared" si="0"/>
        <v>191627</v>
      </c>
      <c r="E20" s="352">
        <f t="shared" si="1"/>
        <v>191627</v>
      </c>
      <c r="F20" s="350">
        <f>'reservecalc-internal'!C377</f>
        <v>0</v>
      </c>
      <c r="G20" s="351">
        <f t="shared" si="2"/>
        <v>191627</v>
      </c>
      <c r="H20" s="352">
        <f t="shared" si="3"/>
        <v>191627</v>
      </c>
      <c r="I20" s="350">
        <f>'reservecalc-internal'!D377</f>
        <v>0</v>
      </c>
      <c r="J20" s="351">
        <f t="shared" si="4"/>
        <v>191627</v>
      </c>
      <c r="K20" s="352">
        <f t="shared" si="5"/>
        <v>191627</v>
      </c>
      <c r="L20" s="350">
        <f>'reservecalc-internal'!E377</f>
        <v>0</v>
      </c>
      <c r="M20" s="351">
        <f t="shared" si="6"/>
        <v>191627</v>
      </c>
      <c r="N20" s="352">
        <f t="shared" si="7"/>
        <v>191627</v>
      </c>
      <c r="O20" s="350">
        <f>'reservecalc-internal'!F377</f>
        <v>0</v>
      </c>
      <c r="P20" s="351">
        <f t="shared" si="8"/>
        <v>191627</v>
      </c>
      <c r="Q20" s="352">
        <f t="shared" si="9"/>
        <v>191627</v>
      </c>
      <c r="R20" s="350">
        <f>'reservecalc-internal'!G377</f>
        <v>0</v>
      </c>
      <c r="S20" s="351">
        <f t="shared" si="10"/>
        <v>191627</v>
      </c>
      <c r="T20" s="352">
        <f t="shared" si="11"/>
        <v>191627</v>
      </c>
      <c r="U20" s="350">
        <f>'reservecalc-internal'!H377</f>
        <v>0</v>
      </c>
      <c r="V20" s="351">
        <f t="shared" si="12"/>
        <v>191627</v>
      </c>
      <c r="W20" s="352">
        <f t="shared" si="13"/>
        <v>191627</v>
      </c>
      <c r="X20" s="350">
        <f>'reservecalc-internal'!I377</f>
        <v>0</v>
      </c>
      <c r="Y20" s="351">
        <f t="shared" si="14"/>
        <v>191627</v>
      </c>
      <c r="Z20" s="352">
        <f t="shared" si="15"/>
        <v>191627</v>
      </c>
      <c r="AA20" s="350">
        <f>'reservecalc-internal'!J377</f>
        <v>0</v>
      </c>
      <c r="AB20" s="351">
        <f t="shared" si="16"/>
        <v>191627</v>
      </c>
    </row>
    <row r="21" spans="1:28" x14ac:dyDescent="0.25">
      <c r="A21" s="190" t="s">
        <v>4175</v>
      </c>
      <c r="B21" s="349">
        <f>1261956-254200</f>
        <v>1007756</v>
      </c>
      <c r="C21" s="350">
        <f>'reservecalc-internal'!B409</f>
        <v>-1007000</v>
      </c>
      <c r="D21" s="351">
        <f t="shared" si="0"/>
        <v>756</v>
      </c>
      <c r="E21" s="352">
        <f t="shared" si="1"/>
        <v>756</v>
      </c>
      <c r="F21" s="350">
        <f>'reservecalc-internal'!C409</f>
        <v>0</v>
      </c>
      <c r="G21" s="351">
        <f t="shared" si="2"/>
        <v>756</v>
      </c>
      <c r="H21" s="352">
        <f t="shared" si="3"/>
        <v>756</v>
      </c>
      <c r="I21" s="350">
        <f>'reservecalc-internal'!D409</f>
        <v>0</v>
      </c>
      <c r="J21" s="351">
        <f t="shared" si="4"/>
        <v>756</v>
      </c>
      <c r="K21" s="352">
        <f t="shared" si="5"/>
        <v>756</v>
      </c>
      <c r="L21" s="350">
        <f>'reservecalc-internal'!E409</f>
        <v>0</v>
      </c>
      <c r="M21" s="351">
        <f t="shared" si="6"/>
        <v>756</v>
      </c>
      <c r="N21" s="352">
        <f t="shared" si="7"/>
        <v>756</v>
      </c>
      <c r="O21" s="350">
        <f>'reservecalc-internal'!F409</f>
        <v>0</v>
      </c>
      <c r="P21" s="351">
        <f t="shared" si="8"/>
        <v>756</v>
      </c>
      <c r="Q21" s="352">
        <f t="shared" si="9"/>
        <v>756</v>
      </c>
      <c r="R21" s="350">
        <f>'reservecalc-internal'!G409</f>
        <v>0</v>
      </c>
      <c r="S21" s="351">
        <f t="shared" si="10"/>
        <v>756</v>
      </c>
      <c r="T21" s="352">
        <f t="shared" si="11"/>
        <v>756</v>
      </c>
      <c r="U21" s="350">
        <f>'reservecalc-internal'!H409</f>
        <v>0</v>
      </c>
      <c r="V21" s="351">
        <f t="shared" si="12"/>
        <v>756</v>
      </c>
      <c r="W21" s="352">
        <f t="shared" si="13"/>
        <v>756</v>
      </c>
      <c r="X21" s="350">
        <f>'reservecalc-internal'!I409</f>
        <v>0</v>
      </c>
      <c r="Y21" s="351">
        <f t="shared" si="14"/>
        <v>756</v>
      </c>
      <c r="Z21" s="352">
        <f t="shared" si="15"/>
        <v>756</v>
      </c>
      <c r="AA21" s="350">
        <f>'reservecalc-internal'!J409</f>
        <v>0</v>
      </c>
      <c r="AB21" s="351">
        <f t="shared" si="16"/>
        <v>756</v>
      </c>
    </row>
    <row r="22" spans="1:28" x14ac:dyDescent="0.25">
      <c r="A22" s="190" t="s">
        <v>4176</v>
      </c>
      <c r="B22" s="349">
        <v>65343</v>
      </c>
      <c r="C22" s="350">
        <f>'reservecalc-internal'!B440</f>
        <v>0</v>
      </c>
      <c r="D22" s="351">
        <f t="shared" si="0"/>
        <v>65343</v>
      </c>
      <c r="E22" s="352">
        <f t="shared" si="1"/>
        <v>65343</v>
      </c>
      <c r="F22" s="350">
        <f>'reservecalc-internal'!C440</f>
        <v>0</v>
      </c>
      <c r="G22" s="351">
        <f t="shared" si="2"/>
        <v>65343</v>
      </c>
      <c r="H22" s="352">
        <f t="shared" si="3"/>
        <v>65343</v>
      </c>
      <c r="I22" s="350">
        <f>'reservecalc-internal'!D440</f>
        <v>0</v>
      </c>
      <c r="J22" s="351">
        <f t="shared" si="4"/>
        <v>65343</v>
      </c>
      <c r="K22" s="352">
        <f t="shared" si="5"/>
        <v>65343</v>
      </c>
      <c r="L22" s="350">
        <f>'reservecalc-internal'!E440</f>
        <v>0</v>
      </c>
      <c r="M22" s="351">
        <f t="shared" si="6"/>
        <v>65343</v>
      </c>
      <c r="N22" s="352">
        <f t="shared" si="7"/>
        <v>65343</v>
      </c>
      <c r="O22" s="350">
        <f>'reservecalc-internal'!F440</f>
        <v>0</v>
      </c>
      <c r="P22" s="351">
        <f t="shared" si="8"/>
        <v>65343</v>
      </c>
      <c r="Q22" s="352">
        <f t="shared" si="9"/>
        <v>65343</v>
      </c>
      <c r="R22" s="350">
        <f>'reservecalc-internal'!G440</f>
        <v>0</v>
      </c>
      <c r="S22" s="351">
        <f t="shared" si="10"/>
        <v>65343</v>
      </c>
      <c r="T22" s="352">
        <f t="shared" si="11"/>
        <v>65343</v>
      </c>
      <c r="U22" s="350">
        <f>'reservecalc-internal'!H440</f>
        <v>0</v>
      </c>
      <c r="V22" s="351">
        <f t="shared" si="12"/>
        <v>65343</v>
      </c>
      <c r="W22" s="352">
        <f t="shared" si="13"/>
        <v>65343</v>
      </c>
      <c r="X22" s="350">
        <f>'reservecalc-internal'!I440</f>
        <v>0</v>
      </c>
      <c r="Y22" s="351">
        <f t="shared" si="14"/>
        <v>65343</v>
      </c>
      <c r="Z22" s="352">
        <f t="shared" si="15"/>
        <v>65343</v>
      </c>
      <c r="AA22" s="350">
        <f>'reservecalc-internal'!J440</f>
        <v>0</v>
      </c>
      <c r="AB22" s="351">
        <f t="shared" si="16"/>
        <v>65343</v>
      </c>
    </row>
    <row r="23" spans="1:28" x14ac:dyDescent="0.25">
      <c r="A23" s="190" t="s">
        <v>997</v>
      </c>
      <c r="B23" s="349">
        <f>692324-214200</f>
        <v>478124</v>
      </c>
      <c r="C23" s="350">
        <f>'reservecalc-internal'!B471</f>
        <v>0</v>
      </c>
      <c r="D23" s="351">
        <f t="shared" si="0"/>
        <v>478124</v>
      </c>
      <c r="E23" s="352">
        <f t="shared" si="1"/>
        <v>478124</v>
      </c>
      <c r="F23" s="350">
        <f>'reservecalc-internal'!C471</f>
        <v>0</v>
      </c>
      <c r="G23" s="351">
        <f t="shared" si="2"/>
        <v>478124</v>
      </c>
      <c r="H23" s="352">
        <f t="shared" si="3"/>
        <v>478124</v>
      </c>
      <c r="I23" s="350">
        <f>'reservecalc-internal'!D471</f>
        <v>0</v>
      </c>
      <c r="J23" s="351">
        <f t="shared" si="4"/>
        <v>478124</v>
      </c>
      <c r="K23" s="352">
        <f t="shared" si="5"/>
        <v>478124</v>
      </c>
      <c r="L23" s="350">
        <f>'reservecalc-internal'!E471</f>
        <v>0</v>
      </c>
      <c r="M23" s="351">
        <f t="shared" si="6"/>
        <v>478124</v>
      </c>
      <c r="N23" s="352">
        <f t="shared" si="7"/>
        <v>478124</v>
      </c>
      <c r="O23" s="350">
        <f>'reservecalc-internal'!F471</f>
        <v>0</v>
      </c>
      <c r="P23" s="351">
        <f t="shared" si="8"/>
        <v>478124</v>
      </c>
      <c r="Q23" s="352">
        <f t="shared" si="9"/>
        <v>478124</v>
      </c>
      <c r="R23" s="350">
        <f>'reservecalc-internal'!G471</f>
        <v>0</v>
      </c>
      <c r="S23" s="351">
        <f t="shared" si="10"/>
        <v>478124</v>
      </c>
      <c r="T23" s="352">
        <f t="shared" si="11"/>
        <v>478124</v>
      </c>
      <c r="U23" s="350">
        <f>'reservecalc-internal'!H471</f>
        <v>0</v>
      </c>
      <c r="V23" s="351">
        <f t="shared" si="12"/>
        <v>478124</v>
      </c>
      <c r="W23" s="352">
        <f t="shared" si="13"/>
        <v>478124</v>
      </c>
      <c r="X23" s="350">
        <f>'reservecalc-internal'!I471</f>
        <v>0</v>
      </c>
      <c r="Y23" s="351">
        <f t="shared" si="14"/>
        <v>478124</v>
      </c>
      <c r="Z23" s="352">
        <f t="shared" si="15"/>
        <v>478124</v>
      </c>
      <c r="AA23" s="350">
        <f>'reservecalc-internal'!J471</f>
        <v>0</v>
      </c>
      <c r="AB23" s="351">
        <f t="shared" si="16"/>
        <v>478124</v>
      </c>
    </row>
    <row r="24" spans="1:28" x14ac:dyDescent="0.25">
      <c r="A24" s="75" t="s">
        <v>3551</v>
      </c>
      <c r="B24" s="349">
        <f>118829-45000</f>
        <v>73829</v>
      </c>
      <c r="C24" s="350">
        <f>'reservecalc-internal'!B502</f>
        <v>0</v>
      </c>
      <c r="D24" s="351">
        <f t="shared" si="0"/>
        <v>73829</v>
      </c>
      <c r="E24" s="352">
        <f t="shared" si="1"/>
        <v>73829</v>
      </c>
      <c r="F24" s="350">
        <f>'reservecalc-internal'!C502</f>
        <v>0</v>
      </c>
      <c r="G24" s="351">
        <f t="shared" si="2"/>
        <v>73829</v>
      </c>
      <c r="H24" s="352">
        <f t="shared" si="3"/>
        <v>73829</v>
      </c>
      <c r="I24" s="350">
        <f>'reservecalc-internal'!D502</f>
        <v>0</v>
      </c>
      <c r="J24" s="351">
        <f t="shared" si="4"/>
        <v>73829</v>
      </c>
      <c r="K24" s="352">
        <f t="shared" si="5"/>
        <v>73829</v>
      </c>
      <c r="L24" s="350">
        <f>'reservecalc-internal'!E502</f>
        <v>0</v>
      </c>
      <c r="M24" s="351">
        <f t="shared" si="6"/>
        <v>73829</v>
      </c>
      <c r="N24" s="352">
        <f t="shared" si="7"/>
        <v>73829</v>
      </c>
      <c r="O24" s="350">
        <f>'reservecalc-internal'!F502</f>
        <v>0</v>
      </c>
      <c r="P24" s="351">
        <f t="shared" si="8"/>
        <v>73829</v>
      </c>
      <c r="Q24" s="352">
        <f t="shared" si="9"/>
        <v>73829</v>
      </c>
      <c r="R24" s="350">
        <f>'reservecalc-internal'!G502</f>
        <v>0</v>
      </c>
      <c r="S24" s="351">
        <f t="shared" si="10"/>
        <v>73829</v>
      </c>
      <c r="T24" s="352">
        <f t="shared" si="11"/>
        <v>73829</v>
      </c>
      <c r="U24" s="350">
        <f>'reservecalc-internal'!H502</f>
        <v>0</v>
      </c>
      <c r="V24" s="351">
        <f t="shared" si="12"/>
        <v>73829</v>
      </c>
      <c r="W24" s="352">
        <f t="shared" si="13"/>
        <v>73829</v>
      </c>
      <c r="X24" s="350">
        <f>'reservecalc-internal'!I502</f>
        <v>0</v>
      </c>
      <c r="Y24" s="351">
        <f t="shared" si="14"/>
        <v>73829</v>
      </c>
      <c r="Z24" s="352">
        <f t="shared" si="15"/>
        <v>73829</v>
      </c>
      <c r="AA24" s="350">
        <f>'reservecalc-internal'!J502</f>
        <v>0</v>
      </c>
      <c r="AB24" s="351">
        <f t="shared" si="16"/>
        <v>73829</v>
      </c>
    </row>
    <row r="25" spans="1:28" x14ac:dyDescent="0.25">
      <c r="A25" s="75" t="s">
        <v>4177</v>
      </c>
      <c r="B25" s="349">
        <f>504725-261000</f>
        <v>243725</v>
      </c>
      <c r="C25" s="350">
        <f>'reservecalc-internal'!B533</f>
        <v>-269000</v>
      </c>
      <c r="D25" s="351">
        <f t="shared" si="0"/>
        <v>-25275</v>
      </c>
      <c r="E25" s="352">
        <f t="shared" si="1"/>
        <v>-25275</v>
      </c>
      <c r="F25" s="350">
        <f>'reservecalc-internal'!C533</f>
        <v>0</v>
      </c>
      <c r="G25" s="351">
        <f t="shared" si="2"/>
        <v>-25275</v>
      </c>
      <c r="H25" s="352">
        <f t="shared" si="3"/>
        <v>-25275</v>
      </c>
      <c r="I25" s="350">
        <f>'reservecalc-internal'!D533</f>
        <v>0</v>
      </c>
      <c r="J25" s="351">
        <f t="shared" si="4"/>
        <v>-25275</v>
      </c>
      <c r="K25" s="352">
        <f t="shared" si="5"/>
        <v>-25275</v>
      </c>
      <c r="L25" s="350">
        <f>'reservecalc-internal'!E533</f>
        <v>46000</v>
      </c>
      <c r="M25" s="351">
        <f t="shared" si="6"/>
        <v>20725</v>
      </c>
      <c r="N25" s="352">
        <f t="shared" si="7"/>
        <v>20725</v>
      </c>
      <c r="O25" s="350">
        <f>'reservecalc-internal'!F533</f>
        <v>0</v>
      </c>
      <c r="P25" s="351">
        <f t="shared" si="8"/>
        <v>20725</v>
      </c>
      <c r="Q25" s="352">
        <f t="shared" si="9"/>
        <v>20725</v>
      </c>
      <c r="R25" s="350">
        <f>'reservecalc-internal'!G533</f>
        <v>0</v>
      </c>
      <c r="S25" s="351">
        <f t="shared" si="10"/>
        <v>20725</v>
      </c>
      <c r="T25" s="352">
        <f t="shared" si="11"/>
        <v>20725</v>
      </c>
      <c r="U25" s="350">
        <f>'reservecalc-internal'!H533</f>
        <v>0</v>
      </c>
      <c r="V25" s="351">
        <f t="shared" si="12"/>
        <v>20725</v>
      </c>
      <c r="W25" s="352">
        <f t="shared" si="13"/>
        <v>20725</v>
      </c>
      <c r="X25" s="350">
        <f>'reservecalc-internal'!I533</f>
        <v>3000</v>
      </c>
      <c r="Y25" s="351">
        <f t="shared" si="14"/>
        <v>23725</v>
      </c>
      <c r="Z25" s="352">
        <f t="shared" si="15"/>
        <v>23725</v>
      </c>
      <c r="AA25" s="350">
        <f>'reservecalc-internal'!J533</f>
        <v>0</v>
      </c>
      <c r="AB25" s="351">
        <f t="shared" si="16"/>
        <v>23725</v>
      </c>
    </row>
    <row r="26" spans="1:28" x14ac:dyDescent="0.25">
      <c r="A26" s="75" t="s">
        <v>4178</v>
      </c>
      <c r="B26" s="349">
        <f>114848-30800</f>
        <v>84048</v>
      </c>
      <c r="C26" s="350">
        <f>'reservecalc-internal'!B564</f>
        <v>0</v>
      </c>
      <c r="D26" s="351">
        <f t="shared" si="0"/>
        <v>84048</v>
      </c>
      <c r="E26" s="352">
        <f t="shared" si="1"/>
        <v>84048</v>
      </c>
      <c r="F26" s="350">
        <f>'reservecalc-internal'!C564</f>
        <v>0</v>
      </c>
      <c r="G26" s="351">
        <f t="shared" si="2"/>
        <v>84048</v>
      </c>
      <c r="H26" s="352">
        <f t="shared" si="3"/>
        <v>84048</v>
      </c>
      <c r="I26" s="350">
        <f>'reservecalc-internal'!D564</f>
        <v>0</v>
      </c>
      <c r="J26" s="351">
        <f t="shared" si="4"/>
        <v>84048</v>
      </c>
      <c r="K26" s="352">
        <f t="shared" si="5"/>
        <v>84048</v>
      </c>
      <c r="L26" s="350">
        <f>'reservecalc-internal'!E564</f>
        <v>0</v>
      </c>
      <c r="M26" s="351">
        <f t="shared" si="6"/>
        <v>84048</v>
      </c>
      <c r="N26" s="352">
        <f t="shared" si="7"/>
        <v>84048</v>
      </c>
      <c r="O26" s="350">
        <f>'reservecalc-internal'!F564</f>
        <v>0</v>
      </c>
      <c r="P26" s="351">
        <f t="shared" si="8"/>
        <v>84048</v>
      </c>
      <c r="Q26" s="352">
        <f t="shared" si="9"/>
        <v>84048</v>
      </c>
      <c r="R26" s="350">
        <f>'reservecalc-internal'!G564</f>
        <v>0</v>
      </c>
      <c r="S26" s="351">
        <f t="shared" si="10"/>
        <v>84048</v>
      </c>
      <c r="T26" s="352">
        <f t="shared" si="11"/>
        <v>84048</v>
      </c>
      <c r="U26" s="350">
        <f>'reservecalc-internal'!H564</f>
        <v>0</v>
      </c>
      <c r="V26" s="351">
        <f t="shared" si="12"/>
        <v>84048</v>
      </c>
      <c r="W26" s="352">
        <f t="shared" si="13"/>
        <v>84048</v>
      </c>
      <c r="X26" s="350">
        <f>'reservecalc-internal'!I564</f>
        <v>0</v>
      </c>
      <c r="Y26" s="351">
        <f t="shared" si="14"/>
        <v>84048</v>
      </c>
      <c r="Z26" s="352">
        <f t="shared" si="15"/>
        <v>84048</v>
      </c>
      <c r="AA26" s="350">
        <f>'reservecalc-internal'!J564</f>
        <v>0</v>
      </c>
      <c r="AB26" s="351">
        <f t="shared" si="16"/>
        <v>84048</v>
      </c>
    </row>
    <row r="27" spans="1:28" x14ac:dyDescent="0.25">
      <c r="A27" s="75" t="s">
        <v>4130</v>
      </c>
      <c r="B27" s="349">
        <v>0</v>
      </c>
      <c r="C27" s="350">
        <f>'reservecalc-internal'!B596</f>
        <v>-7100</v>
      </c>
      <c r="D27" s="351">
        <f t="shared" si="0"/>
        <v>-7100</v>
      </c>
      <c r="E27" s="352">
        <f t="shared" si="1"/>
        <v>-7100</v>
      </c>
      <c r="F27" s="350">
        <f>'reservecalc-internal'!C596</f>
        <v>2600</v>
      </c>
      <c r="G27" s="351">
        <f t="shared" si="2"/>
        <v>-4500</v>
      </c>
      <c r="H27" s="352">
        <f t="shared" si="3"/>
        <v>-4500</v>
      </c>
      <c r="I27" s="350">
        <f>'reservecalc-internal'!D596</f>
        <v>12800</v>
      </c>
      <c r="J27" s="351">
        <f t="shared" si="4"/>
        <v>8300</v>
      </c>
      <c r="K27" s="352">
        <f t="shared" si="5"/>
        <v>8300</v>
      </c>
      <c r="L27" s="350">
        <f>'reservecalc-internal'!E596</f>
        <v>23500</v>
      </c>
      <c r="M27" s="351">
        <f t="shared" si="6"/>
        <v>31800</v>
      </c>
      <c r="N27" s="352">
        <f t="shared" si="7"/>
        <v>31800</v>
      </c>
      <c r="O27" s="350">
        <f>'reservecalc-internal'!F596</f>
        <v>34200</v>
      </c>
      <c r="P27" s="351">
        <f t="shared" si="8"/>
        <v>66000</v>
      </c>
      <c r="Q27" s="352">
        <f t="shared" si="9"/>
        <v>66000</v>
      </c>
      <c r="R27" s="350">
        <f>'reservecalc-internal'!G596</f>
        <v>45600</v>
      </c>
      <c r="S27" s="351">
        <f t="shared" si="10"/>
        <v>111600</v>
      </c>
      <c r="T27" s="352">
        <f t="shared" si="11"/>
        <v>111600</v>
      </c>
      <c r="U27" s="350">
        <f>'reservecalc-internal'!H596</f>
        <v>46700</v>
      </c>
      <c r="V27" s="351">
        <f t="shared" si="12"/>
        <v>158300</v>
      </c>
      <c r="W27" s="352">
        <f t="shared" si="13"/>
        <v>158300</v>
      </c>
      <c r="X27" s="350">
        <f>'reservecalc-internal'!I596</f>
        <v>47400</v>
      </c>
      <c r="Y27" s="351">
        <f t="shared" si="14"/>
        <v>205700</v>
      </c>
      <c r="Z27" s="352">
        <f t="shared" si="15"/>
        <v>205700</v>
      </c>
      <c r="AA27" s="350">
        <f>'reservecalc-internal'!J596</f>
        <v>48800</v>
      </c>
      <c r="AB27" s="351">
        <f t="shared" si="16"/>
        <v>254500</v>
      </c>
    </row>
    <row r="28" spans="1:28" x14ac:dyDescent="0.25">
      <c r="A28" s="75" t="s">
        <v>4131</v>
      </c>
      <c r="B28" s="349">
        <v>56000</v>
      </c>
      <c r="C28" s="350">
        <f>'reservecalc-internal'!B627</f>
        <v>0</v>
      </c>
      <c r="D28" s="351">
        <f t="shared" si="0"/>
        <v>56000</v>
      </c>
      <c r="E28" s="352">
        <f t="shared" si="1"/>
        <v>56000</v>
      </c>
      <c r="F28" s="350">
        <f>'reservecalc-internal'!C627</f>
        <v>0</v>
      </c>
      <c r="G28" s="351">
        <f t="shared" si="2"/>
        <v>56000</v>
      </c>
      <c r="H28" s="352">
        <f t="shared" si="3"/>
        <v>56000</v>
      </c>
      <c r="I28" s="350">
        <f>'reservecalc-internal'!D627</f>
        <v>0</v>
      </c>
      <c r="J28" s="351">
        <f t="shared" si="4"/>
        <v>56000</v>
      </c>
      <c r="K28" s="352">
        <f t="shared" si="5"/>
        <v>56000</v>
      </c>
      <c r="L28" s="350">
        <f>'reservecalc-internal'!E627</f>
        <v>0</v>
      </c>
      <c r="M28" s="351">
        <f t="shared" si="6"/>
        <v>56000</v>
      </c>
      <c r="N28" s="352">
        <f t="shared" si="7"/>
        <v>56000</v>
      </c>
      <c r="O28" s="350">
        <f>'reservecalc-internal'!F627</f>
        <v>0</v>
      </c>
      <c r="P28" s="351">
        <f t="shared" si="8"/>
        <v>56000</v>
      </c>
      <c r="Q28" s="352">
        <f t="shared" si="9"/>
        <v>56000</v>
      </c>
      <c r="R28" s="350">
        <f>'reservecalc-internal'!G627</f>
        <v>0</v>
      </c>
      <c r="S28" s="351">
        <f t="shared" si="10"/>
        <v>56000</v>
      </c>
      <c r="T28" s="352">
        <f t="shared" si="11"/>
        <v>56000</v>
      </c>
      <c r="U28" s="350">
        <f>'reservecalc-internal'!H627</f>
        <v>0</v>
      </c>
      <c r="V28" s="351">
        <f t="shared" si="12"/>
        <v>56000</v>
      </c>
      <c r="W28" s="352">
        <f t="shared" si="13"/>
        <v>56000</v>
      </c>
      <c r="X28" s="350">
        <f>'reservecalc-internal'!I627</f>
        <v>0</v>
      </c>
      <c r="Y28" s="351">
        <f t="shared" si="14"/>
        <v>56000</v>
      </c>
      <c r="Z28" s="352">
        <f t="shared" si="15"/>
        <v>56000</v>
      </c>
      <c r="AA28" s="350">
        <f>'reservecalc-internal'!J627</f>
        <v>0</v>
      </c>
      <c r="AB28" s="351">
        <f t="shared" si="16"/>
        <v>56000</v>
      </c>
    </row>
    <row r="29" spans="1:28" x14ac:dyDescent="0.25">
      <c r="A29" s="75" t="s">
        <v>2716</v>
      </c>
      <c r="B29" s="349">
        <v>64429</v>
      </c>
      <c r="C29" s="350">
        <f>'reservecalc-internal'!B658</f>
        <v>0</v>
      </c>
      <c r="D29" s="351">
        <f t="shared" si="0"/>
        <v>64429</v>
      </c>
      <c r="E29" s="352">
        <f t="shared" si="1"/>
        <v>64429</v>
      </c>
      <c r="F29" s="350">
        <f>'reservecalc-internal'!C658</f>
        <v>0</v>
      </c>
      <c r="G29" s="351">
        <f t="shared" si="2"/>
        <v>64429</v>
      </c>
      <c r="H29" s="352">
        <f t="shared" si="3"/>
        <v>64429</v>
      </c>
      <c r="I29" s="350">
        <f>'reservecalc-internal'!D658</f>
        <v>0</v>
      </c>
      <c r="J29" s="351">
        <f t="shared" si="4"/>
        <v>64429</v>
      </c>
      <c r="K29" s="352">
        <f t="shared" si="5"/>
        <v>64429</v>
      </c>
      <c r="L29" s="350">
        <f>'reservecalc-internal'!E658</f>
        <v>0</v>
      </c>
      <c r="M29" s="351">
        <f t="shared" si="6"/>
        <v>64429</v>
      </c>
      <c r="N29" s="352">
        <f t="shared" si="7"/>
        <v>64429</v>
      </c>
      <c r="O29" s="350">
        <f>'reservecalc-internal'!F658</f>
        <v>0</v>
      </c>
      <c r="P29" s="351">
        <f t="shared" si="8"/>
        <v>64429</v>
      </c>
      <c r="Q29" s="352">
        <f t="shared" si="9"/>
        <v>64429</v>
      </c>
      <c r="R29" s="350">
        <f>'reservecalc-internal'!G658</f>
        <v>0</v>
      </c>
      <c r="S29" s="351">
        <f t="shared" si="10"/>
        <v>64429</v>
      </c>
      <c r="T29" s="352">
        <f t="shared" si="11"/>
        <v>64429</v>
      </c>
      <c r="U29" s="350">
        <f>'reservecalc-internal'!H658</f>
        <v>0</v>
      </c>
      <c r="V29" s="351">
        <f t="shared" si="12"/>
        <v>64429</v>
      </c>
      <c r="W29" s="352">
        <f t="shared" si="13"/>
        <v>64429</v>
      </c>
      <c r="X29" s="350">
        <f>'reservecalc-internal'!I658</f>
        <v>0</v>
      </c>
      <c r="Y29" s="351">
        <f t="shared" si="14"/>
        <v>64429</v>
      </c>
      <c r="Z29" s="352">
        <f t="shared" si="15"/>
        <v>64429</v>
      </c>
      <c r="AA29" s="350">
        <f>'reservecalc-internal'!J658</f>
        <v>0</v>
      </c>
      <c r="AB29" s="351">
        <f t="shared" si="16"/>
        <v>64429</v>
      </c>
    </row>
    <row r="30" spans="1:28" x14ac:dyDescent="0.25">
      <c r="A30" s="75" t="s">
        <v>4132</v>
      </c>
      <c r="B30" s="349">
        <v>9227</v>
      </c>
      <c r="C30" s="350">
        <f>'reservecalc-internal'!B689</f>
        <v>0</v>
      </c>
      <c r="D30" s="351">
        <f t="shared" si="0"/>
        <v>9227</v>
      </c>
      <c r="E30" s="352">
        <f t="shared" si="1"/>
        <v>9227</v>
      </c>
      <c r="F30" s="350">
        <f>'reservecalc-internal'!C689</f>
        <v>0</v>
      </c>
      <c r="G30" s="351">
        <f t="shared" si="2"/>
        <v>9227</v>
      </c>
      <c r="H30" s="352">
        <f t="shared" si="3"/>
        <v>9227</v>
      </c>
      <c r="I30" s="350">
        <f>'reservecalc-internal'!D689</f>
        <v>0</v>
      </c>
      <c r="J30" s="351">
        <f t="shared" si="4"/>
        <v>9227</v>
      </c>
      <c r="K30" s="352">
        <f t="shared" si="5"/>
        <v>9227</v>
      </c>
      <c r="L30" s="350">
        <f>'reservecalc-internal'!E689</f>
        <v>0</v>
      </c>
      <c r="M30" s="351">
        <f t="shared" si="6"/>
        <v>9227</v>
      </c>
      <c r="N30" s="352">
        <f t="shared" si="7"/>
        <v>9227</v>
      </c>
      <c r="O30" s="350">
        <f>'reservecalc-internal'!F689</f>
        <v>0</v>
      </c>
      <c r="P30" s="351">
        <f t="shared" si="8"/>
        <v>9227</v>
      </c>
      <c r="Q30" s="352">
        <f t="shared" si="9"/>
        <v>9227</v>
      </c>
      <c r="R30" s="350">
        <f>'reservecalc-internal'!G689</f>
        <v>0</v>
      </c>
      <c r="S30" s="351">
        <f t="shared" si="10"/>
        <v>9227</v>
      </c>
      <c r="T30" s="352">
        <f t="shared" si="11"/>
        <v>9227</v>
      </c>
      <c r="U30" s="350">
        <f>'reservecalc-internal'!H689</f>
        <v>0</v>
      </c>
      <c r="V30" s="351">
        <f t="shared" si="12"/>
        <v>9227</v>
      </c>
      <c r="W30" s="352">
        <f t="shared" si="13"/>
        <v>9227</v>
      </c>
      <c r="X30" s="350">
        <f>'reservecalc-internal'!I689</f>
        <v>0</v>
      </c>
      <c r="Y30" s="351">
        <f t="shared" si="14"/>
        <v>9227</v>
      </c>
      <c r="Z30" s="352">
        <f t="shared" si="15"/>
        <v>9227</v>
      </c>
      <c r="AA30" s="350">
        <f>'reservecalc-internal'!J689</f>
        <v>0</v>
      </c>
      <c r="AB30" s="351">
        <f t="shared" si="16"/>
        <v>9227</v>
      </c>
    </row>
    <row r="31" spans="1:28" x14ac:dyDescent="0.25">
      <c r="A31" s="75" t="s">
        <v>4126</v>
      </c>
      <c r="B31" s="349">
        <v>10620</v>
      </c>
      <c r="C31" s="350">
        <f>'reservecalc-internal'!B720</f>
        <v>0</v>
      </c>
      <c r="D31" s="351">
        <f t="shared" si="0"/>
        <v>10620</v>
      </c>
      <c r="E31" s="352">
        <f t="shared" si="1"/>
        <v>10620</v>
      </c>
      <c r="F31" s="350">
        <f>'reservecalc-internal'!C720</f>
        <v>0</v>
      </c>
      <c r="G31" s="351">
        <f t="shared" si="2"/>
        <v>10620</v>
      </c>
      <c r="H31" s="352">
        <f t="shared" si="3"/>
        <v>10620</v>
      </c>
      <c r="I31" s="350">
        <f>'reservecalc-internal'!D720</f>
        <v>0</v>
      </c>
      <c r="J31" s="351">
        <f t="shared" si="4"/>
        <v>10620</v>
      </c>
      <c r="K31" s="352">
        <f t="shared" si="5"/>
        <v>10620</v>
      </c>
      <c r="L31" s="350">
        <f>'reservecalc-internal'!E720</f>
        <v>0</v>
      </c>
      <c r="M31" s="351">
        <f t="shared" si="6"/>
        <v>10620</v>
      </c>
      <c r="N31" s="352">
        <f t="shared" si="7"/>
        <v>10620</v>
      </c>
      <c r="O31" s="350">
        <f>'reservecalc-internal'!F720</f>
        <v>0</v>
      </c>
      <c r="P31" s="351">
        <f t="shared" si="8"/>
        <v>10620</v>
      </c>
      <c r="Q31" s="352">
        <f t="shared" si="9"/>
        <v>10620</v>
      </c>
      <c r="R31" s="350">
        <f>'reservecalc-internal'!G720</f>
        <v>0</v>
      </c>
      <c r="S31" s="351">
        <f t="shared" si="10"/>
        <v>10620</v>
      </c>
      <c r="T31" s="352">
        <f t="shared" si="11"/>
        <v>10620</v>
      </c>
      <c r="U31" s="350">
        <f>'reservecalc-internal'!H720</f>
        <v>0</v>
      </c>
      <c r="V31" s="351">
        <f t="shared" si="12"/>
        <v>10620</v>
      </c>
      <c r="W31" s="352">
        <f t="shared" si="13"/>
        <v>10620</v>
      </c>
      <c r="X31" s="350">
        <f>'reservecalc-internal'!I720</f>
        <v>0</v>
      </c>
      <c r="Y31" s="351">
        <f t="shared" si="14"/>
        <v>10620</v>
      </c>
      <c r="Z31" s="352">
        <f t="shared" si="15"/>
        <v>10620</v>
      </c>
      <c r="AA31" s="350">
        <f>'reservecalc-internal'!J720</f>
        <v>0</v>
      </c>
      <c r="AB31" s="351">
        <f t="shared" si="16"/>
        <v>10620</v>
      </c>
    </row>
    <row r="32" spans="1:28" x14ac:dyDescent="0.25">
      <c r="A32" s="75" t="s">
        <v>4179</v>
      </c>
      <c r="B32" s="349">
        <v>0</v>
      </c>
      <c r="C32" s="350">
        <f>'reservecalc-internal'!B751</f>
        <v>0</v>
      </c>
      <c r="D32" s="351">
        <f t="shared" si="0"/>
        <v>0</v>
      </c>
      <c r="E32" s="352">
        <f t="shared" si="1"/>
        <v>0</v>
      </c>
      <c r="F32" s="350">
        <f>'reservecalc-internal'!C751</f>
        <v>0</v>
      </c>
      <c r="G32" s="351">
        <f t="shared" si="2"/>
        <v>0</v>
      </c>
      <c r="H32" s="352">
        <f t="shared" si="3"/>
        <v>0</v>
      </c>
      <c r="I32" s="350">
        <f>'reservecalc-internal'!D751</f>
        <v>0</v>
      </c>
      <c r="J32" s="351">
        <f t="shared" si="4"/>
        <v>0</v>
      </c>
      <c r="K32" s="352">
        <f t="shared" si="5"/>
        <v>0</v>
      </c>
      <c r="L32" s="350">
        <f>'reservecalc-internal'!E751</f>
        <v>0</v>
      </c>
      <c r="M32" s="351">
        <f t="shared" si="6"/>
        <v>0</v>
      </c>
      <c r="N32" s="352">
        <f t="shared" si="7"/>
        <v>0</v>
      </c>
      <c r="O32" s="350">
        <f>'reservecalc-internal'!F751</f>
        <v>0</v>
      </c>
      <c r="P32" s="351">
        <f t="shared" si="8"/>
        <v>0</v>
      </c>
      <c r="Q32" s="352">
        <f t="shared" si="9"/>
        <v>0</v>
      </c>
      <c r="R32" s="350">
        <f>'reservecalc-internal'!G751</f>
        <v>0</v>
      </c>
      <c r="S32" s="351">
        <f t="shared" si="10"/>
        <v>0</v>
      </c>
      <c r="T32" s="352">
        <f t="shared" si="11"/>
        <v>0</v>
      </c>
      <c r="U32" s="350">
        <f>'reservecalc-internal'!H751</f>
        <v>0</v>
      </c>
      <c r="V32" s="351">
        <f t="shared" si="12"/>
        <v>0</v>
      </c>
      <c r="W32" s="352">
        <f t="shared" si="13"/>
        <v>0</v>
      </c>
      <c r="X32" s="350">
        <f>'reservecalc-internal'!I751</f>
        <v>0</v>
      </c>
      <c r="Y32" s="351">
        <f t="shared" si="14"/>
        <v>0</v>
      </c>
      <c r="Z32" s="352">
        <f t="shared" si="15"/>
        <v>0</v>
      </c>
      <c r="AA32" s="350">
        <f>'reservecalc-internal'!J751</f>
        <v>0</v>
      </c>
      <c r="AB32" s="351">
        <f t="shared" si="16"/>
        <v>0</v>
      </c>
    </row>
    <row r="33" spans="1:28" x14ac:dyDescent="0.25">
      <c r="A33" s="75" t="s">
        <v>4180</v>
      </c>
      <c r="B33" s="349">
        <v>0</v>
      </c>
      <c r="C33" s="350">
        <f>'reservecalc-internal'!B782</f>
        <v>0</v>
      </c>
      <c r="D33" s="351">
        <f t="shared" si="0"/>
        <v>0</v>
      </c>
      <c r="E33" s="352">
        <f t="shared" si="1"/>
        <v>0</v>
      </c>
      <c r="F33" s="350">
        <f>'reservecalc-internal'!C782</f>
        <v>0</v>
      </c>
      <c r="G33" s="351">
        <f t="shared" si="2"/>
        <v>0</v>
      </c>
      <c r="H33" s="352">
        <f t="shared" si="3"/>
        <v>0</v>
      </c>
      <c r="I33" s="350">
        <f>'reservecalc-internal'!D782</f>
        <v>0</v>
      </c>
      <c r="J33" s="351">
        <f t="shared" si="4"/>
        <v>0</v>
      </c>
      <c r="K33" s="352">
        <f t="shared" si="5"/>
        <v>0</v>
      </c>
      <c r="L33" s="350">
        <f>'reservecalc-internal'!E782</f>
        <v>0</v>
      </c>
      <c r="M33" s="351">
        <f t="shared" si="6"/>
        <v>0</v>
      </c>
      <c r="N33" s="352">
        <f t="shared" si="7"/>
        <v>0</v>
      </c>
      <c r="O33" s="350">
        <f>'reservecalc-internal'!F782</f>
        <v>0</v>
      </c>
      <c r="P33" s="351">
        <f t="shared" si="8"/>
        <v>0</v>
      </c>
      <c r="Q33" s="352">
        <f t="shared" si="9"/>
        <v>0</v>
      </c>
      <c r="R33" s="350">
        <f>'reservecalc-internal'!G782</f>
        <v>0</v>
      </c>
      <c r="S33" s="351">
        <f t="shared" si="10"/>
        <v>0</v>
      </c>
      <c r="T33" s="352">
        <f t="shared" si="11"/>
        <v>0</v>
      </c>
      <c r="U33" s="350">
        <f>'reservecalc-internal'!H782</f>
        <v>0</v>
      </c>
      <c r="V33" s="351">
        <f t="shared" si="12"/>
        <v>0</v>
      </c>
      <c r="W33" s="352">
        <f t="shared" si="13"/>
        <v>0</v>
      </c>
      <c r="X33" s="350">
        <f>'reservecalc-internal'!I782</f>
        <v>0</v>
      </c>
      <c r="Y33" s="351">
        <f t="shared" si="14"/>
        <v>0</v>
      </c>
      <c r="Z33" s="352">
        <f t="shared" si="15"/>
        <v>0</v>
      </c>
      <c r="AA33" s="350">
        <f>'reservecalc-internal'!J782</f>
        <v>0</v>
      </c>
      <c r="AB33" s="351">
        <f t="shared" si="16"/>
        <v>0</v>
      </c>
    </row>
    <row r="34" spans="1:28" x14ac:dyDescent="0.25">
      <c r="A34" s="190" t="s">
        <v>4181</v>
      </c>
      <c r="B34" s="349">
        <v>0</v>
      </c>
      <c r="C34" s="350">
        <f>'reservecalc-internal'!B813</f>
        <v>0</v>
      </c>
      <c r="D34" s="351">
        <f t="shared" si="0"/>
        <v>0</v>
      </c>
      <c r="E34" s="352">
        <f t="shared" si="1"/>
        <v>0</v>
      </c>
      <c r="F34" s="350">
        <f>'reservecalc-internal'!C813</f>
        <v>0</v>
      </c>
      <c r="G34" s="351">
        <f t="shared" si="2"/>
        <v>0</v>
      </c>
      <c r="H34" s="352">
        <f t="shared" si="3"/>
        <v>0</v>
      </c>
      <c r="I34" s="350">
        <f>'reservecalc-internal'!D813</f>
        <v>0</v>
      </c>
      <c r="J34" s="351">
        <f t="shared" si="4"/>
        <v>0</v>
      </c>
      <c r="K34" s="352">
        <f t="shared" si="5"/>
        <v>0</v>
      </c>
      <c r="L34" s="350">
        <f>'reservecalc-internal'!E813</f>
        <v>0</v>
      </c>
      <c r="M34" s="351">
        <f t="shared" si="6"/>
        <v>0</v>
      </c>
      <c r="N34" s="352">
        <f t="shared" si="7"/>
        <v>0</v>
      </c>
      <c r="O34" s="350">
        <f>'reservecalc-internal'!F813</f>
        <v>0</v>
      </c>
      <c r="P34" s="351">
        <f t="shared" si="8"/>
        <v>0</v>
      </c>
      <c r="Q34" s="352">
        <f t="shared" si="9"/>
        <v>0</v>
      </c>
      <c r="R34" s="350">
        <f>'reservecalc-internal'!G813</f>
        <v>0</v>
      </c>
      <c r="S34" s="351">
        <f t="shared" si="10"/>
        <v>0</v>
      </c>
      <c r="T34" s="352">
        <f t="shared" si="11"/>
        <v>0</v>
      </c>
      <c r="U34" s="350">
        <f>'reservecalc-internal'!H813</f>
        <v>0</v>
      </c>
      <c r="V34" s="351">
        <f t="shared" si="12"/>
        <v>0</v>
      </c>
      <c r="W34" s="352">
        <f t="shared" si="13"/>
        <v>0</v>
      </c>
      <c r="X34" s="350">
        <f>'reservecalc-internal'!I813</f>
        <v>0</v>
      </c>
      <c r="Y34" s="351">
        <f t="shared" si="14"/>
        <v>0</v>
      </c>
      <c r="Z34" s="352">
        <f t="shared" si="15"/>
        <v>0</v>
      </c>
      <c r="AA34" s="350">
        <f>'reservecalc-internal'!J813</f>
        <v>0</v>
      </c>
      <c r="AB34" s="351">
        <f t="shared" si="16"/>
        <v>0</v>
      </c>
    </row>
    <row r="35" spans="1:28" x14ac:dyDescent="0.25">
      <c r="A35" s="75" t="s">
        <v>4182</v>
      </c>
      <c r="B35" s="349">
        <v>0</v>
      </c>
      <c r="C35" s="350">
        <f>'reservecalc-internal'!B844</f>
        <v>0</v>
      </c>
      <c r="D35" s="351">
        <f t="shared" si="0"/>
        <v>0</v>
      </c>
      <c r="E35" s="352">
        <f t="shared" si="1"/>
        <v>0</v>
      </c>
      <c r="F35" s="350">
        <f>'reservecalc-internal'!C844</f>
        <v>0</v>
      </c>
      <c r="G35" s="351">
        <f t="shared" si="2"/>
        <v>0</v>
      </c>
      <c r="H35" s="352">
        <f t="shared" si="3"/>
        <v>0</v>
      </c>
      <c r="I35" s="350">
        <f>'reservecalc-internal'!D844</f>
        <v>0</v>
      </c>
      <c r="J35" s="351">
        <f t="shared" si="4"/>
        <v>0</v>
      </c>
      <c r="K35" s="352">
        <f t="shared" si="5"/>
        <v>0</v>
      </c>
      <c r="L35" s="350">
        <f>'reservecalc-internal'!E844</f>
        <v>0</v>
      </c>
      <c r="M35" s="351">
        <f t="shared" si="6"/>
        <v>0</v>
      </c>
      <c r="N35" s="352">
        <f t="shared" si="7"/>
        <v>0</v>
      </c>
      <c r="O35" s="350">
        <f>'reservecalc-internal'!F844</f>
        <v>0</v>
      </c>
      <c r="P35" s="351">
        <f t="shared" si="8"/>
        <v>0</v>
      </c>
      <c r="Q35" s="352">
        <f t="shared" si="9"/>
        <v>0</v>
      </c>
      <c r="R35" s="350">
        <f>'reservecalc-internal'!G844</f>
        <v>0</v>
      </c>
      <c r="S35" s="351">
        <f t="shared" si="10"/>
        <v>0</v>
      </c>
      <c r="T35" s="352">
        <f t="shared" si="11"/>
        <v>0</v>
      </c>
      <c r="U35" s="350">
        <f>'reservecalc-internal'!H844</f>
        <v>0</v>
      </c>
      <c r="V35" s="351">
        <f t="shared" si="12"/>
        <v>0</v>
      </c>
      <c r="W35" s="352">
        <f t="shared" si="13"/>
        <v>0</v>
      </c>
      <c r="X35" s="350">
        <f>'reservecalc-internal'!I844</f>
        <v>0</v>
      </c>
      <c r="Y35" s="351">
        <f t="shared" si="14"/>
        <v>0</v>
      </c>
      <c r="Z35" s="352">
        <f t="shared" si="15"/>
        <v>0</v>
      </c>
      <c r="AA35" s="350">
        <f>'reservecalc-internal'!J844</f>
        <v>0</v>
      </c>
      <c r="AB35" s="351">
        <f t="shared" si="16"/>
        <v>0</v>
      </c>
    </row>
    <row r="36" spans="1:28" x14ac:dyDescent="0.25">
      <c r="A36" s="75" t="s">
        <v>4183</v>
      </c>
      <c r="B36" s="349">
        <v>0</v>
      </c>
      <c r="C36" s="350">
        <f>'reservecalc-internal'!B875</f>
        <v>0</v>
      </c>
      <c r="D36" s="351">
        <f t="shared" si="0"/>
        <v>0</v>
      </c>
      <c r="E36" s="352">
        <f t="shared" si="1"/>
        <v>0</v>
      </c>
      <c r="F36" s="350">
        <f>'reservecalc-internal'!C875</f>
        <v>0</v>
      </c>
      <c r="G36" s="351">
        <f t="shared" si="2"/>
        <v>0</v>
      </c>
      <c r="H36" s="352">
        <f t="shared" si="3"/>
        <v>0</v>
      </c>
      <c r="I36" s="350">
        <f>'reservecalc-internal'!D875</f>
        <v>0</v>
      </c>
      <c r="J36" s="351">
        <f t="shared" si="4"/>
        <v>0</v>
      </c>
      <c r="K36" s="352">
        <f t="shared" si="5"/>
        <v>0</v>
      </c>
      <c r="L36" s="350">
        <f>'reservecalc-internal'!E875</f>
        <v>0</v>
      </c>
      <c r="M36" s="351">
        <f t="shared" si="6"/>
        <v>0</v>
      </c>
      <c r="N36" s="352">
        <f t="shared" si="7"/>
        <v>0</v>
      </c>
      <c r="O36" s="350">
        <f>'reservecalc-internal'!F875</f>
        <v>0</v>
      </c>
      <c r="P36" s="351">
        <f t="shared" si="8"/>
        <v>0</v>
      </c>
      <c r="Q36" s="352">
        <f t="shared" si="9"/>
        <v>0</v>
      </c>
      <c r="R36" s="350">
        <f>'reservecalc-internal'!G875</f>
        <v>0</v>
      </c>
      <c r="S36" s="351">
        <f t="shared" si="10"/>
        <v>0</v>
      </c>
      <c r="T36" s="352">
        <f t="shared" si="11"/>
        <v>0</v>
      </c>
      <c r="U36" s="350">
        <f>'reservecalc-internal'!H875</f>
        <v>0</v>
      </c>
      <c r="V36" s="351">
        <f t="shared" si="12"/>
        <v>0</v>
      </c>
      <c r="W36" s="352">
        <f t="shared" si="13"/>
        <v>0</v>
      </c>
      <c r="X36" s="350">
        <f>'reservecalc-internal'!I875</f>
        <v>0</v>
      </c>
      <c r="Y36" s="351">
        <f t="shared" si="14"/>
        <v>0</v>
      </c>
      <c r="Z36" s="352">
        <f t="shared" si="15"/>
        <v>0</v>
      </c>
      <c r="AA36" s="350">
        <f>'reservecalc-internal'!J875</f>
        <v>0</v>
      </c>
      <c r="AB36" s="351">
        <f t="shared" si="16"/>
        <v>0</v>
      </c>
    </row>
    <row r="37" spans="1:28" x14ac:dyDescent="0.25">
      <c r="A37" s="75" t="s">
        <v>4184</v>
      </c>
      <c r="B37" s="349">
        <v>0</v>
      </c>
      <c r="C37" s="350">
        <f>'reservecalc-internal'!B906</f>
        <v>0</v>
      </c>
      <c r="D37" s="351">
        <f t="shared" si="0"/>
        <v>0</v>
      </c>
      <c r="E37" s="352">
        <f t="shared" si="1"/>
        <v>0</v>
      </c>
      <c r="F37" s="350">
        <f>'reservecalc-internal'!C906</f>
        <v>0</v>
      </c>
      <c r="G37" s="351">
        <f t="shared" si="2"/>
        <v>0</v>
      </c>
      <c r="H37" s="352">
        <f t="shared" si="3"/>
        <v>0</v>
      </c>
      <c r="I37" s="350">
        <f>'reservecalc-internal'!D906</f>
        <v>0</v>
      </c>
      <c r="J37" s="351">
        <f t="shared" si="4"/>
        <v>0</v>
      </c>
      <c r="K37" s="352">
        <f t="shared" si="5"/>
        <v>0</v>
      </c>
      <c r="L37" s="350">
        <f>'reservecalc-internal'!E906</f>
        <v>0</v>
      </c>
      <c r="M37" s="351">
        <f t="shared" si="6"/>
        <v>0</v>
      </c>
      <c r="N37" s="352">
        <f t="shared" si="7"/>
        <v>0</v>
      </c>
      <c r="O37" s="350">
        <f>'reservecalc-internal'!F906</f>
        <v>0</v>
      </c>
      <c r="P37" s="351">
        <f t="shared" si="8"/>
        <v>0</v>
      </c>
      <c r="Q37" s="352">
        <f t="shared" si="9"/>
        <v>0</v>
      </c>
      <c r="R37" s="350">
        <f>'reservecalc-internal'!G906</f>
        <v>0</v>
      </c>
      <c r="S37" s="351">
        <f t="shared" si="10"/>
        <v>0</v>
      </c>
      <c r="T37" s="352">
        <f t="shared" si="11"/>
        <v>0</v>
      </c>
      <c r="U37" s="350">
        <f>'reservecalc-internal'!H906</f>
        <v>0</v>
      </c>
      <c r="V37" s="351">
        <f t="shared" si="12"/>
        <v>0</v>
      </c>
      <c r="W37" s="352">
        <f t="shared" si="13"/>
        <v>0</v>
      </c>
      <c r="X37" s="350">
        <f>'reservecalc-internal'!I906</f>
        <v>0</v>
      </c>
      <c r="Y37" s="351">
        <f t="shared" si="14"/>
        <v>0</v>
      </c>
      <c r="Z37" s="352">
        <f t="shared" si="15"/>
        <v>0</v>
      </c>
      <c r="AA37" s="350">
        <f>'reservecalc-internal'!J906</f>
        <v>0</v>
      </c>
      <c r="AB37" s="351">
        <f t="shared" si="16"/>
        <v>0</v>
      </c>
    </row>
    <row r="38" spans="1:28" x14ac:dyDescent="0.25">
      <c r="A38" s="75" t="s">
        <v>4133</v>
      </c>
      <c r="B38" s="349">
        <v>284984</v>
      </c>
      <c r="C38" s="350">
        <f>'reservecalc-internal'!B937</f>
        <v>0</v>
      </c>
      <c r="D38" s="351">
        <f t="shared" si="0"/>
        <v>284984</v>
      </c>
      <c r="E38" s="352">
        <f t="shared" si="1"/>
        <v>284984</v>
      </c>
      <c r="F38" s="350">
        <f>'reservecalc-internal'!C937</f>
        <v>0</v>
      </c>
      <c r="G38" s="351">
        <f t="shared" si="2"/>
        <v>284984</v>
      </c>
      <c r="H38" s="352">
        <f t="shared" si="3"/>
        <v>284984</v>
      </c>
      <c r="I38" s="350">
        <f>'reservecalc-internal'!D937</f>
        <v>0</v>
      </c>
      <c r="J38" s="351">
        <f t="shared" si="4"/>
        <v>284984</v>
      </c>
      <c r="K38" s="352">
        <f t="shared" si="5"/>
        <v>284984</v>
      </c>
      <c r="L38" s="350">
        <f>'reservecalc-internal'!E937</f>
        <v>0</v>
      </c>
      <c r="M38" s="351">
        <f t="shared" si="6"/>
        <v>284984</v>
      </c>
      <c r="N38" s="352">
        <f t="shared" si="7"/>
        <v>284984</v>
      </c>
      <c r="O38" s="350">
        <f>'reservecalc-internal'!F937</f>
        <v>0</v>
      </c>
      <c r="P38" s="351">
        <f t="shared" si="8"/>
        <v>284984</v>
      </c>
      <c r="Q38" s="352">
        <f t="shared" si="9"/>
        <v>284984</v>
      </c>
      <c r="R38" s="350">
        <f>'reservecalc-internal'!G937</f>
        <v>0</v>
      </c>
      <c r="S38" s="351">
        <f t="shared" si="10"/>
        <v>284984</v>
      </c>
      <c r="T38" s="352">
        <f t="shared" si="11"/>
        <v>284984</v>
      </c>
      <c r="U38" s="350">
        <f>'reservecalc-internal'!H937</f>
        <v>0</v>
      </c>
      <c r="V38" s="351">
        <f t="shared" si="12"/>
        <v>284984</v>
      </c>
      <c r="W38" s="352">
        <f t="shared" si="13"/>
        <v>284984</v>
      </c>
      <c r="X38" s="350">
        <f>'reservecalc-internal'!I937</f>
        <v>0</v>
      </c>
      <c r="Y38" s="351">
        <f t="shared" si="14"/>
        <v>284984</v>
      </c>
      <c r="Z38" s="352">
        <f t="shared" si="15"/>
        <v>284984</v>
      </c>
      <c r="AA38" s="350">
        <f>'reservecalc-internal'!J937</f>
        <v>0</v>
      </c>
      <c r="AB38" s="351">
        <f t="shared" si="16"/>
        <v>284984</v>
      </c>
    </row>
    <row r="39" spans="1:28" x14ac:dyDescent="0.25">
      <c r="A39" s="75" t="s">
        <v>608</v>
      </c>
      <c r="B39" s="349">
        <v>0</v>
      </c>
      <c r="C39" s="350">
        <f>'reservecalc-internal'!B968</f>
        <v>0</v>
      </c>
      <c r="D39" s="351">
        <f t="shared" si="0"/>
        <v>0</v>
      </c>
      <c r="E39" s="352">
        <f t="shared" si="1"/>
        <v>0</v>
      </c>
      <c r="F39" s="350">
        <f>'reservecalc-internal'!C968</f>
        <v>0</v>
      </c>
      <c r="G39" s="351">
        <f t="shared" si="2"/>
        <v>0</v>
      </c>
      <c r="H39" s="352">
        <f t="shared" si="3"/>
        <v>0</v>
      </c>
      <c r="I39" s="350">
        <f>'reservecalc-internal'!D968</f>
        <v>0</v>
      </c>
      <c r="J39" s="351">
        <f t="shared" si="4"/>
        <v>0</v>
      </c>
      <c r="K39" s="352">
        <f t="shared" si="5"/>
        <v>0</v>
      </c>
      <c r="L39" s="350">
        <f>'reservecalc-internal'!E968</f>
        <v>0</v>
      </c>
      <c r="M39" s="351">
        <f t="shared" si="6"/>
        <v>0</v>
      </c>
      <c r="N39" s="352">
        <f t="shared" si="7"/>
        <v>0</v>
      </c>
      <c r="O39" s="350">
        <f>'reservecalc-internal'!F968</f>
        <v>0</v>
      </c>
      <c r="P39" s="351">
        <f t="shared" si="8"/>
        <v>0</v>
      </c>
      <c r="Q39" s="352">
        <f t="shared" si="9"/>
        <v>0</v>
      </c>
      <c r="R39" s="350">
        <f>'reservecalc-internal'!G968</f>
        <v>0</v>
      </c>
      <c r="S39" s="351">
        <f t="shared" si="10"/>
        <v>0</v>
      </c>
      <c r="T39" s="352">
        <f t="shared" si="11"/>
        <v>0</v>
      </c>
      <c r="U39" s="350">
        <f>'reservecalc-internal'!H968</f>
        <v>0</v>
      </c>
      <c r="V39" s="351">
        <f t="shared" si="12"/>
        <v>0</v>
      </c>
      <c r="W39" s="352">
        <f t="shared" si="13"/>
        <v>0</v>
      </c>
      <c r="X39" s="350">
        <f>'reservecalc-internal'!I968</f>
        <v>0</v>
      </c>
      <c r="Y39" s="351">
        <f t="shared" si="14"/>
        <v>0</v>
      </c>
      <c r="Z39" s="352">
        <f t="shared" si="15"/>
        <v>0</v>
      </c>
      <c r="AA39" s="350">
        <f>'reservecalc-internal'!J968</f>
        <v>0</v>
      </c>
      <c r="AB39" s="351">
        <f t="shared" si="16"/>
        <v>0</v>
      </c>
    </row>
    <row r="40" spans="1:28" x14ac:dyDescent="0.25">
      <c r="A40" s="75" t="s">
        <v>4134</v>
      </c>
      <c r="B40" s="349">
        <v>37413</v>
      </c>
      <c r="C40" s="350">
        <f>'reservecalc-internal'!B999</f>
        <v>0</v>
      </c>
      <c r="D40" s="351">
        <f t="shared" si="0"/>
        <v>37413</v>
      </c>
      <c r="E40" s="352">
        <f t="shared" si="1"/>
        <v>37413</v>
      </c>
      <c r="F40" s="350">
        <f>'reservecalc-internal'!C999</f>
        <v>0</v>
      </c>
      <c r="G40" s="351">
        <f t="shared" si="2"/>
        <v>37413</v>
      </c>
      <c r="H40" s="352">
        <f t="shared" si="3"/>
        <v>37413</v>
      </c>
      <c r="I40" s="350">
        <f>'reservecalc-internal'!D999</f>
        <v>0</v>
      </c>
      <c r="J40" s="351">
        <f t="shared" si="4"/>
        <v>37413</v>
      </c>
      <c r="K40" s="352">
        <f t="shared" si="5"/>
        <v>37413</v>
      </c>
      <c r="L40" s="350">
        <f>'reservecalc-internal'!E999</f>
        <v>0</v>
      </c>
      <c r="M40" s="351">
        <f t="shared" si="6"/>
        <v>37413</v>
      </c>
      <c r="N40" s="352">
        <f t="shared" si="7"/>
        <v>37413</v>
      </c>
      <c r="O40" s="350">
        <f>'reservecalc-internal'!F999</f>
        <v>0</v>
      </c>
      <c r="P40" s="351">
        <f t="shared" si="8"/>
        <v>37413</v>
      </c>
      <c r="Q40" s="352">
        <f t="shared" si="9"/>
        <v>37413</v>
      </c>
      <c r="R40" s="350">
        <f>'reservecalc-internal'!G999</f>
        <v>0</v>
      </c>
      <c r="S40" s="351">
        <f t="shared" si="10"/>
        <v>37413</v>
      </c>
      <c r="T40" s="352">
        <f t="shared" si="11"/>
        <v>37413</v>
      </c>
      <c r="U40" s="350">
        <f>'reservecalc-internal'!H999</f>
        <v>0</v>
      </c>
      <c r="V40" s="351">
        <f t="shared" si="12"/>
        <v>37413</v>
      </c>
      <c r="W40" s="352">
        <f t="shared" si="13"/>
        <v>37413</v>
      </c>
      <c r="X40" s="350">
        <f>'reservecalc-internal'!I999</f>
        <v>0</v>
      </c>
      <c r="Y40" s="351">
        <f t="shared" si="14"/>
        <v>37413</v>
      </c>
      <c r="Z40" s="352">
        <f t="shared" si="15"/>
        <v>37413</v>
      </c>
      <c r="AA40" s="350">
        <f>'reservecalc-internal'!J999</f>
        <v>0</v>
      </c>
      <c r="AB40" s="351">
        <f t="shared" si="16"/>
        <v>37413</v>
      </c>
    </row>
    <row r="41" spans="1:28" x14ac:dyDescent="0.25">
      <c r="A41" s="75" t="s">
        <v>4135</v>
      </c>
      <c r="B41" s="349">
        <v>21549</v>
      </c>
      <c r="C41" s="350">
        <f>'reservecalc-internal'!B1030</f>
        <v>0</v>
      </c>
      <c r="D41" s="351">
        <f t="shared" si="0"/>
        <v>21549</v>
      </c>
      <c r="E41" s="352">
        <f t="shared" si="1"/>
        <v>21549</v>
      </c>
      <c r="F41" s="350">
        <f>'reservecalc-internal'!C1030</f>
        <v>0</v>
      </c>
      <c r="G41" s="351">
        <f t="shared" si="2"/>
        <v>21549</v>
      </c>
      <c r="H41" s="352">
        <f t="shared" si="3"/>
        <v>21549</v>
      </c>
      <c r="I41" s="350">
        <f>'reservecalc-internal'!D1030</f>
        <v>0</v>
      </c>
      <c r="J41" s="351">
        <f t="shared" si="4"/>
        <v>21549</v>
      </c>
      <c r="K41" s="352">
        <f t="shared" si="5"/>
        <v>21549</v>
      </c>
      <c r="L41" s="350">
        <f>'reservecalc-internal'!E1030</f>
        <v>0</v>
      </c>
      <c r="M41" s="351">
        <f t="shared" si="6"/>
        <v>21549</v>
      </c>
      <c r="N41" s="352">
        <f t="shared" si="7"/>
        <v>21549</v>
      </c>
      <c r="O41" s="350">
        <f>'reservecalc-internal'!F1030</f>
        <v>0</v>
      </c>
      <c r="P41" s="351">
        <f t="shared" si="8"/>
        <v>21549</v>
      </c>
      <c r="Q41" s="352">
        <f t="shared" si="9"/>
        <v>21549</v>
      </c>
      <c r="R41" s="350">
        <f>'reservecalc-internal'!G1030</f>
        <v>0</v>
      </c>
      <c r="S41" s="351">
        <f t="shared" si="10"/>
        <v>21549</v>
      </c>
      <c r="T41" s="352">
        <f t="shared" si="11"/>
        <v>21549</v>
      </c>
      <c r="U41" s="350">
        <f>'reservecalc-internal'!H1030</f>
        <v>0</v>
      </c>
      <c r="V41" s="351">
        <f t="shared" si="12"/>
        <v>21549</v>
      </c>
      <c r="W41" s="352">
        <f t="shared" si="13"/>
        <v>21549</v>
      </c>
      <c r="X41" s="350">
        <f>'reservecalc-internal'!I1030</f>
        <v>0</v>
      </c>
      <c r="Y41" s="351">
        <f t="shared" si="14"/>
        <v>21549</v>
      </c>
      <c r="Z41" s="352">
        <f t="shared" si="15"/>
        <v>21549</v>
      </c>
      <c r="AA41" s="350">
        <f>'reservecalc-internal'!J1030</f>
        <v>0</v>
      </c>
      <c r="AB41" s="351">
        <f t="shared" si="16"/>
        <v>21549</v>
      </c>
    </row>
    <row r="42" spans="1:28" x14ac:dyDescent="0.25">
      <c r="A42" s="75" t="s">
        <v>4136</v>
      </c>
      <c r="B42" s="349">
        <f>3893559-3322500</f>
        <v>571059</v>
      </c>
      <c r="C42" s="350">
        <f>'reservecalc-internal'!B1077</f>
        <v>-327000</v>
      </c>
      <c r="D42" s="351">
        <f t="shared" si="0"/>
        <v>244059</v>
      </c>
      <c r="E42" s="352">
        <f t="shared" si="1"/>
        <v>244059</v>
      </c>
      <c r="F42" s="350">
        <f>'reservecalc-internal'!C1077</f>
        <v>-135900</v>
      </c>
      <c r="G42" s="351">
        <f t="shared" si="2"/>
        <v>108159</v>
      </c>
      <c r="H42" s="352">
        <f t="shared" si="3"/>
        <v>108159</v>
      </c>
      <c r="I42" s="350">
        <f>'reservecalc-internal'!D1077</f>
        <v>27000</v>
      </c>
      <c r="J42" s="351">
        <f t="shared" si="4"/>
        <v>135159</v>
      </c>
      <c r="K42" s="352">
        <f t="shared" si="5"/>
        <v>135159</v>
      </c>
      <c r="L42" s="350">
        <f>'reservecalc-internal'!E1077</f>
        <v>96800</v>
      </c>
      <c r="M42" s="351">
        <f t="shared" si="6"/>
        <v>231959</v>
      </c>
      <c r="N42" s="352">
        <f t="shared" si="7"/>
        <v>231959</v>
      </c>
      <c r="O42" s="350">
        <f>'reservecalc-internal'!F1077</f>
        <v>144700</v>
      </c>
      <c r="P42" s="351">
        <f t="shared" si="8"/>
        <v>376659</v>
      </c>
      <c r="Q42" s="352">
        <f t="shared" si="9"/>
        <v>376659</v>
      </c>
      <c r="R42" s="350">
        <f>'reservecalc-internal'!G1077</f>
        <v>-7300</v>
      </c>
      <c r="S42" s="351">
        <f t="shared" si="10"/>
        <v>369359</v>
      </c>
      <c r="T42" s="352">
        <f t="shared" si="11"/>
        <v>369359</v>
      </c>
      <c r="U42" s="350">
        <f>'reservecalc-internal'!H1077</f>
        <v>88500</v>
      </c>
      <c r="V42" s="351">
        <f t="shared" si="12"/>
        <v>457859</v>
      </c>
      <c r="W42" s="352">
        <f t="shared" si="13"/>
        <v>457859</v>
      </c>
      <c r="X42" s="350">
        <f>'reservecalc-internal'!I1077</f>
        <v>84300</v>
      </c>
      <c r="Y42" s="351">
        <f t="shared" si="14"/>
        <v>542159</v>
      </c>
      <c r="Z42" s="352">
        <f t="shared" si="15"/>
        <v>542159</v>
      </c>
      <c r="AA42" s="350">
        <f>'reservecalc-internal'!J1077</f>
        <v>-220200</v>
      </c>
      <c r="AB42" s="351">
        <f t="shared" si="16"/>
        <v>321959</v>
      </c>
    </row>
    <row r="43" spans="1:28" x14ac:dyDescent="0.25">
      <c r="A43" s="75" t="s">
        <v>594</v>
      </c>
      <c r="B43" s="349">
        <v>3402</v>
      </c>
      <c r="C43" s="350">
        <f>'reservecalc-internal'!B1108</f>
        <v>0</v>
      </c>
      <c r="D43" s="351">
        <f t="shared" si="0"/>
        <v>3402</v>
      </c>
      <c r="E43" s="352">
        <f t="shared" si="1"/>
        <v>3402</v>
      </c>
      <c r="F43" s="350">
        <f>'reservecalc-internal'!C1108</f>
        <v>0</v>
      </c>
      <c r="G43" s="351">
        <f t="shared" si="2"/>
        <v>3402</v>
      </c>
      <c r="H43" s="352">
        <f t="shared" si="3"/>
        <v>3402</v>
      </c>
      <c r="I43" s="350">
        <f>'reservecalc-internal'!D1108</f>
        <v>0</v>
      </c>
      <c r="J43" s="351">
        <f t="shared" si="4"/>
        <v>3402</v>
      </c>
      <c r="K43" s="352">
        <f t="shared" si="5"/>
        <v>3402</v>
      </c>
      <c r="L43" s="350">
        <f>'reservecalc-internal'!E1108</f>
        <v>0</v>
      </c>
      <c r="M43" s="351">
        <f t="shared" si="6"/>
        <v>3402</v>
      </c>
      <c r="N43" s="352">
        <f t="shared" si="7"/>
        <v>3402</v>
      </c>
      <c r="O43" s="350">
        <f>'reservecalc-internal'!F1108</f>
        <v>0</v>
      </c>
      <c r="P43" s="351">
        <f t="shared" si="8"/>
        <v>3402</v>
      </c>
      <c r="Q43" s="352">
        <f t="shared" si="9"/>
        <v>3402</v>
      </c>
      <c r="R43" s="350">
        <f>'reservecalc-internal'!G1108</f>
        <v>0</v>
      </c>
      <c r="S43" s="351">
        <f t="shared" si="10"/>
        <v>3402</v>
      </c>
      <c r="T43" s="352">
        <f t="shared" si="11"/>
        <v>3402</v>
      </c>
      <c r="U43" s="350">
        <f>'reservecalc-internal'!H1108</f>
        <v>0</v>
      </c>
      <c r="V43" s="351">
        <f t="shared" si="12"/>
        <v>3402</v>
      </c>
      <c r="W43" s="352">
        <f t="shared" si="13"/>
        <v>3402</v>
      </c>
      <c r="X43" s="350">
        <f>'reservecalc-internal'!I1108</f>
        <v>0</v>
      </c>
      <c r="Y43" s="351">
        <f t="shared" si="14"/>
        <v>3402</v>
      </c>
      <c r="Z43" s="352">
        <f t="shared" si="15"/>
        <v>3402</v>
      </c>
      <c r="AA43" s="350">
        <f>'reservecalc-internal'!J1108</f>
        <v>0</v>
      </c>
      <c r="AB43" s="351">
        <f t="shared" si="16"/>
        <v>3402</v>
      </c>
    </row>
    <row r="44" spans="1:28" x14ac:dyDescent="0.25">
      <c r="A44" s="75" t="s">
        <v>4137</v>
      </c>
      <c r="B44" s="349">
        <v>11150</v>
      </c>
      <c r="C44" s="350">
        <f>'reservecalc-internal'!B1139</f>
        <v>0</v>
      </c>
      <c r="D44" s="351">
        <f t="shared" si="0"/>
        <v>11150</v>
      </c>
      <c r="E44" s="352">
        <f t="shared" si="1"/>
        <v>11150</v>
      </c>
      <c r="F44" s="350">
        <f>'reservecalc-internal'!C1139</f>
        <v>0</v>
      </c>
      <c r="G44" s="351">
        <f t="shared" si="2"/>
        <v>11150</v>
      </c>
      <c r="H44" s="352">
        <f t="shared" si="3"/>
        <v>11150</v>
      </c>
      <c r="I44" s="350">
        <f>'reservecalc-internal'!D1139</f>
        <v>0</v>
      </c>
      <c r="J44" s="351">
        <f t="shared" si="4"/>
        <v>11150</v>
      </c>
      <c r="K44" s="352">
        <f t="shared" si="5"/>
        <v>11150</v>
      </c>
      <c r="L44" s="350">
        <f>'reservecalc-internal'!E1139</f>
        <v>0</v>
      </c>
      <c r="M44" s="351">
        <f t="shared" si="6"/>
        <v>11150</v>
      </c>
      <c r="N44" s="352">
        <f t="shared" si="7"/>
        <v>11150</v>
      </c>
      <c r="O44" s="350">
        <f>'reservecalc-internal'!F1139</f>
        <v>0</v>
      </c>
      <c r="P44" s="351">
        <f t="shared" si="8"/>
        <v>11150</v>
      </c>
      <c r="Q44" s="352">
        <f t="shared" si="9"/>
        <v>11150</v>
      </c>
      <c r="R44" s="350">
        <f>'reservecalc-internal'!G1139</f>
        <v>0</v>
      </c>
      <c r="S44" s="351">
        <f t="shared" si="10"/>
        <v>11150</v>
      </c>
      <c r="T44" s="352">
        <f t="shared" si="11"/>
        <v>11150</v>
      </c>
      <c r="U44" s="350">
        <f>'reservecalc-internal'!H1139</f>
        <v>0</v>
      </c>
      <c r="V44" s="351">
        <f t="shared" si="12"/>
        <v>11150</v>
      </c>
      <c r="W44" s="352">
        <f t="shared" si="13"/>
        <v>11150</v>
      </c>
      <c r="X44" s="350">
        <f>'reservecalc-internal'!I1139</f>
        <v>0</v>
      </c>
      <c r="Y44" s="351">
        <f t="shared" si="14"/>
        <v>11150</v>
      </c>
      <c r="Z44" s="352">
        <f t="shared" si="15"/>
        <v>11150</v>
      </c>
      <c r="AA44" s="350">
        <f>'reservecalc-internal'!J1139</f>
        <v>0</v>
      </c>
      <c r="AB44" s="351">
        <f t="shared" si="16"/>
        <v>11150</v>
      </c>
    </row>
    <row r="45" spans="1:28" x14ac:dyDescent="0.25">
      <c r="A45" s="75" t="s">
        <v>4185</v>
      </c>
      <c r="B45" s="349">
        <v>0</v>
      </c>
      <c r="C45" s="350">
        <f>'reservecalc-internal'!B1170</f>
        <v>0</v>
      </c>
      <c r="D45" s="351">
        <f t="shared" si="0"/>
        <v>0</v>
      </c>
      <c r="E45" s="352">
        <f t="shared" si="1"/>
        <v>0</v>
      </c>
      <c r="F45" s="350">
        <f>'reservecalc-internal'!C1170</f>
        <v>0</v>
      </c>
      <c r="G45" s="351">
        <f t="shared" si="2"/>
        <v>0</v>
      </c>
      <c r="H45" s="352">
        <f t="shared" si="3"/>
        <v>0</v>
      </c>
      <c r="I45" s="350">
        <f>'reservecalc-internal'!D1170</f>
        <v>0</v>
      </c>
      <c r="J45" s="351">
        <f t="shared" si="4"/>
        <v>0</v>
      </c>
      <c r="K45" s="352">
        <f t="shared" si="5"/>
        <v>0</v>
      </c>
      <c r="L45" s="350">
        <f>'reservecalc-internal'!E1170</f>
        <v>0</v>
      </c>
      <c r="M45" s="351">
        <f t="shared" si="6"/>
        <v>0</v>
      </c>
      <c r="N45" s="352">
        <f t="shared" si="7"/>
        <v>0</v>
      </c>
      <c r="O45" s="350">
        <f>'reservecalc-internal'!F1170</f>
        <v>0</v>
      </c>
      <c r="P45" s="351">
        <f t="shared" si="8"/>
        <v>0</v>
      </c>
      <c r="Q45" s="352">
        <f t="shared" si="9"/>
        <v>0</v>
      </c>
      <c r="R45" s="350">
        <f>'reservecalc-internal'!G1170</f>
        <v>0</v>
      </c>
      <c r="S45" s="351">
        <f t="shared" si="10"/>
        <v>0</v>
      </c>
      <c r="T45" s="352">
        <f t="shared" si="11"/>
        <v>0</v>
      </c>
      <c r="U45" s="350">
        <f>'reservecalc-internal'!H1170</f>
        <v>0</v>
      </c>
      <c r="V45" s="351">
        <f t="shared" si="12"/>
        <v>0</v>
      </c>
      <c r="W45" s="352">
        <f t="shared" si="13"/>
        <v>0</v>
      </c>
      <c r="X45" s="350">
        <f>'reservecalc-internal'!I1170</f>
        <v>0</v>
      </c>
      <c r="Y45" s="351">
        <f t="shared" si="14"/>
        <v>0</v>
      </c>
      <c r="Z45" s="352">
        <f t="shared" si="15"/>
        <v>0</v>
      </c>
      <c r="AA45" s="350">
        <f>'reservecalc-internal'!J1170</f>
        <v>0</v>
      </c>
      <c r="AB45" s="351">
        <f t="shared" si="16"/>
        <v>0</v>
      </c>
    </row>
    <row r="46" spans="1:28" x14ac:dyDescent="0.25">
      <c r="A46" s="75" t="s">
        <v>4186</v>
      </c>
      <c r="B46" s="349">
        <v>8907</v>
      </c>
      <c r="C46" s="350">
        <f>'reservecalc-internal'!B1201</f>
        <v>0</v>
      </c>
      <c r="D46" s="351">
        <f t="shared" si="0"/>
        <v>8907</v>
      </c>
      <c r="E46" s="352">
        <f t="shared" si="1"/>
        <v>8907</v>
      </c>
      <c r="F46" s="350">
        <f>'reservecalc-internal'!C1201</f>
        <v>0</v>
      </c>
      <c r="G46" s="351">
        <f t="shared" si="2"/>
        <v>8907</v>
      </c>
      <c r="H46" s="352">
        <f t="shared" si="3"/>
        <v>8907</v>
      </c>
      <c r="I46" s="350">
        <f>'reservecalc-internal'!D1201</f>
        <v>0</v>
      </c>
      <c r="J46" s="351">
        <f t="shared" si="4"/>
        <v>8907</v>
      </c>
      <c r="K46" s="352">
        <f t="shared" si="5"/>
        <v>8907</v>
      </c>
      <c r="L46" s="350">
        <f>'reservecalc-internal'!E1201</f>
        <v>0</v>
      </c>
      <c r="M46" s="351">
        <f t="shared" si="6"/>
        <v>8907</v>
      </c>
      <c r="N46" s="352">
        <f t="shared" si="7"/>
        <v>8907</v>
      </c>
      <c r="O46" s="350">
        <f>'reservecalc-internal'!F1201</f>
        <v>0</v>
      </c>
      <c r="P46" s="351">
        <f t="shared" si="8"/>
        <v>8907</v>
      </c>
      <c r="Q46" s="352">
        <f t="shared" si="9"/>
        <v>8907</v>
      </c>
      <c r="R46" s="350">
        <f>'reservecalc-internal'!G1201</f>
        <v>0</v>
      </c>
      <c r="S46" s="351">
        <f t="shared" si="10"/>
        <v>8907</v>
      </c>
      <c r="T46" s="352">
        <f t="shared" si="11"/>
        <v>8907</v>
      </c>
      <c r="U46" s="350">
        <f>'reservecalc-internal'!H1201</f>
        <v>0</v>
      </c>
      <c r="V46" s="351">
        <f t="shared" si="12"/>
        <v>8907</v>
      </c>
      <c r="W46" s="352">
        <f t="shared" si="13"/>
        <v>8907</v>
      </c>
      <c r="X46" s="350">
        <f>'reservecalc-internal'!I1201</f>
        <v>0</v>
      </c>
      <c r="Y46" s="351">
        <f t="shared" si="14"/>
        <v>8907</v>
      </c>
      <c r="Z46" s="352">
        <f t="shared" si="15"/>
        <v>8907</v>
      </c>
      <c r="AA46" s="350">
        <f>'reservecalc-internal'!J1201</f>
        <v>0</v>
      </c>
      <c r="AB46" s="351">
        <f t="shared" si="16"/>
        <v>8907</v>
      </c>
    </row>
    <row r="47" spans="1:28" x14ac:dyDescent="0.25">
      <c r="A47" s="75" t="s">
        <v>4187</v>
      </c>
      <c r="B47" s="349">
        <v>409934</v>
      </c>
      <c r="C47" s="350">
        <f>'reservecalc-internal'!B1233</f>
        <v>0</v>
      </c>
      <c r="D47" s="351">
        <f t="shared" si="0"/>
        <v>409934</v>
      </c>
      <c r="E47" s="352">
        <f t="shared" si="1"/>
        <v>409934</v>
      </c>
      <c r="F47" s="350">
        <f>'reservecalc-internal'!C1233</f>
        <v>0</v>
      </c>
      <c r="G47" s="351">
        <f t="shared" si="2"/>
        <v>409934</v>
      </c>
      <c r="H47" s="352">
        <f t="shared" si="3"/>
        <v>409934</v>
      </c>
      <c r="I47" s="350">
        <f>'reservecalc-internal'!D1233</f>
        <v>0</v>
      </c>
      <c r="J47" s="351">
        <f t="shared" si="4"/>
        <v>409934</v>
      </c>
      <c r="K47" s="352">
        <f t="shared" si="5"/>
        <v>409934</v>
      </c>
      <c r="L47" s="350">
        <f>'reservecalc-internal'!E1233</f>
        <v>0</v>
      </c>
      <c r="M47" s="351">
        <f t="shared" si="6"/>
        <v>409934</v>
      </c>
      <c r="N47" s="352">
        <f t="shared" si="7"/>
        <v>409934</v>
      </c>
      <c r="O47" s="350">
        <f>'reservecalc-internal'!F1233</f>
        <v>0</v>
      </c>
      <c r="P47" s="351">
        <f t="shared" si="8"/>
        <v>409934</v>
      </c>
      <c r="Q47" s="352">
        <f t="shared" si="9"/>
        <v>409934</v>
      </c>
      <c r="R47" s="350">
        <f>'reservecalc-internal'!G1233</f>
        <v>0</v>
      </c>
      <c r="S47" s="351">
        <f t="shared" si="10"/>
        <v>409934</v>
      </c>
      <c r="T47" s="352">
        <f t="shared" si="11"/>
        <v>409934</v>
      </c>
      <c r="U47" s="350">
        <f>'reservecalc-internal'!H1233</f>
        <v>0</v>
      </c>
      <c r="V47" s="351">
        <f t="shared" si="12"/>
        <v>409934</v>
      </c>
      <c r="W47" s="352">
        <f t="shared" si="13"/>
        <v>409934</v>
      </c>
      <c r="X47" s="350">
        <f>'reservecalc-internal'!I1233</f>
        <v>0</v>
      </c>
      <c r="Y47" s="351">
        <f t="shared" si="14"/>
        <v>409934</v>
      </c>
      <c r="Z47" s="352">
        <f t="shared" si="15"/>
        <v>409934</v>
      </c>
      <c r="AA47" s="350">
        <f>'reservecalc-internal'!J1233</f>
        <v>0</v>
      </c>
      <c r="AB47" s="351">
        <f t="shared" si="16"/>
        <v>409934</v>
      </c>
    </row>
    <row r="48" spans="1:28" x14ac:dyDescent="0.25">
      <c r="A48" s="75" t="s">
        <v>4138</v>
      </c>
      <c r="B48" s="349">
        <f>128241+144100</f>
        <v>272341</v>
      </c>
      <c r="C48" s="350">
        <f>'reservecalc-internal'!B1264</f>
        <v>0</v>
      </c>
      <c r="D48" s="351">
        <f t="shared" si="0"/>
        <v>272341</v>
      </c>
      <c r="E48" s="352">
        <f t="shared" si="1"/>
        <v>272341</v>
      </c>
      <c r="F48" s="350">
        <f>'reservecalc-internal'!C1264</f>
        <v>0</v>
      </c>
      <c r="G48" s="351">
        <f t="shared" si="2"/>
        <v>272341</v>
      </c>
      <c r="H48" s="352">
        <f t="shared" si="3"/>
        <v>272341</v>
      </c>
      <c r="I48" s="350">
        <f>'reservecalc-internal'!D1264</f>
        <v>0</v>
      </c>
      <c r="J48" s="351">
        <f t="shared" si="4"/>
        <v>272341</v>
      </c>
      <c r="K48" s="352">
        <f t="shared" si="5"/>
        <v>272341</v>
      </c>
      <c r="L48" s="350">
        <f>'reservecalc-internal'!E1264</f>
        <v>0</v>
      </c>
      <c r="M48" s="351">
        <f t="shared" si="6"/>
        <v>272341</v>
      </c>
      <c r="N48" s="352">
        <f t="shared" si="7"/>
        <v>272341</v>
      </c>
      <c r="O48" s="350">
        <f>'reservecalc-internal'!F1264</f>
        <v>0</v>
      </c>
      <c r="P48" s="351">
        <f t="shared" si="8"/>
        <v>272341</v>
      </c>
      <c r="Q48" s="352">
        <f t="shared" si="9"/>
        <v>272341</v>
      </c>
      <c r="R48" s="350">
        <f>'reservecalc-internal'!G1264</f>
        <v>0</v>
      </c>
      <c r="S48" s="351">
        <f t="shared" si="10"/>
        <v>272341</v>
      </c>
      <c r="T48" s="352">
        <f t="shared" si="11"/>
        <v>272341</v>
      </c>
      <c r="U48" s="350">
        <f>'reservecalc-internal'!H1264</f>
        <v>0</v>
      </c>
      <c r="V48" s="351">
        <f t="shared" si="12"/>
        <v>272341</v>
      </c>
      <c r="W48" s="352">
        <f t="shared" si="13"/>
        <v>272341</v>
      </c>
      <c r="X48" s="350">
        <f>'reservecalc-internal'!I1264</f>
        <v>0</v>
      </c>
      <c r="Y48" s="351">
        <f t="shared" si="14"/>
        <v>272341</v>
      </c>
      <c r="Z48" s="352">
        <f t="shared" si="15"/>
        <v>272341</v>
      </c>
      <c r="AA48" s="350">
        <f>'reservecalc-internal'!J1264</f>
        <v>0</v>
      </c>
      <c r="AB48" s="351">
        <f t="shared" si="16"/>
        <v>272341</v>
      </c>
    </row>
    <row r="49" spans="1:28" x14ac:dyDescent="0.25">
      <c r="A49" s="75" t="s">
        <v>4139</v>
      </c>
      <c r="B49" s="349">
        <f>576222.5+220000</f>
        <v>796222.5</v>
      </c>
      <c r="C49" s="350">
        <f>'reservecalc-internal'!B1295</f>
        <v>0</v>
      </c>
      <c r="D49" s="351">
        <f t="shared" si="0"/>
        <v>796222.5</v>
      </c>
      <c r="E49" s="352">
        <f t="shared" si="1"/>
        <v>796222.5</v>
      </c>
      <c r="F49" s="350">
        <f>'reservecalc-internal'!C1295</f>
        <v>0</v>
      </c>
      <c r="G49" s="351">
        <f t="shared" si="2"/>
        <v>796222.5</v>
      </c>
      <c r="H49" s="352">
        <f t="shared" si="3"/>
        <v>796222.5</v>
      </c>
      <c r="I49" s="350">
        <f>'reservecalc-internal'!D1295</f>
        <v>0</v>
      </c>
      <c r="J49" s="351">
        <f t="shared" si="4"/>
        <v>796222.5</v>
      </c>
      <c r="K49" s="352">
        <f t="shared" si="5"/>
        <v>796222.5</v>
      </c>
      <c r="L49" s="350">
        <f>'reservecalc-internal'!E1295</f>
        <v>0</v>
      </c>
      <c r="M49" s="351">
        <f t="shared" si="6"/>
        <v>796222.5</v>
      </c>
      <c r="N49" s="352">
        <f t="shared" si="7"/>
        <v>796222.5</v>
      </c>
      <c r="O49" s="350">
        <f>'reservecalc-internal'!F1295</f>
        <v>0</v>
      </c>
      <c r="P49" s="351">
        <f t="shared" si="8"/>
        <v>796222.5</v>
      </c>
      <c r="Q49" s="352">
        <f t="shared" si="9"/>
        <v>796222.5</v>
      </c>
      <c r="R49" s="350">
        <f>'reservecalc-internal'!G1295</f>
        <v>0</v>
      </c>
      <c r="S49" s="351">
        <f t="shared" si="10"/>
        <v>796222.5</v>
      </c>
      <c r="T49" s="352">
        <f t="shared" si="11"/>
        <v>796222.5</v>
      </c>
      <c r="U49" s="350">
        <f>'reservecalc-internal'!H1295</f>
        <v>0</v>
      </c>
      <c r="V49" s="351">
        <f t="shared" si="12"/>
        <v>796222.5</v>
      </c>
      <c r="W49" s="352">
        <f t="shared" si="13"/>
        <v>796222.5</v>
      </c>
      <c r="X49" s="350">
        <f>'reservecalc-internal'!I1295</f>
        <v>0</v>
      </c>
      <c r="Y49" s="351">
        <f t="shared" si="14"/>
        <v>796222.5</v>
      </c>
      <c r="Z49" s="352">
        <f t="shared" si="15"/>
        <v>796222.5</v>
      </c>
      <c r="AA49" s="350">
        <f>'reservecalc-internal'!J1295</f>
        <v>0</v>
      </c>
      <c r="AB49" s="351">
        <f t="shared" si="16"/>
        <v>796222.5</v>
      </c>
    </row>
    <row r="50" spans="1:28" x14ac:dyDescent="0.25">
      <c r="A50" s="75" t="s">
        <v>4140</v>
      </c>
      <c r="B50" s="349">
        <v>50000</v>
      </c>
      <c r="C50" s="350">
        <f>'reservecalc-internal'!B1326</f>
        <v>0</v>
      </c>
      <c r="D50" s="351">
        <f t="shared" si="0"/>
        <v>50000</v>
      </c>
      <c r="E50" s="352">
        <f t="shared" si="1"/>
        <v>50000</v>
      </c>
      <c r="F50" s="350">
        <f>'reservecalc-internal'!C1326</f>
        <v>0</v>
      </c>
      <c r="G50" s="351">
        <f t="shared" si="2"/>
        <v>50000</v>
      </c>
      <c r="H50" s="352">
        <f t="shared" si="3"/>
        <v>50000</v>
      </c>
      <c r="I50" s="350">
        <f>'reservecalc-internal'!D1326</f>
        <v>0</v>
      </c>
      <c r="J50" s="351">
        <f t="shared" si="4"/>
        <v>50000</v>
      </c>
      <c r="K50" s="352">
        <f t="shared" si="5"/>
        <v>50000</v>
      </c>
      <c r="L50" s="350">
        <f>'reservecalc-internal'!E1326</f>
        <v>0</v>
      </c>
      <c r="M50" s="351">
        <f t="shared" si="6"/>
        <v>50000</v>
      </c>
      <c r="N50" s="352">
        <f t="shared" si="7"/>
        <v>50000</v>
      </c>
      <c r="O50" s="350">
        <f>'reservecalc-internal'!F1326</f>
        <v>0</v>
      </c>
      <c r="P50" s="351">
        <f t="shared" si="8"/>
        <v>50000</v>
      </c>
      <c r="Q50" s="352">
        <f t="shared" si="9"/>
        <v>50000</v>
      </c>
      <c r="R50" s="350">
        <f>'reservecalc-internal'!G1326</f>
        <v>0</v>
      </c>
      <c r="S50" s="351">
        <f t="shared" si="10"/>
        <v>50000</v>
      </c>
      <c r="T50" s="352">
        <f t="shared" si="11"/>
        <v>50000</v>
      </c>
      <c r="U50" s="350">
        <f>'reservecalc-internal'!H1326</f>
        <v>0</v>
      </c>
      <c r="V50" s="351">
        <f t="shared" si="12"/>
        <v>50000</v>
      </c>
      <c r="W50" s="352">
        <f t="shared" si="13"/>
        <v>50000</v>
      </c>
      <c r="X50" s="350">
        <f>'reservecalc-internal'!I1326</f>
        <v>0</v>
      </c>
      <c r="Y50" s="351">
        <f t="shared" si="14"/>
        <v>50000</v>
      </c>
      <c r="Z50" s="352">
        <f t="shared" si="15"/>
        <v>50000</v>
      </c>
      <c r="AA50" s="350">
        <f>'reservecalc-internal'!J1326</f>
        <v>0</v>
      </c>
      <c r="AB50" s="351">
        <f t="shared" si="16"/>
        <v>50000</v>
      </c>
    </row>
    <row r="51" spans="1:28" x14ac:dyDescent="0.25">
      <c r="A51" s="75" t="s">
        <v>4141</v>
      </c>
      <c r="B51" s="349">
        <v>0</v>
      </c>
      <c r="C51" s="350">
        <f>'reservecalc-internal'!B1357</f>
        <v>0</v>
      </c>
      <c r="D51" s="351">
        <f t="shared" si="0"/>
        <v>0</v>
      </c>
      <c r="E51" s="352">
        <f t="shared" si="1"/>
        <v>0</v>
      </c>
      <c r="F51" s="350">
        <f>'reservecalc-internal'!C1357</f>
        <v>0</v>
      </c>
      <c r="G51" s="351">
        <f t="shared" si="2"/>
        <v>0</v>
      </c>
      <c r="H51" s="352">
        <f t="shared" si="3"/>
        <v>0</v>
      </c>
      <c r="I51" s="350">
        <f>'reservecalc-internal'!D1357</f>
        <v>0</v>
      </c>
      <c r="J51" s="351">
        <f t="shared" si="4"/>
        <v>0</v>
      </c>
      <c r="K51" s="352">
        <f t="shared" si="5"/>
        <v>0</v>
      </c>
      <c r="L51" s="350">
        <f>'reservecalc-internal'!E1357</f>
        <v>0</v>
      </c>
      <c r="M51" s="351">
        <f t="shared" si="6"/>
        <v>0</v>
      </c>
      <c r="N51" s="352">
        <f t="shared" si="7"/>
        <v>0</v>
      </c>
      <c r="O51" s="350">
        <f>'reservecalc-internal'!F1357</f>
        <v>0</v>
      </c>
      <c r="P51" s="351">
        <f t="shared" si="8"/>
        <v>0</v>
      </c>
      <c r="Q51" s="352">
        <f t="shared" si="9"/>
        <v>0</v>
      </c>
      <c r="R51" s="350">
        <f>'reservecalc-internal'!G1357</f>
        <v>0</v>
      </c>
      <c r="S51" s="351">
        <f t="shared" si="10"/>
        <v>0</v>
      </c>
      <c r="T51" s="352">
        <f t="shared" si="11"/>
        <v>0</v>
      </c>
      <c r="U51" s="350">
        <f>'reservecalc-internal'!H1357</f>
        <v>0</v>
      </c>
      <c r="V51" s="351">
        <f t="shared" si="12"/>
        <v>0</v>
      </c>
      <c r="W51" s="352">
        <f t="shared" si="13"/>
        <v>0</v>
      </c>
      <c r="X51" s="350">
        <f>'reservecalc-internal'!I1357</f>
        <v>0</v>
      </c>
      <c r="Y51" s="351">
        <f t="shared" si="14"/>
        <v>0</v>
      </c>
      <c r="Z51" s="352">
        <f t="shared" si="15"/>
        <v>0</v>
      </c>
      <c r="AA51" s="350">
        <f>'reservecalc-internal'!J1357</f>
        <v>0</v>
      </c>
      <c r="AB51" s="351">
        <f t="shared" si="16"/>
        <v>0</v>
      </c>
    </row>
    <row r="52" spans="1:28" x14ac:dyDescent="0.25">
      <c r="A52" s="75" t="s">
        <v>4142</v>
      </c>
      <c r="B52" s="349">
        <f>934915-234000-112590</f>
        <v>588325</v>
      </c>
      <c r="C52" s="350">
        <f>'reservecalc-internal'!B1388</f>
        <v>0</v>
      </c>
      <c r="D52" s="351">
        <f t="shared" si="0"/>
        <v>588325</v>
      </c>
      <c r="E52" s="352">
        <f t="shared" si="1"/>
        <v>588325</v>
      </c>
      <c r="F52" s="350">
        <f>'reservecalc-internal'!C1388</f>
        <v>0</v>
      </c>
      <c r="G52" s="351">
        <f t="shared" si="2"/>
        <v>588325</v>
      </c>
      <c r="H52" s="352">
        <f t="shared" si="3"/>
        <v>588325</v>
      </c>
      <c r="I52" s="350">
        <f>'reservecalc-internal'!D1388</f>
        <v>0</v>
      </c>
      <c r="J52" s="351">
        <f t="shared" si="4"/>
        <v>588325</v>
      </c>
      <c r="K52" s="352">
        <f t="shared" si="5"/>
        <v>588325</v>
      </c>
      <c r="L52" s="350">
        <f>'reservecalc-internal'!E1388</f>
        <v>0</v>
      </c>
      <c r="M52" s="351">
        <f t="shared" si="6"/>
        <v>588325</v>
      </c>
      <c r="N52" s="352">
        <f t="shared" si="7"/>
        <v>588325</v>
      </c>
      <c r="O52" s="350">
        <f>'reservecalc-internal'!F1388</f>
        <v>0</v>
      </c>
      <c r="P52" s="351">
        <f t="shared" si="8"/>
        <v>588325</v>
      </c>
      <c r="Q52" s="352">
        <f t="shared" si="9"/>
        <v>588325</v>
      </c>
      <c r="R52" s="350">
        <f>'reservecalc-internal'!G1388</f>
        <v>0</v>
      </c>
      <c r="S52" s="351">
        <f t="shared" si="10"/>
        <v>588325</v>
      </c>
      <c r="T52" s="352">
        <f t="shared" si="11"/>
        <v>588325</v>
      </c>
      <c r="U52" s="350">
        <f>'reservecalc-internal'!H1388</f>
        <v>0</v>
      </c>
      <c r="V52" s="351">
        <f t="shared" si="12"/>
        <v>588325</v>
      </c>
      <c r="W52" s="352">
        <f t="shared" si="13"/>
        <v>588325</v>
      </c>
      <c r="X52" s="350">
        <f>'reservecalc-internal'!I1388</f>
        <v>0</v>
      </c>
      <c r="Y52" s="351">
        <f t="shared" si="14"/>
        <v>588325</v>
      </c>
      <c r="Z52" s="352">
        <f t="shared" si="15"/>
        <v>588325</v>
      </c>
      <c r="AA52" s="350">
        <f>'reservecalc-internal'!J1388</f>
        <v>0</v>
      </c>
      <c r="AB52" s="351">
        <f t="shared" si="16"/>
        <v>588325</v>
      </c>
    </row>
    <row r="53" spans="1:28" x14ac:dyDescent="0.25">
      <c r="A53" s="75" t="s">
        <v>552</v>
      </c>
      <c r="B53" s="349">
        <v>22918</v>
      </c>
      <c r="C53" s="350">
        <f>'reservecalc-internal'!B1419</f>
        <v>0</v>
      </c>
      <c r="D53" s="351">
        <f t="shared" si="0"/>
        <v>22918</v>
      </c>
      <c r="E53" s="352">
        <f t="shared" si="1"/>
        <v>22918</v>
      </c>
      <c r="F53" s="350">
        <f>'reservecalc-internal'!C1419</f>
        <v>0</v>
      </c>
      <c r="G53" s="351">
        <f t="shared" si="2"/>
        <v>22918</v>
      </c>
      <c r="H53" s="352">
        <f t="shared" si="3"/>
        <v>22918</v>
      </c>
      <c r="I53" s="350">
        <f>'reservecalc-internal'!D1419</f>
        <v>0</v>
      </c>
      <c r="J53" s="351">
        <f t="shared" si="4"/>
        <v>22918</v>
      </c>
      <c r="K53" s="352">
        <f t="shared" si="5"/>
        <v>22918</v>
      </c>
      <c r="L53" s="350">
        <f>'reservecalc-internal'!E1419</f>
        <v>0</v>
      </c>
      <c r="M53" s="351">
        <f t="shared" si="6"/>
        <v>22918</v>
      </c>
      <c r="N53" s="352">
        <f t="shared" si="7"/>
        <v>22918</v>
      </c>
      <c r="O53" s="350">
        <f>'reservecalc-internal'!F1419</f>
        <v>0</v>
      </c>
      <c r="P53" s="351">
        <f t="shared" si="8"/>
        <v>22918</v>
      </c>
      <c r="Q53" s="352">
        <f t="shared" si="9"/>
        <v>22918</v>
      </c>
      <c r="R53" s="350">
        <f>'reservecalc-internal'!G1419</f>
        <v>0</v>
      </c>
      <c r="S53" s="351">
        <f t="shared" si="10"/>
        <v>22918</v>
      </c>
      <c r="T53" s="352">
        <f t="shared" si="11"/>
        <v>22918</v>
      </c>
      <c r="U53" s="350">
        <f>'reservecalc-internal'!H1419</f>
        <v>0</v>
      </c>
      <c r="V53" s="351">
        <f t="shared" si="12"/>
        <v>22918</v>
      </c>
      <c r="W53" s="352">
        <f t="shared" si="13"/>
        <v>22918</v>
      </c>
      <c r="X53" s="350">
        <f>'reservecalc-internal'!I1419</f>
        <v>0</v>
      </c>
      <c r="Y53" s="351">
        <f t="shared" si="14"/>
        <v>22918</v>
      </c>
      <c r="Z53" s="352">
        <f t="shared" si="15"/>
        <v>22918</v>
      </c>
      <c r="AA53" s="350">
        <f>'reservecalc-internal'!J1419</f>
        <v>0</v>
      </c>
      <c r="AB53" s="351">
        <f t="shared" si="16"/>
        <v>22918</v>
      </c>
    </row>
    <row r="54" spans="1:28" x14ac:dyDescent="0.25">
      <c r="A54" s="75" t="s">
        <v>4195</v>
      </c>
      <c r="B54" s="349">
        <v>60000</v>
      </c>
      <c r="C54" s="350">
        <f>'reservecalc-internal'!B1450</f>
        <v>60000</v>
      </c>
      <c r="D54" s="351">
        <f t="shared" si="0"/>
        <v>120000</v>
      </c>
      <c r="E54" s="352">
        <f t="shared" si="1"/>
        <v>120000</v>
      </c>
      <c r="F54" s="350">
        <f>'reservecalc-internal'!C1450</f>
        <v>60000</v>
      </c>
      <c r="G54" s="351">
        <f t="shared" si="2"/>
        <v>180000</v>
      </c>
      <c r="H54" s="352">
        <f t="shared" si="3"/>
        <v>180000</v>
      </c>
      <c r="I54" s="350">
        <f>'reservecalc-internal'!D1450</f>
        <v>-190000</v>
      </c>
      <c r="J54" s="351">
        <f t="shared" si="4"/>
        <v>-10000</v>
      </c>
      <c r="K54" s="352">
        <f t="shared" si="5"/>
        <v>-10000</v>
      </c>
      <c r="L54" s="350">
        <f>'reservecalc-internal'!E1450</f>
        <v>60000</v>
      </c>
      <c r="M54" s="351">
        <f t="shared" si="6"/>
        <v>50000</v>
      </c>
      <c r="N54" s="352">
        <f t="shared" si="7"/>
        <v>50000</v>
      </c>
      <c r="O54" s="350">
        <f>'reservecalc-internal'!F1450</f>
        <v>60000</v>
      </c>
      <c r="P54" s="351">
        <f t="shared" si="8"/>
        <v>110000</v>
      </c>
      <c r="Q54" s="352">
        <f t="shared" si="9"/>
        <v>110000</v>
      </c>
      <c r="R54" s="350">
        <f>'reservecalc-internal'!G1450</f>
        <v>60000</v>
      </c>
      <c r="S54" s="351">
        <f t="shared" si="10"/>
        <v>170000</v>
      </c>
      <c r="T54" s="352">
        <f t="shared" si="11"/>
        <v>170000</v>
      </c>
      <c r="U54" s="350">
        <f>'reservecalc-internal'!H1450</f>
        <v>-240000</v>
      </c>
      <c r="V54" s="351">
        <f t="shared" si="12"/>
        <v>-70000</v>
      </c>
      <c r="W54" s="352">
        <f t="shared" si="13"/>
        <v>-70000</v>
      </c>
      <c r="X54" s="350">
        <f>'reservecalc-internal'!I1450</f>
        <v>60000</v>
      </c>
      <c r="Y54" s="351">
        <f t="shared" si="14"/>
        <v>-10000</v>
      </c>
      <c r="Z54" s="352">
        <f t="shared" si="15"/>
        <v>-10000</v>
      </c>
      <c r="AA54" s="350">
        <f>'reservecalc-internal'!J1450</f>
        <v>60000</v>
      </c>
      <c r="AB54" s="351">
        <f t="shared" si="16"/>
        <v>50000</v>
      </c>
    </row>
    <row r="55" spans="1:28" x14ac:dyDescent="0.25">
      <c r="A55" s="75" t="s">
        <v>4143</v>
      </c>
      <c r="B55" s="349">
        <v>54086</v>
      </c>
      <c r="C55" s="350">
        <f>'reservecalc-internal'!B1481</f>
        <v>0</v>
      </c>
      <c r="D55" s="351">
        <f t="shared" si="0"/>
        <v>54086</v>
      </c>
      <c r="E55" s="352">
        <f t="shared" si="1"/>
        <v>54086</v>
      </c>
      <c r="F55" s="350">
        <f>'reservecalc-internal'!C1481</f>
        <v>0</v>
      </c>
      <c r="G55" s="351">
        <f t="shared" si="2"/>
        <v>54086</v>
      </c>
      <c r="H55" s="352">
        <f t="shared" si="3"/>
        <v>54086</v>
      </c>
      <c r="I55" s="350">
        <f>'reservecalc-internal'!D1481</f>
        <v>0</v>
      </c>
      <c r="J55" s="351">
        <f t="shared" si="4"/>
        <v>54086</v>
      </c>
      <c r="K55" s="352">
        <f t="shared" si="5"/>
        <v>54086</v>
      </c>
      <c r="L55" s="350">
        <f>'reservecalc-internal'!E1481</f>
        <v>0</v>
      </c>
      <c r="M55" s="351">
        <f t="shared" si="6"/>
        <v>54086</v>
      </c>
      <c r="N55" s="352">
        <f t="shared" si="7"/>
        <v>54086</v>
      </c>
      <c r="O55" s="350">
        <f>'reservecalc-internal'!F1481</f>
        <v>0</v>
      </c>
      <c r="P55" s="351">
        <f t="shared" si="8"/>
        <v>54086</v>
      </c>
      <c r="Q55" s="352">
        <f t="shared" si="9"/>
        <v>54086</v>
      </c>
      <c r="R55" s="350">
        <f>'reservecalc-internal'!G1481</f>
        <v>0</v>
      </c>
      <c r="S55" s="351">
        <f t="shared" si="10"/>
        <v>54086</v>
      </c>
      <c r="T55" s="352">
        <f t="shared" si="11"/>
        <v>54086</v>
      </c>
      <c r="U55" s="350">
        <f>'reservecalc-internal'!H1481</f>
        <v>0</v>
      </c>
      <c r="V55" s="351">
        <f t="shared" si="12"/>
        <v>54086</v>
      </c>
      <c r="W55" s="352">
        <f t="shared" si="13"/>
        <v>54086</v>
      </c>
      <c r="X55" s="350">
        <f>'reservecalc-internal'!I1481</f>
        <v>0</v>
      </c>
      <c r="Y55" s="351">
        <f t="shared" si="14"/>
        <v>54086</v>
      </c>
      <c r="Z55" s="352">
        <f t="shared" si="15"/>
        <v>54086</v>
      </c>
      <c r="AA55" s="350">
        <f>'reservecalc-internal'!J1481</f>
        <v>0</v>
      </c>
      <c r="AB55" s="351">
        <f t="shared" si="16"/>
        <v>54086</v>
      </c>
    </row>
    <row r="56" spans="1:28" x14ac:dyDescent="0.25">
      <c r="A56" s="75" t="s">
        <v>4598</v>
      </c>
      <c r="B56" s="349">
        <v>0</v>
      </c>
      <c r="C56" s="350">
        <f>'reservecalc-internal'!B1540</f>
        <v>0</v>
      </c>
      <c r="D56" s="351">
        <f t="shared" ref="D56" si="17">B56+C56</f>
        <v>0</v>
      </c>
      <c r="E56" s="352">
        <f t="shared" ref="E56" si="18">D56</f>
        <v>0</v>
      </c>
      <c r="F56" s="350">
        <f>'reservecalc-internal'!C1540</f>
        <v>0</v>
      </c>
      <c r="G56" s="351">
        <f t="shared" ref="G56" si="19">E56+F56</f>
        <v>0</v>
      </c>
      <c r="H56" s="352">
        <f t="shared" ref="H56" si="20">G56</f>
        <v>0</v>
      </c>
      <c r="I56" s="350">
        <f>'reservecalc-internal'!D1540</f>
        <v>0</v>
      </c>
      <c r="J56" s="351">
        <f t="shared" ref="J56" si="21">H56+I56</f>
        <v>0</v>
      </c>
      <c r="K56" s="352">
        <f t="shared" ref="K56" si="22">J56</f>
        <v>0</v>
      </c>
      <c r="L56" s="350">
        <f>'reservecalc-internal'!E1540</f>
        <v>0</v>
      </c>
      <c r="M56" s="351">
        <f t="shared" ref="M56" si="23">K56+L56</f>
        <v>0</v>
      </c>
      <c r="N56" s="352">
        <f t="shared" ref="N56" si="24">M56</f>
        <v>0</v>
      </c>
      <c r="O56" s="350">
        <f>'reservecalc-internal'!F1540</f>
        <v>0</v>
      </c>
      <c r="P56" s="351">
        <f t="shared" ref="P56" si="25">N56+O56</f>
        <v>0</v>
      </c>
      <c r="Q56" s="352">
        <f t="shared" ref="Q56" si="26">P56</f>
        <v>0</v>
      </c>
      <c r="R56" s="350">
        <f>'reservecalc-internal'!G1540</f>
        <v>100</v>
      </c>
      <c r="S56" s="351">
        <f t="shared" ref="S56" si="27">Q56+R56</f>
        <v>100</v>
      </c>
      <c r="T56" s="352">
        <f t="shared" ref="T56" si="28">S56</f>
        <v>100</v>
      </c>
      <c r="U56" s="350">
        <f>'reservecalc-internal'!H1540</f>
        <v>-100</v>
      </c>
      <c r="V56" s="351">
        <f t="shared" ref="V56" si="29">T56+U56</f>
        <v>0</v>
      </c>
      <c r="W56" s="352">
        <f t="shared" ref="W56" si="30">V56</f>
        <v>0</v>
      </c>
      <c r="X56" s="350">
        <f>'reservecalc-internal'!I1540</f>
        <v>0</v>
      </c>
      <c r="Y56" s="351">
        <f t="shared" ref="Y56" si="31">W56+X56</f>
        <v>0</v>
      </c>
      <c r="Z56" s="352">
        <f t="shared" ref="Z56" si="32">Y56</f>
        <v>0</v>
      </c>
      <c r="AA56" s="350">
        <f>'reservecalc-internal'!J1540</f>
        <v>100</v>
      </c>
      <c r="AB56" s="351">
        <f t="shared" ref="AB56" si="33">Z56+AA56</f>
        <v>100</v>
      </c>
    </row>
    <row r="57" spans="1:28" x14ac:dyDescent="0.25">
      <c r="B57" s="349"/>
      <c r="C57" s="350"/>
      <c r="D57" s="351"/>
      <c r="E57" s="352"/>
      <c r="F57" s="350"/>
      <c r="G57" s="351"/>
      <c r="H57" s="352"/>
      <c r="I57" s="350"/>
      <c r="J57" s="351"/>
      <c r="K57" s="352"/>
      <c r="L57" s="350"/>
      <c r="M57" s="351"/>
      <c r="N57" s="352"/>
      <c r="O57" s="350"/>
      <c r="P57" s="351"/>
      <c r="Q57" s="352"/>
      <c r="R57" s="350"/>
      <c r="S57" s="351"/>
      <c r="T57" s="352"/>
      <c r="U57" s="350"/>
      <c r="V57" s="351"/>
      <c r="W57" s="352"/>
      <c r="X57" s="350"/>
      <c r="Y57" s="351"/>
      <c r="Z57" s="352"/>
      <c r="AA57" s="350"/>
      <c r="AB57" s="351"/>
    </row>
    <row r="58" spans="1:28" x14ac:dyDescent="0.25">
      <c r="A58" s="47" t="s">
        <v>4166</v>
      </c>
      <c r="B58" s="353">
        <f t="shared" ref="B58:AB58" si="34">SUM(B9:B57)</f>
        <v>13610241.449999999</v>
      </c>
      <c r="C58" s="354">
        <f t="shared" si="34"/>
        <v>-3441600</v>
      </c>
      <c r="D58" s="355">
        <f t="shared" si="34"/>
        <v>10168641.449999999</v>
      </c>
      <c r="E58" s="356">
        <f t="shared" si="34"/>
        <v>10168641.449999999</v>
      </c>
      <c r="F58" s="354">
        <f t="shared" si="34"/>
        <v>616800</v>
      </c>
      <c r="G58" s="355">
        <f t="shared" si="34"/>
        <v>10785441.449999999</v>
      </c>
      <c r="H58" s="356">
        <f t="shared" si="34"/>
        <v>10785441.449999999</v>
      </c>
      <c r="I58" s="354">
        <f t="shared" si="34"/>
        <v>-540501</v>
      </c>
      <c r="J58" s="355">
        <f t="shared" si="34"/>
        <v>10244940.449999999</v>
      </c>
      <c r="K58" s="356">
        <f t="shared" si="34"/>
        <v>10244940.449999999</v>
      </c>
      <c r="L58" s="354">
        <f t="shared" si="34"/>
        <v>1822700</v>
      </c>
      <c r="M58" s="355">
        <f t="shared" si="34"/>
        <v>12067640.449999999</v>
      </c>
      <c r="N58" s="356">
        <f t="shared" si="34"/>
        <v>12067640.449999999</v>
      </c>
      <c r="O58" s="354">
        <f t="shared" si="34"/>
        <v>1939400</v>
      </c>
      <c r="P58" s="355">
        <f t="shared" si="34"/>
        <v>14007040.449999999</v>
      </c>
      <c r="Q58" s="356">
        <f t="shared" si="34"/>
        <v>14007040.449999999</v>
      </c>
      <c r="R58" s="354">
        <f t="shared" si="34"/>
        <v>2056800</v>
      </c>
      <c r="S58" s="355">
        <f t="shared" si="34"/>
        <v>16063840.449999999</v>
      </c>
      <c r="T58" s="356">
        <f t="shared" si="34"/>
        <v>16063840.449999999</v>
      </c>
      <c r="U58" s="354">
        <f t="shared" si="34"/>
        <v>2011400</v>
      </c>
      <c r="V58" s="355">
        <f t="shared" si="34"/>
        <v>18075240.449999999</v>
      </c>
      <c r="W58" s="356">
        <f t="shared" si="34"/>
        <v>18075240.449999999</v>
      </c>
      <c r="X58" s="354">
        <f t="shared" si="34"/>
        <v>2120300</v>
      </c>
      <c r="Y58" s="355">
        <f t="shared" si="34"/>
        <v>20195540.449999999</v>
      </c>
      <c r="Z58" s="356">
        <f t="shared" si="34"/>
        <v>20195540.449999999</v>
      </c>
      <c r="AA58" s="354">
        <f t="shared" si="34"/>
        <v>2124500</v>
      </c>
      <c r="AB58" s="355">
        <f t="shared" si="34"/>
        <v>22320040.449999999</v>
      </c>
    </row>
    <row r="59" spans="1:28" x14ac:dyDescent="0.25">
      <c r="B59" s="349"/>
      <c r="C59" s="350"/>
      <c r="D59" s="351"/>
      <c r="E59" s="352"/>
      <c r="F59" s="350"/>
      <c r="G59" s="351"/>
      <c r="H59" s="352"/>
      <c r="I59" s="350"/>
      <c r="J59" s="351"/>
      <c r="K59" s="352"/>
      <c r="L59" s="350"/>
      <c r="M59" s="351"/>
      <c r="N59" s="352"/>
      <c r="O59" s="350"/>
      <c r="P59" s="351"/>
      <c r="Q59" s="352"/>
      <c r="R59" s="350"/>
      <c r="S59" s="351"/>
      <c r="T59" s="352"/>
      <c r="U59" s="350"/>
      <c r="V59" s="351"/>
      <c r="W59" s="352"/>
      <c r="X59" s="350"/>
      <c r="Y59" s="351"/>
      <c r="Z59" s="352"/>
      <c r="AA59" s="350"/>
      <c r="AB59" s="351"/>
    </row>
    <row r="60" spans="1:28" x14ac:dyDescent="0.25">
      <c r="A60" s="47" t="s">
        <v>4167</v>
      </c>
      <c r="B60" s="349"/>
      <c r="C60" s="350"/>
      <c r="D60" s="351"/>
      <c r="E60" s="352"/>
      <c r="F60" s="350"/>
      <c r="G60" s="351"/>
      <c r="H60" s="352"/>
      <c r="I60" s="350"/>
      <c r="J60" s="351"/>
      <c r="K60" s="352"/>
      <c r="L60" s="350"/>
      <c r="M60" s="351"/>
      <c r="N60" s="352"/>
      <c r="O60" s="350"/>
      <c r="P60" s="351"/>
      <c r="Q60" s="352"/>
      <c r="R60" s="350"/>
      <c r="S60" s="351"/>
      <c r="T60" s="352"/>
      <c r="U60" s="350"/>
      <c r="V60" s="351"/>
      <c r="W60" s="352"/>
      <c r="X60" s="350"/>
      <c r="Y60" s="351"/>
      <c r="Z60" s="352"/>
      <c r="AA60" s="350"/>
      <c r="AB60" s="351"/>
    </row>
    <row r="61" spans="1:28" x14ac:dyDescent="0.25">
      <c r="A61" s="75" t="s">
        <v>4188</v>
      </c>
      <c r="B61" s="349">
        <f>514388+19400</f>
        <v>533788</v>
      </c>
      <c r="C61" s="350">
        <f>'reservecalc-external'!B36</f>
        <v>42600</v>
      </c>
      <c r="D61" s="351">
        <f t="shared" ref="D61:D123" si="35">B61+C61</f>
        <v>576388</v>
      </c>
      <c r="E61" s="352">
        <f t="shared" ref="E61:E123" si="36">D61</f>
        <v>576388</v>
      </c>
      <c r="F61" s="350">
        <f>'reservecalc-external'!C36</f>
        <v>47800</v>
      </c>
      <c r="G61" s="351">
        <f t="shared" ref="G61:G123" si="37">E61+F61</f>
        <v>624188</v>
      </c>
      <c r="H61" s="352">
        <f t="shared" ref="H61:H123" si="38">G61</f>
        <v>624188</v>
      </c>
      <c r="I61" s="350">
        <f>'reservecalc-external'!D36</f>
        <v>53200</v>
      </c>
      <c r="J61" s="351">
        <f t="shared" ref="J61:J123" si="39">H61+I61</f>
        <v>677388</v>
      </c>
      <c r="K61" s="352">
        <f t="shared" ref="K61:K123" si="40">J61</f>
        <v>677388</v>
      </c>
      <c r="L61" s="350">
        <f>'reservecalc-external'!E36</f>
        <v>58600</v>
      </c>
      <c r="M61" s="351">
        <f t="shared" ref="M61:M123" si="41">K61+L61</f>
        <v>735988</v>
      </c>
      <c r="N61" s="352">
        <f t="shared" ref="N61:N123" si="42">M61</f>
        <v>735988</v>
      </c>
      <c r="O61" s="350">
        <f>'reservecalc-external'!F36</f>
        <v>124100</v>
      </c>
      <c r="P61" s="351">
        <f t="shared" ref="P61:P123" si="43">N61+O61</f>
        <v>860088</v>
      </c>
      <c r="Q61" s="352">
        <f t="shared" ref="Q61:Q123" si="44">P61</f>
        <v>860088</v>
      </c>
      <c r="R61" s="350">
        <f>'reservecalc-external'!G36</f>
        <v>129800</v>
      </c>
      <c r="S61" s="351">
        <f t="shared" ref="S61:S123" si="45">Q61+R61</f>
        <v>989888</v>
      </c>
      <c r="T61" s="352">
        <f t="shared" ref="T61:T123" si="46">S61</f>
        <v>989888</v>
      </c>
      <c r="U61" s="350">
        <f>'reservecalc-external'!H36</f>
        <v>134300</v>
      </c>
      <c r="V61" s="351">
        <f t="shared" ref="V61:V123" si="47">T61+U61</f>
        <v>1124188</v>
      </c>
      <c r="W61" s="352">
        <f t="shared" ref="W61:W123" si="48">V61</f>
        <v>1124188</v>
      </c>
      <c r="X61" s="350">
        <f>'reservecalc-external'!I36</f>
        <v>138800</v>
      </c>
      <c r="Y61" s="351">
        <f t="shared" ref="Y61:Y123" si="49">W61+X61</f>
        <v>1262988</v>
      </c>
      <c r="Z61" s="352">
        <f t="shared" ref="Z61:Z123" si="50">Y61</f>
        <v>1262988</v>
      </c>
      <c r="AA61" s="350">
        <f>'reservecalc-external'!J36</f>
        <v>143600</v>
      </c>
      <c r="AB61" s="351">
        <f t="shared" ref="AB61:AB123" si="51">Z61+AA61</f>
        <v>1406588</v>
      </c>
    </row>
    <row r="62" spans="1:28" x14ac:dyDescent="0.25">
      <c r="A62" s="75" t="s">
        <v>4144</v>
      </c>
      <c r="B62" s="349">
        <f>982500-6900</f>
        <v>975600</v>
      </c>
      <c r="C62" s="350">
        <f>'reservecalc-external'!B67</f>
        <v>0</v>
      </c>
      <c r="D62" s="351">
        <f t="shared" si="35"/>
        <v>975600</v>
      </c>
      <c r="E62" s="352">
        <f t="shared" si="36"/>
        <v>975600</v>
      </c>
      <c r="F62" s="350">
        <f>'reservecalc-external'!C67</f>
        <v>0</v>
      </c>
      <c r="G62" s="351">
        <f t="shared" si="37"/>
        <v>975600</v>
      </c>
      <c r="H62" s="352">
        <f t="shared" si="38"/>
        <v>975600</v>
      </c>
      <c r="I62" s="350">
        <f>'reservecalc-external'!D67</f>
        <v>0</v>
      </c>
      <c r="J62" s="351">
        <f t="shared" si="39"/>
        <v>975600</v>
      </c>
      <c r="K62" s="352">
        <f t="shared" si="40"/>
        <v>975600</v>
      </c>
      <c r="L62" s="350">
        <f>'reservecalc-external'!E67</f>
        <v>0</v>
      </c>
      <c r="M62" s="351">
        <f t="shared" si="41"/>
        <v>975600</v>
      </c>
      <c r="N62" s="352">
        <f t="shared" si="42"/>
        <v>975600</v>
      </c>
      <c r="O62" s="350">
        <f>'reservecalc-external'!F67</f>
        <v>0</v>
      </c>
      <c r="P62" s="351">
        <f t="shared" si="43"/>
        <v>975600</v>
      </c>
      <c r="Q62" s="352">
        <f t="shared" si="44"/>
        <v>975600</v>
      </c>
      <c r="R62" s="350">
        <f>'reservecalc-external'!G67</f>
        <v>0</v>
      </c>
      <c r="S62" s="351">
        <f t="shared" si="45"/>
        <v>975600</v>
      </c>
      <c r="T62" s="352">
        <f t="shared" si="46"/>
        <v>975600</v>
      </c>
      <c r="U62" s="350">
        <f>'reservecalc-external'!H67</f>
        <v>0</v>
      </c>
      <c r="V62" s="351">
        <f t="shared" si="47"/>
        <v>975600</v>
      </c>
      <c r="W62" s="352">
        <f t="shared" si="48"/>
        <v>975600</v>
      </c>
      <c r="X62" s="350">
        <f>'reservecalc-external'!I67</f>
        <v>0</v>
      </c>
      <c r="Y62" s="351">
        <f t="shared" si="49"/>
        <v>975600</v>
      </c>
      <c r="Z62" s="352">
        <f t="shared" si="50"/>
        <v>975600</v>
      </c>
      <c r="AA62" s="350">
        <f>'reservecalc-external'!J67</f>
        <v>0</v>
      </c>
      <c r="AB62" s="351">
        <f t="shared" si="51"/>
        <v>975600</v>
      </c>
    </row>
    <row r="63" spans="1:28" x14ac:dyDescent="0.25">
      <c r="A63" s="75" t="s">
        <v>4189</v>
      </c>
      <c r="B63" s="349">
        <f>421719+243100</f>
        <v>664819</v>
      </c>
      <c r="C63" s="350">
        <f>'reservecalc-external'!B99</f>
        <v>537000</v>
      </c>
      <c r="D63" s="351">
        <f t="shared" si="35"/>
        <v>1201819</v>
      </c>
      <c r="E63" s="352">
        <f t="shared" si="36"/>
        <v>1201819</v>
      </c>
      <c r="F63" s="350">
        <f>'reservecalc-external'!C99</f>
        <v>533500</v>
      </c>
      <c r="G63" s="351">
        <f t="shared" si="37"/>
        <v>1735319</v>
      </c>
      <c r="H63" s="352">
        <f t="shared" si="38"/>
        <v>1735319</v>
      </c>
      <c r="I63" s="350">
        <f>'reservecalc-external'!D99</f>
        <v>530000</v>
      </c>
      <c r="J63" s="351">
        <f t="shared" si="39"/>
        <v>2265319</v>
      </c>
      <c r="K63" s="352">
        <f t="shared" si="40"/>
        <v>2265319</v>
      </c>
      <c r="L63" s="350">
        <f>'reservecalc-external'!E99</f>
        <v>554600</v>
      </c>
      <c r="M63" s="351">
        <f t="shared" si="41"/>
        <v>2819919</v>
      </c>
      <c r="N63" s="352">
        <f t="shared" si="42"/>
        <v>2819919</v>
      </c>
      <c r="O63" s="350">
        <f>'reservecalc-external'!F99</f>
        <v>551000</v>
      </c>
      <c r="P63" s="351">
        <f t="shared" si="43"/>
        <v>3370919</v>
      </c>
      <c r="Q63" s="352">
        <f t="shared" si="44"/>
        <v>3370919</v>
      </c>
      <c r="R63" s="350">
        <f>'reservecalc-external'!G99</f>
        <v>547300</v>
      </c>
      <c r="S63" s="351">
        <f t="shared" si="45"/>
        <v>3918219</v>
      </c>
      <c r="T63" s="352">
        <f t="shared" si="46"/>
        <v>3918219</v>
      </c>
      <c r="U63" s="350">
        <f>'reservecalc-external'!H99</f>
        <v>542100</v>
      </c>
      <c r="V63" s="351">
        <f t="shared" si="47"/>
        <v>4460319</v>
      </c>
      <c r="W63" s="352">
        <f t="shared" si="48"/>
        <v>4460319</v>
      </c>
      <c r="X63" s="350">
        <f>'reservecalc-external'!I99</f>
        <v>536700</v>
      </c>
      <c r="Y63" s="351">
        <f t="shared" si="49"/>
        <v>4997019</v>
      </c>
      <c r="Z63" s="352">
        <f t="shared" si="50"/>
        <v>4997019</v>
      </c>
      <c r="AA63" s="350">
        <f>'reservecalc-external'!J99</f>
        <v>531300</v>
      </c>
      <c r="AB63" s="351">
        <f t="shared" si="51"/>
        <v>5528319</v>
      </c>
    </row>
    <row r="64" spans="1:28" x14ac:dyDescent="0.25">
      <c r="A64" s="75" t="s">
        <v>4196</v>
      </c>
      <c r="B64" s="349">
        <v>519082</v>
      </c>
      <c r="C64" s="350">
        <f>'reservecalc-external'!B130</f>
        <v>403800</v>
      </c>
      <c r="D64" s="351">
        <f t="shared" si="35"/>
        <v>922882</v>
      </c>
      <c r="E64" s="352">
        <f t="shared" si="36"/>
        <v>922882</v>
      </c>
      <c r="F64" s="350">
        <f>'reservecalc-external'!C130</f>
        <v>374400</v>
      </c>
      <c r="G64" s="351">
        <f t="shared" si="37"/>
        <v>1297282</v>
      </c>
      <c r="H64" s="352">
        <f t="shared" si="38"/>
        <v>1297282</v>
      </c>
      <c r="I64" s="350">
        <f>'reservecalc-external'!D130</f>
        <v>355700</v>
      </c>
      <c r="J64" s="351">
        <f t="shared" si="39"/>
        <v>1652982</v>
      </c>
      <c r="K64" s="352">
        <f t="shared" si="40"/>
        <v>1652982</v>
      </c>
      <c r="L64" s="350">
        <f>'reservecalc-external'!E130</f>
        <v>416500</v>
      </c>
      <c r="M64" s="351">
        <f t="shared" si="41"/>
        <v>2069482</v>
      </c>
      <c r="N64" s="352">
        <f t="shared" si="42"/>
        <v>2069482</v>
      </c>
      <c r="O64" s="350">
        <f>'reservecalc-external'!F130</f>
        <v>428800</v>
      </c>
      <c r="P64" s="351">
        <f t="shared" si="43"/>
        <v>2498282</v>
      </c>
      <c r="Q64" s="352">
        <f t="shared" si="44"/>
        <v>2498282</v>
      </c>
      <c r="R64" s="350">
        <f>'reservecalc-external'!G130</f>
        <v>437200</v>
      </c>
      <c r="S64" s="351">
        <f t="shared" si="45"/>
        <v>2935482</v>
      </c>
      <c r="T64" s="352">
        <f t="shared" si="46"/>
        <v>2935482</v>
      </c>
      <c r="U64" s="350">
        <f>'reservecalc-external'!H130</f>
        <v>469200</v>
      </c>
      <c r="V64" s="351">
        <f t="shared" si="47"/>
        <v>3404682</v>
      </c>
      <c r="W64" s="352">
        <f t="shared" si="48"/>
        <v>3404682</v>
      </c>
      <c r="X64" s="350">
        <f>'reservecalc-external'!I130</f>
        <v>507400</v>
      </c>
      <c r="Y64" s="351">
        <f t="shared" si="49"/>
        <v>3912082</v>
      </c>
      <c r="Z64" s="352">
        <f t="shared" si="50"/>
        <v>3912082</v>
      </c>
      <c r="AA64" s="350">
        <f>'reservecalc-external'!J130</f>
        <v>589700</v>
      </c>
      <c r="AB64" s="351">
        <f t="shared" si="51"/>
        <v>4501782</v>
      </c>
    </row>
    <row r="65" spans="1:28" x14ac:dyDescent="0.25">
      <c r="A65" s="75" t="s">
        <v>4197</v>
      </c>
      <c r="B65" s="349">
        <v>1970563</v>
      </c>
      <c r="C65" s="350">
        <f>'reservecalc-external'!B161</f>
        <v>56700</v>
      </c>
      <c r="D65" s="351">
        <f t="shared" si="35"/>
        <v>2027263</v>
      </c>
      <c r="E65" s="352">
        <f t="shared" si="36"/>
        <v>2027263</v>
      </c>
      <c r="F65" s="350">
        <f>'reservecalc-external'!C161</f>
        <v>45300</v>
      </c>
      <c r="G65" s="351">
        <f t="shared" si="37"/>
        <v>2072563</v>
      </c>
      <c r="H65" s="352">
        <f t="shared" si="38"/>
        <v>2072563</v>
      </c>
      <c r="I65" s="350">
        <f>'reservecalc-external'!D161</f>
        <v>37800</v>
      </c>
      <c r="J65" s="351">
        <f t="shared" si="39"/>
        <v>2110363</v>
      </c>
      <c r="K65" s="352">
        <f t="shared" si="40"/>
        <v>2110363</v>
      </c>
      <c r="L65" s="350">
        <f>'reservecalc-external'!E161</f>
        <v>37800</v>
      </c>
      <c r="M65" s="351">
        <f t="shared" si="41"/>
        <v>2148163</v>
      </c>
      <c r="N65" s="352">
        <f t="shared" si="42"/>
        <v>2148163</v>
      </c>
      <c r="O65" s="350">
        <f>'reservecalc-external'!F161</f>
        <v>37800</v>
      </c>
      <c r="P65" s="351">
        <f t="shared" si="43"/>
        <v>2185963</v>
      </c>
      <c r="Q65" s="352">
        <f t="shared" si="44"/>
        <v>2185963</v>
      </c>
      <c r="R65" s="350">
        <f>'reservecalc-external'!G161</f>
        <v>30200</v>
      </c>
      <c r="S65" s="351">
        <f t="shared" si="45"/>
        <v>2216163</v>
      </c>
      <c r="T65" s="352">
        <f t="shared" si="46"/>
        <v>2216163</v>
      </c>
      <c r="U65" s="350">
        <f>'reservecalc-external'!H161</f>
        <v>30200</v>
      </c>
      <c r="V65" s="351">
        <f t="shared" si="47"/>
        <v>2246363</v>
      </c>
      <c r="W65" s="352">
        <f t="shared" si="48"/>
        <v>2246363</v>
      </c>
      <c r="X65" s="350">
        <f>'reservecalc-external'!I161</f>
        <v>30200</v>
      </c>
      <c r="Y65" s="351">
        <f t="shared" si="49"/>
        <v>2276563</v>
      </c>
      <c r="Z65" s="352">
        <f t="shared" si="50"/>
        <v>2276563</v>
      </c>
      <c r="AA65" s="350">
        <f>'reservecalc-external'!J161</f>
        <v>30200</v>
      </c>
      <c r="AB65" s="351">
        <f t="shared" si="51"/>
        <v>2306763</v>
      </c>
    </row>
    <row r="66" spans="1:28" x14ac:dyDescent="0.25">
      <c r="A66" s="75" t="s">
        <v>4198</v>
      </c>
      <c r="B66" s="349">
        <v>306867</v>
      </c>
      <c r="C66" s="350">
        <f>'reservecalc-external'!B192</f>
        <v>-92300</v>
      </c>
      <c r="D66" s="351">
        <f t="shared" si="35"/>
        <v>214567</v>
      </c>
      <c r="E66" s="352">
        <f t="shared" si="36"/>
        <v>214567</v>
      </c>
      <c r="F66" s="350">
        <f>'reservecalc-external'!C192</f>
        <v>9300</v>
      </c>
      <c r="G66" s="351">
        <f t="shared" si="37"/>
        <v>223867</v>
      </c>
      <c r="H66" s="352">
        <f t="shared" si="38"/>
        <v>223867</v>
      </c>
      <c r="I66" s="350">
        <f>'reservecalc-external'!D192</f>
        <v>7800</v>
      </c>
      <c r="J66" s="351">
        <f t="shared" si="39"/>
        <v>231667</v>
      </c>
      <c r="K66" s="352">
        <f t="shared" si="40"/>
        <v>231667</v>
      </c>
      <c r="L66" s="350">
        <f>'reservecalc-external'!E192</f>
        <v>7800</v>
      </c>
      <c r="M66" s="351">
        <f t="shared" si="41"/>
        <v>239467</v>
      </c>
      <c r="N66" s="352">
        <f t="shared" si="42"/>
        <v>239467</v>
      </c>
      <c r="O66" s="350">
        <f>'reservecalc-external'!F192</f>
        <v>7800</v>
      </c>
      <c r="P66" s="351">
        <f t="shared" si="43"/>
        <v>247267</v>
      </c>
      <c r="Q66" s="352">
        <f t="shared" si="44"/>
        <v>247267</v>
      </c>
      <c r="R66" s="350">
        <f>'reservecalc-external'!G192</f>
        <v>6200</v>
      </c>
      <c r="S66" s="351">
        <f t="shared" si="45"/>
        <v>253467</v>
      </c>
      <c r="T66" s="352">
        <f t="shared" si="46"/>
        <v>253467</v>
      </c>
      <c r="U66" s="350">
        <f>'reservecalc-external'!H192</f>
        <v>6200</v>
      </c>
      <c r="V66" s="351">
        <f t="shared" si="47"/>
        <v>259667</v>
      </c>
      <c r="W66" s="352">
        <f t="shared" si="48"/>
        <v>259667</v>
      </c>
      <c r="X66" s="350">
        <f>'reservecalc-external'!I192</f>
        <v>6200</v>
      </c>
      <c r="Y66" s="351">
        <f t="shared" si="49"/>
        <v>265867</v>
      </c>
      <c r="Z66" s="352">
        <f t="shared" si="50"/>
        <v>265867</v>
      </c>
      <c r="AA66" s="350">
        <f>'reservecalc-external'!J192</f>
        <v>6200</v>
      </c>
      <c r="AB66" s="351">
        <f t="shared" si="51"/>
        <v>272067</v>
      </c>
    </row>
    <row r="67" spans="1:28" x14ac:dyDescent="0.25">
      <c r="A67" s="75" t="s">
        <v>4200</v>
      </c>
      <c r="B67" s="349">
        <v>336736</v>
      </c>
      <c r="C67" s="350">
        <f>'reservecalc-external'!B223</f>
        <v>30500</v>
      </c>
      <c r="D67" s="351">
        <f t="shared" si="35"/>
        <v>367236</v>
      </c>
      <c r="E67" s="352">
        <f t="shared" si="36"/>
        <v>367236</v>
      </c>
      <c r="F67" s="350">
        <f>'reservecalc-external'!C223</f>
        <v>24400</v>
      </c>
      <c r="G67" s="351">
        <f t="shared" si="37"/>
        <v>391636</v>
      </c>
      <c r="H67" s="352">
        <f t="shared" si="38"/>
        <v>391636</v>
      </c>
      <c r="I67" s="350">
        <f>'reservecalc-external'!D223</f>
        <v>20300</v>
      </c>
      <c r="J67" s="351">
        <f t="shared" si="39"/>
        <v>411936</v>
      </c>
      <c r="K67" s="352">
        <f t="shared" si="40"/>
        <v>411936</v>
      </c>
      <c r="L67" s="350">
        <f>'reservecalc-external'!E223</f>
        <v>20300</v>
      </c>
      <c r="M67" s="351">
        <f t="shared" si="41"/>
        <v>432236</v>
      </c>
      <c r="N67" s="352">
        <f t="shared" si="42"/>
        <v>432236</v>
      </c>
      <c r="O67" s="350">
        <f>'reservecalc-external'!F223</f>
        <v>20300</v>
      </c>
      <c r="P67" s="351">
        <f t="shared" si="43"/>
        <v>452536</v>
      </c>
      <c r="Q67" s="352">
        <f t="shared" si="44"/>
        <v>452536</v>
      </c>
      <c r="R67" s="350">
        <f>'reservecalc-external'!G223</f>
        <v>16300</v>
      </c>
      <c r="S67" s="351">
        <f t="shared" si="45"/>
        <v>468836</v>
      </c>
      <c r="T67" s="352">
        <f t="shared" si="46"/>
        <v>468836</v>
      </c>
      <c r="U67" s="350">
        <f>'reservecalc-external'!H223</f>
        <v>16300</v>
      </c>
      <c r="V67" s="351">
        <f t="shared" si="47"/>
        <v>485136</v>
      </c>
      <c r="W67" s="352">
        <f t="shared" si="48"/>
        <v>485136</v>
      </c>
      <c r="X67" s="350">
        <f>'reservecalc-external'!I223</f>
        <v>16300</v>
      </c>
      <c r="Y67" s="351">
        <f t="shared" si="49"/>
        <v>501436</v>
      </c>
      <c r="Z67" s="352">
        <f t="shared" si="50"/>
        <v>501436</v>
      </c>
      <c r="AA67" s="350">
        <f>'reservecalc-external'!J223</f>
        <v>16300</v>
      </c>
      <c r="AB67" s="351">
        <f t="shared" si="51"/>
        <v>517736</v>
      </c>
    </row>
    <row r="68" spans="1:28" x14ac:dyDescent="0.25">
      <c r="A68" s="75" t="s">
        <v>4199</v>
      </c>
      <c r="B68" s="349">
        <v>70374</v>
      </c>
      <c r="C68" s="350">
        <f>'reservecalc-external'!B254</f>
        <v>100</v>
      </c>
      <c r="D68" s="351">
        <f t="shared" si="35"/>
        <v>70474</v>
      </c>
      <c r="E68" s="352">
        <f t="shared" si="36"/>
        <v>70474</v>
      </c>
      <c r="F68" s="350">
        <f>'reservecalc-external'!C254</f>
        <v>100</v>
      </c>
      <c r="G68" s="351">
        <f t="shared" si="37"/>
        <v>70574</v>
      </c>
      <c r="H68" s="352">
        <f t="shared" si="38"/>
        <v>70574</v>
      </c>
      <c r="I68" s="350">
        <f>'reservecalc-external'!D254</f>
        <v>100</v>
      </c>
      <c r="J68" s="351">
        <f t="shared" si="39"/>
        <v>70674</v>
      </c>
      <c r="K68" s="352">
        <f t="shared" si="40"/>
        <v>70674</v>
      </c>
      <c r="L68" s="350">
        <f>'reservecalc-external'!E254</f>
        <v>100</v>
      </c>
      <c r="M68" s="351">
        <f t="shared" si="41"/>
        <v>70774</v>
      </c>
      <c r="N68" s="352">
        <f t="shared" si="42"/>
        <v>70774</v>
      </c>
      <c r="O68" s="350">
        <f>'reservecalc-external'!F254</f>
        <v>100</v>
      </c>
      <c r="P68" s="351">
        <f t="shared" si="43"/>
        <v>70874</v>
      </c>
      <c r="Q68" s="352">
        <f t="shared" si="44"/>
        <v>70874</v>
      </c>
      <c r="R68" s="350">
        <f>'reservecalc-external'!G254</f>
        <v>0</v>
      </c>
      <c r="S68" s="351">
        <f t="shared" si="45"/>
        <v>70874</v>
      </c>
      <c r="T68" s="352">
        <f t="shared" si="46"/>
        <v>70874</v>
      </c>
      <c r="U68" s="350">
        <f>'reservecalc-external'!H254</f>
        <v>0</v>
      </c>
      <c r="V68" s="351">
        <f t="shared" si="47"/>
        <v>70874</v>
      </c>
      <c r="W68" s="352">
        <f t="shared" si="48"/>
        <v>70874</v>
      </c>
      <c r="X68" s="350">
        <f>'reservecalc-external'!I254</f>
        <v>0</v>
      </c>
      <c r="Y68" s="351">
        <f t="shared" si="49"/>
        <v>70874</v>
      </c>
      <c r="Z68" s="352">
        <f t="shared" si="50"/>
        <v>70874</v>
      </c>
      <c r="AA68" s="350">
        <f>'reservecalc-external'!J254</f>
        <v>0</v>
      </c>
      <c r="AB68" s="351">
        <f t="shared" si="51"/>
        <v>70874</v>
      </c>
    </row>
    <row r="69" spans="1:28" x14ac:dyDescent="0.25">
      <c r="A69" s="75" t="s">
        <v>4201</v>
      </c>
      <c r="B69" s="349">
        <v>231464</v>
      </c>
      <c r="C69" s="350">
        <f>'reservecalc-external'!B285</f>
        <v>-3100</v>
      </c>
      <c r="D69" s="351">
        <f t="shared" si="35"/>
        <v>228364</v>
      </c>
      <c r="E69" s="352">
        <f t="shared" si="36"/>
        <v>228364</v>
      </c>
      <c r="F69" s="350">
        <f>'reservecalc-external'!C285</f>
        <v>43900</v>
      </c>
      <c r="G69" s="351">
        <f t="shared" si="37"/>
        <v>272264</v>
      </c>
      <c r="H69" s="352">
        <f t="shared" si="38"/>
        <v>272264</v>
      </c>
      <c r="I69" s="350">
        <f>'reservecalc-external'!D285</f>
        <v>36600</v>
      </c>
      <c r="J69" s="351">
        <f t="shared" si="39"/>
        <v>308864</v>
      </c>
      <c r="K69" s="352">
        <f t="shared" si="40"/>
        <v>308864</v>
      </c>
      <c r="L69" s="350">
        <f>'reservecalc-external'!E285</f>
        <v>36600</v>
      </c>
      <c r="M69" s="351">
        <f t="shared" si="41"/>
        <v>345464</v>
      </c>
      <c r="N69" s="352">
        <f t="shared" si="42"/>
        <v>345464</v>
      </c>
      <c r="O69" s="350">
        <f>'reservecalc-external'!F285</f>
        <v>36600</v>
      </c>
      <c r="P69" s="351">
        <f t="shared" si="43"/>
        <v>382064</v>
      </c>
      <c r="Q69" s="352">
        <f t="shared" si="44"/>
        <v>382064</v>
      </c>
      <c r="R69" s="350">
        <f>'reservecalc-external'!G285</f>
        <v>29300</v>
      </c>
      <c r="S69" s="351">
        <f t="shared" si="45"/>
        <v>411364</v>
      </c>
      <c r="T69" s="352">
        <f t="shared" si="46"/>
        <v>411364</v>
      </c>
      <c r="U69" s="350">
        <f>'reservecalc-external'!H285</f>
        <v>29300</v>
      </c>
      <c r="V69" s="351">
        <f t="shared" si="47"/>
        <v>440664</v>
      </c>
      <c r="W69" s="352">
        <f t="shared" si="48"/>
        <v>440664</v>
      </c>
      <c r="X69" s="350">
        <f>'reservecalc-external'!I285</f>
        <v>29300</v>
      </c>
      <c r="Y69" s="351">
        <f t="shared" si="49"/>
        <v>469964</v>
      </c>
      <c r="Z69" s="352">
        <f t="shared" si="50"/>
        <v>469964</v>
      </c>
      <c r="AA69" s="350">
        <f>'reservecalc-external'!J285</f>
        <v>29300</v>
      </c>
      <c r="AB69" s="351">
        <f t="shared" si="51"/>
        <v>499264</v>
      </c>
    </row>
    <row r="70" spans="1:28" x14ac:dyDescent="0.25">
      <c r="A70" s="75" t="s">
        <v>4202</v>
      </c>
      <c r="B70" s="349">
        <v>1542212</v>
      </c>
      <c r="C70" s="350">
        <f>'reservecalc-external'!B316</f>
        <v>135000</v>
      </c>
      <c r="D70" s="351">
        <f t="shared" si="35"/>
        <v>1677212</v>
      </c>
      <c r="E70" s="352">
        <f t="shared" si="36"/>
        <v>1677212</v>
      </c>
      <c r="F70" s="350">
        <f>'reservecalc-external'!C316</f>
        <v>140000</v>
      </c>
      <c r="G70" s="351">
        <f t="shared" si="37"/>
        <v>1817212</v>
      </c>
      <c r="H70" s="352">
        <f t="shared" si="38"/>
        <v>1817212</v>
      </c>
      <c r="I70" s="350">
        <f>'reservecalc-external'!D316</f>
        <v>116700</v>
      </c>
      <c r="J70" s="351">
        <f t="shared" si="39"/>
        <v>1933912</v>
      </c>
      <c r="K70" s="352">
        <f t="shared" si="40"/>
        <v>1933912</v>
      </c>
      <c r="L70" s="350">
        <f>'reservecalc-external'!E316</f>
        <v>116700</v>
      </c>
      <c r="M70" s="351">
        <f t="shared" si="41"/>
        <v>2050612</v>
      </c>
      <c r="N70" s="352">
        <f t="shared" si="42"/>
        <v>2050612</v>
      </c>
      <c r="O70" s="350">
        <f>'reservecalc-external'!F316</f>
        <v>116700</v>
      </c>
      <c r="P70" s="351">
        <f t="shared" si="43"/>
        <v>2167312</v>
      </c>
      <c r="Q70" s="352">
        <f t="shared" si="44"/>
        <v>2167312</v>
      </c>
      <c r="R70" s="350">
        <f>'reservecalc-external'!G316</f>
        <v>93300</v>
      </c>
      <c r="S70" s="351">
        <f t="shared" si="45"/>
        <v>2260612</v>
      </c>
      <c r="T70" s="352">
        <f t="shared" si="46"/>
        <v>2260612</v>
      </c>
      <c r="U70" s="350">
        <f>'reservecalc-external'!H316</f>
        <v>93300</v>
      </c>
      <c r="V70" s="351">
        <f t="shared" si="47"/>
        <v>2353912</v>
      </c>
      <c r="W70" s="352">
        <f t="shared" si="48"/>
        <v>2353912</v>
      </c>
      <c r="X70" s="350">
        <f>'reservecalc-external'!I316</f>
        <v>93300</v>
      </c>
      <c r="Y70" s="351">
        <f t="shared" si="49"/>
        <v>2447212</v>
      </c>
      <c r="Z70" s="352">
        <f t="shared" si="50"/>
        <v>2447212</v>
      </c>
      <c r="AA70" s="350">
        <f>'reservecalc-external'!J316</f>
        <v>93300</v>
      </c>
      <c r="AB70" s="351">
        <f t="shared" si="51"/>
        <v>2540512</v>
      </c>
    </row>
    <row r="71" spans="1:28" x14ac:dyDescent="0.25">
      <c r="A71" s="75" t="s">
        <v>4204</v>
      </c>
      <c r="B71" s="349">
        <v>39349</v>
      </c>
      <c r="C71" s="350">
        <f>'reservecalc-external'!B347</f>
        <v>800</v>
      </c>
      <c r="D71" s="351">
        <f t="shared" si="35"/>
        <v>40149</v>
      </c>
      <c r="E71" s="352">
        <f t="shared" si="36"/>
        <v>40149</v>
      </c>
      <c r="F71" s="350">
        <f>'reservecalc-external'!C347</f>
        <v>600</v>
      </c>
      <c r="G71" s="351">
        <f t="shared" si="37"/>
        <v>40749</v>
      </c>
      <c r="H71" s="352">
        <f t="shared" si="38"/>
        <v>40749</v>
      </c>
      <c r="I71" s="350">
        <f>'reservecalc-external'!D347</f>
        <v>500</v>
      </c>
      <c r="J71" s="351">
        <f t="shared" si="39"/>
        <v>41249</v>
      </c>
      <c r="K71" s="352">
        <f t="shared" si="40"/>
        <v>41249</v>
      </c>
      <c r="L71" s="350">
        <f>'reservecalc-external'!E347</f>
        <v>500</v>
      </c>
      <c r="M71" s="351">
        <f t="shared" si="41"/>
        <v>41749</v>
      </c>
      <c r="N71" s="352">
        <f t="shared" si="42"/>
        <v>41749</v>
      </c>
      <c r="O71" s="350">
        <f>'reservecalc-external'!F347</f>
        <v>500</v>
      </c>
      <c r="P71" s="351">
        <f t="shared" si="43"/>
        <v>42249</v>
      </c>
      <c r="Q71" s="352">
        <f t="shared" si="44"/>
        <v>42249</v>
      </c>
      <c r="R71" s="350">
        <f>'reservecalc-external'!G347</f>
        <v>400</v>
      </c>
      <c r="S71" s="351">
        <f t="shared" si="45"/>
        <v>42649</v>
      </c>
      <c r="T71" s="352">
        <f t="shared" si="46"/>
        <v>42649</v>
      </c>
      <c r="U71" s="350">
        <f>'reservecalc-external'!H347</f>
        <v>400</v>
      </c>
      <c r="V71" s="351">
        <f t="shared" si="47"/>
        <v>43049</v>
      </c>
      <c r="W71" s="352">
        <f t="shared" si="48"/>
        <v>43049</v>
      </c>
      <c r="X71" s="350">
        <f>'reservecalc-external'!I347</f>
        <v>400</v>
      </c>
      <c r="Y71" s="351">
        <f t="shared" si="49"/>
        <v>43449</v>
      </c>
      <c r="Z71" s="352">
        <f t="shared" si="50"/>
        <v>43449</v>
      </c>
      <c r="AA71" s="350">
        <f>'reservecalc-external'!J347</f>
        <v>400</v>
      </c>
      <c r="AB71" s="351">
        <f t="shared" si="51"/>
        <v>43849</v>
      </c>
    </row>
    <row r="72" spans="1:28" x14ac:dyDescent="0.25">
      <c r="A72" s="75" t="s">
        <v>4205</v>
      </c>
      <c r="B72" s="349">
        <v>54289</v>
      </c>
      <c r="C72" s="350">
        <f>'reservecalc-external'!B378</f>
        <v>5800</v>
      </c>
      <c r="D72" s="351">
        <f t="shared" si="35"/>
        <v>60089</v>
      </c>
      <c r="E72" s="352">
        <f t="shared" si="36"/>
        <v>60089</v>
      </c>
      <c r="F72" s="350">
        <f>'reservecalc-external'!C378</f>
        <v>4700</v>
      </c>
      <c r="G72" s="351">
        <f t="shared" si="37"/>
        <v>64789</v>
      </c>
      <c r="H72" s="352">
        <f t="shared" si="38"/>
        <v>64789</v>
      </c>
      <c r="I72" s="350">
        <f>'reservecalc-external'!D378</f>
        <v>3900</v>
      </c>
      <c r="J72" s="351">
        <f t="shared" si="39"/>
        <v>68689</v>
      </c>
      <c r="K72" s="352">
        <f t="shared" si="40"/>
        <v>68689</v>
      </c>
      <c r="L72" s="350">
        <f>'reservecalc-external'!E378</f>
        <v>3900</v>
      </c>
      <c r="M72" s="351">
        <f t="shared" si="41"/>
        <v>72589</v>
      </c>
      <c r="N72" s="352">
        <f t="shared" si="42"/>
        <v>72589</v>
      </c>
      <c r="O72" s="350">
        <f>'reservecalc-external'!F378</f>
        <v>3900</v>
      </c>
      <c r="P72" s="351">
        <f t="shared" si="43"/>
        <v>76489</v>
      </c>
      <c r="Q72" s="352">
        <f t="shared" si="44"/>
        <v>76489</v>
      </c>
      <c r="R72" s="350">
        <f>'reservecalc-external'!G378</f>
        <v>3100</v>
      </c>
      <c r="S72" s="351">
        <f t="shared" si="45"/>
        <v>79589</v>
      </c>
      <c r="T72" s="352">
        <f t="shared" si="46"/>
        <v>79589</v>
      </c>
      <c r="U72" s="350">
        <f>'reservecalc-external'!H378</f>
        <v>3100</v>
      </c>
      <c r="V72" s="351">
        <f t="shared" si="47"/>
        <v>82689</v>
      </c>
      <c r="W72" s="352">
        <f t="shared" si="48"/>
        <v>82689</v>
      </c>
      <c r="X72" s="350">
        <f>'reservecalc-external'!I378</f>
        <v>3100</v>
      </c>
      <c r="Y72" s="351">
        <f t="shared" si="49"/>
        <v>85789</v>
      </c>
      <c r="Z72" s="352">
        <f t="shared" si="50"/>
        <v>85789</v>
      </c>
      <c r="AA72" s="350">
        <f>'reservecalc-external'!J378</f>
        <v>3100</v>
      </c>
      <c r="AB72" s="351">
        <f t="shared" si="51"/>
        <v>88889</v>
      </c>
    </row>
    <row r="73" spans="1:28" x14ac:dyDescent="0.25">
      <c r="A73" s="75" t="s">
        <v>4203</v>
      </c>
      <c r="B73" s="349">
        <v>211553</v>
      </c>
      <c r="C73" s="350">
        <f>'reservecalc-external'!B409</f>
        <v>33200</v>
      </c>
      <c r="D73" s="351">
        <f t="shared" si="35"/>
        <v>244753</v>
      </c>
      <c r="E73" s="352">
        <f t="shared" si="36"/>
        <v>244753</v>
      </c>
      <c r="F73" s="350">
        <f>'reservecalc-external'!C409</f>
        <v>26500</v>
      </c>
      <c r="G73" s="351">
        <f t="shared" si="37"/>
        <v>271253</v>
      </c>
      <c r="H73" s="352">
        <f t="shared" si="38"/>
        <v>271253</v>
      </c>
      <c r="I73" s="350">
        <f>'reservecalc-external'!D409</f>
        <v>22100</v>
      </c>
      <c r="J73" s="351">
        <f t="shared" si="39"/>
        <v>293353</v>
      </c>
      <c r="K73" s="352">
        <f t="shared" si="40"/>
        <v>293353</v>
      </c>
      <c r="L73" s="350">
        <f>'reservecalc-external'!E409</f>
        <v>22100</v>
      </c>
      <c r="M73" s="351">
        <f t="shared" si="41"/>
        <v>315453</v>
      </c>
      <c r="N73" s="352">
        <f t="shared" si="42"/>
        <v>315453</v>
      </c>
      <c r="O73" s="350">
        <f>'reservecalc-external'!F409</f>
        <v>22100</v>
      </c>
      <c r="P73" s="351">
        <f t="shared" si="43"/>
        <v>337553</v>
      </c>
      <c r="Q73" s="352">
        <f t="shared" si="44"/>
        <v>337553</v>
      </c>
      <c r="R73" s="350">
        <f>'reservecalc-external'!G409</f>
        <v>17700</v>
      </c>
      <c r="S73" s="351">
        <f t="shared" si="45"/>
        <v>355253</v>
      </c>
      <c r="T73" s="352">
        <f t="shared" si="46"/>
        <v>355253</v>
      </c>
      <c r="U73" s="350">
        <f>'reservecalc-external'!H409</f>
        <v>17700</v>
      </c>
      <c r="V73" s="351">
        <f t="shared" si="47"/>
        <v>372953</v>
      </c>
      <c r="W73" s="352">
        <f t="shared" si="48"/>
        <v>372953</v>
      </c>
      <c r="X73" s="350">
        <f>'reservecalc-external'!I409</f>
        <v>17700</v>
      </c>
      <c r="Y73" s="351">
        <f t="shared" si="49"/>
        <v>390653</v>
      </c>
      <c r="Z73" s="352">
        <f t="shared" si="50"/>
        <v>390653</v>
      </c>
      <c r="AA73" s="350">
        <f>'reservecalc-external'!J409</f>
        <v>17700</v>
      </c>
      <c r="AB73" s="351">
        <f t="shared" si="51"/>
        <v>408353</v>
      </c>
    </row>
    <row r="74" spans="1:28" x14ac:dyDescent="0.25">
      <c r="A74" s="75" t="s">
        <v>4206</v>
      </c>
      <c r="B74" s="349">
        <v>15209</v>
      </c>
      <c r="C74" s="350">
        <f>'reservecalc-external'!B440</f>
        <v>8800</v>
      </c>
      <c r="D74" s="351">
        <f t="shared" si="35"/>
        <v>24009</v>
      </c>
      <c r="E74" s="352">
        <f t="shared" si="36"/>
        <v>24009</v>
      </c>
      <c r="F74" s="350">
        <f>'reservecalc-external'!C440</f>
        <v>7000</v>
      </c>
      <c r="G74" s="351">
        <f t="shared" si="37"/>
        <v>31009</v>
      </c>
      <c r="H74" s="352">
        <f t="shared" si="38"/>
        <v>31009</v>
      </c>
      <c r="I74" s="350">
        <f>'reservecalc-external'!D440</f>
        <v>5800</v>
      </c>
      <c r="J74" s="351">
        <f t="shared" si="39"/>
        <v>36809</v>
      </c>
      <c r="K74" s="352">
        <f t="shared" si="40"/>
        <v>36809</v>
      </c>
      <c r="L74" s="350">
        <f>'reservecalc-external'!E440</f>
        <v>5800</v>
      </c>
      <c r="M74" s="351">
        <f t="shared" si="41"/>
        <v>42609</v>
      </c>
      <c r="N74" s="352">
        <f t="shared" si="42"/>
        <v>42609</v>
      </c>
      <c r="O74" s="350">
        <f>'reservecalc-external'!F440</f>
        <v>5800</v>
      </c>
      <c r="P74" s="351">
        <f t="shared" si="43"/>
        <v>48409</v>
      </c>
      <c r="Q74" s="352">
        <f t="shared" si="44"/>
        <v>48409</v>
      </c>
      <c r="R74" s="350">
        <f>'reservecalc-external'!G440</f>
        <v>4700</v>
      </c>
      <c r="S74" s="351">
        <f t="shared" si="45"/>
        <v>53109</v>
      </c>
      <c r="T74" s="352">
        <f t="shared" si="46"/>
        <v>53109</v>
      </c>
      <c r="U74" s="350">
        <f>'reservecalc-external'!H440</f>
        <v>4700</v>
      </c>
      <c r="V74" s="351">
        <f t="shared" si="47"/>
        <v>57809</v>
      </c>
      <c r="W74" s="352">
        <f t="shared" si="48"/>
        <v>57809</v>
      </c>
      <c r="X74" s="350">
        <f>'reservecalc-external'!I440</f>
        <v>4700</v>
      </c>
      <c r="Y74" s="351">
        <f t="shared" si="49"/>
        <v>62509</v>
      </c>
      <c r="Z74" s="352">
        <f t="shared" si="50"/>
        <v>62509</v>
      </c>
      <c r="AA74" s="350">
        <f>'reservecalc-external'!J440</f>
        <v>4700</v>
      </c>
      <c r="AB74" s="351">
        <f t="shared" si="51"/>
        <v>67209</v>
      </c>
    </row>
    <row r="75" spans="1:28" x14ac:dyDescent="0.25">
      <c r="A75" s="75" t="s">
        <v>4207</v>
      </c>
      <c r="B75" s="349">
        <v>161202</v>
      </c>
      <c r="C75" s="350">
        <f>'reservecalc-external'!B471</f>
        <v>14400</v>
      </c>
      <c r="D75" s="351">
        <f t="shared" si="35"/>
        <v>175602</v>
      </c>
      <c r="E75" s="352">
        <f t="shared" si="36"/>
        <v>175602</v>
      </c>
      <c r="F75" s="350">
        <f>'reservecalc-external'!C471</f>
        <v>12000</v>
      </c>
      <c r="G75" s="351">
        <f t="shared" si="37"/>
        <v>187602</v>
      </c>
      <c r="H75" s="352">
        <f t="shared" si="38"/>
        <v>187602</v>
      </c>
      <c r="I75" s="350">
        <f>'reservecalc-external'!D471</f>
        <v>9600</v>
      </c>
      <c r="J75" s="351">
        <f t="shared" si="39"/>
        <v>197202</v>
      </c>
      <c r="K75" s="352">
        <f t="shared" si="40"/>
        <v>197202</v>
      </c>
      <c r="L75" s="350">
        <f>'reservecalc-external'!E471</f>
        <v>8000</v>
      </c>
      <c r="M75" s="351">
        <f t="shared" si="41"/>
        <v>205202</v>
      </c>
      <c r="N75" s="352">
        <f t="shared" si="42"/>
        <v>205202</v>
      </c>
      <c r="O75" s="350">
        <f>'reservecalc-external'!F471</f>
        <v>8000</v>
      </c>
      <c r="P75" s="351">
        <f t="shared" si="43"/>
        <v>213202</v>
      </c>
      <c r="Q75" s="352">
        <f t="shared" si="44"/>
        <v>213202</v>
      </c>
      <c r="R75" s="350">
        <f>'reservecalc-external'!G471</f>
        <v>8000</v>
      </c>
      <c r="S75" s="351">
        <f t="shared" si="45"/>
        <v>221202</v>
      </c>
      <c r="T75" s="352">
        <f t="shared" si="46"/>
        <v>221202</v>
      </c>
      <c r="U75" s="350">
        <f>'reservecalc-external'!H471</f>
        <v>6400</v>
      </c>
      <c r="V75" s="351">
        <f t="shared" si="47"/>
        <v>227602</v>
      </c>
      <c r="W75" s="352">
        <f t="shared" si="48"/>
        <v>227602</v>
      </c>
      <c r="X75" s="350">
        <f>'reservecalc-external'!I471</f>
        <v>6400</v>
      </c>
      <c r="Y75" s="351">
        <f t="shared" si="49"/>
        <v>234002</v>
      </c>
      <c r="Z75" s="352">
        <f t="shared" si="50"/>
        <v>234002</v>
      </c>
      <c r="AA75" s="350">
        <f>'reservecalc-external'!J471</f>
        <v>6400</v>
      </c>
      <c r="AB75" s="351">
        <f t="shared" si="51"/>
        <v>240402</v>
      </c>
    </row>
    <row r="76" spans="1:28" x14ac:dyDescent="0.25">
      <c r="A76" s="75" t="s">
        <v>4208</v>
      </c>
      <c r="B76" s="349">
        <v>3293</v>
      </c>
      <c r="C76" s="350">
        <f>'reservecalc-external'!B533</f>
        <v>12800</v>
      </c>
      <c r="D76" s="351">
        <f t="shared" si="35"/>
        <v>16093</v>
      </c>
      <c r="E76" s="352">
        <f t="shared" si="36"/>
        <v>16093</v>
      </c>
      <c r="F76" s="350">
        <f>'reservecalc-external'!C533</f>
        <v>10200</v>
      </c>
      <c r="G76" s="351">
        <f t="shared" si="37"/>
        <v>26293</v>
      </c>
      <c r="H76" s="352">
        <f t="shared" si="38"/>
        <v>26293</v>
      </c>
      <c r="I76" s="350">
        <f>'reservecalc-external'!D533</f>
        <v>8500</v>
      </c>
      <c r="J76" s="351">
        <f t="shared" si="39"/>
        <v>34793</v>
      </c>
      <c r="K76" s="352">
        <f t="shared" si="40"/>
        <v>34793</v>
      </c>
      <c r="L76" s="350">
        <f>'reservecalc-external'!E533</f>
        <v>8500</v>
      </c>
      <c r="M76" s="351">
        <f t="shared" si="41"/>
        <v>43293</v>
      </c>
      <c r="N76" s="352">
        <f t="shared" si="42"/>
        <v>43293</v>
      </c>
      <c r="O76" s="350">
        <f>'reservecalc-external'!F533</f>
        <v>8500</v>
      </c>
      <c r="P76" s="351">
        <f t="shared" si="43"/>
        <v>51793</v>
      </c>
      <c r="Q76" s="352">
        <f t="shared" si="44"/>
        <v>51793</v>
      </c>
      <c r="R76" s="350">
        <f>'reservecalc-external'!G533</f>
        <v>6800</v>
      </c>
      <c r="S76" s="351">
        <f t="shared" si="45"/>
        <v>58593</v>
      </c>
      <c r="T76" s="352">
        <f t="shared" si="46"/>
        <v>58593</v>
      </c>
      <c r="U76" s="350">
        <f>'reservecalc-external'!H533</f>
        <v>6800</v>
      </c>
      <c r="V76" s="351">
        <f t="shared" si="47"/>
        <v>65393</v>
      </c>
      <c r="W76" s="352">
        <f t="shared" si="48"/>
        <v>65393</v>
      </c>
      <c r="X76" s="350">
        <f>'reservecalc-external'!I533</f>
        <v>6800</v>
      </c>
      <c r="Y76" s="351">
        <f t="shared" si="49"/>
        <v>72193</v>
      </c>
      <c r="Z76" s="352">
        <f t="shared" si="50"/>
        <v>72193</v>
      </c>
      <c r="AA76" s="350">
        <f>'reservecalc-external'!J533</f>
        <v>6800</v>
      </c>
      <c r="AB76" s="351">
        <f t="shared" si="51"/>
        <v>78993</v>
      </c>
    </row>
    <row r="77" spans="1:28" x14ac:dyDescent="0.25">
      <c r="A77" s="75" t="s">
        <v>4209</v>
      </c>
      <c r="B77" s="349">
        <v>30849</v>
      </c>
      <c r="C77" s="350">
        <f>'reservecalc-external'!B533</f>
        <v>12800</v>
      </c>
      <c r="D77" s="351">
        <f t="shared" si="35"/>
        <v>43649</v>
      </c>
      <c r="E77" s="352">
        <f t="shared" si="36"/>
        <v>43649</v>
      </c>
      <c r="F77" s="350">
        <f>'reservecalc-external'!C533</f>
        <v>10200</v>
      </c>
      <c r="G77" s="351">
        <f t="shared" si="37"/>
        <v>53849</v>
      </c>
      <c r="H77" s="352">
        <f t="shared" si="38"/>
        <v>53849</v>
      </c>
      <c r="I77" s="350">
        <f>'reservecalc-external'!D533</f>
        <v>8500</v>
      </c>
      <c r="J77" s="351">
        <f t="shared" si="39"/>
        <v>62349</v>
      </c>
      <c r="K77" s="352">
        <f t="shared" si="40"/>
        <v>62349</v>
      </c>
      <c r="L77" s="350">
        <f>'reservecalc-external'!E533</f>
        <v>8500</v>
      </c>
      <c r="M77" s="351">
        <f t="shared" si="41"/>
        <v>70849</v>
      </c>
      <c r="N77" s="352">
        <f t="shared" si="42"/>
        <v>70849</v>
      </c>
      <c r="O77" s="350">
        <f>'reservecalc-external'!F533</f>
        <v>8500</v>
      </c>
      <c r="P77" s="351">
        <f t="shared" si="43"/>
        <v>79349</v>
      </c>
      <c r="Q77" s="352">
        <f t="shared" si="44"/>
        <v>79349</v>
      </c>
      <c r="R77" s="350">
        <f>'reservecalc-external'!G533</f>
        <v>6800</v>
      </c>
      <c r="S77" s="351">
        <f t="shared" si="45"/>
        <v>86149</v>
      </c>
      <c r="T77" s="352">
        <f t="shared" si="46"/>
        <v>86149</v>
      </c>
      <c r="U77" s="350">
        <f>'reservecalc-external'!H533</f>
        <v>6800</v>
      </c>
      <c r="V77" s="351">
        <f t="shared" si="47"/>
        <v>92949</v>
      </c>
      <c r="W77" s="352">
        <f t="shared" si="48"/>
        <v>92949</v>
      </c>
      <c r="X77" s="350">
        <f>'reservecalc-external'!I533</f>
        <v>6800</v>
      </c>
      <c r="Y77" s="351">
        <f t="shared" si="49"/>
        <v>99749</v>
      </c>
      <c r="Z77" s="352">
        <f t="shared" si="50"/>
        <v>99749</v>
      </c>
      <c r="AA77" s="350">
        <f>'reservecalc-external'!J533</f>
        <v>6800</v>
      </c>
      <c r="AB77" s="351">
        <f t="shared" si="51"/>
        <v>106549</v>
      </c>
    </row>
    <row r="78" spans="1:28" x14ac:dyDescent="0.25">
      <c r="A78" s="75" t="s">
        <v>4210</v>
      </c>
      <c r="B78" s="349">
        <v>564965</v>
      </c>
      <c r="C78" s="350">
        <f>'reservecalc-external'!B564</f>
        <v>50400</v>
      </c>
      <c r="D78" s="351">
        <f t="shared" si="35"/>
        <v>615365</v>
      </c>
      <c r="E78" s="352">
        <f t="shared" si="36"/>
        <v>615365</v>
      </c>
      <c r="F78" s="350">
        <f>'reservecalc-external'!C564</f>
        <v>40300</v>
      </c>
      <c r="G78" s="351">
        <f t="shared" si="37"/>
        <v>655665</v>
      </c>
      <c r="H78" s="352">
        <f t="shared" si="38"/>
        <v>655665</v>
      </c>
      <c r="I78" s="350">
        <f>'reservecalc-external'!D564</f>
        <v>33600</v>
      </c>
      <c r="J78" s="351">
        <f t="shared" si="39"/>
        <v>689265</v>
      </c>
      <c r="K78" s="352">
        <f t="shared" si="40"/>
        <v>689265</v>
      </c>
      <c r="L78" s="350">
        <f>'reservecalc-external'!E564</f>
        <v>33600</v>
      </c>
      <c r="M78" s="351">
        <f t="shared" si="41"/>
        <v>722865</v>
      </c>
      <c r="N78" s="352">
        <f t="shared" si="42"/>
        <v>722865</v>
      </c>
      <c r="O78" s="350">
        <f>'reservecalc-external'!F564</f>
        <v>33600</v>
      </c>
      <c r="P78" s="351">
        <f t="shared" si="43"/>
        <v>756465</v>
      </c>
      <c r="Q78" s="352">
        <f t="shared" si="44"/>
        <v>756465</v>
      </c>
      <c r="R78" s="350">
        <f>'reservecalc-external'!G564</f>
        <v>26900</v>
      </c>
      <c r="S78" s="351">
        <f t="shared" si="45"/>
        <v>783365</v>
      </c>
      <c r="T78" s="352">
        <f t="shared" si="46"/>
        <v>783365</v>
      </c>
      <c r="U78" s="350">
        <f>'reservecalc-external'!H564</f>
        <v>26900</v>
      </c>
      <c r="V78" s="351">
        <f t="shared" si="47"/>
        <v>810265</v>
      </c>
      <c r="W78" s="352">
        <f t="shared" si="48"/>
        <v>810265</v>
      </c>
      <c r="X78" s="350">
        <f>'reservecalc-external'!I564</f>
        <v>26900</v>
      </c>
      <c r="Y78" s="351">
        <f t="shared" si="49"/>
        <v>837165</v>
      </c>
      <c r="Z78" s="352">
        <f t="shared" si="50"/>
        <v>837165</v>
      </c>
      <c r="AA78" s="350">
        <f>'reservecalc-external'!J564</f>
        <v>26900</v>
      </c>
      <c r="AB78" s="351">
        <f t="shared" si="51"/>
        <v>864065</v>
      </c>
    </row>
    <row r="79" spans="1:28" x14ac:dyDescent="0.25">
      <c r="A79" s="75" t="s">
        <v>4211</v>
      </c>
      <c r="B79" s="349">
        <v>16806</v>
      </c>
      <c r="C79" s="350">
        <f>'reservecalc-external'!B595</f>
        <v>800</v>
      </c>
      <c r="D79" s="351">
        <f t="shared" si="35"/>
        <v>17606</v>
      </c>
      <c r="E79" s="352">
        <f t="shared" si="36"/>
        <v>17606</v>
      </c>
      <c r="F79" s="350">
        <f>'reservecalc-external'!C595</f>
        <v>700</v>
      </c>
      <c r="G79" s="351">
        <f t="shared" si="37"/>
        <v>18306</v>
      </c>
      <c r="H79" s="352">
        <f t="shared" si="38"/>
        <v>18306</v>
      </c>
      <c r="I79" s="350">
        <f>'reservecalc-external'!D595</f>
        <v>500</v>
      </c>
      <c r="J79" s="351">
        <f t="shared" si="39"/>
        <v>18806</v>
      </c>
      <c r="K79" s="352">
        <f t="shared" si="40"/>
        <v>18806</v>
      </c>
      <c r="L79" s="350">
        <f>'reservecalc-external'!E595</f>
        <v>400</v>
      </c>
      <c r="M79" s="351">
        <f t="shared" si="41"/>
        <v>19206</v>
      </c>
      <c r="N79" s="352">
        <f t="shared" si="42"/>
        <v>19206</v>
      </c>
      <c r="O79" s="350">
        <f>'reservecalc-external'!F595</f>
        <v>400</v>
      </c>
      <c r="P79" s="351">
        <f t="shared" si="43"/>
        <v>19606</v>
      </c>
      <c r="Q79" s="352">
        <f t="shared" si="44"/>
        <v>19606</v>
      </c>
      <c r="R79" s="350">
        <f>'reservecalc-external'!G595</f>
        <v>400</v>
      </c>
      <c r="S79" s="351">
        <f t="shared" si="45"/>
        <v>20006</v>
      </c>
      <c r="T79" s="352">
        <f t="shared" si="46"/>
        <v>20006</v>
      </c>
      <c r="U79" s="350">
        <f>'reservecalc-external'!H595</f>
        <v>400</v>
      </c>
      <c r="V79" s="351">
        <f t="shared" si="47"/>
        <v>20406</v>
      </c>
      <c r="W79" s="352">
        <f t="shared" si="48"/>
        <v>20406</v>
      </c>
      <c r="X79" s="350">
        <f>'reservecalc-external'!I595</f>
        <v>400</v>
      </c>
      <c r="Y79" s="351">
        <f t="shared" si="49"/>
        <v>20806</v>
      </c>
      <c r="Z79" s="352">
        <f t="shared" si="50"/>
        <v>20806</v>
      </c>
      <c r="AA79" s="350">
        <f>'reservecalc-external'!J595</f>
        <v>400</v>
      </c>
      <c r="AB79" s="351">
        <f t="shared" si="51"/>
        <v>21206</v>
      </c>
    </row>
    <row r="80" spans="1:28" x14ac:dyDescent="0.25">
      <c r="A80" s="75" t="s">
        <v>4212</v>
      </c>
      <c r="B80" s="349">
        <v>119675</v>
      </c>
      <c r="C80" s="350">
        <f>'reservecalc-external'!B626</f>
        <v>8400</v>
      </c>
      <c r="D80" s="351">
        <f t="shared" si="35"/>
        <v>128075</v>
      </c>
      <c r="E80" s="352">
        <f t="shared" si="36"/>
        <v>128075</v>
      </c>
      <c r="F80" s="350">
        <f>'reservecalc-external'!C626</f>
        <v>7000</v>
      </c>
      <c r="G80" s="351">
        <f t="shared" si="37"/>
        <v>135075</v>
      </c>
      <c r="H80" s="352">
        <f t="shared" si="38"/>
        <v>135075</v>
      </c>
      <c r="I80" s="350">
        <f>'reservecalc-external'!D626</f>
        <v>5600</v>
      </c>
      <c r="J80" s="351">
        <f t="shared" si="39"/>
        <v>140675</v>
      </c>
      <c r="K80" s="352">
        <f t="shared" si="40"/>
        <v>140675</v>
      </c>
      <c r="L80" s="350">
        <f>'reservecalc-external'!E626</f>
        <v>4700</v>
      </c>
      <c r="M80" s="351">
        <f t="shared" si="41"/>
        <v>145375</v>
      </c>
      <c r="N80" s="352">
        <f t="shared" si="42"/>
        <v>145375</v>
      </c>
      <c r="O80" s="350">
        <f>'reservecalc-external'!F626</f>
        <v>4700</v>
      </c>
      <c r="P80" s="351">
        <f t="shared" si="43"/>
        <v>150075</v>
      </c>
      <c r="Q80" s="352">
        <f t="shared" si="44"/>
        <v>150075</v>
      </c>
      <c r="R80" s="350">
        <f>'reservecalc-external'!G626</f>
        <v>4700</v>
      </c>
      <c r="S80" s="351">
        <f t="shared" si="45"/>
        <v>154775</v>
      </c>
      <c r="T80" s="352">
        <f t="shared" si="46"/>
        <v>154775</v>
      </c>
      <c r="U80" s="350">
        <f>'reservecalc-external'!H626</f>
        <v>3700</v>
      </c>
      <c r="V80" s="351">
        <f t="shared" si="47"/>
        <v>158475</v>
      </c>
      <c r="W80" s="352">
        <f t="shared" si="48"/>
        <v>158475</v>
      </c>
      <c r="X80" s="350">
        <f>'reservecalc-external'!I626</f>
        <v>3700</v>
      </c>
      <c r="Y80" s="351">
        <f t="shared" si="49"/>
        <v>162175</v>
      </c>
      <c r="Z80" s="352">
        <f t="shared" si="50"/>
        <v>162175</v>
      </c>
      <c r="AA80" s="350">
        <f>'reservecalc-external'!J626</f>
        <v>3700</v>
      </c>
      <c r="AB80" s="351">
        <f t="shared" si="51"/>
        <v>165875</v>
      </c>
    </row>
    <row r="81" spans="1:28" x14ac:dyDescent="0.25">
      <c r="A81" s="75" t="s">
        <v>4213</v>
      </c>
      <c r="B81" s="349">
        <v>668130</v>
      </c>
      <c r="C81" s="350">
        <f>'reservecalc-external'!B657</f>
        <v>30800</v>
      </c>
      <c r="D81" s="351">
        <f t="shared" si="35"/>
        <v>698930</v>
      </c>
      <c r="E81" s="352">
        <f t="shared" si="36"/>
        <v>698930</v>
      </c>
      <c r="F81" s="350">
        <f>'reservecalc-external'!C657</f>
        <v>24700</v>
      </c>
      <c r="G81" s="351">
        <f t="shared" si="37"/>
        <v>723630</v>
      </c>
      <c r="H81" s="352">
        <f t="shared" si="38"/>
        <v>723630</v>
      </c>
      <c r="I81" s="350">
        <f>'reservecalc-external'!D657</f>
        <v>20600</v>
      </c>
      <c r="J81" s="351">
        <f t="shared" si="39"/>
        <v>744230</v>
      </c>
      <c r="K81" s="352">
        <f t="shared" si="40"/>
        <v>744230</v>
      </c>
      <c r="L81" s="350">
        <f>'reservecalc-external'!E657</f>
        <v>20600</v>
      </c>
      <c r="M81" s="351">
        <f t="shared" si="41"/>
        <v>764830</v>
      </c>
      <c r="N81" s="352">
        <f t="shared" si="42"/>
        <v>764830</v>
      </c>
      <c r="O81" s="350">
        <f>'reservecalc-external'!F657</f>
        <v>20600</v>
      </c>
      <c r="P81" s="351">
        <f t="shared" si="43"/>
        <v>785430</v>
      </c>
      <c r="Q81" s="352">
        <f t="shared" si="44"/>
        <v>785430</v>
      </c>
      <c r="R81" s="350">
        <f>'reservecalc-external'!G657</f>
        <v>16400</v>
      </c>
      <c r="S81" s="351">
        <f t="shared" si="45"/>
        <v>801830</v>
      </c>
      <c r="T81" s="352">
        <f t="shared" si="46"/>
        <v>801830</v>
      </c>
      <c r="U81" s="350">
        <f>'reservecalc-external'!H657</f>
        <v>16400</v>
      </c>
      <c r="V81" s="351">
        <f t="shared" si="47"/>
        <v>818230</v>
      </c>
      <c r="W81" s="352">
        <f t="shared" si="48"/>
        <v>818230</v>
      </c>
      <c r="X81" s="350">
        <f>'reservecalc-external'!I657</f>
        <v>16400</v>
      </c>
      <c r="Y81" s="351">
        <f t="shared" si="49"/>
        <v>834630</v>
      </c>
      <c r="Z81" s="352">
        <f t="shared" si="50"/>
        <v>834630</v>
      </c>
      <c r="AA81" s="350">
        <f>'reservecalc-external'!J657</f>
        <v>16400</v>
      </c>
      <c r="AB81" s="351">
        <f t="shared" si="51"/>
        <v>851030</v>
      </c>
    </row>
    <row r="82" spans="1:28" x14ac:dyDescent="0.25">
      <c r="A82" s="75" t="s">
        <v>4214</v>
      </c>
      <c r="B82" s="349">
        <v>9776</v>
      </c>
      <c r="C82" s="350">
        <f>'reservecalc-external'!B688</f>
        <v>3600</v>
      </c>
      <c r="D82" s="351">
        <f t="shared" si="35"/>
        <v>13376</v>
      </c>
      <c r="E82" s="352">
        <f t="shared" si="36"/>
        <v>13376</v>
      </c>
      <c r="F82" s="350">
        <f>'reservecalc-external'!C688</f>
        <v>2900</v>
      </c>
      <c r="G82" s="351">
        <f t="shared" si="37"/>
        <v>16276</v>
      </c>
      <c r="H82" s="352">
        <f t="shared" si="38"/>
        <v>16276</v>
      </c>
      <c r="I82" s="350">
        <f>'reservecalc-external'!D688</f>
        <v>2400</v>
      </c>
      <c r="J82" s="351">
        <f t="shared" si="39"/>
        <v>18676</v>
      </c>
      <c r="K82" s="352">
        <f t="shared" si="40"/>
        <v>18676</v>
      </c>
      <c r="L82" s="350">
        <f>'reservecalc-external'!E688</f>
        <v>2400</v>
      </c>
      <c r="M82" s="351">
        <f t="shared" si="41"/>
        <v>21076</v>
      </c>
      <c r="N82" s="352">
        <f t="shared" si="42"/>
        <v>21076</v>
      </c>
      <c r="O82" s="350">
        <f>'reservecalc-external'!F688</f>
        <v>2400</v>
      </c>
      <c r="P82" s="351">
        <f t="shared" si="43"/>
        <v>23476</v>
      </c>
      <c r="Q82" s="352">
        <f t="shared" si="44"/>
        <v>23476</v>
      </c>
      <c r="R82" s="350">
        <f>'reservecalc-external'!G688</f>
        <v>1900</v>
      </c>
      <c r="S82" s="351">
        <f t="shared" si="45"/>
        <v>25376</v>
      </c>
      <c r="T82" s="352">
        <f t="shared" si="46"/>
        <v>25376</v>
      </c>
      <c r="U82" s="350">
        <f>'reservecalc-external'!H688</f>
        <v>1900</v>
      </c>
      <c r="V82" s="351">
        <f t="shared" si="47"/>
        <v>27276</v>
      </c>
      <c r="W82" s="352">
        <f t="shared" si="48"/>
        <v>27276</v>
      </c>
      <c r="X82" s="350">
        <f>'reservecalc-external'!I688</f>
        <v>1900</v>
      </c>
      <c r="Y82" s="351">
        <f t="shared" si="49"/>
        <v>29176</v>
      </c>
      <c r="Z82" s="352">
        <f t="shared" si="50"/>
        <v>29176</v>
      </c>
      <c r="AA82" s="350">
        <f>'reservecalc-external'!J688</f>
        <v>1900</v>
      </c>
      <c r="AB82" s="351">
        <f t="shared" si="51"/>
        <v>31076</v>
      </c>
    </row>
    <row r="83" spans="1:28" x14ac:dyDescent="0.25">
      <c r="A83" s="75" t="s">
        <v>4215</v>
      </c>
      <c r="B83" s="349">
        <v>-28060</v>
      </c>
      <c r="C83" s="350">
        <f>'reservecalc-external'!B719</f>
        <v>4500</v>
      </c>
      <c r="D83" s="351">
        <f t="shared" si="35"/>
        <v>-23560</v>
      </c>
      <c r="E83" s="352">
        <f t="shared" si="36"/>
        <v>-23560</v>
      </c>
      <c r="F83" s="350">
        <f>'reservecalc-external'!C719</f>
        <v>3600</v>
      </c>
      <c r="G83" s="351">
        <f t="shared" si="37"/>
        <v>-19960</v>
      </c>
      <c r="H83" s="352">
        <f t="shared" si="38"/>
        <v>-19960</v>
      </c>
      <c r="I83" s="350">
        <f>'reservecalc-external'!D719</f>
        <v>3000</v>
      </c>
      <c r="J83" s="351">
        <f t="shared" si="39"/>
        <v>-16960</v>
      </c>
      <c r="K83" s="352">
        <f t="shared" si="40"/>
        <v>-16960</v>
      </c>
      <c r="L83" s="350">
        <f>'reservecalc-external'!E719</f>
        <v>3000</v>
      </c>
      <c r="M83" s="351">
        <f t="shared" si="41"/>
        <v>-13960</v>
      </c>
      <c r="N83" s="352">
        <f t="shared" si="42"/>
        <v>-13960</v>
      </c>
      <c r="O83" s="350">
        <f>'reservecalc-external'!F719</f>
        <v>3000</v>
      </c>
      <c r="P83" s="351">
        <f t="shared" si="43"/>
        <v>-10960</v>
      </c>
      <c r="Q83" s="352">
        <f t="shared" si="44"/>
        <v>-10960</v>
      </c>
      <c r="R83" s="350">
        <f>'reservecalc-external'!G719</f>
        <v>2400</v>
      </c>
      <c r="S83" s="351">
        <f t="shared" si="45"/>
        <v>-8560</v>
      </c>
      <c r="T83" s="352">
        <f t="shared" si="46"/>
        <v>-8560</v>
      </c>
      <c r="U83" s="350">
        <f>'reservecalc-external'!H719</f>
        <v>2400</v>
      </c>
      <c r="V83" s="351">
        <f t="shared" si="47"/>
        <v>-6160</v>
      </c>
      <c r="W83" s="352">
        <f t="shared" si="48"/>
        <v>-6160</v>
      </c>
      <c r="X83" s="350">
        <f>'reservecalc-external'!I719</f>
        <v>2400</v>
      </c>
      <c r="Y83" s="351">
        <f t="shared" si="49"/>
        <v>-3760</v>
      </c>
      <c r="Z83" s="352">
        <f t="shared" si="50"/>
        <v>-3760</v>
      </c>
      <c r="AA83" s="350">
        <f>'reservecalc-external'!J719</f>
        <v>2400</v>
      </c>
      <c r="AB83" s="351">
        <f t="shared" si="51"/>
        <v>-1360</v>
      </c>
    </row>
    <row r="84" spans="1:28" x14ac:dyDescent="0.25">
      <c r="A84" s="75" t="s">
        <v>4216</v>
      </c>
      <c r="B84" s="349">
        <v>206653</v>
      </c>
      <c r="C84" s="350">
        <f>'reservecalc-external'!B750</f>
        <v>0</v>
      </c>
      <c r="D84" s="351">
        <f t="shared" si="35"/>
        <v>206653</v>
      </c>
      <c r="E84" s="352">
        <f t="shared" si="36"/>
        <v>206653</v>
      </c>
      <c r="F84" s="350">
        <f>'reservecalc-external'!C750</f>
        <v>0</v>
      </c>
      <c r="G84" s="351">
        <f t="shared" si="37"/>
        <v>206653</v>
      </c>
      <c r="H84" s="352">
        <f t="shared" si="38"/>
        <v>206653</v>
      </c>
      <c r="I84" s="350">
        <f>'reservecalc-external'!D750</f>
        <v>0</v>
      </c>
      <c r="J84" s="351">
        <f t="shared" si="39"/>
        <v>206653</v>
      </c>
      <c r="K84" s="352">
        <f t="shared" si="40"/>
        <v>206653</v>
      </c>
      <c r="L84" s="350">
        <f>'reservecalc-external'!E750</f>
        <v>0</v>
      </c>
      <c r="M84" s="351">
        <f t="shared" si="41"/>
        <v>206653</v>
      </c>
      <c r="N84" s="352">
        <f t="shared" si="42"/>
        <v>206653</v>
      </c>
      <c r="O84" s="350">
        <f>'reservecalc-external'!F750</f>
        <v>0</v>
      </c>
      <c r="P84" s="351">
        <f t="shared" si="43"/>
        <v>206653</v>
      </c>
      <c r="Q84" s="352">
        <f t="shared" si="44"/>
        <v>206653</v>
      </c>
      <c r="R84" s="350">
        <f>'reservecalc-external'!G750</f>
        <v>0</v>
      </c>
      <c r="S84" s="351">
        <f t="shared" si="45"/>
        <v>206653</v>
      </c>
      <c r="T84" s="352">
        <f t="shared" si="46"/>
        <v>206653</v>
      </c>
      <c r="U84" s="350">
        <f>'reservecalc-external'!H750</f>
        <v>0</v>
      </c>
      <c r="V84" s="351">
        <f t="shared" si="47"/>
        <v>206653</v>
      </c>
      <c r="W84" s="352">
        <f t="shared" si="48"/>
        <v>206653</v>
      </c>
      <c r="X84" s="350">
        <f>'reservecalc-external'!I750</f>
        <v>0</v>
      </c>
      <c r="Y84" s="351">
        <f t="shared" si="49"/>
        <v>206653</v>
      </c>
      <c r="Z84" s="352">
        <f t="shared" si="50"/>
        <v>206653</v>
      </c>
      <c r="AA84" s="350">
        <f>'reservecalc-external'!J750</f>
        <v>0</v>
      </c>
      <c r="AB84" s="351">
        <f t="shared" si="51"/>
        <v>206653</v>
      </c>
    </row>
    <row r="85" spans="1:28" x14ac:dyDescent="0.25">
      <c r="A85" s="75" t="s">
        <v>4217</v>
      </c>
      <c r="B85" s="349">
        <v>494394</v>
      </c>
      <c r="C85" s="350">
        <f>'reservecalc-external'!B781</f>
        <v>200</v>
      </c>
      <c r="D85" s="351">
        <f t="shared" si="35"/>
        <v>494594</v>
      </c>
      <c r="E85" s="352">
        <f t="shared" si="36"/>
        <v>494594</v>
      </c>
      <c r="F85" s="350">
        <f>'reservecalc-external'!C781</f>
        <v>24100</v>
      </c>
      <c r="G85" s="351">
        <f t="shared" si="37"/>
        <v>518694</v>
      </c>
      <c r="H85" s="352">
        <f t="shared" si="38"/>
        <v>518694</v>
      </c>
      <c r="I85" s="350">
        <f>'reservecalc-external'!D781</f>
        <v>20100</v>
      </c>
      <c r="J85" s="351">
        <f t="shared" si="39"/>
        <v>538794</v>
      </c>
      <c r="K85" s="352">
        <f t="shared" si="40"/>
        <v>538794</v>
      </c>
      <c r="L85" s="350">
        <f>'reservecalc-external'!E781</f>
        <v>20100</v>
      </c>
      <c r="M85" s="351">
        <f t="shared" si="41"/>
        <v>558894</v>
      </c>
      <c r="N85" s="352">
        <f t="shared" si="42"/>
        <v>558894</v>
      </c>
      <c r="O85" s="350">
        <f>'reservecalc-external'!F781</f>
        <v>20100</v>
      </c>
      <c r="P85" s="351">
        <f t="shared" si="43"/>
        <v>578994</v>
      </c>
      <c r="Q85" s="352">
        <f t="shared" si="44"/>
        <v>578994</v>
      </c>
      <c r="R85" s="350">
        <f>'reservecalc-external'!G781</f>
        <v>16000</v>
      </c>
      <c r="S85" s="351">
        <f t="shared" si="45"/>
        <v>594994</v>
      </c>
      <c r="T85" s="352">
        <f t="shared" si="46"/>
        <v>594994</v>
      </c>
      <c r="U85" s="350">
        <f>'reservecalc-external'!H781</f>
        <v>16000</v>
      </c>
      <c r="V85" s="351">
        <f t="shared" si="47"/>
        <v>610994</v>
      </c>
      <c r="W85" s="352">
        <f t="shared" si="48"/>
        <v>610994</v>
      </c>
      <c r="X85" s="350">
        <f>'reservecalc-external'!I781</f>
        <v>16000</v>
      </c>
      <c r="Y85" s="351">
        <f t="shared" si="49"/>
        <v>626994</v>
      </c>
      <c r="Z85" s="352">
        <f t="shared" si="50"/>
        <v>626994</v>
      </c>
      <c r="AA85" s="350">
        <f>'reservecalc-external'!J781</f>
        <v>16000</v>
      </c>
      <c r="AB85" s="351">
        <f t="shared" si="51"/>
        <v>642994</v>
      </c>
    </row>
    <row r="86" spans="1:28" x14ac:dyDescent="0.25">
      <c r="A86" s="75" t="s">
        <v>4218</v>
      </c>
      <c r="B86" s="349">
        <v>159052</v>
      </c>
      <c r="C86" s="350">
        <f>'reservecalc-external'!B812</f>
        <v>12300</v>
      </c>
      <c r="D86" s="351">
        <f t="shared" si="35"/>
        <v>171352</v>
      </c>
      <c r="E86" s="352">
        <f t="shared" si="36"/>
        <v>171352</v>
      </c>
      <c r="F86" s="350">
        <f>'reservecalc-external'!C812</f>
        <v>9900</v>
      </c>
      <c r="G86" s="351">
        <f t="shared" si="37"/>
        <v>181252</v>
      </c>
      <c r="H86" s="352">
        <f t="shared" si="38"/>
        <v>181252</v>
      </c>
      <c r="I86" s="350">
        <f>'reservecalc-external'!D812</f>
        <v>8200</v>
      </c>
      <c r="J86" s="351">
        <f t="shared" si="39"/>
        <v>189452</v>
      </c>
      <c r="K86" s="352">
        <f t="shared" si="40"/>
        <v>189452</v>
      </c>
      <c r="L86" s="350">
        <f>'reservecalc-external'!E812</f>
        <v>8200</v>
      </c>
      <c r="M86" s="351">
        <f t="shared" si="41"/>
        <v>197652</v>
      </c>
      <c r="N86" s="352">
        <f t="shared" si="42"/>
        <v>197652</v>
      </c>
      <c r="O86" s="350">
        <f>'reservecalc-external'!F812</f>
        <v>8200</v>
      </c>
      <c r="P86" s="351">
        <f t="shared" si="43"/>
        <v>205852</v>
      </c>
      <c r="Q86" s="352">
        <f t="shared" si="44"/>
        <v>205852</v>
      </c>
      <c r="R86" s="350">
        <f>'reservecalc-external'!G812</f>
        <v>6600</v>
      </c>
      <c r="S86" s="351">
        <f t="shared" si="45"/>
        <v>212452</v>
      </c>
      <c r="T86" s="352">
        <f t="shared" si="46"/>
        <v>212452</v>
      </c>
      <c r="U86" s="350">
        <f>'reservecalc-external'!H812</f>
        <v>6600</v>
      </c>
      <c r="V86" s="351">
        <f t="shared" si="47"/>
        <v>219052</v>
      </c>
      <c r="W86" s="352">
        <f t="shared" si="48"/>
        <v>219052</v>
      </c>
      <c r="X86" s="350">
        <f>'reservecalc-external'!I812</f>
        <v>6600</v>
      </c>
      <c r="Y86" s="351">
        <f t="shared" si="49"/>
        <v>225652</v>
      </c>
      <c r="Z86" s="352">
        <f t="shared" si="50"/>
        <v>225652</v>
      </c>
      <c r="AA86" s="350">
        <f>'reservecalc-external'!J812</f>
        <v>6600</v>
      </c>
      <c r="AB86" s="351">
        <f t="shared" si="51"/>
        <v>232252</v>
      </c>
    </row>
    <row r="87" spans="1:28" x14ac:dyDescent="0.25">
      <c r="A87" s="75" t="s">
        <v>4219</v>
      </c>
      <c r="B87" s="349">
        <v>231320</v>
      </c>
      <c r="C87" s="350">
        <f>'reservecalc-external'!B843</f>
        <v>4300</v>
      </c>
      <c r="D87" s="351">
        <f t="shared" si="35"/>
        <v>235620</v>
      </c>
      <c r="E87" s="352">
        <f t="shared" si="36"/>
        <v>235620</v>
      </c>
      <c r="F87" s="350">
        <f>'reservecalc-external'!C843</f>
        <v>3500</v>
      </c>
      <c r="G87" s="351">
        <f t="shared" si="37"/>
        <v>239120</v>
      </c>
      <c r="H87" s="352">
        <f t="shared" si="38"/>
        <v>239120</v>
      </c>
      <c r="I87" s="350">
        <f>'reservecalc-external'!D843</f>
        <v>2900</v>
      </c>
      <c r="J87" s="351">
        <f t="shared" si="39"/>
        <v>242020</v>
      </c>
      <c r="K87" s="352">
        <f t="shared" si="40"/>
        <v>242020</v>
      </c>
      <c r="L87" s="350">
        <f>'reservecalc-external'!E843</f>
        <v>2900</v>
      </c>
      <c r="M87" s="351">
        <f t="shared" si="41"/>
        <v>244920</v>
      </c>
      <c r="N87" s="352">
        <f t="shared" si="42"/>
        <v>244920</v>
      </c>
      <c r="O87" s="350">
        <f>'reservecalc-external'!F843</f>
        <v>2900</v>
      </c>
      <c r="P87" s="351">
        <f t="shared" si="43"/>
        <v>247820</v>
      </c>
      <c r="Q87" s="352">
        <f t="shared" si="44"/>
        <v>247820</v>
      </c>
      <c r="R87" s="350">
        <f>'reservecalc-external'!G843</f>
        <v>2300</v>
      </c>
      <c r="S87" s="351">
        <f t="shared" si="45"/>
        <v>250120</v>
      </c>
      <c r="T87" s="352">
        <f t="shared" si="46"/>
        <v>250120</v>
      </c>
      <c r="U87" s="350">
        <f>'reservecalc-external'!H843</f>
        <v>2300</v>
      </c>
      <c r="V87" s="351">
        <f t="shared" si="47"/>
        <v>252420</v>
      </c>
      <c r="W87" s="352">
        <f t="shared" si="48"/>
        <v>252420</v>
      </c>
      <c r="X87" s="350">
        <f>'reservecalc-external'!I843</f>
        <v>2300</v>
      </c>
      <c r="Y87" s="351">
        <f t="shared" si="49"/>
        <v>254720</v>
      </c>
      <c r="Z87" s="352">
        <f t="shared" si="50"/>
        <v>254720</v>
      </c>
      <c r="AA87" s="350">
        <f>'reservecalc-external'!J843</f>
        <v>2300</v>
      </c>
      <c r="AB87" s="351">
        <f t="shared" si="51"/>
        <v>257020</v>
      </c>
    </row>
    <row r="88" spans="1:28" x14ac:dyDescent="0.25">
      <c r="A88" s="75" t="s">
        <v>4220</v>
      </c>
      <c r="B88" s="349">
        <v>4974</v>
      </c>
      <c r="C88" s="350">
        <f>'reservecalc-external'!B874</f>
        <v>300</v>
      </c>
      <c r="D88" s="351">
        <f t="shared" si="35"/>
        <v>5274</v>
      </c>
      <c r="E88" s="352">
        <f t="shared" si="36"/>
        <v>5274</v>
      </c>
      <c r="F88" s="350">
        <f>'reservecalc-external'!C874</f>
        <v>300</v>
      </c>
      <c r="G88" s="351">
        <f t="shared" si="37"/>
        <v>5574</v>
      </c>
      <c r="H88" s="352">
        <f t="shared" si="38"/>
        <v>5574</v>
      </c>
      <c r="I88" s="350">
        <f>'reservecalc-external'!D874</f>
        <v>200</v>
      </c>
      <c r="J88" s="351">
        <f t="shared" si="39"/>
        <v>5774</v>
      </c>
      <c r="K88" s="352">
        <f t="shared" si="40"/>
        <v>5774</v>
      </c>
      <c r="L88" s="350">
        <f>'reservecalc-external'!E874</f>
        <v>200</v>
      </c>
      <c r="M88" s="351">
        <f t="shared" si="41"/>
        <v>5974</v>
      </c>
      <c r="N88" s="352">
        <f t="shared" si="42"/>
        <v>5974</v>
      </c>
      <c r="O88" s="350">
        <f>'reservecalc-external'!F874</f>
        <v>200</v>
      </c>
      <c r="P88" s="351">
        <f t="shared" si="43"/>
        <v>6174</v>
      </c>
      <c r="Q88" s="352">
        <f t="shared" si="44"/>
        <v>6174</v>
      </c>
      <c r="R88" s="350">
        <f>'reservecalc-external'!G874</f>
        <v>200</v>
      </c>
      <c r="S88" s="351">
        <f t="shared" si="45"/>
        <v>6374</v>
      </c>
      <c r="T88" s="352">
        <f t="shared" si="46"/>
        <v>6374</v>
      </c>
      <c r="U88" s="350">
        <f>'reservecalc-external'!H874</f>
        <v>200</v>
      </c>
      <c r="V88" s="351">
        <f t="shared" si="47"/>
        <v>6574</v>
      </c>
      <c r="W88" s="352">
        <f t="shared" si="48"/>
        <v>6574</v>
      </c>
      <c r="X88" s="350">
        <f>'reservecalc-external'!I874</f>
        <v>200</v>
      </c>
      <c r="Y88" s="351">
        <f t="shared" si="49"/>
        <v>6774</v>
      </c>
      <c r="Z88" s="352">
        <f t="shared" si="50"/>
        <v>6774</v>
      </c>
      <c r="AA88" s="350">
        <f>'reservecalc-external'!J874</f>
        <v>200</v>
      </c>
      <c r="AB88" s="351">
        <f t="shared" si="51"/>
        <v>6974</v>
      </c>
    </row>
    <row r="89" spans="1:28" x14ac:dyDescent="0.25">
      <c r="A89" s="75" t="s">
        <v>4221</v>
      </c>
      <c r="B89" s="349">
        <v>146945</v>
      </c>
      <c r="C89" s="350">
        <f>'reservecalc-external'!B905</f>
        <v>4400</v>
      </c>
      <c r="D89" s="351">
        <f t="shared" si="35"/>
        <v>151345</v>
      </c>
      <c r="E89" s="352">
        <f t="shared" si="36"/>
        <v>151345</v>
      </c>
      <c r="F89" s="350">
        <f>'reservecalc-external'!C905</f>
        <v>3500</v>
      </c>
      <c r="G89" s="351">
        <f t="shared" si="37"/>
        <v>154845</v>
      </c>
      <c r="H89" s="352">
        <f t="shared" si="38"/>
        <v>154845</v>
      </c>
      <c r="I89" s="350">
        <f>'reservecalc-external'!D905</f>
        <v>2900</v>
      </c>
      <c r="J89" s="351">
        <f t="shared" si="39"/>
        <v>157745</v>
      </c>
      <c r="K89" s="352">
        <f t="shared" si="40"/>
        <v>157745</v>
      </c>
      <c r="L89" s="350">
        <f>'reservecalc-external'!E905</f>
        <v>2900</v>
      </c>
      <c r="M89" s="351">
        <f t="shared" si="41"/>
        <v>160645</v>
      </c>
      <c r="N89" s="352">
        <f t="shared" si="42"/>
        <v>160645</v>
      </c>
      <c r="O89" s="350">
        <f>'reservecalc-external'!F905</f>
        <v>2900</v>
      </c>
      <c r="P89" s="351">
        <f t="shared" si="43"/>
        <v>163545</v>
      </c>
      <c r="Q89" s="352">
        <f t="shared" si="44"/>
        <v>163545</v>
      </c>
      <c r="R89" s="350">
        <f>'reservecalc-external'!G905</f>
        <v>2400</v>
      </c>
      <c r="S89" s="351">
        <f t="shared" si="45"/>
        <v>165945</v>
      </c>
      <c r="T89" s="352">
        <f t="shared" si="46"/>
        <v>165945</v>
      </c>
      <c r="U89" s="350">
        <f>'reservecalc-external'!H905</f>
        <v>2400</v>
      </c>
      <c r="V89" s="351">
        <f t="shared" si="47"/>
        <v>168345</v>
      </c>
      <c r="W89" s="352">
        <f t="shared" si="48"/>
        <v>168345</v>
      </c>
      <c r="X89" s="350">
        <f>'reservecalc-external'!I905</f>
        <v>2400</v>
      </c>
      <c r="Y89" s="351">
        <f t="shared" si="49"/>
        <v>170745</v>
      </c>
      <c r="Z89" s="352">
        <f t="shared" si="50"/>
        <v>170745</v>
      </c>
      <c r="AA89" s="350">
        <f>'reservecalc-external'!J905</f>
        <v>2400</v>
      </c>
      <c r="AB89" s="351">
        <f t="shared" si="51"/>
        <v>173145</v>
      </c>
    </row>
    <row r="90" spans="1:28" x14ac:dyDescent="0.25">
      <c r="A90" s="75" t="s">
        <v>4222</v>
      </c>
      <c r="B90" s="349">
        <v>13558</v>
      </c>
      <c r="C90" s="350">
        <f>'reservecalc-external'!B936</f>
        <v>800</v>
      </c>
      <c r="D90" s="351">
        <f t="shared" si="35"/>
        <v>14358</v>
      </c>
      <c r="E90" s="352">
        <f t="shared" si="36"/>
        <v>14358</v>
      </c>
      <c r="F90" s="350">
        <f>'reservecalc-external'!C936</f>
        <v>600</v>
      </c>
      <c r="G90" s="351">
        <f t="shared" si="37"/>
        <v>14958</v>
      </c>
      <c r="H90" s="352">
        <f t="shared" si="38"/>
        <v>14958</v>
      </c>
      <c r="I90" s="350">
        <f>'reservecalc-external'!D936</f>
        <v>500</v>
      </c>
      <c r="J90" s="351">
        <f t="shared" si="39"/>
        <v>15458</v>
      </c>
      <c r="K90" s="352">
        <f t="shared" si="40"/>
        <v>15458</v>
      </c>
      <c r="L90" s="350">
        <f>'reservecalc-external'!E936</f>
        <v>500</v>
      </c>
      <c r="M90" s="351">
        <f t="shared" si="41"/>
        <v>15958</v>
      </c>
      <c r="N90" s="352">
        <f t="shared" si="42"/>
        <v>15958</v>
      </c>
      <c r="O90" s="350">
        <f>'reservecalc-external'!F936</f>
        <v>500</v>
      </c>
      <c r="P90" s="351">
        <f t="shared" si="43"/>
        <v>16458</v>
      </c>
      <c r="Q90" s="352">
        <f t="shared" si="44"/>
        <v>16458</v>
      </c>
      <c r="R90" s="350">
        <f>'reservecalc-external'!G936</f>
        <v>400</v>
      </c>
      <c r="S90" s="351">
        <f t="shared" si="45"/>
        <v>16858</v>
      </c>
      <c r="T90" s="352">
        <f t="shared" si="46"/>
        <v>16858</v>
      </c>
      <c r="U90" s="350">
        <f>'reservecalc-external'!H936</f>
        <v>400</v>
      </c>
      <c r="V90" s="351">
        <f t="shared" si="47"/>
        <v>17258</v>
      </c>
      <c r="W90" s="352">
        <f t="shared" si="48"/>
        <v>17258</v>
      </c>
      <c r="X90" s="350">
        <f>'reservecalc-external'!I936</f>
        <v>400</v>
      </c>
      <c r="Y90" s="351">
        <f t="shared" si="49"/>
        <v>17658</v>
      </c>
      <c r="Z90" s="352">
        <f t="shared" si="50"/>
        <v>17658</v>
      </c>
      <c r="AA90" s="350">
        <f>'reservecalc-external'!J936</f>
        <v>400</v>
      </c>
      <c r="AB90" s="351">
        <f t="shared" si="51"/>
        <v>18058</v>
      </c>
    </row>
    <row r="91" spans="1:28" x14ac:dyDescent="0.25">
      <c r="A91" s="75" t="s">
        <v>4223</v>
      </c>
      <c r="B91" s="349">
        <v>92360</v>
      </c>
      <c r="C91" s="350">
        <f>'reservecalc-external'!B967</f>
        <v>6100</v>
      </c>
      <c r="D91" s="351">
        <f t="shared" si="35"/>
        <v>98460</v>
      </c>
      <c r="E91" s="352">
        <f t="shared" si="36"/>
        <v>98460</v>
      </c>
      <c r="F91" s="350">
        <f>'reservecalc-external'!C967</f>
        <v>4900</v>
      </c>
      <c r="G91" s="351">
        <f t="shared" si="37"/>
        <v>103360</v>
      </c>
      <c r="H91" s="352">
        <f t="shared" si="38"/>
        <v>103360</v>
      </c>
      <c r="I91" s="350">
        <f>'reservecalc-external'!D967</f>
        <v>4100</v>
      </c>
      <c r="J91" s="351">
        <f t="shared" si="39"/>
        <v>107460</v>
      </c>
      <c r="K91" s="352">
        <f t="shared" si="40"/>
        <v>107460</v>
      </c>
      <c r="L91" s="350">
        <f>'reservecalc-external'!E967</f>
        <v>4100</v>
      </c>
      <c r="M91" s="351">
        <f t="shared" si="41"/>
        <v>111560</v>
      </c>
      <c r="N91" s="352">
        <f t="shared" si="42"/>
        <v>111560</v>
      </c>
      <c r="O91" s="350">
        <f>'reservecalc-external'!F967</f>
        <v>4100</v>
      </c>
      <c r="P91" s="351">
        <f t="shared" si="43"/>
        <v>115660</v>
      </c>
      <c r="Q91" s="352">
        <f t="shared" si="44"/>
        <v>115660</v>
      </c>
      <c r="R91" s="350">
        <f>'reservecalc-external'!G967</f>
        <v>3200</v>
      </c>
      <c r="S91" s="351">
        <f t="shared" si="45"/>
        <v>118860</v>
      </c>
      <c r="T91" s="352">
        <f t="shared" si="46"/>
        <v>118860</v>
      </c>
      <c r="U91" s="350">
        <f>'reservecalc-external'!H967</f>
        <v>3200</v>
      </c>
      <c r="V91" s="351">
        <f t="shared" si="47"/>
        <v>122060</v>
      </c>
      <c r="W91" s="352">
        <f t="shared" si="48"/>
        <v>122060</v>
      </c>
      <c r="X91" s="350">
        <f>'reservecalc-external'!I967</f>
        <v>3200</v>
      </c>
      <c r="Y91" s="351">
        <f t="shared" si="49"/>
        <v>125260</v>
      </c>
      <c r="Z91" s="352">
        <f t="shared" si="50"/>
        <v>125260</v>
      </c>
      <c r="AA91" s="350">
        <f>'reservecalc-external'!J967</f>
        <v>3200</v>
      </c>
      <c r="AB91" s="351">
        <f t="shared" si="51"/>
        <v>128460</v>
      </c>
    </row>
    <row r="92" spans="1:28" x14ac:dyDescent="0.25">
      <c r="A92" s="75" t="s">
        <v>4224</v>
      </c>
      <c r="B92" s="349">
        <v>105233</v>
      </c>
      <c r="C92" s="350">
        <f>'reservecalc-external'!B998</f>
        <v>1000</v>
      </c>
      <c r="D92" s="351">
        <f t="shared" si="35"/>
        <v>106233</v>
      </c>
      <c r="E92" s="352">
        <f t="shared" si="36"/>
        <v>106233</v>
      </c>
      <c r="F92" s="350">
        <f>'reservecalc-external'!C998</f>
        <v>800</v>
      </c>
      <c r="G92" s="351">
        <f t="shared" si="37"/>
        <v>107033</v>
      </c>
      <c r="H92" s="352">
        <f t="shared" si="38"/>
        <v>107033</v>
      </c>
      <c r="I92" s="350">
        <f>'reservecalc-external'!D998</f>
        <v>700</v>
      </c>
      <c r="J92" s="351">
        <f t="shared" si="39"/>
        <v>107733</v>
      </c>
      <c r="K92" s="352">
        <f t="shared" si="40"/>
        <v>107733</v>
      </c>
      <c r="L92" s="350">
        <f>'reservecalc-external'!E998</f>
        <v>700</v>
      </c>
      <c r="M92" s="351">
        <f t="shared" si="41"/>
        <v>108433</v>
      </c>
      <c r="N92" s="352">
        <f t="shared" si="42"/>
        <v>108433</v>
      </c>
      <c r="O92" s="350">
        <f>'reservecalc-external'!F998</f>
        <v>700</v>
      </c>
      <c r="P92" s="351">
        <f t="shared" si="43"/>
        <v>109133</v>
      </c>
      <c r="Q92" s="352">
        <f t="shared" si="44"/>
        <v>109133</v>
      </c>
      <c r="R92" s="350">
        <f>'reservecalc-external'!G998</f>
        <v>500</v>
      </c>
      <c r="S92" s="351">
        <f t="shared" si="45"/>
        <v>109633</v>
      </c>
      <c r="T92" s="352">
        <f t="shared" si="46"/>
        <v>109633</v>
      </c>
      <c r="U92" s="350">
        <f>'reservecalc-external'!H998</f>
        <v>500</v>
      </c>
      <c r="V92" s="351">
        <f t="shared" si="47"/>
        <v>110133</v>
      </c>
      <c r="W92" s="352">
        <f t="shared" si="48"/>
        <v>110133</v>
      </c>
      <c r="X92" s="350">
        <f>'reservecalc-external'!I998</f>
        <v>500</v>
      </c>
      <c r="Y92" s="351">
        <f t="shared" si="49"/>
        <v>110633</v>
      </c>
      <c r="Z92" s="352">
        <f t="shared" si="50"/>
        <v>110633</v>
      </c>
      <c r="AA92" s="350">
        <f>'reservecalc-external'!J998</f>
        <v>500</v>
      </c>
      <c r="AB92" s="351">
        <f t="shared" si="51"/>
        <v>111133</v>
      </c>
    </row>
    <row r="93" spans="1:28" x14ac:dyDescent="0.25">
      <c r="A93" s="75" t="s">
        <v>4225</v>
      </c>
      <c r="B93" s="349">
        <v>1688144</v>
      </c>
      <c r="C93" s="350">
        <f>'reservecalc-external'!B1029</f>
        <v>503200</v>
      </c>
      <c r="D93" s="351">
        <f t="shared" si="35"/>
        <v>2191344</v>
      </c>
      <c r="E93" s="352">
        <f t="shared" si="36"/>
        <v>2191344</v>
      </c>
      <c r="F93" s="350">
        <f>'reservecalc-external'!C1029</f>
        <v>454000</v>
      </c>
      <c r="G93" s="351">
        <f t="shared" si="37"/>
        <v>2645344</v>
      </c>
      <c r="H93" s="352">
        <f t="shared" si="38"/>
        <v>2645344</v>
      </c>
      <c r="I93" s="350">
        <f>'reservecalc-external'!D1029</f>
        <v>472000</v>
      </c>
      <c r="J93" s="351">
        <f t="shared" si="39"/>
        <v>3117344</v>
      </c>
      <c r="K93" s="352">
        <f t="shared" si="40"/>
        <v>3117344</v>
      </c>
      <c r="L93" s="350">
        <f>'reservecalc-external'!E1029</f>
        <v>482800</v>
      </c>
      <c r="M93" s="351">
        <f t="shared" si="41"/>
        <v>3600144</v>
      </c>
      <c r="N93" s="352">
        <f t="shared" si="42"/>
        <v>3600144</v>
      </c>
      <c r="O93" s="350">
        <f>'reservecalc-external'!F1029</f>
        <v>495100</v>
      </c>
      <c r="P93" s="351">
        <f t="shared" si="43"/>
        <v>4095244</v>
      </c>
      <c r="Q93" s="352">
        <f t="shared" si="44"/>
        <v>4095244</v>
      </c>
      <c r="R93" s="350">
        <f>'reservecalc-external'!G1029</f>
        <v>490200</v>
      </c>
      <c r="S93" s="351">
        <f t="shared" si="45"/>
        <v>4585444</v>
      </c>
      <c r="T93" s="352">
        <f t="shared" si="46"/>
        <v>4585444</v>
      </c>
      <c r="U93" s="350">
        <f>'reservecalc-external'!H1029</f>
        <v>522200</v>
      </c>
      <c r="V93" s="351">
        <f t="shared" si="47"/>
        <v>5107644</v>
      </c>
      <c r="W93" s="352">
        <f t="shared" si="48"/>
        <v>5107644</v>
      </c>
      <c r="X93" s="350">
        <f>'reservecalc-external'!I1029</f>
        <v>560400</v>
      </c>
      <c r="Y93" s="351">
        <f t="shared" si="49"/>
        <v>5668044</v>
      </c>
      <c r="Z93" s="352">
        <f t="shared" si="50"/>
        <v>5668044</v>
      </c>
      <c r="AA93" s="350">
        <f>'reservecalc-external'!J1029</f>
        <v>642700</v>
      </c>
      <c r="AB93" s="351">
        <f t="shared" si="51"/>
        <v>6310744</v>
      </c>
    </row>
    <row r="94" spans="1:28" x14ac:dyDescent="0.25">
      <c r="A94" s="75" t="s">
        <v>4226</v>
      </c>
      <c r="B94" s="349">
        <v>588370</v>
      </c>
      <c r="C94" s="350">
        <f>'reservecalc-external'!B1060</f>
        <v>71600</v>
      </c>
      <c r="D94" s="351">
        <f t="shared" si="35"/>
        <v>659970</v>
      </c>
      <c r="E94" s="352">
        <f t="shared" si="36"/>
        <v>659970</v>
      </c>
      <c r="F94" s="350">
        <f>'reservecalc-external'!C1060</f>
        <v>57300</v>
      </c>
      <c r="G94" s="351">
        <f t="shared" si="37"/>
        <v>717270</v>
      </c>
      <c r="H94" s="352">
        <f t="shared" si="38"/>
        <v>717270</v>
      </c>
      <c r="I94" s="350">
        <f>'reservecalc-external'!D1060</f>
        <v>47700</v>
      </c>
      <c r="J94" s="351">
        <f t="shared" si="39"/>
        <v>764970</v>
      </c>
      <c r="K94" s="352">
        <f t="shared" si="40"/>
        <v>764970</v>
      </c>
      <c r="L94" s="350">
        <f>'reservecalc-external'!E1060</f>
        <v>47700</v>
      </c>
      <c r="M94" s="351">
        <f t="shared" si="41"/>
        <v>812670</v>
      </c>
      <c r="N94" s="352">
        <f t="shared" si="42"/>
        <v>812670</v>
      </c>
      <c r="O94" s="350">
        <f>'reservecalc-external'!F1060</f>
        <v>47700</v>
      </c>
      <c r="P94" s="351">
        <f t="shared" si="43"/>
        <v>860370</v>
      </c>
      <c r="Q94" s="352">
        <f t="shared" si="44"/>
        <v>860370</v>
      </c>
      <c r="R94" s="350">
        <f>'reservecalc-external'!G1060</f>
        <v>38200</v>
      </c>
      <c r="S94" s="351">
        <f t="shared" si="45"/>
        <v>898570</v>
      </c>
      <c r="T94" s="352">
        <f t="shared" si="46"/>
        <v>898570</v>
      </c>
      <c r="U94" s="350">
        <f>'reservecalc-external'!H1060</f>
        <v>38200</v>
      </c>
      <c r="V94" s="351">
        <f t="shared" si="47"/>
        <v>936770</v>
      </c>
      <c r="W94" s="352">
        <f t="shared" si="48"/>
        <v>936770</v>
      </c>
      <c r="X94" s="350">
        <f>'reservecalc-external'!I1060</f>
        <v>38200</v>
      </c>
      <c r="Y94" s="351">
        <f t="shared" si="49"/>
        <v>974970</v>
      </c>
      <c r="Z94" s="352">
        <f t="shared" si="50"/>
        <v>974970</v>
      </c>
      <c r="AA94" s="350">
        <f>'reservecalc-external'!J1060</f>
        <v>38200</v>
      </c>
      <c r="AB94" s="351">
        <f t="shared" si="51"/>
        <v>1013170</v>
      </c>
    </row>
    <row r="95" spans="1:28" x14ac:dyDescent="0.25">
      <c r="A95" s="75" t="s">
        <v>4227</v>
      </c>
      <c r="B95" s="349">
        <v>1196304</v>
      </c>
      <c r="C95" s="350">
        <f>'reservecalc-external'!B1091</f>
        <v>-376900</v>
      </c>
      <c r="D95" s="351">
        <f t="shared" si="35"/>
        <v>819404</v>
      </c>
      <c r="E95" s="352">
        <f t="shared" si="36"/>
        <v>819404</v>
      </c>
      <c r="F95" s="350">
        <f>'reservecalc-external'!C1091</f>
        <v>51400</v>
      </c>
      <c r="G95" s="351">
        <f t="shared" si="37"/>
        <v>870804</v>
      </c>
      <c r="H95" s="352">
        <f t="shared" si="38"/>
        <v>870804</v>
      </c>
      <c r="I95" s="350">
        <f>'reservecalc-external'!D1091</f>
        <v>42800</v>
      </c>
      <c r="J95" s="351">
        <f t="shared" si="39"/>
        <v>913604</v>
      </c>
      <c r="K95" s="352">
        <f t="shared" si="40"/>
        <v>913604</v>
      </c>
      <c r="L95" s="350">
        <f>'reservecalc-external'!E1091</f>
        <v>42800</v>
      </c>
      <c r="M95" s="351">
        <f t="shared" si="41"/>
        <v>956404</v>
      </c>
      <c r="N95" s="352">
        <f t="shared" si="42"/>
        <v>956404</v>
      </c>
      <c r="O95" s="350">
        <f>'reservecalc-external'!F1091</f>
        <v>42800</v>
      </c>
      <c r="P95" s="351">
        <f t="shared" si="43"/>
        <v>999204</v>
      </c>
      <c r="Q95" s="352">
        <f t="shared" si="44"/>
        <v>999204</v>
      </c>
      <c r="R95" s="350">
        <f>'reservecalc-external'!G1091</f>
        <v>34300</v>
      </c>
      <c r="S95" s="351">
        <f t="shared" si="45"/>
        <v>1033504</v>
      </c>
      <c r="T95" s="352">
        <f t="shared" si="46"/>
        <v>1033504</v>
      </c>
      <c r="U95" s="350">
        <f>'reservecalc-external'!H1091</f>
        <v>34300</v>
      </c>
      <c r="V95" s="351">
        <f t="shared" si="47"/>
        <v>1067804</v>
      </c>
      <c r="W95" s="352">
        <f t="shared" si="48"/>
        <v>1067804</v>
      </c>
      <c r="X95" s="350">
        <f>'reservecalc-external'!I1091</f>
        <v>34300</v>
      </c>
      <c r="Y95" s="351">
        <f t="shared" si="49"/>
        <v>1102104</v>
      </c>
      <c r="Z95" s="352">
        <f t="shared" si="50"/>
        <v>1102104</v>
      </c>
      <c r="AA95" s="350">
        <f>'reservecalc-external'!J1091</f>
        <v>34300</v>
      </c>
      <c r="AB95" s="351">
        <f t="shared" si="51"/>
        <v>1136404</v>
      </c>
    </row>
    <row r="96" spans="1:28" x14ac:dyDescent="0.25">
      <c r="A96" s="75" t="s">
        <v>4228</v>
      </c>
      <c r="B96" s="349">
        <v>119898</v>
      </c>
      <c r="C96" s="350">
        <f>'reservecalc-external'!B1122</f>
        <v>7300</v>
      </c>
      <c r="D96" s="351">
        <f t="shared" si="35"/>
        <v>127198</v>
      </c>
      <c r="E96" s="352">
        <f t="shared" si="36"/>
        <v>127198</v>
      </c>
      <c r="F96" s="350">
        <f>'reservecalc-external'!C1122</f>
        <v>5800</v>
      </c>
      <c r="G96" s="351">
        <f t="shared" si="37"/>
        <v>132998</v>
      </c>
      <c r="H96" s="352">
        <f t="shared" si="38"/>
        <v>132998</v>
      </c>
      <c r="I96" s="350">
        <f>'reservecalc-external'!D1122</f>
        <v>4800</v>
      </c>
      <c r="J96" s="351">
        <f t="shared" si="39"/>
        <v>137798</v>
      </c>
      <c r="K96" s="352">
        <f t="shared" si="40"/>
        <v>137798</v>
      </c>
      <c r="L96" s="350">
        <f>'reservecalc-external'!E1122</f>
        <v>4800</v>
      </c>
      <c r="M96" s="351">
        <f t="shared" si="41"/>
        <v>142598</v>
      </c>
      <c r="N96" s="352">
        <f t="shared" si="42"/>
        <v>142598</v>
      </c>
      <c r="O96" s="350">
        <f>'reservecalc-external'!F1122</f>
        <v>4800</v>
      </c>
      <c r="P96" s="351">
        <f t="shared" si="43"/>
        <v>147398</v>
      </c>
      <c r="Q96" s="352">
        <f t="shared" si="44"/>
        <v>147398</v>
      </c>
      <c r="R96" s="350">
        <f>'reservecalc-external'!G1122</f>
        <v>3900</v>
      </c>
      <c r="S96" s="351">
        <f t="shared" si="45"/>
        <v>151298</v>
      </c>
      <c r="T96" s="352">
        <f t="shared" si="46"/>
        <v>151298</v>
      </c>
      <c r="U96" s="350">
        <f>'reservecalc-external'!H1122</f>
        <v>3900</v>
      </c>
      <c r="V96" s="351">
        <f t="shared" si="47"/>
        <v>155198</v>
      </c>
      <c r="W96" s="352">
        <f t="shared" si="48"/>
        <v>155198</v>
      </c>
      <c r="X96" s="350">
        <f>'reservecalc-external'!I1122</f>
        <v>3900</v>
      </c>
      <c r="Y96" s="351">
        <f t="shared" si="49"/>
        <v>159098</v>
      </c>
      <c r="Z96" s="352">
        <f t="shared" si="50"/>
        <v>159098</v>
      </c>
      <c r="AA96" s="350">
        <f>'reservecalc-external'!J1122</f>
        <v>3900</v>
      </c>
      <c r="AB96" s="351">
        <f t="shared" si="51"/>
        <v>162998</v>
      </c>
    </row>
    <row r="97" spans="1:28" x14ac:dyDescent="0.25">
      <c r="A97" s="75" t="s">
        <v>4229</v>
      </c>
      <c r="B97" s="349">
        <v>111732</v>
      </c>
      <c r="C97" s="350">
        <f>'reservecalc-external'!B1153</f>
        <v>55900</v>
      </c>
      <c r="D97" s="351">
        <f t="shared" si="35"/>
        <v>167632</v>
      </c>
      <c r="E97" s="352">
        <f t="shared" si="36"/>
        <v>167632</v>
      </c>
      <c r="F97" s="350">
        <f>'reservecalc-external'!C1153</f>
        <v>44700</v>
      </c>
      <c r="G97" s="351">
        <f t="shared" si="37"/>
        <v>212332</v>
      </c>
      <c r="H97" s="352">
        <f t="shared" si="38"/>
        <v>212332</v>
      </c>
      <c r="I97" s="350">
        <f>'reservecalc-external'!D1153</f>
        <v>37300</v>
      </c>
      <c r="J97" s="351">
        <f t="shared" si="39"/>
        <v>249632</v>
      </c>
      <c r="K97" s="352">
        <f t="shared" si="40"/>
        <v>249632</v>
      </c>
      <c r="L97" s="350">
        <f>'reservecalc-external'!E1153</f>
        <v>37300</v>
      </c>
      <c r="M97" s="351">
        <f t="shared" si="41"/>
        <v>286932</v>
      </c>
      <c r="N97" s="352">
        <f t="shared" si="42"/>
        <v>286932</v>
      </c>
      <c r="O97" s="350">
        <f>'reservecalc-external'!F1153</f>
        <v>37300</v>
      </c>
      <c r="P97" s="351">
        <f t="shared" si="43"/>
        <v>324232</v>
      </c>
      <c r="Q97" s="352">
        <f t="shared" si="44"/>
        <v>324232</v>
      </c>
      <c r="R97" s="350">
        <f>'reservecalc-external'!G1153</f>
        <v>29800</v>
      </c>
      <c r="S97" s="351">
        <f t="shared" si="45"/>
        <v>354032</v>
      </c>
      <c r="T97" s="352">
        <f t="shared" si="46"/>
        <v>354032</v>
      </c>
      <c r="U97" s="350">
        <f>'reservecalc-external'!H1153</f>
        <v>29800</v>
      </c>
      <c r="V97" s="351">
        <f t="shared" si="47"/>
        <v>383832</v>
      </c>
      <c r="W97" s="352">
        <f t="shared" si="48"/>
        <v>383832</v>
      </c>
      <c r="X97" s="350">
        <f>'reservecalc-external'!I1153</f>
        <v>29800</v>
      </c>
      <c r="Y97" s="351">
        <f t="shared" si="49"/>
        <v>413632</v>
      </c>
      <c r="Z97" s="352">
        <f t="shared" si="50"/>
        <v>413632</v>
      </c>
      <c r="AA97" s="350">
        <f>'reservecalc-external'!J1153</f>
        <v>29800</v>
      </c>
      <c r="AB97" s="351">
        <f t="shared" si="51"/>
        <v>443432</v>
      </c>
    </row>
    <row r="98" spans="1:28" x14ac:dyDescent="0.25">
      <c r="A98" s="75" t="s">
        <v>4230</v>
      </c>
      <c r="B98" s="349">
        <v>480205</v>
      </c>
      <c r="C98" s="350">
        <f>'reservecalc-external'!B1184</f>
        <v>31800</v>
      </c>
      <c r="D98" s="351">
        <f t="shared" si="35"/>
        <v>512005</v>
      </c>
      <c r="E98" s="352">
        <f t="shared" si="36"/>
        <v>512005</v>
      </c>
      <c r="F98" s="350">
        <f>'reservecalc-external'!C1184</f>
        <v>25500</v>
      </c>
      <c r="G98" s="351">
        <f t="shared" si="37"/>
        <v>537505</v>
      </c>
      <c r="H98" s="352">
        <f t="shared" si="38"/>
        <v>537505</v>
      </c>
      <c r="I98" s="350">
        <f>'reservecalc-external'!D1184</f>
        <v>21200</v>
      </c>
      <c r="J98" s="351">
        <f t="shared" si="39"/>
        <v>558705</v>
      </c>
      <c r="K98" s="352">
        <f t="shared" si="40"/>
        <v>558705</v>
      </c>
      <c r="L98" s="350">
        <f>'reservecalc-external'!E1184</f>
        <v>21200</v>
      </c>
      <c r="M98" s="351">
        <f t="shared" si="41"/>
        <v>579905</v>
      </c>
      <c r="N98" s="352">
        <f t="shared" si="42"/>
        <v>579905</v>
      </c>
      <c r="O98" s="350">
        <f>'reservecalc-external'!F1184</f>
        <v>21200</v>
      </c>
      <c r="P98" s="351">
        <f t="shared" si="43"/>
        <v>601105</v>
      </c>
      <c r="Q98" s="352">
        <f t="shared" si="44"/>
        <v>601105</v>
      </c>
      <c r="R98" s="350">
        <f>'reservecalc-external'!G1184</f>
        <v>17000</v>
      </c>
      <c r="S98" s="351">
        <f t="shared" si="45"/>
        <v>618105</v>
      </c>
      <c r="T98" s="352">
        <f t="shared" si="46"/>
        <v>618105</v>
      </c>
      <c r="U98" s="350">
        <f>'reservecalc-external'!H1184</f>
        <v>17000</v>
      </c>
      <c r="V98" s="351">
        <f t="shared" si="47"/>
        <v>635105</v>
      </c>
      <c r="W98" s="352">
        <f t="shared" si="48"/>
        <v>635105</v>
      </c>
      <c r="X98" s="350">
        <f>'reservecalc-external'!I1184</f>
        <v>17000</v>
      </c>
      <c r="Y98" s="351">
        <f t="shared" si="49"/>
        <v>652105</v>
      </c>
      <c r="Z98" s="352">
        <f t="shared" si="50"/>
        <v>652105</v>
      </c>
      <c r="AA98" s="350">
        <f>'reservecalc-external'!J1184</f>
        <v>17000</v>
      </c>
      <c r="AB98" s="351">
        <f t="shared" si="51"/>
        <v>669105</v>
      </c>
    </row>
    <row r="99" spans="1:28" x14ac:dyDescent="0.25">
      <c r="A99" s="75" t="s">
        <v>4231</v>
      </c>
      <c r="B99" s="349">
        <v>-204700</v>
      </c>
      <c r="C99" s="350">
        <f>'reservecalc-external'!B1215</f>
        <v>0</v>
      </c>
      <c r="D99" s="351">
        <f t="shared" si="35"/>
        <v>-204700</v>
      </c>
      <c r="E99" s="352">
        <f t="shared" si="36"/>
        <v>-204700</v>
      </c>
      <c r="F99" s="350">
        <f>'reservecalc-external'!C1215</f>
        <v>0</v>
      </c>
      <c r="G99" s="351">
        <f t="shared" si="37"/>
        <v>-204700</v>
      </c>
      <c r="H99" s="352">
        <f t="shared" si="38"/>
        <v>-204700</v>
      </c>
      <c r="I99" s="350">
        <f>'reservecalc-external'!D1215</f>
        <v>0</v>
      </c>
      <c r="J99" s="351">
        <f t="shared" si="39"/>
        <v>-204700</v>
      </c>
      <c r="K99" s="352">
        <f t="shared" si="40"/>
        <v>-204700</v>
      </c>
      <c r="L99" s="350">
        <f>'reservecalc-external'!E1215</f>
        <v>0</v>
      </c>
      <c r="M99" s="351">
        <f t="shared" si="41"/>
        <v>-204700</v>
      </c>
      <c r="N99" s="352">
        <f t="shared" si="42"/>
        <v>-204700</v>
      </c>
      <c r="O99" s="350">
        <f>'reservecalc-external'!F1215</f>
        <v>0</v>
      </c>
      <c r="P99" s="351">
        <f t="shared" si="43"/>
        <v>-204700</v>
      </c>
      <c r="Q99" s="352">
        <f t="shared" si="44"/>
        <v>-204700</v>
      </c>
      <c r="R99" s="350">
        <f>'reservecalc-external'!G1215</f>
        <v>0</v>
      </c>
      <c r="S99" s="351">
        <f t="shared" si="45"/>
        <v>-204700</v>
      </c>
      <c r="T99" s="352">
        <f t="shared" si="46"/>
        <v>-204700</v>
      </c>
      <c r="U99" s="350">
        <f>'reservecalc-external'!H1215</f>
        <v>0</v>
      </c>
      <c r="V99" s="351">
        <f t="shared" si="47"/>
        <v>-204700</v>
      </c>
      <c r="W99" s="352">
        <f t="shared" si="48"/>
        <v>-204700</v>
      </c>
      <c r="X99" s="350">
        <f>'reservecalc-external'!I1215</f>
        <v>0</v>
      </c>
      <c r="Y99" s="351">
        <f t="shared" si="49"/>
        <v>-204700</v>
      </c>
      <c r="Z99" s="352">
        <f t="shared" si="50"/>
        <v>-204700</v>
      </c>
      <c r="AA99" s="350">
        <f>'reservecalc-external'!J1215</f>
        <v>0</v>
      </c>
      <c r="AB99" s="351">
        <f t="shared" si="51"/>
        <v>-204700</v>
      </c>
    </row>
    <row r="100" spans="1:28" x14ac:dyDescent="0.25">
      <c r="A100" s="75" t="s">
        <v>4232</v>
      </c>
      <c r="B100" s="349">
        <v>80671</v>
      </c>
      <c r="C100" s="350">
        <f>'reservecalc-external'!B1246</f>
        <v>2900</v>
      </c>
      <c r="D100" s="351">
        <f t="shared" si="35"/>
        <v>83571</v>
      </c>
      <c r="E100" s="352">
        <f t="shared" si="36"/>
        <v>83571</v>
      </c>
      <c r="F100" s="350">
        <f>'reservecalc-external'!C1246</f>
        <v>2300</v>
      </c>
      <c r="G100" s="351">
        <f t="shared" si="37"/>
        <v>85871</v>
      </c>
      <c r="H100" s="352">
        <f t="shared" si="38"/>
        <v>85871</v>
      </c>
      <c r="I100" s="350">
        <f>'reservecalc-external'!D1246</f>
        <v>1900</v>
      </c>
      <c r="J100" s="351">
        <f t="shared" si="39"/>
        <v>87771</v>
      </c>
      <c r="K100" s="352">
        <f t="shared" si="40"/>
        <v>87771</v>
      </c>
      <c r="L100" s="350">
        <f>'reservecalc-external'!E1246</f>
        <v>1900</v>
      </c>
      <c r="M100" s="351">
        <f t="shared" si="41"/>
        <v>89671</v>
      </c>
      <c r="N100" s="352">
        <f t="shared" si="42"/>
        <v>89671</v>
      </c>
      <c r="O100" s="350">
        <f>'reservecalc-external'!F1246</f>
        <v>1900</v>
      </c>
      <c r="P100" s="351">
        <f t="shared" si="43"/>
        <v>91571</v>
      </c>
      <c r="Q100" s="352">
        <f t="shared" si="44"/>
        <v>91571</v>
      </c>
      <c r="R100" s="350">
        <f>'reservecalc-external'!G1246</f>
        <v>1600</v>
      </c>
      <c r="S100" s="351">
        <f t="shared" si="45"/>
        <v>93171</v>
      </c>
      <c r="T100" s="352">
        <f t="shared" si="46"/>
        <v>93171</v>
      </c>
      <c r="U100" s="350">
        <f>'reservecalc-external'!H1246</f>
        <v>1600</v>
      </c>
      <c r="V100" s="351">
        <f t="shared" si="47"/>
        <v>94771</v>
      </c>
      <c r="W100" s="352">
        <f t="shared" si="48"/>
        <v>94771</v>
      </c>
      <c r="X100" s="350">
        <f>'reservecalc-external'!I1246</f>
        <v>1600</v>
      </c>
      <c r="Y100" s="351">
        <f t="shared" si="49"/>
        <v>96371</v>
      </c>
      <c r="Z100" s="352">
        <f t="shared" si="50"/>
        <v>96371</v>
      </c>
      <c r="AA100" s="350">
        <f>'reservecalc-external'!J1246</f>
        <v>1600</v>
      </c>
      <c r="AB100" s="351">
        <f t="shared" si="51"/>
        <v>97971</v>
      </c>
    </row>
    <row r="101" spans="1:28" x14ac:dyDescent="0.25">
      <c r="A101" s="75" t="s">
        <v>4233</v>
      </c>
      <c r="B101" s="349">
        <v>16496</v>
      </c>
      <c r="C101" s="350">
        <f>'reservecalc-external'!B1277</f>
        <v>300</v>
      </c>
      <c r="D101" s="351">
        <f t="shared" si="35"/>
        <v>16796</v>
      </c>
      <c r="E101" s="352">
        <f t="shared" si="36"/>
        <v>16796</v>
      </c>
      <c r="F101" s="350">
        <f>'reservecalc-external'!C1277</f>
        <v>200</v>
      </c>
      <c r="G101" s="351">
        <f t="shared" si="37"/>
        <v>16996</v>
      </c>
      <c r="H101" s="352">
        <f t="shared" si="38"/>
        <v>16996</v>
      </c>
      <c r="I101" s="350">
        <f>'reservecalc-external'!D1277</f>
        <v>200</v>
      </c>
      <c r="J101" s="351">
        <f t="shared" si="39"/>
        <v>17196</v>
      </c>
      <c r="K101" s="352">
        <f t="shared" si="40"/>
        <v>17196</v>
      </c>
      <c r="L101" s="350">
        <f>'reservecalc-external'!E1277</f>
        <v>200</v>
      </c>
      <c r="M101" s="351">
        <f t="shared" si="41"/>
        <v>17396</v>
      </c>
      <c r="N101" s="352">
        <f t="shared" si="42"/>
        <v>17396</v>
      </c>
      <c r="O101" s="350">
        <f>'reservecalc-external'!F1277</f>
        <v>200</v>
      </c>
      <c r="P101" s="351">
        <f t="shared" si="43"/>
        <v>17596</v>
      </c>
      <c r="Q101" s="352">
        <f t="shared" si="44"/>
        <v>17596</v>
      </c>
      <c r="R101" s="350">
        <f>'reservecalc-external'!G1277</f>
        <v>100</v>
      </c>
      <c r="S101" s="351">
        <f t="shared" si="45"/>
        <v>17696</v>
      </c>
      <c r="T101" s="352">
        <f t="shared" si="46"/>
        <v>17696</v>
      </c>
      <c r="U101" s="350">
        <f>'reservecalc-external'!H1277</f>
        <v>100</v>
      </c>
      <c r="V101" s="351">
        <f t="shared" si="47"/>
        <v>17796</v>
      </c>
      <c r="W101" s="352">
        <f t="shared" si="48"/>
        <v>17796</v>
      </c>
      <c r="X101" s="350">
        <f>'reservecalc-external'!I1277</f>
        <v>100</v>
      </c>
      <c r="Y101" s="351">
        <f t="shared" si="49"/>
        <v>17896</v>
      </c>
      <c r="Z101" s="352">
        <f t="shared" si="50"/>
        <v>17896</v>
      </c>
      <c r="AA101" s="350">
        <f>'reservecalc-external'!J1277</f>
        <v>100</v>
      </c>
      <c r="AB101" s="351">
        <f t="shared" si="51"/>
        <v>17996</v>
      </c>
    </row>
    <row r="102" spans="1:28" x14ac:dyDescent="0.25">
      <c r="A102" s="75" t="s">
        <v>4234</v>
      </c>
      <c r="B102" s="349">
        <v>3708</v>
      </c>
      <c r="C102" s="350">
        <f>'reservecalc-external'!B1308</f>
        <v>0</v>
      </c>
      <c r="D102" s="351">
        <f t="shared" si="35"/>
        <v>3708</v>
      </c>
      <c r="E102" s="352">
        <f t="shared" si="36"/>
        <v>3708</v>
      </c>
      <c r="F102" s="350">
        <f>'reservecalc-external'!C1308</f>
        <v>0</v>
      </c>
      <c r="G102" s="351">
        <f t="shared" si="37"/>
        <v>3708</v>
      </c>
      <c r="H102" s="352">
        <f t="shared" si="38"/>
        <v>3708</v>
      </c>
      <c r="I102" s="350">
        <f>'reservecalc-external'!D1308</f>
        <v>0</v>
      </c>
      <c r="J102" s="351">
        <f t="shared" si="39"/>
        <v>3708</v>
      </c>
      <c r="K102" s="352">
        <f t="shared" si="40"/>
        <v>3708</v>
      </c>
      <c r="L102" s="350">
        <f>'reservecalc-external'!E1308</f>
        <v>0</v>
      </c>
      <c r="M102" s="351">
        <f t="shared" si="41"/>
        <v>3708</v>
      </c>
      <c r="N102" s="352">
        <f t="shared" si="42"/>
        <v>3708</v>
      </c>
      <c r="O102" s="350">
        <f>'reservecalc-external'!F1308</f>
        <v>0</v>
      </c>
      <c r="P102" s="351">
        <f t="shared" si="43"/>
        <v>3708</v>
      </c>
      <c r="Q102" s="352">
        <f t="shared" si="44"/>
        <v>3708</v>
      </c>
      <c r="R102" s="350">
        <f>'reservecalc-external'!G1308</f>
        <v>0</v>
      </c>
      <c r="S102" s="351">
        <f t="shared" si="45"/>
        <v>3708</v>
      </c>
      <c r="T102" s="352">
        <f t="shared" si="46"/>
        <v>3708</v>
      </c>
      <c r="U102" s="350">
        <f>'reservecalc-external'!H1308</f>
        <v>0</v>
      </c>
      <c r="V102" s="351">
        <f t="shared" si="47"/>
        <v>3708</v>
      </c>
      <c r="W102" s="352">
        <f t="shared" si="48"/>
        <v>3708</v>
      </c>
      <c r="X102" s="350">
        <f>'reservecalc-external'!I1308</f>
        <v>0</v>
      </c>
      <c r="Y102" s="351">
        <f t="shared" si="49"/>
        <v>3708</v>
      </c>
      <c r="Z102" s="352">
        <f t="shared" si="50"/>
        <v>3708</v>
      </c>
      <c r="AA102" s="350">
        <f>'reservecalc-external'!J1308</f>
        <v>0</v>
      </c>
      <c r="AB102" s="351">
        <f t="shared" si="51"/>
        <v>3708</v>
      </c>
    </row>
    <row r="103" spans="1:28" x14ac:dyDescent="0.25">
      <c r="A103" s="75" t="s">
        <v>4235</v>
      </c>
      <c r="B103" s="349">
        <v>18171</v>
      </c>
      <c r="C103" s="350">
        <f>'reservecalc-external'!B1339</f>
        <v>1500</v>
      </c>
      <c r="D103" s="351">
        <f t="shared" si="35"/>
        <v>19671</v>
      </c>
      <c r="E103" s="352">
        <f t="shared" si="36"/>
        <v>19671</v>
      </c>
      <c r="F103" s="350">
        <f>'reservecalc-external'!C1339</f>
        <v>1200</v>
      </c>
      <c r="G103" s="351">
        <f t="shared" si="37"/>
        <v>20871</v>
      </c>
      <c r="H103" s="352">
        <f t="shared" si="38"/>
        <v>20871</v>
      </c>
      <c r="I103" s="350">
        <f>'reservecalc-external'!D1339</f>
        <v>1000</v>
      </c>
      <c r="J103" s="351">
        <f t="shared" si="39"/>
        <v>21871</v>
      </c>
      <c r="K103" s="352">
        <f t="shared" si="40"/>
        <v>21871</v>
      </c>
      <c r="L103" s="350">
        <f>'reservecalc-external'!E1339</f>
        <v>1000</v>
      </c>
      <c r="M103" s="351">
        <f t="shared" si="41"/>
        <v>22871</v>
      </c>
      <c r="N103" s="352">
        <f t="shared" si="42"/>
        <v>22871</v>
      </c>
      <c r="O103" s="350">
        <f>'reservecalc-external'!F1339</f>
        <v>1000</v>
      </c>
      <c r="P103" s="351">
        <f t="shared" si="43"/>
        <v>23871</v>
      </c>
      <c r="Q103" s="352">
        <f t="shared" si="44"/>
        <v>23871</v>
      </c>
      <c r="R103" s="350">
        <f>'reservecalc-external'!G1339</f>
        <v>800</v>
      </c>
      <c r="S103" s="351">
        <f t="shared" si="45"/>
        <v>24671</v>
      </c>
      <c r="T103" s="352">
        <f t="shared" si="46"/>
        <v>24671</v>
      </c>
      <c r="U103" s="350">
        <f>'reservecalc-external'!H1339</f>
        <v>800</v>
      </c>
      <c r="V103" s="351">
        <f t="shared" si="47"/>
        <v>25471</v>
      </c>
      <c r="W103" s="352">
        <f t="shared" si="48"/>
        <v>25471</v>
      </c>
      <c r="X103" s="350">
        <f>'reservecalc-external'!I1339</f>
        <v>800</v>
      </c>
      <c r="Y103" s="351">
        <f t="shared" si="49"/>
        <v>26271</v>
      </c>
      <c r="Z103" s="352">
        <f t="shared" si="50"/>
        <v>26271</v>
      </c>
      <c r="AA103" s="350">
        <f>'reservecalc-external'!J1339</f>
        <v>800</v>
      </c>
      <c r="AB103" s="351">
        <f t="shared" si="51"/>
        <v>27071</v>
      </c>
    </row>
    <row r="104" spans="1:28" x14ac:dyDescent="0.25">
      <c r="A104" s="75" t="s">
        <v>4236</v>
      </c>
      <c r="B104" s="349">
        <v>-728219</v>
      </c>
      <c r="C104" s="350">
        <f>'reservecalc-external'!B1370</f>
        <v>18200</v>
      </c>
      <c r="D104" s="351">
        <f t="shared" si="35"/>
        <v>-710019</v>
      </c>
      <c r="E104" s="352">
        <f t="shared" si="36"/>
        <v>-710019</v>
      </c>
      <c r="F104" s="350">
        <f>'reservecalc-external'!C1370</f>
        <v>14500</v>
      </c>
      <c r="G104" s="351">
        <f t="shared" si="37"/>
        <v>-695519</v>
      </c>
      <c r="H104" s="352">
        <f t="shared" si="38"/>
        <v>-695519</v>
      </c>
      <c r="I104" s="350">
        <f>'reservecalc-external'!D1370</f>
        <v>12100</v>
      </c>
      <c r="J104" s="351">
        <f t="shared" si="39"/>
        <v>-683419</v>
      </c>
      <c r="K104" s="352">
        <f t="shared" si="40"/>
        <v>-683419</v>
      </c>
      <c r="L104" s="350">
        <f>'reservecalc-external'!E1370</f>
        <v>12100</v>
      </c>
      <c r="M104" s="351">
        <f t="shared" si="41"/>
        <v>-671319</v>
      </c>
      <c r="N104" s="352">
        <f t="shared" si="42"/>
        <v>-671319</v>
      </c>
      <c r="O104" s="350">
        <f>'reservecalc-external'!F1370</f>
        <v>12100</v>
      </c>
      <c r="P104" s="351">
        <f t="shared" si="43"/>
        <v>-659219</v>
      </c>
      <c r="Q104" s="352">
        <f t="shared" si="44"/>
        <v>-659219</v>
      </c>
      <c r="R104" s="350">
        <f>'reservecalc-external'!G1370</f>
        <v>9700</v>
      </c>
      <c r="S104" s="351">
        <f t="shared" si="45"/>
        <v>-649519</v>
      </c>
      <c r="T104" s="352">
        <f t="shared" si="46"/>
        <v>-649519</v>
      </c>
      <c r="U104" s="350">
        <f>'reservecalc-external'!H1370</f>
        <v>9700</v>
      </c>
      <c r="V104" s="351">
        <f t="shared" si="47"/>
        <v>-639819</v>
      </c>
      <c r="W104" s="352">
        <f t="shared" si="48"/>
        <v>-639819</v>
      </c>
      <c r="X104" s="350">
        <f>'reservecalc-external'!I1370</f>
        <v>9700</v>
      </c>
      <c r="Y104" s="351">
        <f t="shared" si="49"/>
        <v>-630119</v>
      </c>
      <c r="Z104" s="352">
        <f t="shared" si="50"/>
        <v>-630119</v>
      </c>
      <c r="AA104" s="350">
        <f>'reservecalc-external'!J1370</f>
        <v>9700</v>
      </c>
      <c r="AB104" s="351">
        <f t="shared" si="51"/>
        <v>-620419</v>
      </c>
    </row>
    <row r="105" spans="1:28" x14ac:dyDescent="0.25">
      <c r="A105" s="75" t="s">
        <v>4237</v>
      </c>
      <c r="B105" s="349">
        <v>993445</v>
      </c>
      <c r="C105" s="350">
        <f>'reservecalc-external'!B1401</f>
        <v>75600</v>
      </c>
      <c r="D105" s="351">
        <f t="shared" si="35"/>
        <v>1069045</v>
      </c>
      <c r="E105" s="352">
        <f t="shared" si="36"/>
        <v>1069045</v>
      </c>
      <c r="F105" s="350">
        <f>'reservecalc-external'!C1401</f>
        <v>60500</v>
      </c>
      <c r="G105" s="351">
        <f t="shared" si="37"/>
        <v>1129545</v>
      </c>
      <c r="H105" s="352">
        <f t="shared" si="38"/>
        <v>1129545</v>
      </c>
      <c r="I105" s="350">
        <f>'reservecalc-external'!D1401</f>
        <v>-260600</v>
      </c>
      <c r="J105" s="351">
        <f t="shared" si="39"/>
        <v>868945</v>
      </c>
      <c r="K105" s="352">
        <f t="shared" si="40"/>
        <v>868945</v>
      </c>
      <c r="L105" s="350">
        <f>'reservecalc-external'!E1401</f>
        <v>50400</v>
      </c>
      <c r="M105" s="351">
        <f t="shared" si="41"/>
        <v>919345</v>
      </c>
      <c r="N105" s="352">
        <f t="shared" si="42"/>
        <v>919345</v>
      </c>
      <c r="O105" s="350">
        <f>'reservecalc-external'!F1401</f>
        <v>50400</v>
      </c>
      <c r="P105" s="351">
        <f t="shared" si="43"/>
        <v>969745</v>
      </c>
      <c r="Q105" s="352">
        <f t="shared" si="44"/>
        <v>969745</v>
      </c>
      <c r="R105" s="350">
        <f>'reservecalc-external'!G1401</f>
        <v>40300</v>
      </c>
      <c r="S105" s="351">
        <f t="shared" si="45"/>
        <v>1010045</v>
      </c>
      <c r="T105" s="352">
        <f t="shared" si="46"/>
        <v>1010045</v>
      </c>
      <c r="U105" s="350">
        <f>'reservecalc-external'!H1401</f>
        <v>40300</v>
      </c>
      <c r="V105" s="351">
        <f t="shared" si="47"/>
        <v>1050345</v>
      </c>
      <c r="W105" s="352">
        <f t="shared" si="48"/>
        <v>1050345</v>
      </c>
      <c r="X105" s="350">
        <f>'reservecalc-external'!I1401</f>
        <v>40300</v>
      </c>
      <c r="Y105" s="351">
        <f t="shared" si="49"/>
        <v>1090645</v>
      </c>
      <c r="Z105" s="352">
        <f t="shared" si="50"/>
        <v>1090645</v>
      </c>
      <c r="AA105" s="350">
        <f>'reservecalc-external'!J1401</f>
        <v>40300</v>
      </c>
      <c r="AB105" s="351">
        <f t="shared" si="51"/>
        <v>1130945</v>
      </c>
    </row>
    <row r="106" spans="1:28" x14ac:dyDescent="0.25">
      <c r="A106" s="75" t="s">
        <v>4238</v>
      </c>
      <c r="B106" s="349">
        <v>1000862</v>
      </c>
      <c r="C106" s="350">
        <f>'reservecalc-external'!B1432</f>
        <v>57300</v>
      </c>
      <c r="D106" s="351">
        <f t="shared" si="35"/>
        <v>1058162</v>
      </c>
      <c r="E106" s="352">
        <f t="shared" si="36"/>
        <v>1058162</v>
      </c>
      <c r="F106" s="350">
        <f>'reservecalc-external'!C1432</f>
        <v>45800</v>
      </c>
      <c r="G106" s="351">
        <f t="shared" si="37"/>
        <v>1103962</v>
      </c>
      <c r="H106" s="352">
        <f t="shared" si="38"/>
        <v>1103962</v>
      </c>
      <c r="I106" s="350">
        <f>'reservecalc-external'!D1432</f>
        <v>38200</v>
      </c>
      <c r="J106" s="351">
        <f t="shared" si="39"/>
        <v>1142162</v>
      </c>
      <c r="K106" s="352">
        <f t="shared" si="40"/>
        <v>1142162</v>
      </c>
      <c r="L106" s="350">
        <f>'reservecalc-external'!E1432</f>
        <v>38200</v>
      </c>
      <c r="M106" s="351">
        <f t="shared" si="41"/>
        <v>1180362</v>
      </c>
      <c r="N106" s="352">
        <f t="shared" si="42"/>
        <v>1180362</v>
      </c>
      <c r="O106" s="350">
        <f>'reservecalc-external'!F1432</f>
        <v>38200</v>
      </c>
      <c r="P106" s="351">
        <f t="shared" si="43"/>
        <v>1218562</v>
      </c>
      <c r="Q106" s="352">
        <f t="shared" si="44"/>
        <v>1218562</v>
      </c>
      <c r="R106" s="350">
        <f>'reservecalc-external'!G1432</f>
        <v>30500</v>
      </c>
      <c r="S106" s="351">
        <f t="shared" si="45"/>
        <v>1249062</v>
      </c>
      <c r="T106" s="352">
        <f t="shared" si="46"/>
        <v>1249062</v>
      </c>
      <c r="U106" s="350">
        <f>'reservecalc-external'!H1432</f>
        <v>30500</v>
      </c>
      <c r="V106" s="351">
        <f t="shared" si="47"/>
        <v>1279562</v>
      </c>
      <c r="W106" s="352">
        <f t="shared" si="48"/>
        <v>1279562</v>
      </c>
      <c r="X106" s="350">
        <f>'reservecalc-external'!I1432</f>
        <v>30500</v>
      </c>
      <c r="Y106" s="351">
        <f t="shared" si="49"/>
        <v>1310062</v>
      </c>
      <c r="Z106" s="352">
        <f t="shared" si="50"/>
        <v>1310062</v>
      </c>
      <c r="AA106" s="350">
        <f>'reservecalc-external'!J1432</f>
        <v>30500</v>
      </c>
      <c r="AB106" s="351">
        <f t="shared" si="51"/>
        <v>1340562</v>
      </c>
    </row>
    <row r="107" spans="1:28" x14ac:dyDescent="0.25">
      <c r="A107" s="75" t="s">
        <v>4239</v>
      </c>
      <c r="B107" s="349">
        <v>108166</v>
      </c>
      <c r="C107" s="350">
        <f>'reservecalc-external'!B1463</f>
        <v>10000</v>
      </c>
      <c r="D107" s="351">
        <f t="shared" si="35"/>
        <v>118166</v>
      </c>
      <c r="E107" s="352">
        <f t="shared" si="36"/>
        <v>118166</v>
      </c>
      <c r="F107" s="350">
        <f>'reservecalc-external'!C1463</f>
        <v>8000</v>
      </c>
      <c r="G107" s="351">
        <f t="shared" si="37"/>
        <v>126166</v>
      </c>
      <c r="H107" s="352">
        <f t="shared" si="38"/>
        <v>126166</v>
      </c>
      <c r="I107" s="350">
        <f>'reservecalc-external'!D1463</f>
        <v>6700</v>
      </c>
      <c r="J107" s="351">
        <f t="shared" si="39"/>
        <v>132866</v>
      </c>
      <c r="K107" s="352">
        <f t="shared" si="40"/>
        <v>132866</v>
      </c>
      <c r="L107" s="350">
        <f>'reservecalc-external'!E1463</f>
        <v>6700</v>
      </c>
      <c r="M107" s="351">
        <f t="shared" si="41"/>
        <v>139566</v>
      </c>
      <c r="N107" s="352">
        <f t="shared" si="42"/>
        <v>139566</v>
      </c>
      <c r="O107" s="350">
        <f>'reservecalc-external'!F1463</f>
        <v>6700</v>
      </c>
      <c r="P107" s="351">
        <f t="shared" si="43"/>
        <v>146266</v>
      </c>
      <c r="Q107" s="352">
        <f t="shared" si="44"/>
        <v>146266</v>
      </c>
      <c r="R107" s="350">
        <f>'reservecalc-external'!G1463</f>
        <v>5300</v>
      </c>
      <c r="S107" s="351">
        <f t="shared" si="45"/>
        <v>151566</v>
      </c>
      <c r="T107" s="352">
        <f t="shared" si="46"/>
        <v>151566</v>
      </c>
      <c r="U107" s="350">
        <f>'reservecalc-external'!H1463</f>
        <v>5300</v>
      </c>
      <c r="V107" s="351">
        <f t="shared" si="47"/>
        <v>156866</v>
      </c>
      <c r="W107" s="352">
        <f t="shared" si="48"/>
        <v>156866</v>
      </c>
      <c r="X107" s="350">
        <f>'reservecalc-external'!I1463</f>
        <v>5300</v>
      </c>
      <c r="Y107" s="351">
        <f t="shared" si="49"/>
        <v>162166</v>
      </c>
      <c r="Z107" s="352">
        <f t="shared" si="50"/>
        <v>162166</v>
      </c>
      <c r="AA107" s="350">
        <f>'reservecalc-external'!J1463</f>
        <v>5300</v>
      </c>
      <c r="AB107" s="351">
        <f t="shared" si="51"/>
        <v>167466</v>
      </c>
    </row>
    <row r="108" spans="1:28" x14ac:dyDescent="0.25">
      <c r="A108" s="75" t="s">
        <v>4240</v>
      </c>
      <c r="B108" s="349">
        <v>160608</v>
      </c>
      <c r="C108" s="350">
        <f>'reservecalc-external'!B1494</f>
        <v>15400</v>
      </c>
      <c r="D108" s="351">
        <f t="shared" si="35"/>
        <v>176008</v>
      </c>
      <c r="E108" s="352">
        <f t="shared" si="36"/>
        <v>176008</v>
      </c>
      <c r="F108" s="350">
        <f>'reservecalc-external'!C1494</f>
        <v>12300</v>
      </c>
      <c r="G108" s="351">
        <f t="shared" si="37"/>
        <v>188308</v>
      </c>
      <c r="H108" s="352">
        <f t="shared" si="38"/>
        <v>188308</v>
      </c>
      <c r="I108" s="350">
        <f>'reservecalc-external'!D1494</f>
        <v>10300</v>
      </c>
      <c r="J108" s="351">
        <f t="shared" si="39"/>
        <v>198608</v>
      </c>
      <c r="K108" s="352">
        <f t="shared" si="40"/>
        <v>198608</v>
      </c>
      <c r="L108" s="350">
        <f>'reservecalc-external'!E1494</f>
        <v>10300</v>
      </c>
      <c r="M108" s="351">
        <f t="shared" si="41"/>
        <v>208908</v>
      </c>
      <c r="N108" s="352">
        <f t="shared" si="42"/>
        <v>208908</v>
      </c>
      <c r="O108" s="350">
        <f>'reservecalc-external'!F1494</f>
        <v>10300</v>
      </c>
      <c r="P108" s="351">
        <f t="shared" si="43"/>
        <v>219208</v>
      </c>
      <c r="Q108" s="352">
        <f t="shared" si="44"/>
        <v>219208</v>
      </c>
      <c r="R108" s="350">
        <f>'reservecalc-external'!G1494</f>
        <v>8200</v>
      </c>
      <c r="S108" s="351">
        <f t="shared" si="45"/>
        <v>227408</v>
      </c>
      <c r="T108" s="352">
        <f t="shared" si="46"/>
        <v>227408</v>
      </c>
      <c r="U108" s="350">
        <f>'reservecalc-external'!H1494</f>
        <v>8200</v>
      </c>
      <c r="V108" s="351">
        <f t="shared" si="47"/>
        <v>235608</v>
      </c>
      <c r="W108" s="352">
        <f t="shared" si="48"/>
        <v>235608</v>
      </c>
      <c r="X108" s="350">
        <f>'reservecalc-external'!I1494</f>
        <v>8200</v>
      </c>
      <c r="Y108" s="351">
        <f t="shared" si="49"/>
        <v>243808</v>
      </c>
      <c r="Z108" s="352">
        <f t="shared" si="50"/>
        <v>243808</v>
      </c>
      <c r="AA108" s="350">
        <f>'reservecalc-external'!J1494</f>
        <v>8200</v>
      </c>
      <c r="AB108" s="351">
        <f t="shared" si="51"/>
        <v>252008</v>
      </c>
    </row>
    <row r="109" spans="1:28" x14ac:dyDescent="0.25">
      <c r="A109" s="75" t="s">
        <v>4241</v>
      </c>
      <c r="B109" s="349">
        <v>13310</v>
      </c>
      <c r="C109" s="350">
        <f>'reservecalc-external'!B1525</f>
        <v>300</v>
      </c>
      <c r="D109" s="351">
        <f t="shared" si="35"/>
        <v>13610</v>
      </c>
      <c r="E109" s="352">
        <f t="shared" si="36"/>
        <v>13610</v>
      </c>
      <c r="F109" s="350">
        <f>'reservecalc-external'!C1525</f>
        <v>300</v>
      </c>
      <c r="G109" s="351">
        <f t="shared" si="37"/>
        <v>13910</v>
      </c>
      <c r="H109" s="352">
        <f t="shared" si="38"/>
        <v>13910</v>
      </c>
      <c r="I109" s="350">
        <f>'reservecalc-external'!D1525</f>
        <v>200</v>
      </c>
      <c r="J109" s="351">
        <f t="shared" si="39"/>
        <v>14110</v>
      </c>
      <c r="K109" s="352">
        <f t="shared" si="40"/>
        <v>14110</v>
      </c>
      <c r="L109" s="350">
        <f>'reservecalc-external'!E1525</f>
        <v>200</v>
      </c>
      <c r="M109" s="351">
        <f t="shared" si="41"/>
        <v>14310</v>
      </c>
      <c r="N109" s="352">
        <f t="shared" si="42"/>
        <v>14310</v>
      </c>
      <c r="O109" s="350">
        <f>'reservecalc-external'!F1525</f>
        <v>200</v>
      </c>
      <c r="P109" s="351">
        <f t="shared" si="43"/>
        <v>14510</v>
      </c>
      <c r="Q109" s="352">
        <f t="shared" si="44"/>
        <v>14510</v>
      </c>
      <c r="R109" s="350">
        <f>'reservecalc-external'!G1525</f>
        <v>200</v>
      </c>
      <c r="S109" s="351">
        <f t="shared" si="45"/>
        <v>14710</v>
      </c>
      <c r="T109" s="352">
        <f t="shared" si="46"/>
        <v>14710</v>
      </c>
      <c r="U109" s="350">
        <f>'reservecalc-external'!H1525</f>
        <v>200</v>
      </c>
      <c r="V109" s="351">
        <f t="shared" si="47"/>
        <v>14910</v>
      </c>
      <c r="W109" s="352">
        <f t="shared" si="48"/>
        <v>14910</v>
      </c>
      <c r="X109" s="350">
        <f>'reservecalc-external'!I1525</f>
        <v>200</v>
      </c>
      <c r="Y109" s="351">
        <f t="shared" si="49"/>
        <v>15110</v>
      </c>
      <c r="Z109" s="352">
        <f t="shared" si="50"/>
        <v>15110</v>
      </c>
      <c r="AA109" s="350">
        <f>'reservecalc-external'!J1525</f>
        <v>200</v>
      </c>
      <c r="AB109" s="351">
        <f t="shared" si="51"/>
        <v>15310</v>
      </c>
    </row>
    <row r="110" spans="1:28" x14ac:dyDescent="0.25">
      <c r="A110" s="75" t="s">
        <v>4242</v>
      </c>
      <c r="B110" s="349">
        <v>130705</v>
      </c>
      <c r="C110" s="350">
        <f>'reservecalc-external'!B1556</f>
        <v>6900</v>
      </c>
      <c r="D110" s="351">
        <f t="shared" si="35"/>
        <v>137605</v>
      </c>
      <c r="E110" s="352">
        <f t="shared" si="36"/>
        <v>137605</v>
      </c>
      <c r="F110" s="350">
        <f>'reservecalc-external'!C1556</f>
        <v>5500</v>
      </c>
      <c r="G110" s="351">
        <f t="shared" si="37"/>
        <v>143105</v>
      </c>
      <c r="H110" s="352">
        <f t="shared" si="38"/>
        <v>143105</v>
      </c>
      <c r="I110" s="350">
        <f>'reservecalc-external'!D1556</f>
        <v>4600</v>
      </c>
      <c r="J110" s="351">
        <f t="shared" si="39"/>
        <v>147705</v>
      </c>
      <c r="K110" s="352">
        <f t="shared" si="40"/>
        <v>147705</v>
      </c>
      <c r="L110" s="350">
        <f>'reservecalc-external'!E1556</f>
        <v>4600</v>
      </c>
      <c r="M110" s="351">
        <f t="shared" si="41"/>
        <v>152305</v>
      </c>
      <c r="N110" s="352">
        <f t="shared" si="42"/>
        <v>152305</v>
      </c>
      <c r="O110" s="350">
        <f>'reservecalc-external'!F1556</f>
        <v>4600</v>
      </c>
      <c r="P110" s="351">
        <f t="shared" si="43"/>
        <v>156905</v>
      </c>
      <c r="Q110" s="352">
        <f t="shared" si="44"/>
        <v>156905</v>
      </c>
      <c r="R110" s="350">
        <f>'reservecalc-external'!G1556</f>
        <v>3700</v>
      </c>
      <c r="S110" s="351">
        <f t="shared" si="45"/>
        <v>160605</v>
      </c>
      <c r="T110" s="352">
        <f t="shared" si="46"/>
        <v>160605</v>
      </c>
      <c r="U110" s="350">
        <f>'reservecalc-external'!H1556</f>
        <v>3700</v>
      </c>
      <c r="V110" s="351">
        <f t="shared" si="47"/>
        <v>164305</v>
      </c>
      <c r="W110" s="352">
        <f t="shared" si="48"/>
        <v>164305</v>
      </c>
      <c r="X110" s="350">
        <f>'reservecalc-external'!I1556</f>
        <v>3700</v>
      </c>
      <c r="Y110" s="351">
        <f t="shared" si="49"/>
        <v>168005</v>
      </c>
      <c r="Z110" s="352">
        <f t="shared" si="50"/>
        <v>168005</v>
      </c>
      <c r="AA110" s="350">
        <f>'reservecalc-external'!J1556</f>
        <v>3700</v>
      </c>
      <c r="AB110" s="351">
        <f t="shared" si="51"/>
        <v>171705</v>
      </c>
    </row>
    <row r="111" spans="1:28" x14ac:dyDescent="0.25">
      <c r="A111" s="75" t="s">
        <v>4243</v>
      </c>
      <c r="B111" s="349">
        <v>26015</v>
      </c>
      <c r="C111" s="350">
        <f>'reservecalc-external'!B1587</f>
        <v>1800</v>
      </c>
      <c r="D111" s="351">
        <f t="shared" si="35"/>
        <v>27815</v>
      </c>
      <c r="E111" s="352">
        <f t="shared" si="36"/>
        <v>27815</v>
      </c>
      <c r="F111" s="350">
        <f>'reservecalc-external'!C1587</f>
        <v>1500</v>
      </c>
      <c r="G111" s="351">
        <f t="shared" si="37"/>
        <v>29315</v>
      </c>
      <c r="H111" s="352">
        <f t="shared" si="38"/>
        <v>29315</v>
      </c>
      <c r="I111" s="350">
        <f>'reservecalc-external'!D1587</f>
        <v>1200</v>
      </c>
      <c r="J111" s="351">
        <f t="shared" si="39"/>
        <v>30515</v>
      </c>
      <c r="K111" s="352">
        <f t="shared" si="40"/>
        <v>30515</v>
      </c>
      <c r="L111" s="350">
        <f>'reservecalc-external'!E1587</f>
        <v>1200</v>
      </c>
      <c r="M111" s="351">
        <f t="shared" si="41"/>
        <v>31715</v>
      </c>
      <c r="N111" s="352">
        <f t="shared" si="42"/>
        <v>31715</v>
      </c>
      <c r="O111" s="350">
        <f>'reservecalc-external'!F1587</f>
        <v>1200</v>
      </c>
      <c r="P111" s="351">
        <f t="shared" si="43"/>
        <v>32915</v>
      </c>
      <c r="Q111" s="352">
        <f t="shared" si="44"/>
        <v>32915</v>
      </c>
      <c r="R111" s="350">
        <f>'reservecalc-external'!G1587</f>
        <v>1000</v>
      </c>
      <c r="S111" s="351">
        <f t="shared" si="45"/>
        <v>33915</v>
      </c>
      <c r="T111" s="352">
        <f t="shared" si="46"/>
        <v>33915</v>
      </c>
      <c r="U111" s="350">
        <f>'reservecalc-external'!H1587</f>
        <v>1000</v>
      </c>
      <c r="V111" s="351">
        <f t="shared" si="47"/>
        <v>34915</v>
      </c>
      <c r="W111" s="352">
        <f t="shared" si="48"/>
        <v>34915</v>
      </c>
      <c r="X111" s="350">
        <f>'reservecalc-external'!I1587</f>
        <v>1000</v>
      </c>
      <c r="Y111" s="351">
        <f t="shared" si="49"/>
        <v>35915</v>
      </c>
      <c r="Z111" s="352">
        <f t="shared" si="50"/>
        <v>35915</v>
      </c>
      <c r="AA111" s="350">
        <f>'reservecalc-external'!J1587</f>
        <v>1000</v>
      </c>
      <c r="AB111" s="351">
        <f t="shared" si="51"/>
        <v>36915</v>
      </c>
    </row>
    <row r="112" spans="1:28" x14ac:dyDescent="0.25">
      <c r="A112" s="75" t="s">
        <v>4244</v>
      </c>
      <c r="B112" s="349">
        <v>27089</v>
      </c>
      <c r="C112" s="350">
        <f>'reservecalc-external'!B1618</f>
        <v>4000</v>
      </c>
      <c r="D112" s="351">
        <f t="shared" si="35"/>
        <v>31089</v>
      </c>
      <c r="E112" s="352">
        <f t="shared" si="36"/>
        <v>31089</v>
      </c>
      <c r="F112" s="350">
        <f>'reservecalc-external'!C1618</f>
        <v>3200</v>
      </c>
      <c r="G112" s="351">
        <f t="shared" si="37"/>
        <v>34289</v>
      </c>
      <c r="H112" s="352">
        <f t="shared" si="38"/>
        <v>34289</v>
      </c>
      <c r="I112" s="350">
        <f>'reservecalc-external'!D1618</f>
        <v>2700</v>
      </c>
      <c r="J112" s="351">
        <f t="shared" si="39"/>
        <v>36989</v>
      </c>
      <c r="K112" s="352">
        <f t="shared" si="40"/>
        <v>36989</v>
      </c>
      <c r="L112" s="350">
        <f>'reservecalc-external'!E1618</f>
        <v>2700</v>
      </c>
      <c r="M112" s="351">
        <f t="shared" si="41"/>
        <v>39689</v>
      </c>
      <c r="N112" s="352">
        <f t="shared" si="42"/>
        <v>39689</v>
      </c>
      <c r="O112" s="350">
        <f>'reservecalc-external'!F1618</f>
        <v>2700</v>
      </c>
      <c r="P112" s="351">
        <f t="shared" si="43"/>
        <v>42389</v>
      </c>
      <c r="Q112" s="352">
        <f t="shared" si="44"/>
        <v>42389</v>
      </c>
      <c r="R112" s="350">
        <f>'reservecalc-external'!G1618</f>
        <v>2100</v>
      </c>
      <c r="S112" s="351">
        <f t="shared" si="45"/>
        <v>44489</v>
      </c>
      <c r="T112" s="352">
        <f t="shared" si="46"/>
        <v>44489</v>
      </c>
      <c r="U112" s="350">
        <f>'reservecalc-external'!H1618</f>
        <v>2100</v>
      </c>
      <c r="V112" s="351">
        <f t="shared" si="47"/>
        <v>46589</v>
      </c>
      <c r="W112" s="352">
        <f t="shared" si="48"/>
        <v>46589</v>
      </c>
      <c r="X112" s="350">
        <f>'reservecalc-external'!I1618</f>
        <v>2100</v>
      </c>
      <c r="Y112" s="351">
        <f t="shared" si="49"/>
        <v>48689</v>
      </c>
      <c r="Z112" s="352">
        <f t="shared" si="50"/>
        <v>48689</v>
      </c>
      <c r="AA112" s="350">
        <f>'reservecalc-external'!J1618</f>
        <v>2100</v>
      </c>
      <c r="AB112" s="351">
        <f t="shared" si="51"/>
        <v>50789</v>
      </c>
    </row>
    <row r="113" spans="1:29" x14ac:dyDescent="0.25">
      <c r="A113" s="75" t="s">
        <v>4190</v>
      </c>
      <c r="B113" s="349">
        <f>308941+87700-138200</f>
        <v>258441</v>
      </c>
      <c r="C113" s="350">
        <f>'reservecalc-external'!B1649</f>
        <v>73100</v>
      </c>
      <c r="D113" s="351">
        <f t="shared" si="35"/>
        <v>331541</v>
      </c>
      <c r="E113" s="352">
        <f t="shared" si="36"/>
        <v>331541</v>
      </c>
      <c r="F113" s="350">
        <f>'reservecalc-external'!C1649</f>
        <v>58500</v>
      </c>
      <c r="G113" s="351">
        <f t="shared" si="37"/>
        <v>390041</v>
      </c>
      <c r="H113" s="352">
        <f t="shared" si="38"/>
        <v>390041</v>
      </c>
      <c r="I113" s="350">
        <f>'reservecalc-external'!D1649</f>
        <v>48700</v>
      </c>
      <c r="J113" s="351">
        <f t="shared" si="39"/>
        <v>438741</v>
      </c>
      <c r="K113" s="352">
        <f t="shared" si="40"/>
        <v>438741</v>
      </c>
      <c r="L113" s="350">
        <f>'reservecalc-external'!E1649</f>
        <v>48700</v>
      </c>
      <c r="M113" s="351">
        <f t="shared" si="41"/>
        <v>487441</v>
      </c>
      <c r="N113" s="352">
        <f t="shared" si="42"/>
        <v>487441</v>
      </c>
      <c r="O113" s="350">
        <f>'reservecalc-external'!F1649</f>
        <v>48700</v>
      </c>
      <c r="P113" s="351">
        <f t="shared" si="43"/>
        <v>536141</v>
      </c>
      <c r="Q113" s="352">
        <f t="shared" si="44"/>
        <v>536141</v>
      </c>
      <c r="R113" s="350">
        <f>'reservecalc-external'!G1649</f>
        <v>39000</v>
      </c>
      <c r="S113" s="351">
        <f t="shared" si="45"/>
        <v>575141</v>
      </c>
      <c r="T113" s="352">
        <f t="shared" si="46"/>
        <v>575141</v>
      </c>
      <c r="U113" s="350">
        <f>'reservecalc-external'!H1649</f>
        <v>39000</v>
      </c>
      <c r="V113" s="351">
        <f t="shared" si="47"/>
        <v>614141</v>
      </c>
      <c r="W113" s="352">
        <f t="shared" si="48"/>
        <v>614141</v>
      </c>
      <c r="X113" s="350">
        <f>'reservecalc-external'!I1649</f>
        <v>39000</v>
      </c>
      <c r="Y113" s="351">
        <f t="shared" si="49"/>
        <v>653141</v>
      </c>
      <c r="Z113" s="352">
        <f t="shared" si="50"/>
        <v>653141</v>
      </c>
      <c r="AA113" s="350">
        <f>'reservecalc-external'!J1649</f>
        <v>39000</v>
      </c>
      <c r="AB113" s="351">
        <f t="shared" si="51"/>
        <v>692141</v>
      </c>
    </row>
    <row r="114" spans="1:29" x14ac:dyDescent="0.25">
      <c r="A114" s="75" t="s">
        <v>4245</v>
      </c>
      <c r="B114" s="349">
        <v>39382</v>
      </c>
      <c r="C114" s="350">
        <f>'reservecalc-external'!B1680</f>
        <v>0</v>
      </c>
      <c r="D114" s="351">
        <f t="shared" si="35"/>
        <v>39382</v>
      </c>
      <c r="E114" s="352">
        <f t="shared" si="36"/>
        <v>39382</v>
      </c>
      <c r="F114" s="350">
        <f>'reservecalc-external'!C1680</f>
        <v>0</v>
      </c>
      <c r="G114" s="351">
        <f t="shared" si="37"/>
        <v>39382</v>
      </c>
      <c r="H114" s="352">
        <f t="shared" si="38"/>
        <v>39382</v>
      </c>
      <c r="I114" s="350">
        <f>'reservecalc-external'!D1680</f>
        <v>0</v>
      </c>
      <c r="J114" s="351">
        <f t="shared" si="39"/>
        <v>39382</v>
      </c>
      <c r="K114" s="352">
        <f t="shared" si="40"/>
        <v>39382</v>
      </c>
      <c r="L114" s="350">
        <f>'reservecalc-external'!E1680</f>
        <v>0</v>
      </c>
      <c r="M114" s="351">
        <f t="shared" si="41"/>
        <v>39382</v>
      </c>
      <c r="N114" s="352">
        <f t="shared" si="42"/>
        <v>39382</v>
      </c>
      <c r="O114" s="350">
        <f>'reservecalc-external'!F1680</f>
        <v>0</v>
      </c>
      <c r="P114" s="351">
        <f t="shared" si="43"/>
        <v>39382</v>
      </c>
      <c r="Q114" s="352">
        <f t="shared" si="44"/>
        <v>39382</v>
      </c>
      <c r="R114" s="350">
        <f>'reservecalc-external'!G1680</f>
        <v>0</v>
      </c>
      <c r="S114" s="351">
        <f t="shared" si="45"/>
        <v>39382</v>
      </c>
      <c r="T114" s="352">
        <f t="shared" si="46"/>
        <v>39382</v>
      </c>
      <c r="U114" s="350">
        <f>'reservecalc-external'!H1680</f>
        <v>0</v>
      </c>
      <c r="V114" s="351">
        <f t="shared" si="47"/>
        <v>39382</v>
      </c>
      <c r="W114" s="352">
        <f t="shared" si="48"/>
        <v>39382</v>
      </c>
      <c r="X114" s="350">
        <f>'reservecalc-external'!I1680</f>
        <v>0</v>
      </c>
      <c r="Y114" s="351">
        <f t="shared" si="49"/>
        <v>39382</v>
      </c>
      <c r="Z114" s="352">
        <f t="shared" si="50"/>
        <v>39382</v>
      </c>
      <c r="AA114" s="350">
        <f>'reservecalc-external'!J1680</f>
        <v>0</v>
      </c>
      <c r="AB114" s="351">
        <f t="shared" si="51"/>
        <v>39382</v>
      </c>
    </row>
    <row r="115" spans="1:29" x14ac:dyDescent="0.25">
      <c r="A115" s="75" t="s">
        <v>4246</v>
      </c>
      <c r="B115" s="349">
        <v>18804</v>
      </c>
      <c r="C115" s="350">
        <f>'reservecalc-external'!B1711</f>
        <v>900</v>
      </c>
      <c r="D115" s="351">
        <f t="shared" si="35"/>
        <v>19704</v>
      </c>
      <c r="E115" s="352">
        <f t="shared" si="36"/>
        <v>19704</v>
      </c>
      <c r="F115" s="350">
        <f>'reservecalc-external'!C1711</f>
        <v>700</v>
      </c>
      <c r="G115" s="351">
        <f t="shared" si="37"/>
        <v>20404</v>
      </c>
      <c r="H115" s="352">
        <f t="shared" si="38"/>
        <v>20404</v>
      </c>
      <c r="I115" s="350">
        <f>'reservecalc-external'!D1711</f>
        <v>600</v>
      </c>
      <c r="J115" s="351">
        <f t="shared" si="39"/>
        <v>21004</v>
      </c>
      <c r="K115" s="352">
        <f t="shared" si="40"/>
        <v>21004</v>
      </c>
      <c r="L115" s="350">
        <f>'reservecalc-external'!E1711</f>
        <v>600</v>
      </c>
      <c r="M115" s="351">
        <f t="shared" si="41"/>
        <v>21604</v>
      </c>
      <c r="N115" s="352">
        <f t="shared" si="42"/>
        <v>21604</v>
      </c>
      <c r="O115" s="350">
        <f>'reservecalc-external'!F1711</f>
        <v>600</v>
      </c>
      <c r="P115" s="351">
        <f t="shared" si="43"/>
        <v>22204</v>
      </c>
      <c r="Q115" s="352">
        <f t="shared" si="44"/>
        <v>22204</v>
      </c>
      <c r="R115" s="350">
        <f>'reservecalc-external'!G1711</f>
        <v>500</v>
      </c>
      <c r="S115" s="351">
        <f t="shared" si="45"/>
        <v>22704</v>
      </c>
      <c r="T115" s="352">
        <f t="shared" si="46"/>
        <v>22704</v>
      </c>
      <c r="U115" s="350">
        <f>'reservecalc-external'!H1711</f>
        <v>500</v>
      </c>
      <c r="V115" s="351">
        <f t="shared" si="47"/>
        <v>23204</v>
      </c>
      <c r="W115" s="352">
        <f t="shared" si="48"/>
        <v>23204</v>
      </c>
      <c r="X115" s="350">
        <f>'reservecalc-external'!I1711</f>
        <v>500</v>
      </c>
      <c r="Y115" s="351">
        <f t="shared" si="49"/>
        <v>23704</v>
      </c>
      <c r="Z115" s="352">
        <f t="shared" si="50"/>
        <v>23704</v>
      </c>
      <c r="AA115" s="350">
        <f>'reservecalc-external'!J1711</f>
        <v>500</v>
      </c>
      <c r="AB115" s="351">
        <f t="shared" si="51"/>
        <v>24204</v>
      </c>
    </row>
    <row r="116" spans="1:29" x14ac:dyDescent="0.25">
      <c r="A116" s="75" t="s">
        <v>4247</v>
      </c>
      <c r="B116" s="349">
        <v>13869</v>
      </c>
      <c r="C116" s="350">
        <f>'reservecalc-external'!B1742</f>
        <v>1200</v>
      </c>
      <c r="D116" s="351">
        <f t="shared" si="35"/>
        <v>15069</v>
      </c>
      <c r="E116" s="352">
        <f t="shared" si="36"/>
        <v>15069</v>
      </c>
      <c r="F116" s="350">
        <f>'reservecalc-external'!C1742</f>
        <v>900</v>
      </c>
      <c r="G116" s="351">
        <f t="shared" si="37"/>
        <v>15969</v>
      </c>
      <c r="H116" s="352">
        <f t="shared" si="38"/>
        <v>15969</v>
      </c>
      <c r="I116" s="350">
        <f>'reservecalc-external'!D1742</f>
        <v>800</v>
      </c>
      <c r="J116" s="351">
        <f t="shared" si="39"/>
        <v>16769</v>
      </c>
      <c r="K116" s="352">
        <f t="shared" si="40"/>
        <v>16769</v>
      </c>
      <c r="L116" s="350">
        <f>'reservecalc-external'!E1742</f>
        <v>800</v>
      </c>
      <c r="M116" s="351">
        <f t="shared" si="41"/>
        <v>17569</v>
      </c>
      <c r="N116" s="352">
        <f t="shared" si="42"/>
        <v>17569</v>
      </c>
      <c r="O116" s="350">
        <f>'reservecalc-external'!F1742</f>
        <v>800</v>
      </c>
      <c r="P116" s="351">
        <f t="shared" si="43"/>
        <v>18369</v>
      </c>
      <c r="Q116" s="352">
        <f t="shared" si="44"/>
        <v>18369</v>
      </c>
      <c r="R116" s="350">
        <f>'reservecalc-external'!G1742</f>
        <v>600</v>
      </c>
      <c r="S116" s="351">
        <f t="shared" si="45"/>
        <v>18969</v>
      </c>
      <c r="T116" s="352">
        <f t="shared" si="46"/>
        <v>18969</v>
      </c>
      <c r="U116" s="350">
        <f>'reservecalc-external'!H1742</f>
        <v>600</v>
      </c>
      <c r="V116" s="351">
        <f t="shared" si="47"/>
        <v>19569</v>
      </c>
      <c r="W116" s="352">
        <f t="shared" si="48"/>
        <v>19569</v>
      </c>
      <c r="X116" s="350">
        <f>'reservecalc-external'!I1742</f>
        <v>600</v>
      </c>
      <c r="Y116" s="351">
        <f t="shared" si="49"/>
        <v>20169</v>
      </c>
      <c r="Z116" s="352">
        <f t="shared" si="50"/>
        <v>20169</v>
      </c>
      <c r="AA116" s="350">
        <f>'reservecalc-external'!J1742</f>
        <v>600</v>
      </c>
      <c r="AB116" s="351">
        <f t="shared" si="51"/>
        <v>20769</v>
      </c>
    </row>
    <row r="117" spans="1:29" x14ac:dyDescent="0.25">
      <c r="A117" s="75" t="s">
        <v>4248</v>
      </c>
      <c r="B117" s="349">
        <v>3789</v>
      </c>
      <c r="C117" s="350">
        <f>'reservecalc-external'!B1773</f>
        <v>300</v>
      </c>
      <c r="D117" s="351">
        <f t="shared" si="35"/>
        <v>4089</v>
      </c>
      <c r="E117" s="352">
        <f t="shared" si="36"/>
        <v>4089</v>
      </c>
      <c r="F117" s="350">
        <f>'reservecalc-external'!C1773</f>
        <v>200</v>
      </c>
      <c r="G117" s="351">
        <f t="shared" si="37"/>
        <v>4289</v>
      </c>
      <c r="H117" s="352">
        <f t="shared" si="38"/>
        <v>4289</v>
      </c>
      <c r="I117" s="350">
        <f>'reservecalc-external'!D1773</f>
        <v>200</v>
      </c>
      <c r="J117" s="351">
        <f t="shared" si="39"/>
        <v>4489</v>
      </c>
      <c r="K117" s="352">
        <f t="shared" si="40"/>
        <v>4489</v>
      </c>
      <c r="L117" s="350">
        <f>'reservecalc-external'!E1773</f>
        <v>200</v>
      </c>
      <c r="M117" s="351">
        <f t="shared" si="41"/>
        <v>4689</v>
      </c>
      <c r="N117" s="352">
        <f t="shared" si="42"/>
        <v>4689</v>
      </c>
      <c r="O117" s="350">
        <f>'reservecalc-external'!F1773</f>
        <v>200</v>
      </c>
      <c r="P117" s="351">
        <f t="shared" si="43"/>
        <v>4889</v>
      </c>
      <c r="Q117" s="352">
        <f t="shared" si="44"/>
        <v>4889</v>
      </c>
      <c r="R117" s="350">
        <f>'reservecalc-external'!G1773</f>
        <v>100</v>
      </c>
      <c r="S117" s="351">
        <f t="shared" si="45"/>
        <v>4989</v>
      </c>
      <c r="T117" s="352">
        <f t="shared" si="46"/>
        <v>4989</v>
      </c>
      <c r="U117" s="350">
        <f>'reservecalc-external'!H1773</f>
        <v>100</v>
      </c>
      <c r="V117" s="351">
        <f t="shared" si="47"/>
        <v>5089</v>
      </c>
      <c r="W117" s="352">
        <f t="shared" si="48"/>
        <v>5089</v>
      </c>
      <c r="X117" s="350">
        <f>'reservecalc-external'!I1773</f>
        <v>100</v>
      </c>
      <c r="Y117" s="351">
        <f t="shared" si="49"/>
        <v>5189</v>
      </c>
      <c r="Z117" s="352">
        <f t="shared" si="50"/>
        <v>5189</v>
      </c>
      <c r="AA117" s="350">
        <f>'reservecalc-external'!J1773</f>
        <v>100</v>
      </c>
      <c r="AB117" s="351">
        <f t="shared" si="51"/>
        <v>5289</v>
      </c>
    </row>
    <row r="118" spans="1:29" x14ac:dyDescent="0.25">
      <c r="A118" s="75" t="s">
        <v>4249</v>
      </c>
      <c r="B118" s="349">
        <v>5551</v>
      </c>
      <c r="C118" s="350">
        <f>'reservecalc-external'!B1804</f>
        <v>200</v>
      </c>
      <c r="D118" s="351">
        <f t="shared" si="35"/>
        <v>5751</v>
      </c>
      <c r="E118" s="352">
        <f t="shared" si="36"/>
        <v>5751</v>
      </c>
      <c r="F118" s="350">
        <f>'reservecalc-external'!C1804</f>
        <v>100</v>
      </c>
      <c r="G118" s="351">
        <f t="shared" si="37"/>
        <v>5851</v>
      </c>
      <c r="H118" s="352">
        <f t="shared" si="38"/>
        <v>5851</v>
      </c>
      <c r="I118" s="350">
        <f>'reservecalc-external'!D1804</f>
        <v>100</v>
      </c>
      <c r="J118" s="351">
        <f t="shared" si="39"/>
        <v>5951</v>
      </c>
      <c r="K118" s="352">
        <f t="shared" si="40"/>
        <v>5951</v>
      </c>
      <c r="L118" s="350">
        <f>'reservecalc-external'!E1804</f>
        <v>100</v>
      </c>
      <c r="M118" s="351">
        <f t="shared" si="41"/>
        <v>6051</v>
      </c>
      <c r="N118" s="352">
        <f t="shared" si="42"/>
        <v>6051</v>
      </c>
      <c r="O118" s="350">
        <f>'reservecalc-external'!F1804</f>
        <v>100</v>
      </c>
      <c r="P118" s="351">
        <f t="shared" si="43"/>
        <v>6151</v>
      </c>
      <c r="Q118" s="352">
        <f t="shared" si="44"/>
        <v>6151</v>
      </c>
      <c r="R118" s="350">
        <f>'reservecalc-external'!G1804</f>
        <v>100</v>
      </c>
      <c r="S118" s="351">
        <f t="shared" si="45"/>
        <v>6251</v>
      </c>
      <c r="T118" s="352">
        <f t="shared" si="46"/>
        <v>6251</v>
      </c>
      <c r="U118" s="350">
        <f>'reservecalc-external'!H1804</f>
        <v>100</v>
      </c>
      <c r="V118" s="351">
        <f t="shared" si="47"/>
        <v>6351</v>
      </c>
      <c r="W118" s="352">
        <f t="shared" si="48"/>
        <v>6351</v>
      </c>
      <c r="X118" s="350">
        <f>'reservecalc-external'!I1804</f>
        <v>100</v>
      </c>
      <c r="Y118" s="351">
        <f t="shared" si="49"/>
        <v>6451</v>
      </c>
      <c r="Z118" s="352">
        <f t="shared" si="50"/>
        <v>6451</v>
      </c>
      <c r="AA118" s="350">
        <f>'reservecalc-external'!J1804</f>
        <v>100</v>
      </c>
      <c r="AB118" s="351">
        <f t="shared" si="51"/>
        <v>6551</v>
      </c>
    </row>
    <row r="119" spans="1:29" x14ac:dyDescent="0.25">
      <c r="A119" s="75" t="s">
        <v>4250</v>
      </c>
      <c r="B119" s="349">
        <v>553</v>
      </c>
      <c r="C119" s="350">
        <f>'reservecalc-external'!B1835</f>
        <v>0</v>
      </c>
      <c r="D119" s="351">
        <f t="shared" si="35"/>
        <v>553</v>
      </c>
      <c r="E119" s="352">
        <f t="shared" si="36"/>
        <v>553</v>
      </c>
      <c r="F119" s="350">
        <f>'reservecalc-external'!C1835</f>
        <v>0</v>
      </c>
      <c r="G119" s="351">
        <f t="shared" si="37"/>
        <v>553</v>
      </c>
      <c r="H119" s="352">
        <f t="shared" si="38"/>
        <v>553</v>
      </c>
      <c r="I119" s="350">
        <f>'reservecalc-external'!D1835</f>
        <v>0</v>
      </c>
      <c r="J119" s="351">
        <f t="shared" si="39"/>
        <v>553</v>
      </c>
      <c r="K119" s="352">
        <f t="shared" si="40"/>
        <v>553</v>
      </c>
      <c r="L119" s="350">
        <f>'reservecalc-external'!E1835</f>
        <v>0</v>
      </c>
      <c r="M119" s="351">
        <f t="shared" si="41"/>
        <v>553</v>
      </c>
      <c r="N119" s="352">
        <f t="shared" si="42"/>
        <v>553</v>
      </c>
      <c r="O119" s="350">
        <f>'reservecalc-external'!F1835</f>
        <v>0</v>
      </c>
      <c r="P119" s="351">
        <f t="shared" si="43"/>
        <v>553</v>
      </c>
      <c r="Q119" s="352">
        <f t="shared" si="44"/>
        <v>553</v>
      </c>
      <c r="R119" s="350">
        <f>'reservecalc-external'!G1835</f>
        <v>0</v>
      </c>
      <c r="S119" s="351">
        <f t="shared" si="45"/>
        <v>553</v>
      </c>
      <c r="T119" s="352">
        <f t="shared" si="46"/>
        <v>553</v>
      </c>
      <c r="U119" s="350">
        <f>'reservecalc-external'!H1835</f>
        <v>0</v>
      </c>
      <c r="V119" s="351">
        <f t="shared" si="47"/>
        <v>553</v>
      </c>
      <c r="W119" s="352">
        <f t="shared" si="48"/>
        <v>553</v>
      </c>
      <c r="X119" s="350">
        <f>'reservecalc-external'!I1835</f>
        <v>0</v>
      </c>
      <c r="Y119" s="351">
        <f t="shared" si="49"/>
        <v>553</v>
      </c>
      <c r="Z119" s="352">
        <f t="shared" si="50"/>
        <v>553</v>
      </c>
      <c r="AA119" s="350">
        <f>'reservecalc-external'!J1835</f>
        <v>0</v>
      </c>
      <c r="AB119" s="351">
        <f t="shared" si="51"/>
        <v>553</v>
      </c>
    </row>
    <row r="120" spans="1:29" x14ac:dyDescent="0.25">
      <c r="A120" s="75" t="s">
        <v>4251</v>
      </c>
      <c r="B120" s="349">
        <v>13450</v>
      </c>
      <c r="C120" s="350">
        <f>'reservecalc-external'!B1866</f>
        <v>1300</v>
      </c>
      <c r="D120" s="351">
        <f t="shared" si="35"/>
        <v>14750</v>
      </c>
      <c r="E120" s="352">
        <f t="shared" si="36"/>
        <v>14750</v>
      </c>
      <c r="F120" s="350">
        <f>'reservecalc-external'!C1866</f>
        <v>1000</v>
      </c>
      <c r="G120" s="351">
        <f t="shared" si="37"/>
        <v>15750</v>
      </c>
      <c r="H120" s="352">
        <f t="shared" si="38"/>
        <v>15750</v>
      </c>
      <c r="I120" s="350">
        <f>'reservecalc-external'!D1866</f>
        <v>800</v>
      </c>
      <c r="J120" s="351">
        <f t="shared" si="39"/>
        <v>16550</v>
      </c>
      <c r="K120" s="352">
        <f t="shared" si="40"/>
        <v>16550</v>
      </c>
      <c r="L120" s="350">
        <f>'reservecalc-external'!E1866</f>
        <v>800</v>
      </c>
      <c r="M120" s="351">
        <f t="shared" si="41"/>
        <v>17350</v>
      </c>
      <c r="N120" s="352">
        <f t="shared" si="42"/>
        <v>17350</v>
      </c>
      <c r="O120" s="350">
        <f>'reservecalc-external'!F1866</f>
        <v>800</v>
      </c>
      <c r="P120" s="351">
        <f t="shared" si="43"/>
        <v>18150</v>
      </c>
      <c r="Q120" s="352">
        <f t="shared" si="44"/>
        <v>18150</v>
      </c>
      <c r="R120" s="350">
        <f>'reservecalc-external'!G1866</f>
        <v>700</v>
      </c>
      <c r="S120" s="351">
        <f t="shared" si="45"/>
        <v>18850</v>
      </c>
      <c r="T120" s="352">
        <f t="shared" si="46"/>
        <v>18850</v>
      </c>
      <c r="U120" s="350">
        <f>'reservecalc-external'!H1866</f>
        <v>700</v>
      </c>
      <c r="V120" s="351">
        <f t="shared" si="47"/>
        <v>19550</v>
      </c>
      <c r="W120" s="352">
        <f t="shared" si="48"/>
        <v>19550</v>
      </c>
      <c r="X120" s="350">
        <f>'reservecalc-external'!I1866</f>
        <v>700</v>
      </c>
      <c r="Y120" s="351">
        <f t="shared" si="49"/>
        <v>20250</v>
      </c>
      <c r="Z120" s="352">
        <f t="shared" si="50"/>
        <v>20250</v>
      </c>
      <c r="AA120" s="350">
        <f>'reservecalc-external'!J1866</f>
        <v>700</v>
      </c>
      <c r="AB120" s="351">
        <f t="shared" si="51"/>
        <v>20950</v>
      </c>
    </row>
    <row r="121" spans="1:29" x14ac:dyDescent="0.25">
      <c r="A121" s="75" t="s">
        <v>4252</v>
      </c>
      <c r="B121" s="349">
        <v>145070</v>
      </c>
      <c r="C121" s="350">
        <f>'reservecalc-external'!B1897</f>
        <v>7600</v>
      </c>
      <c r="D121" s="351">
        <f t="shared" si="35"/>
        <v>152670</v>
      </c>
      <c r="E121" s="352">
        <f t="shared" si="36"/>
        <v>152670</v>
      </c>
      <c r="F121" s="350">
        <f>'reservecalc-external'!C1897</f>
        <v>6100</v>
      </c>
      <c r="G121" s="351">
        <f t="shared" si="37"/>
        <v>158770</v>
      </c>
      <c r="H121" s="352">
        <f t="shared" si="38"/>
        <v>158770</v>
      </c>
      <c r="I121" s="350">
        <f>'reservecalc-external'!D1897</f>
        <v>5100</v>
      </c>
      <c r="J121" s="351">
        <f t="shared" si="39"/>
        <v>163870</v>
      </c>
      <c r="K121" s="352">
        <f t="shared" si="40"/>
        <v>163870</v>
      </c>
      <c r="L121" s="350">
        <f>'reservecalc-external'!E1897</f>
        <v>5100</v>
      </c>
      <c r="M121" s="351">
        <f t="shared" si="41"/>
        <v>168970</v>
      </c>
      <c r="N121" s="352">
        <f t="shared" si="42"/>
        <v>168970</v>
      </c>
      <c r="O121" s="350">
        <f>'reservecalc-external'!F1897</f>
        <v>5100</v>
      </c>
      <c r="P121" s="351">
        <f t="shared" si="43"/>
        <v>174070</v>
      </c>
      <c r="Q121" s="352">
        <f t="shared" si="44"/>
        <v>174070</v>
      </c>
      <c r="R121" s="350">
        <f>'reservecalc-external'!G1897</f>
        <v>4000</v>
      </c>
      <c r="S121" s="351">
        <f t="shared" si="45"/>
        <v>178070</v>
      </c>
      <c r="T121" s="352">
        <f t="shared" si="46"/>
        <v>178070</v>
      </c>
      <c r="U121" s="350">
        <f>'reservecalc-external'!H1897</f>
        <v>4000</v>
      </c>
      <c r="V121" s="351">
        <f t="shared" si="47"/>
        <v>182070</v>
      </c>
      <c r="W121" s="352">
        <f t="shared" si="48"/>
        <v>182070</v>
      </c>
      <c r="X121" s="350">
        <f>'reservecalc-external'!I1897</f>
        <v>4000</v>
      </c>
      <c r="Y121" s="351">
        <f t="shared" si="49"/>
        <v>186070</v>
      </c>
      <c r="Z121" s="352">
        <f t="shared" si="50"/>
        <v>186070</v>
      </c>
      <c r="AA121" s="350">
        <f>'reservecalc-external'!J1897</f>
        <v>4000</v>
      </c>
      <c r="AB121" s="351">
        <f t="shared" si="51"/>
        <v>190070</v>
      </c>
    </row>
    <row r="122" spans="1:29" x14ac:dyDescent="0.25">
      <c r="A122" s="190" t="s">
        <v>4191</v>
      </c>
      <c r="B122" s="349">
        <f>723728+71700</f>
        <v>795428</v>
      </c>
      <c r="C122" s="350">
        <f>'reservecalc-external'!B1928</f>
        <v>59800</v>
      </c>
      <c r="D122" s="351">
        <f t="shared" si="35"/>
        <v>855228</v>
      </c>
      <c r="E122" s="352">
        <f t="shared" si="36"/>
        <v>855228</v>
      </c>
      <c r="F122" s="350">
        <f>'reservecalc-external'!C1928</f>
        <v>47800</v>
      </c>
      <c r="G122" s="351">
        <f t="shared" si="37"/>
        <v>903028</v>
      </c>
      <c r="H122" s="352">
        <f t="shared" si="38"/>
        <v>903028</v>
      </c>
      <c r="I122" s="350">
        <f>'reservecalc-external'!D1928</f>
        <v>39800</v>
      </c>
      <c r="J122" s="351">
        <f t="shared" si="39"/>
        <v>942828</v>
      </c>
      <c r="K122" s="352">
        <f t="shared" si="40"/>
        <v>942828</v>
      </c>
      <c r="L122" s="350">
        <f>'reservecalc-external'!E1928</f>
        <v>39800</v>
      </c>
      <c r="M122" s="351">
        <f t="shared" si="41"/>
        <v>982628</v>
      </c>
      <c r="N122" s="352">
        <f t="shared" si="42"/>
        <v>982628</v>
      </c>
      <c r="O122" s="350">
        <f>'reservecalc-external'!F1928</f>
        <v>39800</v>
      </c>
      <c r="P122" s="351">
        <f t="shared" si="43"/>
        <v>1022428</v>
      </c>
      <c r="Q122" s="352">
        <f t="shared" si="44"/>
        <v>1022428</v>
      </c>
      <c r="R122" s="350">
        <f>'reservecalc-external'!G1928</f>
        <v>31900</v>
      </c>
      <c r="S122" s="351">
        <f t="shared" si="45"/>
        <v>1054328</v>
      </c>
      <c r="T122" s="352">
        <f t="shared" si="46"/>
        <v>1054328</v>
      </c>
      <c r="U122" s="350">
        <f>'reservecalc-external'!H1928</f>
        <v>31900</v>
      </c>
      <c r="V122" s="351">
        <f t="shared" si="47"/>
        <v>1086228</v>
      </c>
      <c r="W122" s="352">
        <f t="shared" si="48"/>
        <v>1086228</v>
      </c>
      <c r="X122" s="350">
        <f>'reservecalc-external'!I1928</f>
        <v>31900</v>
      </c>
      <c r="Y122" s="351">
        <f t="shared" si="49"/>
        <v>1118128</v>
      </c>
      <c r="Z122" s="352">
        <f t="shared" si="50"/>
        <v>1118128</v>
      </c>
      <c r="AA122" s="350">
        <f>'reservecalc-external'!J1928</f>
        <v>31900</v>
      </c>
      <c r="AB122" s="351">
        <f t="shared" si="51"/>
        <v>1150028</v>
      </c>
    </row>
    <row r="123" spans="1:29" x14ac:dyDescent="0.25">
      <c r="A123" s="274" t="s">
        <v>4145</v>
      </c>
      <c r="B123" s="349">
        <v>3722264</v>
      </c>
      <c r="C123" s="350">
        <f>'reservecalc-external'!B1959</f>
        <v>0</v>
      </c>
      <c r="D123" s="351">
        <f t="shared" si="35"/>
        <v>3722264</v>
      </c>
      <c r="E123" s="352">
        <f t="shared" si="36"/>
        <v>3722264</v>
      </c>
      <c r="F123" s="350">
        <f>'reservecalc-external'!C1959</f>
        <v>0</v>
      </c>
      <c r="G123" s="351">
        <f t="shared" si="37"/>
        <v>3722264</v>
      </c>
      <c r="H123" s="352">
        <f t="shared" si="38"/>
        <v>3722264</v>
      </c>
      <c r="I123" s="350">
        <f>'reservecalc-external'!D1959</f>
        <v>0</v>
      </c>
      <c r="J123" s="351">
        <f t="shared" si="39"/>
        <v>3722264</v>
      </c>
      <c r="K123" s="352">
        <f t="shared" si="40"/>
        <v>3722264</v>
      </c>
      <c r="L123" s="350">
        <f>'reservecalc-external'!E1959</f>
        <v>0</v>
      </c>
      <c r="M123" s="351">
        <f t="shared" si="41"/>
        <v>3722264</v>
      </c>
      <c r="N123" s="352">
        <f t="shared" si="42"/>
        <v>3722264</v>
      </c>
      <c r="O123" s="350">
        <f>'reservecalc-external'!F1959</f>
        <v>0</v>
      </c>
      <c r="P123" s="351">
        <f t="shared" si="43"/>
        <v>3722264</v>
      </c>
      <c r="Q123" s="352">
        <f t="shared" si="44"/>
        <v>3722264</v>
      </c>
      <c r="R123" s="350">
        <f>'reservecalc-external'!G1959</f>
        <v>0</v>
      </c>
      <c r="S123" s="351">
        <f t="shared" si="45"/>
        <v>3722264</v>
      </c>
      <c r="T123" s="352">
        <f t="shared" si="46"/>
        <v>3722264</v>
      </c>
      <c r="U123" s="350">
        <f>'reservecalc-external'!H1959</f>
        <v>0</v>
      </c>
      <c r="V123" s="351">
        <f t="shared" si="47"/>
        <v>3722264</v>
      </c>
      <c r="W123" s="352">
        <f t="shared" si="48"/>
        <v>3722264</v>
      </c>
      <c r="X123" s="350">
        <f>'reservecalc-external'!I1959</f>
        <v>0</v>
      </c>
      <c r="Y123" s="351">
        <f t="shared" si="49"/>
        <v>3722264</v>
      </c>
      <c r="Z123" s="352">
        <f t="shared" si="50"/>
        <v>3722264</v>
      </c>
      <c r="AA123" s="350">
        <f>'reservecalc-external'!J1959</f>
        <v>0</v>
      </c>
      <c r="AB123" s="351">
        <f t="shared" si="51"/>
        <v>3722264</v>
      </c>
    </row>
    <row r="124" spans="1:29" x14ac:dyDescent="0.25">
      <c r="A124" s="274"/>
      <c r="B124" s="349"/>
      <c r="C124" s="350"/>
      <c r="D124" s="351"/>
      <c r="E124" s="352"/>
      <c r="F124" s="350"/>
      <c r="G124" s="351"/>
      <c r="H124" s="352"/>
      <c r="I124" s="350"/>
      <c r="J124" s="351"/>
      <c r="K124" s="352"/>
      <c r="L124" s="350"/>
      <c r="M124" s="351"/>
      <c r="N124" s="352"/>
      <c r="O124" s="350"/>
      <c r="P124" s="351"/>
      <c r="Q124" s="352"/>
      <c r="R124" s="350"/>
      <c r="S124" s="351"/>
      <c r="T124" s="352"/>
      <c r="U124" s="350"/>
      <c r="V124" s="351"/>
      <c r="W124" s="352"/>
      <c r="X124" s="350"/>
      <c r="Y124" s="351"/>
      <c r="Z124" s="352"/>
      <c r="AA124" s="350"/>
      <c r="AB124" s="351"/>
    </row>
    <row r="125" spans="1:29" x14ac:dyDescent="0.25">
      <c r="A125" s="47" t="s">
        <v>4168</v>
      </c>
      <c r="B125" s="353">
        <f t="shared" ref="B125:AB125" si="52">SUM(B61:B124)</f>
        <v>21320611</v>
      </c>
      <c r="C125" s="354">
        <f t="shared" si="52"/>
        <v>1958300</v>
      </c>
      <c r="D125" s="355">
        <f t="shared" si="52"/>
        <v>23278911</v>
      </c>
      <c r="E125" s="356">
        <f t="shared" si="52"/>
        <v>23278911</v>
      </c>
      <c r="F125" s="354">
        <f t="shared" si="52"/>
        <v>2326000</v>
      </c>
      <c r="G125" s="355">
        <f t="shared" si="52"/>
        <v>25604911</v>
      </c>
      <c r="H125" s="356">
        <f t="shared" si="52"/>
        <v>25604911</v>
      </c>
      <c r="I125" s="354">
        <f t="shared" si="52"/>
        <v>1862800</v>
      </c>
      <c r="J125" s="355">
        <f t="shared" si="52"/>
        <v>27467711</v>
      </c>
      <c r="K125" s="356">
        <f t="shared" si="52"/>
        <v>27467711</v>
      </c>
      <c r="L125" s="354">
        <f t="shared" si="52"/>
        <v>2272800</v>
      </c>
      <c r="M125" s="355">
        <f t="shared" si="52"/>
        <v>29740511</v>
      </c>
      <c r="N125" s="356">
        <f t="shared" si="52"/>
        <v>29740511</v>
      </c>
      <c r="O125" s="354">
        <f t="shared" si="52"/>
        <v>2359300</v>
      </c>
      <c r="P125" s="355">
        <f t="shared" si="52"/>
        <v>32099811</v>
      </c>
      <c r="Q125" s="356">
        <f t="shared" si="52"/>
        <v>32099811</v>
      </c>
      <c r="R125" s="354">
        <f t="shared" si="52"/>
        <v>2215200</v>
      </c>
      <c r="S125" s="355">
        <f t="shared" si="52"/>
        <v>34315011</v>
      </c>
      <c r="T125" s="356">
        <f t="shared" si="52"/>
        <v>34315011</v>
      </c>
      <c r="U125" s="354">
        <f t="shared" si="52"/>
        <v>2275900</v>
      </c>
      <c r="V125" s="355">
        <f t="shared" si="52"/>
        <v>36590911</v>
      </c>
      <c r="W125" s="356">
        <f t="shared" si="52"/>
        <v>36590911</v>
      </c>
      <c r="X125" s="354">
        <f t="shared" si="52"/>
        <v>2351400</v>
      </c>
      <c r="Y125" s="355">
        <f t="shared" si="52"/>
        <v>38942311</v>
      </c>
      <c r="Z125" s="356">
        <f t="shared" si="52"/>
        <v>38942311</v>
      </c>
      <c r="AA125" s="354">
        <f t="shared" si="52"/>
        <v>2515400</v>
      </c>
      <c r="AB125" s="355">
        <f t="shared" si="52"/>
        <v>41457711</v>
      </c>
      <c r="AC125" s="47"/>
    </row>
    <row r="126" spans="1:29" x14ac:dyDescent="0.25">
      <c r="B126" s="349"/>
      <c r="C126" s="350"/>
      <c r="D126" s="351"/>
      <c r="E126" s="352"/>
      <c r="F126" s="350"/>
      <c r="G126" s="351"/>
      <c r="H126" s="352"/>
      <c r="I126" s="350"/>
      <c r="J126" s="351"/>
      <c r="K126" s="352"/>
      <c r="L126" s="350"/>
      <c r="M126" s="351"/>
      <c r="N126" s="352"/>
      <c r="O126" s="350"/>
      <c r="P126" s="351"/>
      <c r="Q126" s="352"/>
      <c r="R126" s="350"/>
      <c r="S126" s="351"/>
      <c r="T126" s="352"/>
      <c r="U126" s="350"/>
      <c r="V126" s="351"/>
      <c r="W126" s="352"/>
      <c r="X126" s="350"/>
      <c r="Y126" s="351"/>
      <c r="Z126" s="352"/>
      <c r="AA126" s="350"/>
      <c r="AB126" s="351"/>
    </row>
    <row r="127" spans="1:29" ht="15.75" thickBot="1" x14ac:dyDescent="0.3">
      <c r="A127" s="47" t="s">
        <v>4159</v>
      </c>
      <c r="B127" s="357">
        <f t="shared" ref="B127:AB127" si="53">B58+B125</f>
        <v>34930852.450000003</v>
      </c>
      <c r="C127" s="358">
        <f t="shared" si="53"/>
        <v>-1483300</v>
      </c>
      <c r="D127" s="359">
        <f t="shared" si="53"/>
        <v>33447552.449999999</v>
      </c>
      <c r="E127" s="360">
        <f t="shared" si="53"/>
        <v>33447552.449999999</v>
      </c>
      <c r="F127" s="358">
        <f t="shared" si="53"/>
        <v>2942800</v>
      </c>
      <c r="G127" s="359">
        <f t="shared" si="53"/>
        <v>36390352.450000003</v>
      </c>
      <c r="H127" s="360">
        <f t="shared" si="53"/>
        <v>36390352.450000003</v>
      </c>
      <c r="I127" s="358">
        <f t="shared" si="53"/>
        <v>1322299</v>
      </c>
      <c r="J127" s="359">
        <f t="shared" si="53"/>
        <v>37712651.450000003</v>
      </c>
      <c r="K127" s="360">
        <f t="shared" si="53"/>
        <v>37712651.450000003</v>
      </c>
      <c r="L127" s="358">
        <f t="shared" si="53"/>
        <v>4095500</v>
      </c>
      <c r="M127" s="359">
        <f t="shared" si="53"/>
        <v>41808151.450000003</v>
      </c>
      <c r="N127" s="360">
        <f t="shared" si="53"/>
        <v>41808151.450000003</v>
      </c>
      <c r="O127" s="358">
        <f t="shared" si="53"/>
        <v>4298700</v>
      </c>
      <c r="P127" s="359">
        <f t="shared" si="53"/>
        <v>46106851.450000003</v>
      </c>
      <c r="Q127" s="360">
        <f t="shared" si="53"/>
        <v>46106851.450000003</v>
      </c>
      <c r="R127" s="358">
        <f t="shared" si="53"/>
        <v>4272000</v>
      </c>
      <c r="S127" s="359">
        <f t="shared" si="53"/>
        <v>50378851.450000003</v>
      </c>
      <c r="T127" s="360">
        <f t="shared" si="53"/>
        <v>50378851.450000003</v>
      </c>
      <c r="U127" s="358">
        <f t="shared" si="53"/>
        <v>4287300</v>
      </c>
      <c r="V127" s="359">
        <f t="shared" si="53"/>
        <v>54666151.450000003</v>
      </c>
      <c r="W127" s="360">
        <f t="shared" si="53"/>
        <v>54666151.450000003</v>
      </c>
      <c r="X127" s="358">
        <f t="shared" si="53"/>
        <v>4471700</v>
      </c>
      <c r="Y127" s="359">
        <f t="shared" si="53"/>
        <v>59137851.450000003</v>
      </c>
      <c r="Z127" s="360">
        <f t="shared" si="53"/>
        <v>59137851.450000003</v>
      </c>
      <c r="AA127" s="358">
        <f t="shared" si="53"/>
        <v>4639900</v>
      </c>
      <c r="AB127" s="359">
        <f t="shared" si="53"/>
        <v>63777751.450000003</v>
      </c>
    </row>
    <row r="128" spans="1:29" ht="15.75" thickTop="1" x14ac:dyDescent="0.25">
      <c r="B128" s="349"/>
      <c r="C128" s="350"/>
      <c r="D128" s="351"/>
      <c r="E128" s="352"/>
      <c r="F128" s="350"/>
      <c r="G128" s="351"/>
      <c r="H128" s="352"/>
      <c r="I128" s="350"/>
      <c r="J128" s="351"/>
      <c r="K128" s="352"/>
      <c r="L128" s="350"/>
      <c r="M128" s="351"/>
      <c r="N128" s="352"/>
      <c r="O128" s="350"/>
      <c r="P128" s="351"/>
      <c r="Q128" s="352"/>
      <c r="R128" s="350"/>
      <c r="S128" s="351"/>
      <c r="T128" s="352"/>
      <c r="U128" s="350"/>
      <c r="V128" s="351"/>
      <c r="W128" s="352"/>
      <c r="X128" s="350"/>
      <c r="Y128" s="351"/>
      <c r="Z128" s="352"/>
      <c r="AA128" s="350"/>
      <c r="AB128" s="351"/>
    </row>
    <row r="129" spans="1:28" x14ac:dyDescent="0.25">
      <c r="A129" s="47" t="s">
        <v>3224</v>
      </c>
      <c r="B129" s="349"/>
      <c r="C129" s="350"/>
      <c r="D129" s="351"/>
      <c r="E129" s="352"/>
      <c r="F129" s="350"/>
      <c r="G129" s="351"/>
      <c r="H129" s="352"/>
      <c r="I129" s="350"/>
      <c r="J129" s="351"/>
      <c r="K129" s="352"/>
      <c r="L129" s="350"/>
      <c r="M129" s="351"/>
      <c r="N129" s="352"/>
      <c r="O129" s="350"/>
      <c r="P129" s="351"/>
      <c r="Q129" s="352"/>
      <c r="R129" s="350"/>
      <c r="S129" s="351"/>
      <c r="T129" s="352"/>
      <c r="U129" s="350"/>
      <c r="V129" s="351"/>
      <c r="W129" s="352"/>
      <c r="X129" s="350"/>
      <c r="Y129" s="351"/>
      <c r="Z129" s="352"/>
      <c r="AA129" s="350"/>
      <c r="AB129" s="351"/>
    </row>
    <row r="130" spans="1:28" x14ac:dyDescent="0.25">
      <c r="A130" s="47"/>
      <c r="B130" s="349"/>
      <c r="C130" s="350"/>
      <c r="D130" s="351"/>
      <c r="E130" s="352"/>
      <c r="F130" s="350"/>
      <c r="G130" s="351"/>
      <c r="H130" s="352"/>
      <c r="I130" s="350"/>
      <c r="J130" s="351"/>
      <c r="K130" s="352"/>
      <c r="L130" s="350"/>
      <c r="M130" s="351"/>
      <c r="N130" s="352"/>
      <c r="O130" s="350"/>
      <c r="P130" s="351"/>
      <c r="Q130" s="352"/>
      <c r="R130" s="350"/>
      <c r="S130" s="351"/>
      <c r="T130" s="352"/>
      <c r="U130" s="350"/>
      <c r="V130" s="351"/>
      <c r="W130" s="352"/>
      <c r="X130" s="350"/>
      <c r="Y130" s="351"/>
      <c r="Z130" s="352"/>
      <c r="AA130" s="350"/>
      <c r="AB130" s="351"/>
    </row>
    <row r="131" spans="1:28" x14ac:dyDescent="0.25">
      <c r="A131" s="47" t="s">
        <v>4167</v>
      </c>
      <c r="B131" s="349"/>
      <c r="C131" s="350"/>
      <c r="D131" s="351"/>
      <c r="E131" s="352"/>
      <c r="F131" s="350"/>
      <c r="G131" s="351"/>
      <c r="H131" s="352"/>
      <c r="I131" s="350"/>
      <c r="J131" s="351"/>
      <c r="K131" s="352"/>
      <c r="L131" s="350"/>
      <c r="M131" s="351"/>
      <c r="N131" s="352"/>
      <c r="O131" s="350"/>
      <c r="P131" s="351"/>
      <c r="Q131" s="352"/>
      <c r="R131" s="350"/>
      <c r="S131" s="351"/>
      <c r="T131" s="352"/>
      <c r="U131" s="350"/>
      <c r="V131" s="351"/>
      <c r="W131" s="352"/>
      <c r="X131" s="350"/>
      <c r="Y131" s="351"/>
      <c r="Z131" s="352"/>
      <c r="AA131" s="350"/>
      <c r="AB131" s="351"/>
    </row>
    <row r="132" spans="1:28" x14ac:dyDescent="0.25">
      <c r="A132" t="s">
        <v>4192</v>
      </c>
      <c r="B132" s="349">
        <v>3875573</v>
      </c>
      <c r="C132" s="350">
        <f>'reservecalc-external'!B2000</f>
        <v>-1401236</v>
      </c>
      <c r="D132" s="351">
        <f t="shared" ref="D132:D133" si="54">B132+C132</f>
        <v>2474337</v>
      </c>
      <c r="E132" s="352">
        <f t="shared" ref="E132:E133" si="55">D132</f>
        <v>2474337</v>
      </c>
      <c r="F132" s="350">
        <f>'reservecalc-external'!C2000</f>
        <v>490000</v>
      </c>
      <c r="G132" s="351">
        <f t="shared" ref="G132:G133" si="56">E132+F132</f>
        <v>2964337</v>
      </c>
      <c r="H132" s="352">
        <f t="shared" ref="H132:H133" si="57">G132</f>
        <v>2964337</v>
      </c>
      <c r="I132" s="350">
        <f>'reservecalc-external'!D2000</f>
        <v>490000</v>
      </c>
      <c r="J132" s="351">
        <f t="shared" ref="J132:J133" si="58">H132+I132</f>
        <v>3454337</v>
      </c>
      <c r="K132" s="352">
        <f t="shared" ref="K132:K133" si="59">J132</f>
        <v>3454337</v>
      </c>
      <c r="L132" s="350">
        <f>'reservecalc-external'!E2000</f>
        <v>390000</v>
      </c>
      <c r="M132" s="351">
        <f t="shared" ref="M132:M133" si="60">K132+L132</f>
        <v>3844337</v>
      </c>
      <c r="N132" s="352">
        <f t="shared" ref="N132:N133" si="61">M132</f>
        <v>3844337</v>
      </c>
      <c r="O132" s="350">
        <f>'reservecalc-external'!F2000</f>
        <v>-106583</v>
      </c>
      <c r="P132" s="351">
        <f t="shared" ref="P132:P133" si="62">N132+O132</f>
        <v>3737754</v>
      </c>
      <c r="Q132" s="352">
        <f t="shared" ref="Q132:Q133" si="63">P132</f>
        <v>3737754</v>
      </c>
      <c r="R132" s="350">
        <f>'reservecalc-external'!G2000</f>
        <v>490000</v>
      </c>
      <c r="S132" s="351">
        <f t="shared" ref="S132:S133" si="64">Q132+R132</f>
        <v>4227754</v>
      </c>
      <c r="T132" s="352">
        <f t="shared" ref="T132:T133" si="65">S132</f>
        <v>4227754</v>
      </c>
      <c r="U132" s="350">
        <f>'reservecalc-external'!H2000</f>
        <v>490000</v>
      </c>
      <c r="V132" s="351">
        <f t="shared" ref="V132:V133" si="66">T132+U132</f>
        <v>4717754</v>
      </c>
      <c r="W132" s="352">
        <f t="shared" ref="W132:W133" si="67">V132</f>
        <v>4717754</v>
      </c>
      <c r="X132" s="350">
        <f>'reservecalc-external'!I2000</f>
        <v>490000</v>
      </c>
      <c r="Y132" s="351">
        <f t="shared" ref="Y132:Y133" si="68">W132+X132</f>
        <v>5207754</v>
      </c>
      <c r="Z132" s="352">
        <f t="shared" ref="Z132:Z133" si="69">Y132</f>
        <v>5207754</v>
      </c>
      <c r="AA132" s="350">
        <f>'reservecalc-external'!J2000</f>
        <v>440000</v>
      </c>
      <c r="AB132" s="351">
        <f t="shared" ref="AB132:AB133" si="70">Z132+AA132</f>
        <v>5647754</v>
      </c>
    </row>
    <row r="133" spans="1:28" x14ac:dyDescent="0.25">
      <c r="A133" t="s">
        <v>4193</v>
      </c>
      <c r="B133" s="349">
        <f>3933177-291166</f>
        <v>3642011</v>
      </c>
      <c r="C133" s="350">
        <f>'reservecalc-external'!B2030</f>
        <v>-568736</v>
      </c>
      <c r="D133" s="351">
        <f t="shared" si="54"/>
        <v>3073275</v>
      </c>
      <c r="E133" s="352">
        <f t="shared" si="55"/>
        <v>3073275</v>
      </c>
      <c r="F133" s="350">
        <f>'reservecalc-external'!C2030</f>
        <v>-517200</v>
      </c>
      <c r="G133" s="351">
        <f t="shared" si="56"/>
        <v>2556075</v>
      </c>
      <c r="H133" s="352">
        <f t="shared" si="57"/>
        <v>2556075</v>
      </c>
      <c r="I133" s="350">
        <f>'reservecalc-external'!D2030</f>
        <v>1046316</v>
      </c>
      <c r="J133" s="351">
        <f t="shared" si="58"/>
        <v>3602391</v>
      </c>
      <c r="K133" s="352">
        <f t="shared" si="59"/>
        <v>3602391</v>
      </c>
      <c r="L133" s="350">
        <f>'reservecalc-external'!E2030</f>
        <v>332341</v>
      </c>
      <c r="M133" s="351">
        <f t="shared" si="60"/>
        <v>3934732</v>
      </c>
      <c r="N133" s="352">
        <f t="shared" si="61"/>
        <v>3934732</v>
      </c>
      <c r="O133" s="350">
        <f>'reservecalc-external'!F2030</f>
        <v>1128700</v>
      </c>
      <c r="P133" s="351">
        <f t="shared" si="62"/>
        <v>5063432</v>
      </c>
      <c r="Q133" s="352">
        <f t="shared" si="63"/>
        <v>5063432</v>
      </c>
      <c r="R133" s="350">
        <f>'reservecalc-external'!G2030</f>
        <v>-453573</v>
      </c>
      <c r="S133" s="351">
        <f t="shared" si="64"/>
        <v>4609859</v>
      </c>
      <c r="T133" s="352">
        <f t="shared" si="65"/>
        <v>4609859</v>
      </c>
      <c r="U133" s="350">
        <f>'reservecalc-external'!H2030</f>
        <v>825600</v>
      </c>
      <c r="V133" s="351">
        <f t="shared" si="66"/>
        <v>5435459</v>
      </c>
      <c r="W133" s="352">
        <f t="shared" si="67"/>
        <v>5435459</v>
      </c>
      <c r="X133" s="350">
        <f>'reservecalc-external'!I2030</f>
        <v>656100</v>
      </c>
      <c r="Y133" s="351">
        <f t="shared" si="68"/>
        <v>6091559</v>
      </c>
      <c r="Z133" s="352">
        <f t="shared" si="69"/>
        <v>6091559</v>
      </c>
      <c r="AA133" s="350">
        <f>'reservecalc-external'!J2030</f>
        <v>435600</v>
      </c>
      <c r="AB133" s="351">
        <f t="shared" si="70"/>
        <v>6527159</v>
      </c>
    </row>
    <row r="134" spans="1:28" x14ac:dyDescent="0.25">
      <c r="B134" s="349"/>
      <c r="C134" s="350"/>
      <c r="D134" s="351"/>
      <c r="E134" s="352"/>
      <c r="F134" s="350"/>
      <c r="G134" s="351"/>
      <c r="H134" s="352"/>
      <c r="I134" s="350"/>
      <c r="J134" s="351"/>
      <c r="K134" s="352"/>
      <c r="L134" s="350"/>
      <c r="M134" s="351"/>
      <c r="N134" s="352"/>
      <c r="O134" s="350"/>
      <c r="P134" s="351"/>
      <c r="Q134" s="352"/>
      <c r="R134" s="350"/>
      <c r="S134" s="351"/>
      <c r="T134" s="352"/>
      <c r="U134" s="350"/>
      <c r="V134" s="351"/>
      <c r="W134" s="352"/>
      <c r="X134" s="350"/>
      <c r="Y134" s="351"/>
      <c r="Z134" s="352"/>
      <c r="AA134" s="350"/>
      <c r="AB134" s="351"/>
    </row>
    <row r="135" spans="1:28" ht="15.75" thickBot="1" x14ac:dyDescent="0.3">
      <c r="A135" s="47" t="s">
        <v>4165</v>
      </c>
      <c r="B135" s="357">
        <f>SUM(B132:B134)</f>
        <v>7517584</v>
      </c>
      <c r="C135" s="358">
        <f t="shared" ref="C135:AB135" si="71">SUM(C132:C134)</f>
        <v>-1969972</v>
      </c>
      <c r="D135" s="359">
        <f t="shared" si="71"/>
        <v>5547612</v>
      </c>
      <c r="E135" s="360">
        <f t="shared" si="71"/>
        <v>5547612</v>
      </c>
      <c r="F135" s="358">
        <f t="shared" si="71"/>
        <v>-27200</v>
      </c>
      <c r="G135" s="359">
        <f t="shared" si="71"/>
        <v>5520412</v>
      </c>
      <c r="H135" s="360">
        <f t="shared" si="71"/>
        <v>5520412</v>
      </c>
      <c r="I135" s="358">
        <f t="shared" si="71"/>
        <v>1536316</v>
      </c>
      <c r="J135" s="359">
        <f t="shared" si="71"/>
        <v>7056728</v>
      </c>
      <c r="K135" s="360">
        <f t="shared" si="71"/>
        <v>7056728</v>
      </c>
      <c r="L135" s="358">
        <f t="shared" si="71"/>
        <v>722341</v>
      </c>
      <c r="M135" s="359">
        <f t="shared" si="71"/>
        <v>7779069</v>
      </c>
      <c r="N135" s="360">
        <f t="shared" si="71"/>
        <v>7779069</v>
      </c>
      <c r="O135" s="358">
        <f t="shared" si="71"/>
        <v>1022117</v>
      </c>
      <c r="P135" s="359">
        <f t="shared" si="71"/>
        <v>8801186</v>
      </c>
      <c r="Q135" s="360">
        <f t="shared" si="71"/>
        <v>8801186</v>
      </c>
      <c r="R135" s="358">
        <f t="shared" si="71"/>
        <v>36427</v>
      </c>
      <c r="S135" s="359">
        <f t="shared" si="71"/>
        <v>8837613</v>
      </c>
      <c r="T135" s="360">
        <f t="shared" si="71"/>
        <v>8837613</v>
      </c>
      <c r="U135" s="358">
        <f t="shared" si="71"/>
        <v>1315600</v>
      </c>
      <c r="V135" s="359">
        <f t="shared" si="71"/>
        <v>10153213</v>
      </c>
      <c r="W135" s="360">
        <f t="shared" si="71"/>
        <v>10153213</v>
      </c>
      <c r="X135" s="358">
        <f t="shared" si="71"/>
        <v>1146100</v>
      </c>
      <c r="Y135" s="359">
        <f t="shared" si="71"/>
        <v>11299313</v>
      </c>
      <c r="Z135" s="360">
        <f t="shared" si="71"/>
        <v>11299313</v>
      </c>
      <c r="AA135" s="358">
        <f t="shared" si="71"/>
        <v>875600</v>
      </c>
      <c r="AB135" s="359">
        <f t="shared" si="71"/>
        <v>12174913</v>
      </c>
    </row>
    <row r="136" spans="1:28" ht="15.75" thickTop="1" x14ac:dyDescent="0.25">
      <c r="B136" s="349"/>
      <c r="C136" s="350"/>
      <c r="D136" s="351"/>
      <c r="E136" s="352"/>
      <c r="F136" s="350"/>
      <c r="G136" s="351"/>
      <c r="H136" s="352"/>
      <c r="I136" s="350"/>
      <c r="J136" s="351"/>
      <c r="K136" s="352"/>
      <c r="L136" s="350"/>
      <c r="M136" s="351"/>
      <c r="N136" s="352"/>
      <c r="O136" s="350"/>
      <c r="P136" s="351"/>
      <c r="Q136" s="352"/>
      <c r="R136" s="350"/>
      <c r="S136" s="351"/>
      <c r="T136" s="352"/>
      <c r="U136" s="350"/>
      <c r="V136" s="351"/>
      <c r="W136" s="352"/>
      <c r="X136" s="350"/>
      <c r="Y136" s="351"/>
      <c r="Z136" s="352"/>
      <c r="AA136" s="350"/>
      <c r="AB136" s="351"/>
    </row>
    <row r="137" spans="1:28" x14ac:dyDescent="0.25">
      <c r="A137" s="47" t="s">
        <v>4169</v>
      </c>
      <c r="B137" s="349"/>
      <c r="C137" s="350"/>
      <c r="D137" s="351"/>
      <c r="E137" s="352"/>
      <c r="F137" s="350"/>
      <c r="G137" s="351"/>
      <c r="H137" s="352"/>
      <c r="I137" s="350"/>
      <c r="J137" s="351"/>
      <c r="K137" s="352"/>
      <c r="L137" s="350"/>
      <c r="M137" s="351"/>
      <c r="N137" s="352"/>
      <c r="O137" s="350"/>
      <c r="P137" s="351"/>
      <c r="Q137" s="352"/>
      <c r="R137" s="350"/>
      <c r="S137" s="351"/>
      <c r="T137" s="352"/>
      <c r="U137" s="350"/>
      <c r="V137" s="351"/>
      <c r="W137" s="352"/>
      <c r="X137" s="350"/>
      <c r="Y137" s="351"/>
      <c r="Z137" s="352"/>
      <c r="AA137" s="350"/>
      <c r="AB137" s="351"/>
    </row>
    <row r="138" spans="1:28" x14ac:dyDescent="0.25">
      <c r="B138" s="349"/>
      <c r="C138" s="350"/>
      <c r="D138" s="351"/>
      <c r="E138" s="352"/>
      <c r="F138" s="350"/>
      <c r="G138" s="351"/>
      <c r="H138" s="352"/>
      <c r="I138" s="350"/>
      <c r="J138" s="351"/>
      <c r="K138" s="352"/>
      <c r="L138" s="350"/>
      <c r="M138" s="351"/>
      <c r="N138" s="352"/>
      <c r="O138" s="350"/>
      <c r="P138" s="351"/>
      <c r="Q138" s="352"/>
      <c r="R138" s="350"/>
      <c r="S138" s="351"/>
      <c r="T138" s="352"/>
      <c r="U138" s="350"/>
      <c r="V138" s="351"/>
      <c r="W138" s="352"/>
      <c r="X138" s="350"/>
      <c r="Y138" s="351"/>
      <c r="Z138" s="352"/>
      <c r="AA138" s="350"/>
      <c r="AB138" s="351"/>
    </row>
    <row r="139" spans="1:28" x14ac:dyDescent="0.25">
      <c r="A139" s="47" t="s">
        <v>4167</v>
      </c>
      <c r="B139" s="349"/>
      <c r="C139" s="350"/>
      <c r="D139" s="351"/>
      <c r="E139" s="352"/>
      <c r="F139" s="350"/>
      <c r="G139" s="351"/>
      <c r="H139" s="352"/>
      <c r="I139" s="350"/>
      <c r="J139" s="351"/>
      <c r="K139" s="352"/>
      <c r="L139" s="350"/>
      <c r="M139" s="351"/>
      <c r="N139" s="352"/>
      <c r="O139" s="350"/>
      <c r="P139" s="351"/>
      <c r="Q139" s="352"/>
      <c r="R139" s="350"/>
      <c r="S139" s="351"/>
      <c r="T139" s="352"/>
      <c r="U139" s="350"/>
      <c r="V139" s="351"/>
      <c r="W139" s="352"/>
      <c r="X139" s="350"/>
      <c r="Y139" s="351"/>
      <c r="Z139" s="352"/>
      <c r="AA139" s="350"/>
      <c r="AB139" s="351"/>
    </row>
    <row r="140" spans="1:28" x14ac:dyDescent="0.25">
      <c r="A140" t="s">
        <v>4192</v>
      </c>
      <c r="B140" s="349">
        <f>5054227+1492140</f>
        <v>6546367</v>
      </c>
      <c r="C140" s="350">
        <f>'reservecalc-external'!B2069</f>
        <v>550216</v>
      </c>
      <c r="D140" s="351">
        <f t="shared" ref="D140:D142" si="72">B140+C140</f>
        <v>7096583</v>
      </c>
      <c r="E140" s="352">
        <f t="shared" ref="E140:E142" si="73">D140</f>
        <v>7096583</v>
      </c>
      <c r="F140" s="350">
        <f>'reservecalc-external'!C2069</f>
        <v>1180000</v>
      </c>
      <c r="G140" s="351">
        <f t="shared" ref="G140:G142" si="74">E140+F140</f>
        <v>8276583</v>
      </c>
      <c r="H140" s="352">
        <f t="shared" ref="H140:H142" si="75">G140</f>
        <v>8276583</v>
      </c>
      <c r="I140" s="350">
        <f>'reservecalc-external'!D2069</f>
        <v>-10130000</v>
      </c>
      <c r="J140" s="351">
        <f t="shared" ref="J140:J142" si="76">H140+I140</f>
        <v>-1853417</v>
      </c>
      <c r="K140" s="352">
        <f t="shared" ref="K140:K142" si="77">J140</f>
        <v>-1853417</v>
      </c>
      <c r="L140" s="350">
        <f>'reservecalc-external'!E2069</f>
        <v>1270000</v>
      </c>
      <c r="M140" s="351">
        <f t="shared" ref="M140:M142" si="78">K140+L140</f>
        <v>-583417</v>
      </c>
      <c r="N140" s="352">
        <f t="shared" ref="N140:N142" si="79">M140</f>
        <v>-583417</v>
      </c>
      <c r="O140" s="350">
        <f>'reservecalc-external'!F2069</f>
        <v>316913</v>
      </c>
      <c r="P140" s="351">
        <f t="shared" ref="P140:P142" si="80">N140+O140</f>
        <v>-266504</v>
      </c>
      <c r="Q140" s="352">
        <f t="shared" ref="Q140:Q142" si="81">P140</f>
        <v>-266504</v>
      </c>
      <c r="R140" s="350">
        <f>'reservecalc-external'!G2069</f>
        <v>1130000</v>
      </c>
      <c r="S140" s="351">
        <f t="shared" ref="S140:S142" si="82">Q140+R140</f>
        <v>863496</v>
      </c>
      <c r="T140" s="352">
        <f t="shared" ref="T140:T142" si="83">S140</f>
        <v>863496</v>
      </c>
      <c r="U140" s="350">
        <f>'reservecalc-external'!H2069</f>
        <v>180000</v>
      </c>
      <c r="V140" s="351">
        <f t="shared" ref="V140:V142" si="84">T140+U140</f>
        <v>1043496</v>
      </c>
      <c r="W140" s="352">
        <f t="shared" ref="W140:W142" si="85">V140</f>
        <v>1043496</v>
      </c>
      <c r="X140" s="350">
        <f>'reservecalc-external'!I2069</f>
        <v>-1724000</v>
      </c>
      <c r="Y140" s="351">
        <f t="shared" ref="Y140:Y142" si="86">W140+X140</f>
        <v>-680504</v>
      </c>
      <c r="Z140" s="352">
        <f t="shared" ref="Z140:Z142" si="87">Y140</f>
        <v>-680504</v>
      </c>
      <c r="AA140" s="350">
        <f>'reservecalc-external'!J2069</f>
        <v>-10224383</v>
      </c>
      <c r="AB140" s="351">
        <f t="shared" ref="AB140:AB142" si="88">Z140+AA140</f>
        <v>-10904887</v>
      </c>
    </row>
    <row r="141" spans="1:28" x14ac:dyDescent="0.25">
      <c r="A141" t="s">
        <v>4193</v>
      </c>
      <c r="B141" s="349">
        <v>6942523</v>
      </c>
      <c r="C141" s="350">
        <f>'reservecalc-external'!B2099</f>
        <v>1463145</v>
      </c>
      <c r="D141" s="351">
        <f t="shared" si="72"/>
        <v>8405668</v>
      </c>
      <c r="E141" s="352">
        <f t="shared" si="73"/>
        <v>8405668</v>
      </c>
      <c r="F141" s="350">
        <f>'reservecalc-external'!C2099</f>
        <v>2038769</v>
      </c>
      <c r="G141" s="351">
        <f t="shared" si="74"/>
        <v>10444437</v>
      </c>
      <c r="H141" s="352">
        <f t="shared" si="75"/>
        <v>10444437</v>
      </c>
      <c r="I141" s="350">
        <f>'reservecalc-external'!D2099</f>
        <v>1686780</v>
      </c>
      <c r="J141" s="351">
        <f t="shared" si="76"/>
        <v>12131217</v>
      </c>
      <c r="K141" s="352">
        <f t="shared" si="77"/>
        <v>12131217</v>
      </c>
      <c r="L141" s="350">
        <f>'reservecalc-external'!E2099</f>
        <v>810925</v>
      </c>
      <c r="M141" s="351">
        <f t="shared" si="78"/>
        <v>12942142</v>
      </c>
      <c r="N141" s="352">
        <f t="shared" si="79"/>
        <v>12942142</v>
      </c>
      <c r="O141" s="350">
        <f>'reservecalc-external'!F2099</f>
        <v>1511717</v>
      </c>
      <c r="P141" s="351">
        <f t="shared" si="80"/>
        <v>14453859</v>
      </c>
      <c r="Q141" s="352">
        <f t="shared" si="81"/>
        <v>14453859</v>
      </c>
      <c r="R141" s="350">
        <f>'reservecalc-external'!G2099</f>
        <v>1266559</v>
      </c>
      <c r="S141" s="351">
        <f t="shared" si="82"/>
        <v>15720418</v>
      </c>
      <c r="T141" s="352">
        <f t="shared" si="83"/>
        <v>15720418</v>
      </c>
      <c r="U141" s="350">
        <f>'reservecalc-external'!H2099</f>
        <v>383919</v>
      </c>
      <c r="V141" s="351">
        <f t="shared" si="84"/>
        <v>16104337</v>
      </c>
      <c r="W141" s="352">
        <f t="shared" si="85"/>
        <v>16104337</v>
      </c>
      <c r="X141" s="350">
        <f>'reservecalc-external'!I2099</f>
        <v>1147260</v>
      </c>
      <c r="Y141" s="351">
        <f t="shared" si="86"/>
        <v>17251597</v>
      </c>
      <c r="Z141" s="352">
        <f t="shared" si="87"/>
        <v>17251597</v>
      </c>
      <c r="AA141" s="350">
        <f>'reservecalc-external'!J2099</f>
        <v>-901619</v>
      </c>
      <c r="AB141" s="351">
        <f t="shared" si="88"/>
        <v>16349978</v>
      </c>
    </row>
    <row r="142" spans="1:28" x14ac:dyDescent="0.25">
      <c r="A142" t="s">
        <v>4194</v>
      </c>
      <c r="B142" s="349">
        <v>827800</v>
      </c>
      <c r="C142" s="350">
        <f>'reservecalc-external'!B2128</f>
        <v>0</v>
      </c>
      <c r="D142" s="351">
        <f t="shared" si="72"/>
        <v>827800</v>
      </c>
      <c r="E142" s="352">
        <f t="shared" si="73"/>
        <v>827800</v>
      </c>
      <c r="F142" s="350">
        <f>'reservecalc-external'!C2128</f>
        <v>0</v>
      </c>
      <c r="G142" s="351">
        <f t="shared" si="74"/>
        <v>827800</v>
      </c>
      <c r="H142" s="352">
        <f t="shared" si="75"/>
        <v>827800</v>
      </c>
      <c r="I142" s="350">
        <f>'reservecalc-external'!D2128</f>
        <v>0</v>
      </c>
      <c r="J142" s="351">
        <f t="shared" si="76"/>
        <v>827800</v>
      </c>
      <c r="K142" s="352">
        <f t="shared" si="77"/>
        <v>827800</v>
      </c>
      <c r="L142" s="350">
        <f>'reservecalc-external'!E2128</f>
        <v>0</v>
      </c>
      <c r="M142" s="351">
        <f t="shared" si="78"/>
        <v>827800</v>
      </c>
      <c r="N142" s="352">
        <f t="shared" si="79"/>
        <v>827800</v>
      </c>
      <c r="O142" s="350">
        <f>'reservecalc-external'!F2128</f>
        <v>0</v>
      </c>
      <c r="P142" s="351">
        <f t="shared" si="80"/>
        <v>827800</v>
      </c>
      <c r="Q142" s="352">
        <f t="shared" si="81"/>
        <v>827800</v>
      </c>
      <c r="R142" s="350">
        <f>'reservecalc-external'!G2128</f>
        <v>0</v>
      </c>
      <c r="S142" s="351">
        <f t="shared" si="82"/>
        <v>827800</v>
      </c>
      <c r="T142" s="352">
        <f t="shared" si="83"/>
        <v>827800</v>
      </c>
      <c r="U142" s="350">
        <f>'reservecalc-external'!H2128</f>
        <v>0</v>
      </c>
      <c r="V142" s="351">
        <f t="shared" si="84"/>
        <v>827800</v>
      </c>
      <c r="W142" s="352">
        <f t="shared" si="85"/>
        <v>827800</v>
      </c>
      <c r="X142" s="350">
        <f>'reservecalc-external'!I2128</f>
        <v>0</v>
      </c>
      <c r="Y142" s="351">
        <f t="shared" si="86"/>
        <v>827800</v>
      </c>
      <c r="Z142" s="352">
        <f t="shared" si="87"/>
        <v>827800</v>
      </c>
      <c r="AA142" s="350">
        <f>'reservecalc-external'!J2128</f>
        <v>0</v>
      </c>
      <c r="AB142" s="351">
        <f t="shared" si="88"/>
        <v>827800</v>
      </c>
    </row>
    <row r="143" spans="1:28" x14ac:dyDescent="0.25">
      <c r="B143" s="349"/>
      <c r="C143" s="350"/>
      <c r="D143" s="351"/>
      <c r="E143" s="352"/>
      <c r="F143" s="350"/>
      <c r="G143" s="351"/>
      <c r="H143" s="352"/>
      <c r="I143" s="350"/>
      <c r="J143" s="351"/>
      <c r="K143" s="352"/>
      <c r="L143" s="350"/>
      <c r="M143" s="351"/>
      <c r="N143" s="352"/>
      <c r="O143" s="350"/>
      <c r="P143" s="351"/>
      <c r="Q143" s="352"/>
      <c r="R143" s="350"/>
      <c r="S143" s="351"/>
      <c r="T143" s="352"/>
      <c r="U143" s="350"/>
      <c r="V143" s="351"/>
      <c r="W143" s="352"/>
      <c r="X143" s="350"/>
      <c r="Y143" s="351"/>
      <c r="Z143" s="352"/>
      <c r="AA143" s="350"/>
      <c r="AB143" s="351"/>
    </row>
    <row r="144" spans="1:28" ht="15.75" thickBot="1" x14ac:dyDescent="0.3">
      <c r="A144" s="47" t="s">
        <v>4160</v>
      </c>
      <c r="B144" s="357">
        <f>SUM(B140:B143)</f>
        <v>14316690</v>
      </c>
      <c r="C144" s="358">
        <f t="shared" ref="C144:AB144" si="89">SUM(C140:C143)</f>
        <v>2013361</v>
      </c>
      <c r="D144" s="359">
        <f t="shared" si="89"/>
        <v>16330051</v>
      </c>
      <c r="E144" s="360">
        <f t="shared" si="89"/>
        <v>16330051</v>
      </c>
      <c r="F144" s="358">
        <f t="shared" si="89"/>
        <v>3218769</v>
      </c>
      <c r="G144" s="359">
        <f t="shared" si="89"/>
        <v>19548820</v>
      </c>
      <c r="H144" s="360">
        <f t="shared" si="89"/>
        <v>19548820</v>
      </c>
      <c r="I144" s="358">
        <f t="shared" si="89"/>
        <v>-8443220</v>
      </c>
      <c r="J144" s="359">
        <f t="shared" si="89"/>
        <v>11105600</v>
      </c>
      <c r="K144" s="360">
        <f t="shared" si="89"/>
        <v>11105600</v>
      </c>
      <c r="L144" s="358">
        <f t="shared" si="89"/>
        <v>2080925</v>
      </c>
      <c r="M144" s="359">
        <f t="shared" si="89"/>
        <v>13186525</v>
      </c>
      <c r="N144" s="360">
        <f t="shared" si="89"/>
        <v>13186525</v>
      </c>
      <c r="O144" s="358">
        <f t="shared" si="89"/>
        <v>1828630</v>
      </c>
      <c r="P144" s="359">
        <f t="shared" si="89"/>
        <v>15015155</v>
      </c>
      <c r="Q144" s="360">
        <f t="shared" si="89"/>
        <v>15015155</v>
      </c>
      <c r="R144" s="358">
        <f t="shared" si="89"/>
        <v>2396559</v>
      </c>
      <c r="S144" s="359">
        <f t="shared" si="89"/>
        <v>17411714</v>
      </c>
      <c r="T144" s="360">
        <f t="shared" si="89"/>
        <v>17411714</v>
      </c>
      <c r="U144" s="358">
        <f t="shared" si="89"/>
        <v>563919</v>
      </c>
      <c r="V144" s="359">
        <f t="shared" si="89"/>
        <v>17975633</v>
      </c>
      <c r="W144" s="360">
        <f t="shared" si="89"/>
        <v>17975633</v>
      </c>
      <c r="X144" s="358">
        <f t="shared" si="89"/>
        <v>-576740</v>
      </c>
      <c r="Y144" s="359">
        <f t="shared" si="89"/>
        <v>17398893</v>
      </c>
      <c r="Z144" s="360">
        <f t="shared" si="89"/>
        <v>17398893</v>
      </c>
      <c r="AA144" s="358">
        <f t="shared" si="89"/>
        <v>-11126002</v>
      </c>
      <c r="AB144" s="359">
        <f t="shared" si="89"/>
        <v>6272891</v>
      </c>
    </row>
    <row r="145" spans="1:29" ht="16.5" thickTop="1" thickBot="1" x14ac:dyDescent="0.3">
      <c r="B145" s="349"/>
      <c r="C145" s="350"/>
      <c r="D145" s="351"/>
      <c r="E145" s="352"/>
      <c r="F145" s="350"/>
      <c r="G145" s="351"/>
      <c r="H145" s="352"/>
      <c r="I145" s="350"/>
      <c r="J145" s="351"/>
      <c r="K145" s="352"/>
      <c r="L145" s="350"/>
      <c r="M145" s="351"/>
      <c r="N145" s="352"/>
      <c r="O145" s="350"/>
      <c r="P145" s="351"/>
      <c r="Q145" s="352"/>
      <c r="R145" s="350"/>
      <c r="S145" s="351"/>
      <c r="T145" s="352"/>
      <c r="U145" s="350"/>
      <c r="V145" s="351"/>
      <c r="W145" s="352"/>
      <c r="X145" s="350"/>
      <c r="Y145" s="351"/>
      <c r="Z145" s="352"/>
      <c r="AA145" s="350"/>
      <c r="AB145" s="351"/>
    </row>
    <row r="146" spans="1:29" ht="16.5" thickTop="1" thickBot="1" x14ac:dyDescent="0.3">
      <c r="A146" s="47" t="s">
        <v>4161</v>
      </c>
      <c r="B146" s="361">
        <f>B127+B135+B144</f>
        <v>56765126.450000003</v>
      </c>
      <c r="C146" s="362">
        <f t="shared" ref="C146:AB146" si="90">C127+C135+C144</f>
        <v>-1439911</v>
      </c>
      <c r="D146" s="363">
        <f t="shared" si="90"/>
        <v>55325215.450000003</v>
      </c>
      <c r="E146" s="364">
        <f t="shared" si="90"/>
        <v>55325215.450000003</v>
      </c>
      <c r="F146" s="362">
        <f t="shared" si="90"/>
        <v>6134369</v>
      </c>
      <c r="G146" s="363">
        <f t="shared" si="90"/>
        <v>61459584.450000003</v>
      </c>
      <c r="H146" s="364">
        <f t="shared" si="90"/>
        <v>61459584.450000003</v>
      </c>
      <c r="I146" s="362">
        <f t="shared" si="90"/>
        <v>-5584605</v>
      </c>
      <c r="J146" s="363">
        <f t="shared" si="90"/>
        <v>55874979.450000003</v>
      </c>
      <c r="K146" s="364">
        <f t="shared" si="90"/>
        <v>55874979.450000003</v>
      </c>
      <c r="L146" s="362">
        <f t="shared" si="90"/>
        <v>6898766</v>
      </c>
      <c r="M146" s="363">
        <f t="shared" si="90"/>
        <v>62773745.450000003</v>
      </c>
      <c r="N146" s="364">
        <f t="shared" si="90"/>
        <v>62773745.450000003</v>
      </c>
      <c r="O146" s="362">
        <f t="shared" si="90"/>
        <v>7149447</v>
      </c>
      <c r="P146" s="363">
        <f t="shared" si="90"/>
        <v>69923192.450000003</v>
      </c>
      <c r="Q146" s="364">
        <f t="shared" si="90"/>
        <v>69923192.450000003</v>
      </c>
      <c r="R146" s="362">
        <f t="shared" si="90"/>
        <v>6704986</v>
      </c>
      <c r="S146" s="363">
        <f t="shared" si="90"/>
        <v>76628178.450000003</v>
      </c>
      <c r="T146" s="364">
        <f t="shared" si="90"/>
        <v>76628178.450000003</v>
      </c>
      <c r="U146" s="362">
        <f t="shared" si="90"/>
        <v>6166819</v>
      </c>
      <c r="V146" s="363">
        <f t="shared" si="90"/>
        <v>82794997.450000003</v>
      </c>
      <c r="W146" s="364">
        <f t="shared" si="90"/>
        <v>82794997.450000003</v>
      </c>
      <c r="X146" s="362">
        <f t="shared" si="90"/>
        <v>5041060</v>
      </c>
      <c r="Y146" s="363">
        <f t="shared" si="90"/>
        <v>87836057.450000003</v>
      </c>
      <c r="Z146" s="364">
        <f t="shared" si="90"/>
        <v>87836057.450000003</v>
      </c>
      <c r="AA146" s="362">
        <f t="shared" si="90"/>
        <v>-5610502</v>
      </c>
      <c r="AB146" s="363">
        <f t="shared" si="90"/>
        <v>82225555.450000003</v>
      </c>
    </row>
    <row r="147" spans="1:29" ht="15.75" thickTop="1" x14ac:dyDescent="0.25"/>
    <row r="149" spans="1:29" x14ac:dyDescent="0.25">
      <c r="A149" t="s">
        <v>4162</v>
      </c>
    </row>
    <row r="150" spans="1:29" x14ac:dyDescent="0.25">
      <c r="A150" t="s">
        <v>4163</v>
      </c>
      <c r="B150" s="285">
        <f>B58</f>
        <v>13610241.449999999</v>
      </c>
      <c r="C150" s="285">
        <f t="shared" ref="C150:AA150" si="91">C58</f>
        <v>-3441600</v>
      </c>
      <c r="D150" s="285">
        <f t="shared" si="91"/>
        <v>10168641.449999999</v>
      </c>
      <c r="E150" s="285">
        <f t="shared" si="91"/>
        <v>10168641.449999999</v>
      </c>
      <c r="F150" s="285">
        <f t="shared" si="91"/>
        <v>616800</v>
      </c>
      <c r="G150" s="285">
        <f t="shared" si="91"/>
        <v>10785441.449999999</v>
      </c>
      <c r="H150" s="285">
        <f t="shared" si="91"/>
        <v>10785441.449999999</v>
      </c>
      <c r="I150" s="285">
        <f t="shared" si="91"/>
        <v>-540501</v>
      </c>
      <c r="J150" s="285">
        <f t="shared" si="91"/>
        <v>10244940.449999999</v>
      </c>
      <c r="K150" s="285">
        <f t="shared" si="91"/>
        <v>10244940.449999999</v>
      </c>
      <c r="L150" s="285">
        <f t="shared" si="91"/>
        <v>1822700</v>
      </c>
      <c r="M150" s="285">
        <f t="shared" si="91"/>
        <v>12067640.449999999</v>
      </c>
      <c r="N150" s="285">
        <f t="shared" si="91"/>
        <v>12067640.449999999</v>
      </c>
      <c r="O150" s="285">
        <f t="shared" si="91"/>
        <v>1939400</v>
      </c>
      <c r="P150" s="285">
        <f t="shared" si="91"/>
        <v>14007040.449999999</v>
      </c>
      <c r="Q150" s="285">
        <f t="shared" si="91"/>
        <v>14007040.449999999</v>
      </c>
      <c r="R150" s="285">
        <f t="shared" si="91"/>
        <v>2056800</v>
      </c>
      <c r="S150" s="285">
        <f t="shared" si="91"/>
        <v>16063840.449999999</v>
      </c>
      <c r="T150" s="285">
        <f t="shared" si="91"/>
        <v>16063840.449999999</v>
      </c>
      <c r="U150" s="285">
        <f t="shared" si="91"/>
        <v>2011400</v>
      </c>
      <c r="V150" s="285">
        <f t="shared" si="91"/>
        <v>18075240.449999999</v>
      </c>
      <c r="W150" s="285">
        <f t="shared" si="91"/>
        <v>18075240.449999999</v>
      </c>
      <c r="X150" s="285">
        <f t="shared" si="91"/>
        <v>2120300</v>
      </c>
      <c r="Y150" s="285">
        <f t="shared" si="91"/>
        <v>20195540.449999999</v>
      </c>
      <c r="Z150" s="285">
        <f t="shared" si="91"/>
        <v>20195540.449999999</v>
      </c>
      <c r="AA150" s="285">
        <f t="shared" si="91"/>
        <v>2124500</v>
      </c>
      <c r="AB150" s="285">
        <f t="shared" ref="AB150" si="92">AB58</f>
        <v>22320040.449999999</v>
      </c>
    </row>
    <row r="151" spans="1:29" x14ac:dyDescent="0.25">
      <c r="A151" t="s">
        <v>4164</v>
      </c>
      <c r="B151" s="285">
        <f>B144+B135+B125</f>
        <v>43154885</v>
      </c>
      <c r="C151" s="285">
        <f t="shared" ref="C151:AA151" si="93">C144+C135+C125</f>
        <v>2001689</v>
      </c>
      <c r="D151" s="285">
        <f t="shared" si="93"/>
        <v>45156574</v>
      </c>
      <c r="E151" s="285">
        <f t="shared" si="93"/>
        <v>45156574</v>
      </c>
      <c r="F151" s="285">
        <f t="shared" si="93"/>
        <v>5517569</v>
      </c>
      <c r="G151" s="285">
        <f t="shared" si="93"/>
        <v>50674143</v>
      </c>
      <c r="H151" s="285">
        <f t="shared" si="93"/>
        <v>50674143</v>
      </c>
      <c r="I151" s="285">
        <f t="shared" si="93"/>
        <v>-5044104</v>
      </c>
      <c r="J151" s="285">
        <f t="shared" si="93"/>
        <v>45630039</v>
      </c>
      <c r="K151" s="285">
        <f t="shared" si="93"/>
        <v>45630039</v>
      </c>
      <c r="L151" s="285">
        <f t="shared" si="93"/>
        <v>5076066</v>
      </c>
      <c r="M151" s="285">
        <f t="shared" si="93"/>
        <v>50706105</v>
      </c>
      <c r="N151" s="285">
        <f t="shared" si="93"/>
        <v>50706105</v>
      </c>
      <c r="O151" s="285">
        <f t="shared" si="93"/>
        <v>5210047</v>
      </c>
      <c r="P151" s="285">
        <f t="shared" si="93"/>
        <v>55916152</v>
      </c>
      <c r="Q151" s="285">
        <f t="shared" si="93"/>
        <v>55916152</v>
      </c>
      <c r="R151" s="285">
        <f t="shared" si="93"/>
        <v>4648186</v>
      </c>
      <c r="S151" s="285">
        <f t="shared" si="93"/>
        <v>60564338</v>
      </c>
      <c r="T151" s="285">
        <f t="shared" si="93"/>
        <v>60564338</v>
      </c>
      <c r="U151" s="285">
        <f t="shared" si="93"/>
        <v>4155419</v>
      </c>
      <c r="V151" s="285">
        <f t="shared" si="93"/>
        <v>64719757</v>
      </c>
      <c r="W151" s="285">
        <f t="shared" si="93"/>
        <v>64719757</v>
      </c>
      <c r="X151" s="285">
        <f t="shared" si="93"/>
        <v>2920760</v>
      </c>
      <c r="Y151" s="285">
        <f t="shared" si="93"/>
        <v>67640517</v>
      </c>
      <c r="Z151" s="285">
        <f t="shared" si="93"/>
        <v>67640517</v>
      </c>
      <c r="AA151" s="285">
        <f t="shared" si="93"/>
        <v>-7735002</v>
      </c>
      <c r="AB151" s="285">
        <f t="shared" ref="AB151" si="94">AB144+AB135+AB125</f>
        <v>59905515</v>
      </c>
    </row>
    <row r="153" spans="1:29" x14ac:dyDescent="0.25">
      <c r="A153" t="s">
        <v>4148</v>
      </c>
      <c r="B153" s="285">
        <f>B146-B150-B151</f>
        <v>0</v>
      </c>
      <c r="C153" s="285">
        <f t="shared" ref="C153:AA153" si="95">C146-C150-C151</f>
        <v>0</v>
      </c>
      <c r="D153" s="285">
        <f t="shared" si="95"/>
        <v>0</v>
      </c>
      <c r="E153" s="285">
        <f t="shared" si="95"/>
        <v>0</v>
      </c>
      <c r="F153" s="285">
        <f t="shared" si="95"/>
        <v>0</v>
      </c>
      <c r="G153" s="285">
        <f t="shared" si="95"/>
        <v>0</v>
      </c>
      <c r="H153" s="285">
        <f t="shared" si="95"/>
        <v>0</v>
      </c>
      <c r="I153" s="285">
        <f t="shared" si="95"/>
        <v>0</v>
      </c>
      <c r="J153" s="285">
        <f t="shared" si="95"/>
        <v>0</v>
      </c>
      <c r="K153" s="285">
        <f t="shared" si="95"/>
        <v>0</v>
      </c>
      <c r="L153" s="285">
        <f t="shared" si="95"/>
        <v>0</v>
      </c>
      <c r="M153" s="285">
        <f t="shared" si="95"/>
        <v>0</v>
      </c>
      <c r="N153" s="285">
        <f t="shared" si="95"/>
        <v>0</v>
      </c>
      <c r="O153" s="285">
        <f t="shared" si="95"/>
        <v>0</v>
      </c>
      <c r="P153" s="285">
        <f t="shared" si="95"/>
        <v>0</v>
      </c>
      <c r="Q153" s="285">
        <f t="shared" si="95"/>
        <v>0</v>
      </c>
      <c r="R153" s="285">
        <f t="shared" si="95"/>
        <v>0</v>
      </c>
      <c r="S153" s="285">
        <f t="shared" si="95"/>
        <v>0</v>
      </c>
      <c r="T153" s="285">
        <f t="shared" si="95"/>
        <v>0</v>
      </c>
      <c r="U153" s="285">
        <f t="shared" si="95"/>
        <v>0</v>
      </c>
      <c r="V153" s="285">
        <f t="shared" si="95"/>
        <v>0</v>
      </c>
      <c r="W153" s="285">
        <f t="shared" si="95"/>
        <v>0</v>
      </c>
      <c r="X153" s="285">
        <f t="shared" si="95"/>
        <v>0</v>
      </c>
      <c r="Y153" s="285">
        <f t="shared" si="95"/>
        <v>0</v>
      </c>
      <c r="Z153" s="285">
        <f t="shared" si="95"/>
        <v>0</v>
      </c>
      <c r="AA153" s="285">
        <f t="shared" si="95"/>
        <v>0</v>
      </c>
      <c r="AB153" s="285">
        <f t="shared" ref="AB153" si="96">AB146-AB150-AB151</f>
        <v>0</v>
      </c>
    </row>
    <row r="155" spans="1:29" x14ac:dyDescent="0.25">
      <c r="A155" t="s">
        <v>4253</v>
      </c>
      <c r="B155" s="285">
        <f>79489126-21541800</f>
        <v>57947326</v>
      </c>
      <c r="C155" s="285">
        <f ca="1">fundingstat!C24</f>
        <v>-1439911</v>
      </c>
      <c r="D155" s="285">
        <f ca="1">B155+C155</f>
        <v>56507415</v>
      </c>
      <c r="E155" s="285">
        <f ca="1">D155</f>
        <v>56507415</v>
      </c>
      <c r="F155" s="285">
        <f ca="1">fundingstat!D24</f>
        <v>6134369</v>
      </c>
      <c r="G155" s="285">
        <f ca="1">E155+F155</f>
        <v>62641784</v>
      </c>
      <c r="H155" s="285">
        <f ca="1">G155</f>
        <v>62641784</v>
      </c>
      <c r="I155" s="285">
        <f ca="1">fundingstat!E24</f>
        <v>-5584605</v>
      </c>
      <c r="J155" s="285">
        <f ca="1">H155+I155</f>
        <v>57057179</v>
      </c>
      <c r="K155" s="285">
        <f ca="1">J155</f>
        <v>57057179</v>
      </c>
      <c r="L155" s="285">
        <f ca="1">fundingstat!F24</f>
        <v>6898766</v>
      </c>
      <c r="M155" s="285">
        <f ca="1">K155+L155</f>
        <v>63955945</v>
      </c>
      <c r="N155" s="285">
        <f ca="1">M155</f>
        <v>63955945</v>
      </c>
      <c r="O155" s="285">
        <f ca="1">fundingstat!G24</f>
        <v>7149447</v>
      </c>
      <c r="P155" s="285">
        <f ca="1">N155+O155</f>
        <v>71105392</v>
      </c>
      <c r="Q155" s="285">
        <f ca="1">P155</f>
        <v>71105392</v>
      </c>
      <c r="R155" s="285">
        <f ca="1">fundingstat!H24</f>
        <v>6704986</v>
      </c>
      <c r="S155" s="285">
        <f ca="1">Q155+R155</f>
        <v>77810378</v>
      </c>
      <c r="T155" s="285">
        <f ca="1">S155</f>
        <v>77810378</v>
      </c>
      <c r="U155" s="285">
        <f ca="1">fundingstat!I24</f>
        <v>6166819</v>
      </c>
      <c r="V155" s="285">
        <f ca="1">T155+U155</f>
        <v>83977197</v>
      </c>
      <c r="W155" s="285">
        <f ca="1">V155</f>
        <v>83977197</v>
      </c>
      <c r="X155" s="285">
        <f ca="1">fundingstat!J24</f>
        <v>5041060</v>
      </c>
      <c r="Y155" s="285">
        <f ca="1">W155+X155</f>
        <v>89018257</v>
      </c>
      <c r="Z155" s="285">
        <f ca="1">Y155</f>
        <v>89018257</v>
      </c>
      <c r="AA155" s="285">
        <f ca="1">fundingstat!K24</f>
        <v>-5610502</v>
      </c>
      <c r="AB155" s="285">
        <f ca="1">Z155+AA155</f>
        <v>83407755</v>
      </c>
    </row>
    <row r="156" spans="1:29" x14ac:dyDescent="0.25">
      <c r="A156" t="s">
        <v>4254</v>
      </c>
      <c r="B156" s="285">
        <f>B151</f>
        <v>43154885</v>
      </c>
      <c r="D156" s="285">
        <f>D151</f>
        <v>45156574</v>
      </c>
      <c r="E156" s="285">
        <f>E151</f>
        <v>45156574</v>
      </c>
      <c r="G156" s="285">
        <f>G151</f>
        <v>50674143</v>
      </c>
      <c r="H156" s="285">
        <f>H151</f>
        <v>50674143</v>
      </c>
      <c r="J156" s="285">
        <f>J151</f>
        <v>45630039</v>
      </c>
      <c r="K156" s="285">
        <f>K151</f>
        <v>45630039</v>
      </c>
      <c r="M156" s="285">
        <f>M151</f>
        <v>50706105</v>
      </c>
      <c r="N156" s="285">
        <f>N151</f>
        <v>50706105</v>
      </c>
      <c r="P156" s="285">
        <f>P151</f>
        <v>55916152</v>
      </c>
      <c r="Q156" s="285">
        <f>Q151</f>
        <v>55916152</v>
      </c>
      <c r="S156" s="285">
        <f>S151</f>
        <v>60564338</v>
      </c>
      <c r="T156" s="285">
        <f>T151</f>
        <v>60564338</v>
      </c>
      <c r="V156" s="285">
        <f>V151</f>
        <v>64719757</v>
      </c>
      <c r="W156" s="285">
        <f>W151</f>
        <v>64719757</v>
      </c>
      <c r="Y156" s="285">
        <f>Y151</f>
        <v>67640517</v>
      </c>
      <c r="Z156" s="285">
        <f>Z151</f>
        <v>67640517</v>
      </c>
      <c r="AB156" s="285">
        <f>AB151</f>
        <v>59905515</v>
      </c>
    </row>
    <row r="157" spans="1:29" x14ac:dyDescent="0.25">
      <c r="A157" t="s">
        <v>4255</v>
      </c>
      <c r="B157" s="285">
        <f>B150</f>
        <v>13610241.449999999</v>
      </c>
      <c r="D157" s="285">
        <f>D150</f>
        <v>10168641.449999999</v>
      </c>
      <c r="E157" s="285">
        <f>E150</f>
        <v>10168641.449999999</v>
      </c>
      <c r="G157" s="285">
        <f>G150</f>
        <v>10785441.449999999</v>
      </c>
      <c r="H157" s="285">
        <f>H150</f>
        <v>10785441.449999999</v>
      </c>
      <c r="J157" s="285">
        <f>J150</f>
        <v>10244940.449999999</v>
      </c>
      <c r="K157" s="285">
        <f>K150</f>
        <v>10244940.449999999</v>
      </c>
      <c r="M157" s="285">
        <f>M150</f>
        <v>12067640.449999999</v>
      </c>
      <c r="N157" s="285">
        <f>N150</f>
        <v>12067640.449999999</v>
      </c>
      <c r="P157" s="285">
        <f>P150</f>
        <v>14007040.449999999</v>
      </c>
      <c r="Q157" s="285">
        <f>Q150</f>
        <v>14007040.449999999</v>
      </c>
      <c r="S157" s="285">
        <f>S150</f>
        <v>16063840.449999999</v>
      </c>
      <c r="T157" s="285">
        <f>T150</f>
        <v>16063840.449999999</v>
      </c>
      <c r="V157" s="285">
        <f>V150</f>
        <v>18075240.449999999</v>
      </c>
      <c r="W157" s="285">
        <f>W150</f>
        <v>18075240.449999999</v>
      </c>
      <c r="Y157" s="285">
        <f>Y150</f>
        <v>20195540.449999999</v>
      </c>
      <c r="Z157" s="285">
        <f>Z150</f>
        <v>20195540.449999999</v>
      </c>
      <c r="AB157" s="285">
        <f>AB150</f>
        <v>22320040.449999999</v>
      </c>
    </row>
    <row r="160" spans="1:29" x14ac:dyDescent="0.25">
      <c r="A160" t="s">
        <v>4256</v>
      </c>
      <c r="B160" s="285">
        <f>B155-B156-B157-B158</f>
        <v>1182199.5500000007</v>
      </c>
      <c r="D160" s="285">
        <f ca="1">D155-D156-D157-D158</f>
        <v>1182199.5500000007</v>
      </c>
      <c r="E160" s="285">
        <f ca="1">E155-E156-E157-E158</f>
        <v>1182199.5500000007</v>
      </c>
      <c r="G160" s="285">
        <f ca="1">G155-G156-G157-G158</f>
        <v>1182199.5500000007</v>
      </c>
      <c r="H160" s="285">
        <f ca="1">H155-H156-H157-H158</f>
        <v>1182199.5500000007</v>
      </c>
      <c r="J160" s="285">
        <f ca="1">J155-J156-J157-J158</f>
        <v>1182199.5500000007</v>
      </c>
      <c r="K160" s="285">
        <f ca="1">K155-K156-K157-K158</f>
        <v>1182199.5500000007</v>
      </c>
      <c r="M160" s="285">
        <f ca="1">M155-M156-M157-M158</f>
        <v>1182199.5500000007</v>
      </c>
      <c r="N160" s="285">
        <f ca="1">N155-N156-N157-N158</f>
        <v>1182199.5500000007</v>
      </c>
      <c r="P160" s="285">
        <f ca="1">P155-P156-P157-P158</f>
        <v>1182199.5500000007</v>
      </c>
      <c r="Q160" s="285">
        <f ca="1">Q155-Q156-Q157-Q158</f>
        <v>1182199.5500000007</v>
      </c>
      <c r="S160" s="285">
        <f ca="1">S155-S156-S157-S158</f>
        <v>1182199.5500000007</v>
      </c>
      <c r="T160" s="285">
        <f ca="1">T155-T156-T157-T158</f>
        <v>1182199.5500000007</v>
      </c>
      <c r="V160" s="285">
        <f ca="1">V155-V156-V157-V158</f>
        <v>1182199.5500000007</v>
      </c>
      <c r="W160" s="285">
        <f ca="1">W155-W156-W157-W158</f>
        <v>1182199.5500000007</v>
      </c>
      <c r="Y160" s="285">
        <f ca="1">Y155-Y156-Y157-Y158</f>
        <v>1182199.5500000007</v>
      </c>
      <c r="Z160" s="285">
        <f ca="1">Z155-Z156-Z157-Z158</f>
        <v>1182199.5500000007</v>
      </c>
      <c r="AB160" s="285">
        <f ca="1">AB155-AB156-AB157-AB158</f>
        <v>1182199.5500000007</v>
      </c>
      <c r="AC160" s="39"/>
    </row>
    <row r="161" spans="1:29" x14ac:dyDescent="0.25">
      <c r="AC161" s="39"/>
    </row>
    <row r="162" spans="1:29" x14ac:dyDescent="0.25">
      <c r="A162" t="s">
        <v>4258</v>
      </c>
      <c r="B162" s="285">
        <v>1182200</v>
      </c>
      <c r="D162" s="285">
        <v>1182200</v>
      </c>
      <c r="E162" s="285">
        <v>1182200</v>
      </c>
      <c r="G162" s="285">
        <v>1182200</v>
      </c>
      <c r="H162" s="285">
        <v>1182200</v>
      </c>
      <c r="J162" s="285">
        <v>1182200</v>
      </c>
      <c r="K162" s="285">
        <v>1182200</v>
      </c>
      <c r="M162" s="285">
        <v>1182200</v>
      </c>
      <c r="N162" s="285">
        <v>1182200</v>
      </c>
      <c r="P162" s="285">
        <v>1182200</v>
      </c>
      <c r="Q162" s="285">
        <v>1182200</v>
      </c>
      <c r="S162" s="285">
        <v>1182200</v>
      </c>
      <c r="T162" s="285">
        <v>1182200</v>
      </c>
      <c r="V162" s="285">
        <v>1182200</v>
      </c>
      <c r="W162" s="285">
        <v>1182200</v>
      </c>
      <c r="Y162" s="285">
        <v>1182200</v>
      </c>
      <c r="Z162" s="285">
        <v>1182200</v>
      </c>
      <c r="AB162" s="285">
        <v>1182200</v>
      </c>
      <c r="AC162" s="39"/>
    </row>
    <row r="163" spans="1:29" x14ac:dyDescent="0.25">
      <c r="AC163" s="39"/>
    </row>
    <row r="164" spans="1:29" x14ac:dyDescent="0.25">
      <c r="A164" t="s">
        <v>4257</v>
      </c>
      <c r="B164" s="285">
        <f>B160-B162</f>
        <v>-0.44999999925494194</v>
      </c>
      <c r="D164" s="285">
        <f ca="1">D160-D162</f>
        <v>-0.44999999925494194</v>
      </c>
      <c r="E164" s="285">
        <f ca="1">E160-E162</f>
        <v>-0.44999999925494194</v>
      </c>
      <c r="G164" s="285">
        <f t="shared" ref="G164:H164" ca="1" si="97">G160-G162</f>
        <v>-0.44999999925494194</v>
      </c>
      <c r="H164" s="285">
        <f t="shared" ca="1" si="97"/>
        <v>-0.44999999925494194</v>
      </c>
      <c r="J164" s="285">
        <f t="shared" ref="J164:K164" ca="1" si="98">J160-J162</f>
        <v>-0.44999999925494194</v>
      </c>
      <c r="K164" s="285">
        <f t="shared" ca="1" si="98"/>
        <v>-0.44999999925494194</v>
      </c>
      <c r="M164" s="285">
        <f t="shared" ref="M164:N164" ca="1" si="99">M160-M162</f>
        <v>-0.44999999925494194</v>
      </c>
      <c r="N164" s="285">
        <f t="shared" ca="1" si="99"/>
        <v>-0.44999999925494194</v>
      </c>
      <c r="P164" s="285">
        <f t="shared" ref="P164:Q164" ca="1" si="100">P160-P162</f>
        <v>-0.44999999925494194</v>
      </c>
      <c r="Q164" s="285">
        <f t="shared" ca="1" si="100"/>
        <v>-0.44999999925494194</v>
      </c>
      <c r="S164" s="285">
        <f t="shared" ref="S164:T164" ca="1" si="101">S160-S162</f>
        <v>-0.44999999925494194</v>
      </c>
      <c r="T164" s="285">
        <f t="shared" ca="1" si="101"/>
        <v>-0.44999999925494194</v>
      </c>
      <c r="V164" s="285">
        <f t="shared" ref="V164:W164" ca="1" si="102">V160-V162</f>
        <v>-0.44999999925494194</v>
      </c>
      <c r="W164" s="285">
        <f t="shared" ca="1" si="102"/>
        <v>-0.44999999925494194</v>
      </c>
      <c r="Y164" s="285">
        <f t="shared" ref="Y164:Z164" ca="1" si="103">Y160-Y162</f>
        <v>-0.44999999925494194</v>
      </c>
      <c r="Z164" s="285">
        <f t="shared" ca="1" si="103"/>
        <v>-0.44999999925494194</v>
      </c>
      <c r="AB164" s="285">
        <f t="shared" ref="AB164" ca="1" si="104">AB160-AB162</f>
        <v>-0.44999999925494194</v>
      </c>
      <c r="AC164" s="39"/>
    </row>
  </sheetData>
  <mergeCells count="9">
    <mergeCell ref="Q3:S3"/>
    <mergeCell ref="T3:V3"/>
    <mergeCell ref="W3:Y3"/>
    <mergeCell ref="Z3:AB3"/>
    <mergeCell ref="B3:D3"/>
    <mergeCell ref="E3:G3"/>
    <mergeCell ref="H3:J3"/>
    <mergeCell ref="K3:M3"/>
    <mergeCell ref="N3:P3"/>
  </mergeCells>
  <pageMargins left="0.23622047244094491" right="0.23622047244094491" top="0.74803149606299213" bottom="0.74803149606299213" header="0.31496062992125984" footer="0.31496062992125984"/>
  <pageSetup paperSize="8"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610"/>
  <sheetViews>
    <sheetView workbookViewId="0">
      <pane xSplit="1" ySplit="5" topLeftCell="B1474" activePane="bottomRight" state="frozen"/>
      <selection pane="topRight" activeCell="B1" sqref="B1"/>
      <selection pane="bottomLeft" activeCell="A6" sqref="A6"/>
      <selection pane="bottomRight" activeCell="B1488" sqref="B1488:E1488"/>
    </sheetView>
  </sheetViews>
  <sheetFormatPr defaultRowHeight="15" x14ac:dyDescent="0.25"/>
  <cols>
    <col min="1" max="1" width="52.7109375" customWidth="1"/>
    <col min="2" max="10" width="12.7109375" style="39" customWidth="1"/>
  </cols>
  <sheetData>
    <row r="1" spans="1:10" ht="15.75" x14ac:dyDescent="0.25">
      <c r="A1" s="48" t="s">
        <v>0</v>
      </c>
    </row>
    <row r="2" spans="1:10" ht="15.75" x14ac:dyDescent="0.25">
      <c r="A2" s="48" t="s">
        <v>4631</v>
      </c>
    </row>
    <row r="3" spans="1:10" x14ac:dyDescent="0.25">
      <c r="A3" s="277"/>
      <c r="B3" s="279" t="s">
        <v>12</v>
      </c>
      <c r="C3" s="279" t="s">
        <v>13</v>
      </c>
      <c r="D3" s="279" t="s">
        <v>15</v>
      </c>
      <c r="E3" s="279" t="s">
        <v>16</v>
      </c>
      <c r="F3" s="279" t="s">
        <v>17</v>
      </c>
      <c r="G3" s="279" t="s">
        <v>18</v>
      </c>
      <c r="H3" s="279" t="s">
        <v>19</v>
      </c>
      <c r="I3" s="279" t="s">
        <v>20</v>
      </c>
      <c r="J3" s="279" t="s">
        <v>21</v>
      </c>
    </row>
    <row r="4" spans="1:10" x14ac:dyDescent="0.25">
      <c r="A4" s="278"/>
      <c r="B4" s="275" t="s">
        <v>4154</v>
      </c>
      <c r="C4" s="276" t="s">
        <v>4154</v>
      </c>
      <c r="D4" s="276" t="s">
        <v>4154</v>
      </c>
      <c r="E4" s="276" t="s">
        <v>4154</v>
      </c>
      <c r="F4" s="276" t="s">
        <v>4154</v>
      </c>
      <c r="G4" s="276" t="s">
        <v>4154</v>
      </c>
      <c r="H4" s="276" t="s">
        <v>4154</v>
      </c>
      <c r="I4" s="276" t="s">
        <v>4154</v>
      </c>
      <c r="J4" s="276" t="s">
        <v>4154</v>
      </c>
    </row>
    <row r="5" spans="1:10" x14ac:dyDescent="0.25">
      <c r="A5" s="2" t="s">
        <v>4157</v>
      </c>
      <c r="B5" s="50" t="s">
        <v>4155</v>
      </c>
      <c r="C5" s="50" t="s">
        <v>4155</v>
      </c>
      <c r="D5" s="50" t="s">
        <v>4155</v>
      </c>
      <c r="E5" s="50" t="s">
        <v>4155</v>
      </c>
      <c r="F5" s="50" t="s">
        <v>4155</v>
      </c>
      <c r="G5" s="50" t="s">
        <v>4155</v>
      </c>
      <c r="H5" s="50" t="s">
        <v>4155</v>
      </c>
      <c r="I5" s="50" t="s">
        <v>4155</v>
      </c>
      <c r="J5" s="50" t="s">
        <v>4155</v>
      </c>
    </row>
    <row r="6" spans="1:10" x14ac:dyDescent="0.25">
      <c r="A6" s="280" t="s">
        <v>4259</v>
      </c>
      <c r="B6" s="293"/>
      <c r="C6" s="293"/>
      <c r="D6" s="293"/>
      <c r="E6" s="293"/>
      <c r="F6" s="293"/>
      <c r="G6" s="293"/>
      <c r="H6" s="293"/>
      <c r="I6" s="293"/>
      <c r="J6" s="293"/>
    </row>
    <row r="7" spans="1:10" x14ac:dyDescent="0.25">
      <c r="B7" s="293"/>
      <c r="C7" s="293"/>
      <c r="D7" s="293"/>
      <c r="E7" s="293"/>
      <c r="F7" s="293"/>
      <c r="G7" s="293"/>
      <c r="H7" s="293"/>
      <c r="I7" s="293"/>
      <c r="J7" s="293"/>
    </row>
    <row r="8" spans="1:10" x14ac:dyDescent="0.25">
      <c r="A8" s="47" t="s">
        <v>4260</v>
      </c>
      <c r="B8" s="293"/>
      <c r="C8" s="293"/>
      <c r="D8" s="293"/>
      <c r="E8" s="293"/>
      <c r="F8" s="293"/>
      <c r="G8" s="293"/>
      <c r="H8" s="293"/>
      <c r="I8" s="293"/>
      <c r="J8" s="293"/>
    </row>
    <row r="9" spans="1:10" x14ac:dyDescent="0.25">
      <c r="A9" t="s">
        <v>4262</v>
      </c>
      <c r="B9" s="293"/>
      <c r="C9" s="293"/>
      <c r="D9" s="293"/>
      <c r="E9" s="293"/>
      <c r="F9" s="293"/>
      <c r="G9" s="293"/>
      <c r="H9" s="293"/>
      <c r="I9" s="293"/>
      <c r="J9" s="293"/>
    </row>
    <row r="10" spans="1:10" x14ac:dyDescent="0.25">
      <c r="A10" t="s">
        <v>4261</v>
      </c>
      <c r="B10" s="293"/>
      <c r="C10" s="293"/>
      <c r="D10" s="293"/>
      <c r="E10" s="293"/>
      <c r="F10" s="293"/>
      <c r="G10" s="293"/>
      <c r="H10" s="293"/>
      <c r="I10" s="293"/>
      <c r="J10" s="293"/>
    </row>
    <row r="11" spans="1:10" x14ac:dyDescent="0.25">
      <c r="A11" t="s">
        <v>66</v>
      </c>
      <c r="B11" s="293"/>
      <c r="C11" s="293"/>
      <c r="D11" s="293"/>
      <c r="E11" s="293"/>
      <c r="F11" s="293"/>
      <c r="G11" s="293"/>
      <c r="H11" s="293"/>
      <c r="I11" s="293"/>
      <c r="J11" s="293"/>
    </row>
    <row r="12" spans="1:10" x14ac:dyDescent="0.25">
      <c r="B12" s="293"/>
      <c r="C12" s="293"/>
      <c r="D12" s="293"/>
      <c r="E12" s="293"/>
      <c r="F12" s="293"/>
      <c r="G12" s="293"/>
      <c r="H12" s="293"/>
      <c r="I12" s="293"/>
      <c r="J12" s="293"/>
    </row>
    <row r="13" spans="1:10" x14ac:dyDescent="0.25">
      <c r="B13" s="293"/>
      <c r="C13" s="293"/>
      <c r="D13" s="293"/>
      <c r="E13" s="293"/>
      <c r="F13" s="293"/>
      <c r="G13" s="293"/>
      <c r="H13" s="293"/>
      <c r="I13" s="293"/>
      <c r="J13" s="293"/>
    </row>
    <row r="14" spans="1:10" x14ac:dyDescent="0.25">
      <c r="B14" s="293"/>
      <c r="C14" s="293"/>
      <c r="D14" s="293"/>
      <c r="E14" s="293"/>
      <c r="F14" s="293"/>
      <c r="G14" s="293"/>
      <c r="H14" s="293"/>
      <c r="I14" s="293"/>
      <c r="J14" s="293"/>
    </row>
    <row r="15" spans="1:10" x14ac:dyDescent="0.25">
      <c r="B15" s="293"/>
      <c r="C15" s="293"/>
      <c r="D15" s="293"/>
      <c r="E15" s="293"/>
      <c r="F15" s="293"/>
      <c r="G15" s="293"/>
      <c r="H15" s="293"/>
      <c r="I15" s="293"/>
      <c r="J15" s="293"/>
    </row>
    <row r="16" spans="1:10" x14ac:dyDescent="0.25">
      <c r="A16" s="47" t="s">
        <v>4263</v>
      </c>
      <c r="B16" s="296">
        <f>SUM(B6:B15)</f>
        <v>0</v>
      </c>
      <c r="C16" s="296">
        <f t="shared" ref="C16:J16" si="0">SUM(C6:C15)</f>
        <v>0</v>
      </c>
      <c r="D16" s="296">
        <f t="shared" si="0"/>
        <v>0</v>
      </c>
      <c r="E16" s="296">
        <f t="shared" si="0"/>
        <v>0</v>
      </c>
      <c r="F16" s="296">
        <f t="shared" si="0"/>
        <v>0</v>
      </c>
      <c r="G16" s="296">
        <f t="shared" si="0"/>
        <v>0</v>
      </c>
      <c r="H16" s="296">
        <f t="shared" si="0"/>
        <v>0</v>
      </c>
      <c r="I16" s="296">
        <f t="shared" si="0"/>
        <v>0</v>
      </c>
      <c r="J16" s="296">
        <f t="shared" si="0"/>
        <v>0</v>
      </c>
    </row>
    <row r="17" spans="1:10" x14ac:dyDescent="0.25">
      <c r="B17" s="293"/>
      <c r="C17" s="293"/>
      <c r="D17" s="293"/>
      <c r="E17" s="293"/>
      <c r="F17" s="293"/>
      <c r="G17" s="293"/>
      <c r="H17" s="293"/>
      <c r="I17" s="293"/>
      <c r="J17" s="293"/>
    </row>
    <row r="18" spans="1:10" x14ac:dyDescent="0.25">
      <c r="A18" s="47" t="s">
        <v>4264</v>
      </c>
      <c r="B18" s="293"/>
      <c r="C18" s="293"/>
      <c r="D18" s="293"/>
      <c r="E18" s="293"/>
      <c r="F18" s="293"/>
      <c r="G18" s="293"/>
      <c r="H18" s="293"/>
      <c r="I18" s="293"/>
      <c r="J18" s="293"/>
    </row>
    <row r="19" spans="1:10" x14ac:dyDescent="0.25">
      <c r="A19" t="s">
        <v>87</v>
      </c>
      <c r="B19" s="293"/>
      <c r="C19" s="293"/>
      <c r="D19" s="293"/>
      <c r="E19" s="293"/>
      <c r="F19" s="293"/>
      <c r="G19" s="293"/>
      <c r="H19" s="293"/>
      <c r="I19" s="293"/>
      <c r="J19" s="293"/>
    </row>
    <row r="20" spans="1:10" x14ac:dyDescent="0.25">
      <c r="A20" t="s">
        <v>4265</v>
      </c>
      <c r="B20" s="293"/>
      <c r="C20" s="293"/>
      <c r="D20" s="293"/>
      <c r="E20" s="293"/>
      <c r="F20" s="293"/>
      <c r="G20" s="293"/>
      <c r="H20" s="293"/>
      <c r="I20" s="293"/>
      <c r="J20" s="293"/>
    </row>
    <row r="21" spans="1:10" x14ac:dyDescent="0.25">
      <c r="B21" s="293"/>
      <c r="C21" s="293"/>
      <c r="D21" s="293"/>
      <c r="E21" s="293"/>
      <c r="F21" s="293"/>
      <c r="G21" s="293"/>
      <c r="H21" s="293"/>
      <c r="I21" s="293"/>
      <c r="J21" s="293"/>
    </row>
    <row r="22" spans="1:10" x14ac:dyDescent="0.25">
      <c r="B22" s="293"/>
      <c r="C22" s="293"/>
      <c r="D22" s="293"/>
      <c r="E22" s="293"/>
      <c r="F22" s="293"/>
      <c r="G22" s="293"/>
      <c r="H22" s="293"/>
      <c r="I22" s="293"/>
      <c r="J22" s="293"/>
    </row>
    <row r="23" spans="1:10" x14ac:dyDescent="0.25">
      <c r="B23" s="293"/>
      <c r="C23" s="293"/>
      <c r="D23" s="293"/>
      <c r="E23" s="293"/>
      <c r="F23" s="293"/>
      <c r="G23" s="293"/>
      <c r="H23" s="293"/>
      <c r="I23" s="293"/>
      <c r="J23" s="293"/>
    </row>
    <row r="24" spans="1:10" x14ac:dyDescent="0.25">
      <c r="B24" s="293"/>
      <c r="C24" s="293"/>
      <c r="D24" s="293"/>
      <c r="E24" s="293"/>
      <c r="F24" s="293"/>
      <c r="G24" s="293"/>
      <c r="H24" s="293"/>
      <c r="I24" s="293"/>
      <c r="J24" s="293"/>
    </row>
    <row r="25" spans="1:10" x14ac:dyDescent="0.25">
      <c r="A25" t="s">
        <v>4266</v>
      </c>
      <c r="B25" s="293"/>
      <c r="C25" s="293"/>
      <c r="D25" s="293"/>
      <c r="E25" s="293"/>
      <c r="F25" s="293"/>
      <c r="G25" s="293"/>
      <c r="H25" s="293"/>
      <c r="I25" s="293"/>
      <c r="J25" s="293"/>
    </row>
    <row r="26" spans="1:10" x14ac:dyDescent="0.25">
      <c r="A26" t="s">
        <v>66</v>
      </c>
      <c r="B26" s="293"/>
      <c r="C26" s="293"/>
      <c r="D26" s="293"/>
      <c r="E26" s="293"/>
      <c r="F26" s="293"/>
      <c r="G26" s="293"/>
      <c r="H26" s="293"/>
      <c r="I26" s="293"/>
      <c r="J26" s="293"/>
    </row>
    <row r="27" spans="1:10" x14ac:dyDescent="0.25">
      <c r="B27" s="293"/>
      <c r="C27" s="293"/>
      <c r="D27" s="293"/>
      <c r="E27" s="293"/>
      <c r="F27" s="293"/>
      <c r="G27" s="293"/>
      <c r="H27" s="293"/>
      <c r="I27" s="293"/>
      <c r="J27" s="293"/>
    </row>
    <row r="28" spans="1:10" x14ac:dyDescent="0.25">
      <c r="B28" s="293"/>
      <c r="C28" s="293"/>
      <c r="D28" s="293"/>
      <c r="E28" s="293"/>
      <c r="F28" s="293"/>
      <c r="G28" s="293"/>
      <c r="H28" s="293"/>
      <c r="I28" s="293"/>
      <c r="J28" s="293"/>
    </row>
    <row r="29" spans="1:10" x14ac:dyDescent="0.25">
      <c r="B29" s="293"/>
      <c r="C29" s="293"/>
      <c r="D29" s="293"/>
      <c r="E29" s="293"/>
      <c r="F29" s="293"/>
      <c r="G29" s="293"/>
      <c r="H29" s="293"/>
      <c r="I29" s="293"/>
      <c r="J29" s="293"/>
    </row>
    <row r="30" spans="1:10" x14ac:dyDescent="0.25">
      <c r="B30" s="293"/>
      <c r="C30" s="293"/>
      <c r="D30" s="293"/>
      <c r="E30" s="293"/>
      <c r="F30" s="293"/>
      <c r="G30" s="293"/>
      <c r="H30" s="293"/>
      <c r="I30" s="293"/>
      <c r="J30" s="293"/>
    </row>
    <row r="31" spans="1:10" x14ac:dyDescent="0.25">
      <c r="A31" s="47" t="s">
        <v>4267</v>
      </c>
      <c r="B31" s="296">
        <f>SUM(B19:B30)</f>
        <v>0</v>
      </c>
      <c r="C31" s="296">
        <f t="shared" ref="C31:J31" si="1">SUM(C19:C30)</f>
        <v>0</v>
      </c>
      <c r="D31" s="296">
        <f t="shared" si="1"/>
        <v>0</v>
      </c>
      <c r="E31" s="296">
        <f t="shared" si="1"/>
        <v>0</v>
      </c>
      <c r="F31" s="296">
        <f t="shared" si="1"/>
        <v>0</v>
      </c>
      <c r="G31" s="296">
        <f t="shared" si="1"/>
        <v>0</v>
      </c>
      <c r="H31" s="296">
        <f t="shared" si="1"/>
        <v>0</v>
      </c>
      <c r="I31" s="296">
        <f t="shared" si="1"/>
        <v>0</v>
      </c>
      <c r="J31" s="296">
        <f t="shared" si="1"/>
        <v>0</v>
      </c>
    </row>
    <row r="32" spans="1:10" x14ac:dyDescent="0.25">
      <c r="B32" s="293"/>
      <c r="C32" s="293"/>
      <c r="D32" s="293"/>
      <c r="E32" s="293"/>
      <c r="F32" s="293"/>
      <c r="G32" s="293"/>
      <c r="H32" s="293"/>
      <c r="I32" s="293"/>
      <c r="J32" s="293"/>
    </row>
    <row r="33" spans="1:10" ht="15.75" thickBot="1" x14ac:dyDescent="0.3">
      <c r="A33" s="47" t="s">
        <v>4268</v>
      </c>
      <c r="B33" s="301">
        <f>B16-B31</f>
        <v>0</v>
      </c>
      <c r="C33" s="301">
        <f t="shared" ref="C33:J33" si="2">C16-C31</f>
        <v>0</v>
      </c>
      <c r="D33" s="301">
        <f t="shared" si="2"/>
        <v>0</v>
      </c>
      <c r="E33" s="301">
        <f t="shared" si="2"/>
        <v>0</v>
      </c>
      <c r="F33" s="301">
        <f t="shared" si="2"/>
        <v>0</v>
      </c>
      <c r="G33" s="301">
        <f t="shared" si="2"/>
        <v>0</v>
      </c>
      <c r="H33" s="301">
        <f t="shared" si="2"/>
        <v>0</v>
      </c>
      <c r="I33" s="301">
        <f t="shared" si="2"/>
        <v>0</v>
      </c>
      <c r="J33" s="301">
        <f t="shared" si="2"/>
        <v>0</v>
      </c>
    </row>
    <row r="34" spans="1:10" ht="15.75" thickTop="1" x14ac:dyDescent="0.25">
      <c r="B34" s="293"/>
      <c r="C34" s="293"/>
      <c r="D34" s="293"/>
      <c r="E34" s="293"/>
      <c r="F34" s="293"/>
      <c r="G34" s="293"/>
      <c r="H34" s="293"/>
      <c r="I34" s="293"/>
      <c r="J34" s="293"/>
    </row>
    <row r="35" spans="1:10" x14ac:dyDescent="0.25">
      <c r="A35" s="281"/>
      <c r="B35" s="316"/>
      <c r="C35" s="316"/>
      <c r="D35" s="316"/>
      <c r="E35" s="316"/>
      <c r="F35" s="316"/>
      <c r="G35" s="316"/>
      <c r="H35" s="316"/>
      <c r="I35" s="316"/>
      <c r="J35" s="316"/>
    </row>
    <row r="36" spans="1:10" x14ac:dyDescent="0.25">
      <c r="B36" s="293"/>
      <c r="C36" s="293"/>
      <c r="D36" s="293"/>
      <c r="E36" s="293"/>
      <c r="F36" s="293"/>
      <c r="G36" s="293"/>
      <c r="H36" s="293"/>
      <c r="I36" s="293"/>
      <c r="J36" s="293"/>
    </row>
    <row r="37" spans="1:10" x14ac:dyDescent="0.25">
      <c r="A37" s="280" t="s">
        <v>4269</v>
      </c>
      <c r="B37" s="293"/>
      <c r="C37" s="293"/>
      <c r="D37" s="293"/>
      <c r="E37" s="293"/>
      <c r="F37" s="293"/>
      <c r="G37" s="293"/>
      <c r="H37" s="293"/>
      <c r="I37" s="293"/>
      <c r="J37" s="293"/>
    </row>
    <row r="38" spans="1:10" x14ac:dyDescent="0.25">
      <c r="B38" s="293"/>
      <c r="C38" s="293"/>
      <c r="D38" s="293"/>
      <c r="E38" s="293"/>
      <c r="F38" s="293"/>
      <c r="G38" s="293"/>
      <c r="H38" s="293"/>
      <c r="I38" s="293"/>
      <c r="J38" s="293"/>
    </row>
    <row r="39" spans="1:10" x14ac:dyDescent="0.25">
      <c r="A39" s="47" t="s">
        <v>4260</v>
      </c>
      <c r="B39" s="293"/>
      <c r="C39" s="293"/>
      <c r="D39" s="293"/>
      <c r="E39" s="293"/>
      <c r="F39" s="293"/>
      <c r="G39" s="293"/>
      <c r="H39" s="293"/>
      <c r="I39" s="293"/>
      <c r="J39" s="293"/>
    </row>
    <row r="40" spans="1:10" x14ac:dyDescent="0.25">
      <c r="A40" t="s">
        <v>4262</v>
      </c>
      <c r="B40" s="293">
        <f>-operatingdata!F1564-operatingdata!F1613</f>
        <v>3998400</v>
      </c>
      <c r="C40" s="293">
        <f>-operatingdata!G1564-operatingdata!G1613</f>
        <v>4098500</v>
      </c>
      <c r="D40" s="293">
        <f>-operatingdata!H1564-operatingdata!H1613</f>
        <v>4201100</v>
      </c>
      <c r="E40" s="293">
        <f>-operatingdata!I1564-operatingdata!I1613</f>
        <v>4306300</v>
      </c>
      <c r="F40" s="293">
        <f>-operatingdata!J1564-operatingdata!J1613</f>
        <v>4414100</v>
      </c>
      <c r="G40" s="293">
        <f>-operatingdata!K1564-operatingdata!K1613</f>
        <v>4524400</v>
      </c>
      <c r="H40" s="293">
        <f>-operatingdata!L1564-operatingdata!L1613</f>
        <v>4637500</v>
      </c>
      <c r="I40" s="293">
        <f>-operatingdata!M1564-operatingdata!M1613</f>
        <v>4753500</v>
      </c>
      <c r="J40" s="293">
        <f>-operatingdata!N1564-operatingdata!N1613</f>
        <v>4872300</v>
      </c>
    </row>
    <row r="41" spans="1:10" x14ac:dyDescent="0.25">
      <c r="A41" t="s">
        <v>4261</v>
      </c>
      <c r="B41" s="293"/>
      <c r="C41" s="293"/>
      <c r="D41" s="293"/>
      <c r="E41" s="293"/>
      <c r="F41" s="293"/>
      <c r="G41" s="293"/>
      <c r="H41" s="293"/>
      <c r="I41" s="293"/>
      <c r="J41" s="293"/>
    </row>
    <row r="42" spans="1:10" x14ac:dyDescent="0.25">
      <c r="A42" t="s">
        <v>66</v>
      </c>
      <c r="B42" s="293"/>
      <c r="C42" s="293"/>
      <c r="D42" s="293"/>
      <c r="E42" s="293"/>
      <c r="F42" s="293"/>
      <c r="G42" s="293"/>
      <c r="H42" s="293"/>
      <c r="I42" s="293"/>
      <c r="J42" s="293"/>
    </row>
    <row r="43" spans="1:10" x14ac:dyDescent="0.25">
      <c r="B43" s="293"/>
      <c r="C43" s="293"/>
      <c r="D43" s="293"/>
      <c r="E43" s="293"/>
      <c r="F43" s="293"/>
      <c r="G43" s="293"/>
      <c r="H43" s="293"/>
      <c r="I43" s="293"/>
      <c r="J43" s="293"/>
    </row>
    <row r="44" spans="1:10" x14ac:dyDescent="0.25">
      <c r="B44" s="293"/>
      <c r="C44" s="293"/>
      <c r="D44" s="293"/>
      <c r="E44" s="293"/>
      <c r="F44" s="293"/>
      <c r="G44" s="293"/>
      <c r="H44" s="293"/>
      <c r="I44" s="293"/>
      <c r="J44" s="293"/>
    </row>
    <row r="45" spans="1:10" x14ac:dyDescent="0.25">
      <c r="B45" s="293"/>
      <c r="C45" s="293"/>
      <c r="D45" s="293"/>
      <c r="E45" s="293"/>
      <c r="F45" s="293"/>
      <c r="G45" s="293"/>
      <c r="H45" s="293"/>
      <c r="I45" s="293"/>
      <c r="J45" s="293"/>
    </row>
    <row r="46" spans="1:10" x14ac:dyDescent="0.25">
      <c r="B46" s="293"/>
      <c r="C46" s="293"/>
      <c r="D46" s="293"/>
      <c r="E46" s="293"/>
      <c r="F46" s="293"/>
      <c r="G46" s="293"/>
      <c r="H46" s="293"/>
      <c r="I46" s="293"/>
      <c r="J46" s="293"/>
    </row>
    <row r="47" spans="1:10" x14ac:dyDescent="0.25">
      <c r="A47" s="47" t="s">
        <v>4263</v>
      </c>
      <c r="B47" s="296">
        <f>SUM(B37:B46)</f>
        <v>3998400</v>
      </c>
      <c r="C47" s="296">
        <f t="shared" ref="C47" si="3">SUM(C37:C46)</f>
        <v>4098500</v>
      </c>
      <c r="D47" s="296">
        <f t="shared" ref="D47" si="4">SUM(D37:D46)</f>
        <v>4201100</v>
      </c>
      <c r="E47" s="296">
        <f t="shared" ref="E47" si="5">SUM(E37:E46)</f>
        <v>4306300</v>
      </c>
      <c r="F47" s="296">
        <f t="shared" ref="F47" si="6">SUM(F37:F46)</f>
        <v>4414100</v>
      </c>
      <c r="G47" s="296">
        <f t="shared" ref="G47" si="7">SUM(G37:G46)</f>
        <v>4524400</v>
      </c>
      <c r="H47" s="296">
        <f t="shared" ref="H47" si="8">SUM(H37:H46)</f>
        <v>4637500</v>
      </c>
      <c r="I47" s="296">
        <f t="shared" ref="I47" si="9">SUM(I37:I46)</f>
        <v>4753500</v>
      </c>
      <c r="J47" s="296">
        <f t="shared" ref="J47" si="10">SUM(J37:J46)</f>
        <v>4872300</v>
      </c>
    </row>
    <row r="48" spans="1:10" x14ac:dyDescent="0.25">
      <c r="B48" s="293"/>
      <c r="C48" s="293"/>
      <c r="D48" s="293"/>
      <c r="E48" s="293"/>
      <c r="F48" s="293"/>
      <c r="G48" s="293"/>
      <c r="H48" s="293"/>
      <c r="I48" s="293"/>
      <c r="J48" s="293"/>
    </row>
    <row r="49" spans="1:10" x14ac:dyDescent="0.25">
      <c r="A49" s="47" t="s">
        <v>4264</v>
      </c>
      <c r="B49" s="293"/>
      <c r="C49" s="293"/>
      <c r="D49" s="293"/>
      <c r="E49" s="293"/>
      <c r="F49" s="293"/>
      <c r="G49" s="293"/>
      <c r="H49" s="293"/>
      <c r="I49" s="293"/>
      <c r="J49" s="293"/>
    </row>
    <row r="50" spans="1:10" x14ac:dyDescent="0.25">
      <c r="A50" t="s">
        <v>87</v>
      </c>
      <c r="B50" s="293">
        <f>operatingdata!F1552+operatingdata!F1595</f>
        <v>3481600</v>
      </c>
      <c r="C50" s="293">
        <f>operatingdata!G1552+operatingdata!G1595</f>
        <v>3550300</v>
      </c>
      <c r="D50" s="293">
        <f>operatingdata!H1552+operatingdata!H1595</f>
        <v>3620200</v>
      </c>
      <c r="E50" s="293">
        <f>operatingdata!I1552+operatingdata!I1595</f>
        <v>3691300</v>
      </c>
      <c r="F50" s="293">
        <f>operatingdata!J1552+operatingdata!J1595</f>
        <v>3763900</v>
      </c>
      <c r="G50" s="293">
        <f>operatingdata!K1552+operatingdata!K1595</f>
        <v>3838100</v>
      </c>
      <c r="H50" s="293">
        <f>operatingdata!L1552+operatingdata!L1595</f>
        <v>3931900</v>
      </c>
      <c r="I50" s="293">
        <f>operatingdata!M1552+operatingdata!M1595</f>
        <v>4028100</v>
      </c>
      <c r="J50" s="293">
        <f>operatingdata!N1552+operatingdata!N1595</f>
        <v>4126700</v>
      </c>
    </row>
    <row r="51" spans="1:10" x14ac:dyDescent="0.25">
      <c r="A51" t="s">
        <v>4391</v>
      </c>
      <c r="B51" s="293">
        <f>-operatingdata!F1593-operatingdata!F1550</f>
        <v>-119500</v>
      </c>
      <c r="C51" s="293">
        <f>-operatingdata!G1593-operatingdata!G1550</f>
        <v>-120700</v>
      </c>
      <c r="D51" s="293">
        <f>-operatingdata!H1593-operatingdata!H1550</f>
        <v>-121900</v>
      </c>
      <c r="E51" s="293">
        <f>-operatingdata!I1593-operatingdata!I1550</f>
        <v>-123100</v>
      </c>
      <c r="F51" s="293">
        <f>-operatingdata!J1593-operatingdata!J1550</f>
        <v>-124300</v>
      </c>
      <c r="G51" s="293">
        <f>-operatingdata!K1593-operatingdata!K1550</f>
        <v>-125500</v>
      </c>
      <c r="H51" s="293">
        <f>-operatingdata!L1593-operatingdata!L1550</f>
        <v>-126700</v>
      </c>
      <c r="I51" s="293">
        <f>-operatingdata!M1593-operatingdata!M1550</f>
        <v>-127900</v>
      </c>
      <c r="J51" s="293">
        <f>-operatingdata!N1593-operatingdata!N1550</f>
        <v>-129100</v>
      </c>
    </row>
    <row r="52" spans="1:10" x14ac:dyDescent="0.25">
      <c r="A52" t="s">
        <v>4265</v>
      </c>
      <c r="B52" s="293">
        <f>capitalexpdata!G593</f>
        <v>335000</v>
      </c>
      <c r="C52" s="293">
        <f>capitalexpdata!H593</f>
        <v>200000</v>
      </c>
      <c r="D52" s="293">
        <f>capitalexpdata!I593</f>
        <v>354000</v>
      </c>
      <c r="E52" s="293">
        <f>capitalexpdata!J593</f>
        <v>213000</v>
      </c>
      <c r="F52" s="293">
        <f>capitalexpdata!K593</f>
        <v>212000</v>
      </c>
      <c r="G52" s="293">
        <f>capitalexpdata!L593</f>
        <v>316000</v>
      </c>
      <c r="H52" s="293">
        <f>capitalexpdata!M593</f>
        <v>216000</v>
      </c>
      <c r="I52" s="293">
        <f>capitalexpdata!N593</f>
        <v>216000</v>
      </c>
      <c r="J52" s="293">
        <f>capitalexpdata!O593</f>
        <v>216000</v>
      </c>
    </row>
    <row r="53" spans="1:10" x14ac:dyDescent="0.25">
      <c r="B53" s="293"/>
      <c r="C53" s="293"/>
      <c r="D53" s="293"/>
      <c r="E53" s="293"/>
      <c r="F53" s="293"/>
      <c r="G53" s="293"/>
      <c r="H53" s="293"/>
      <c r="I53" s="293"/>
      <c r="J53" s="293"/>
    </row>
    <row r="54" spans="1:10" x14ac:dyDescent="0.25">
      <c r="B54" s="293"/>
      <c r="C54" s="293"/>
      <c r="D54" s="293"/>
      <c r="E54" s="293"/>
      <c r="F54" s="293"/>
      <c r="G54" s="293"/>
      <c r="H54" s="293"/>
      <c r="I54" s="293"/>
      <c r="J54" s="293"/>
    </row>
    <row r="55" spans="1:10" x14ac:dyDescent="0.25">
      <c r="B55" s="293"/>
      <c r="C55" s="293"/>
      <c r="D55" s="293"/>
      <c r="E55" s="293"/>
      <c r="F55" s="293"/>
      <c r="G55" s="293"/>
      <c r="H55" s="293"/>
      <c r="I55" s="293"/>
      <c r="J55" s="293"/>
    </row>
    <row r="56" spans="1:10" x14ac:dyDescent="0.25">
      <c r="B56" s="293"/>
      <c r="C56" s="293"/>
      <c r="D56" s="293"/>
      <c r="E56" s="293"/>
      <c r="F56" s="293"/>
      <c r="G56" s="293"/>
      <c r="H56" s="293"/>
      <c r="I56" s="293"/>
      <c r="J56" s="293"/>
    </row>
    <row r="57" spans="1:10" x14ac:dyDescent="0.25">
      <c r="A57" t="s">
        <v>4266</v>
      </c>
      <c r="B57" s="293"/>
      <c r="C57" s="293"/>
      <c r="D57" s="293"/>
      <c r="E57" s="293"/>
      <c r="F57" s="293"/>
      <c r="G57" s="293"/>
      <c r="H57" s="293"/>
      <c r="I57" s="293"/>
      <c r="J57" s="293"/>
    </row>
    <row r="58" spans="1:10" x14ac:dyDescent="0.25">
      <c r="A58" t="s">
        <v>66</v>
      </c>
      <c r="B58" s="293"/>
      <c r="C58" s="293"/>
      <c r="D58" s="293"/>
      <c r="E58" s="293"/>
      <c r="F58" s="293"/>
      <c r="G58" s="293"/>
      <c r="H58" s="293"/>
      <c r="I58" s="293"/>
      <c r="J58" s="293"/>
    </row>
    <row r="59" spans="1:10" x14ac:dyDescent="0.25">
      <c r="B59" s="293"/>
      <c r="C59" s="293"/>
      <c r="D59" s="293"/>
      <c r="E59" s="293"/>
      <c r="F59" s="293"/>
      <c r="G59" s="293"/>
      <c r="H59" s="293"/>
      <c r="I59" s="293"/>
      <c r="J59" s="293"/>
    </row>
    <row r="60" spans="1:10" x14ac:dyDescent="0.25">
      <c r="B60" s="293"/>
      <c r="C60" s="293"/>
      <c r="D60" s="293"/>
      <c r="E60" s="293"/>
      <c r="F60" s="293"/>
      <c r="G60" s="293"/>
      <c r="H60" s="293"/>
      <c r="I60" s="293"/>
      <c r="J60" s="293"/>
    </row>
    <row r="61" spans="1:10" x14ac:dyDescent="0.25">
      <c r="B61" s="293"/>
      <c r="C61" s="293"/>
      <c r="D61" s="293"/>
      <c r="E61" s="293"/>
      <c r="F61" s="293"/>
      <c r="G61" s="293"/>
      <c r="H61" s="293"/>
      <c r="I61" s="293"/>
      <c r="J61" s="293"/>
    </row>
    <row r="62" spans="1:10" x14ac:dyDescent="0.25">
      <c r="B62" s="293"/>
      <c r="C62" s="293"/>
      <c r="D62" s="293"/>
      <c r="E62" s="293"/>
      <c r="F62" s="293"/>
      <c r="G62" s="293"/>
      <c r="H62" s="293"/>
      <c r="I62" s="293"/>
      <c r="J62" s="293"/>
    </row>
    <row r="63" spans="1:10" x14ac:dyDescent="0.25">
      <c r="A63" s="47" t="s">
        <v>4267</v>
      </c>
      <c r="B63" s="296">
        <f>SUM(B50:B62)</f>
        <v>3697100</v>
      </c>
      <c r="C63" s="296">
        <f t="shared" ref="C63" si="11">SUM(C50:C62)</f>
        <v>3629600</v>
      </c>
      <c r="D63" s="296">
        <f t="shared" ref="D63" si="12">SUM(D50:D62)</f>
        <v>3852300</v>
      </c>
      <c r="E63" s="296">
        <f t="shared" ref="E63" si="13">SUM(E50:E62)</f>
        <v>3781200</v>
      </c>
      <c r="F63" s="296">
        <f t="shared" ref="F63" si="14">SUM(F50:F62)</f>
        <v>3851600</v>
      </c>
      <c r="G63" s="296">
        <f t="shared" ref="G63" si="15">SUM(G50:G62)</f>
        <v>4028600</v>
      </c>
      <c r="H63" s="296">
        <f t="shared" ref="H63" si="16">SUM(H50:H62)</f>
        <v>4021200</v>
      </c>
      <c r="I63" s="296">
        <f t="shared" ref="I63" si="17">SUM(I50:I62)</f>
        <v>4116200</v>
      </c>
      <c r="J63" s="296">
        <f t="shared" ref="J63" si="18">SUM(J50:J62)</f>
        <v>4213600</v>
      </c>
    </row>
    <row r="64" spans="1:10" x14ac:dyDescent="0.25">
      <c r="B64" s="293"/>
      <c r="C64" s="293"/>
      <c r="D64" s="293"/>
      <c r="E64" s="293"/>
      <c r="F64" s="293"/>
      <c r="G64" s="293"/>
      <c r="H64" s="293"/>
      <c r="I64" s="293"/>
      <c r="J64" s="293"/>
    </row>
    <row r="65" spans="1:10" ht="15.75" thickBot="1" x14ac:dyDescent="0.3">
      <c r="A65" s="47" t="s">
        <v>4268</v>
      </c>
      <c r="B65" s="301">
        <f>B47-B63</f>
        <v>301300</v>
      </c>
      <c r="C65" s="301">
        <f t="shared" ref="C65:J65" si="19">C47-C63</f>
        <v>468900</v>
      </c>
      <c r="D65" s="301">
        <f t="shared" si="19"/>
        <v>348800</v>
      </c>
      <c r="E65" s="301">
        <f t="shared" si="19"/>
        <v>525100</v>
      </c>
      <c r="F65" s="301">
        <f t="shared" si="19"/>
        <v>562500</v>
      </c>
      <c r="G65" s="301">
        <f t="shared" si="19"/>
        <v>495800</v>
      </c>
      <c r="H65" s="301">
        <f t="shared" si="19"/>
        <v>616300</v>
      </c>
      <c r="I65" s="301">
        <f t="shared" si="19"/>
        <v>637300</v>
      </c>
      <c r="J65" s="301">
        <f t="shared" si="19"/>
        <v>658700</v>
      </c>
    </row>
    <row r="66" spans="1:10" ht="15.75" thickTop="1" x14ac:dyDescent="0.25">
      <c r="B66" s="293"/>
      <c r="C66" s="293"/>
      <c r="D66" s="293"/>
      <c r="E66" s="293"/>
      <c r="F66" s="293"/>
      <c r="G66" s="293"/>
      <c r="H66" s="293"/>
      <c r="I66" s="293"/>
      <c r="J66" s="293"/>
    </row>
    <row r="67" spans="1:10" x14ac:dyDescent="0.25">
      <c r="A67" s="281"/>
      <c r="B67" s="316"/>
      <c r="C67" s="316"/>
      <c r="D67" s="316"/>
      <c r="E67" s="316"/>
      <c r="F67" s="316"/>
      <c r="G67" s="316"/>
      <c r="H67" s="316"/>
      <c r="I67" s="316"/>
      <c r="J67" s="316"/>
    </row>
    <row r="68" spans="1:10" x14ac:dyDescent="0.25">
      <c r="B68" s="293"/>
      <c r="C68" s="293"/>
      <c r="D68" s="293"/>
      <c r="E68" s="293"/>
      <c r="F68" s="293"/>
      <c r="G68" s="293"/>
      <c r="H68" s="293"/>
      <c r="I68" s="293"/>
      <c r="J68" s="293"/>
    </row>
    <row r="69" spans="1:10" x14ac:dyDescent="0.25">
      <c r="A69" s="280" t="s">
        <v>4270</v>
      </c>
      <c r="B69" s="293"/>
      <c r="C69" s="293"/>
      <c r="D69" s="293"/>
      <c r="E69" s="293"/>
      <c r="F69" s="293"/>
      <c r="G69" s="293"/>
      <c r="H69" s="293"/>
      <c r="I69" s="293"/>
      <c r="J69" s="293"/>
    </row>
    <row r="70" spans="1:10" x14ac:dyDescent="0.25">
      <c r="B70" s="293"/>
      <c r="C70" s="293"/>
      <c r="D70" s="293"/>
      <c r="E70" s="293"/>
      <c r="F70" s="293"/>
      <c r="G70" s="293"/>
      <c r="H70" s="293"/>
      <c r="I70" s="293"/>
      <c r="J70" s="293"/>
    </row>
    <row r="71" spans="1:10" x14ac:dyDescent="0.25">
      <c r="A71" s="47" t="s">
        <v>4260</v>
      </c>
      <c r="B71" s="293"/>
      <c r="C71" s="293"/>
      <c r="D71" s="293"/>
      <c r="E71" s="293"/>
      <c r="F71" s="293"/>
      <c r="G71" s="293"/>
      <c r="H71" s="293"/>
      <c r="I71" s="293"/>
      <c r="J71" s="293"/>
    </row>
    <row r="72" spans="1:10" x14ac:dyDescent="0.25">
      <c r="A72" t="s">
        <v>4262</v>
      </c>
      <c r="B72" s="293"/>
      <c r="C72" s="293"/>
      <c r="D72" s="293"/>
      <c r="E72" s="293"/>
      <c r="F72" s="293"/>
      <c r="G72" s="293"/>
      <c r="H72" s="293"/>
      <c r="I72" s="293"/>
      <c r="J72" s="293"/>
    </row>
    <row r="73" spans="1:10" x14ac:dyDescent="0.25">
      <c r="A73" t="s">
        <v>4261</v>
      </c>
      <c r="B73" s="293"/>
      <c r="C73" s="293"/>
      <c r="D73" s="293"/>
      <c r="E73" s="293"/>
      <c r="F73" s="293"/>
      <c r="G73" s="293"/>
      <c r="H73" s="293"/>
      <c r="I73" s="293"/>
      <c r="J73" s="293"/>
    </row>
    <row r="74" spans="1:10" x14ac:dyDescent="0.25">
      <c r="A74" t="s">
        <v>66</v>
      </c>
      <c r="B74" s="293"/>
      <c r="C74" s="293"/>
      <c r="D74" s="293"/>
      <c r="E74" s="293"/>
      <c r="F74" s="293"/>
      <c r="G74" s="293"/>
      <c r="H74" s="293"/>
      <c r="I74" s="293"/>
      <c r="J74" s="293"/>
    </row>
    <row r="75" spans="1:10" x14ac:dyDescent="0.25">
      <c r="B75" s="293"/>
      <c r="C75" s="293"/>
      <c r="D75" s="293"/>
      <c r="E75" s="293"/>
      <c r="F75" s="293"/>
      <c r="G75" s="293"/>
      <c r="H75" s="293"/>
      <c r="I75" s="293"/>
      <c r="J75" s="293"/>
    </row>
    <row r="76" spans="1:10" x14ac:dyDescent="0.25">
      <c r="B76" s="293"/>
      <c r="C76" s="293"/>
      <c r="D76" s="293"/>
      <c r="E76" s="293"/>
      <c r="F76" s="293"/>
      <c r="G76" s="293"/>
      <c r="H76" s="293"/>
      <c r="I76" s="293"/>
      <c r="J76" s="293"/>
    </row>
    <row r="77" spans="1:10" x14ac:dyDescent="0.25">
      <c r="B77" s="293"/>
      <c r="C77" s="293"/>
      <c r="D77" s="293"/>
      <c r="E77" s="293"/>
      <c r="F77" s="293"/>
      <c r="G77" s="293"/>
      <c r="H77" s="293"/>
      <c r="I77" s="293"/>
      <c r="J77" s="293"/>
    </row>
    <row r="78" spans="1:10" x14ac:dyDescent="0.25">
      <c r="B78" s="293"/>
      <c r="C78" s="293"/>
      <c r="D78" s="293"/>
      <c r="E78" s="293"/>
      <c r="F78" s="293"/>
      <c r="G78" s="293"/>
      <c r="H78" s="293"/>
      <c r="I78" s="293"/>
      <c r="J78" s="293"/>
    </row>
    <row r="79" spans="1:10" x14ac:dyDescent="0.25">
      <c r="A79" s="47" t="s">
        <v>4263</v>
      </c>
      <c r="B79" s="296">
        <f>SUM(B69:B78)</f>
        <v>0</v>
      </c>
      <c r="C79" s="296">
        <f t="shared" ref="C79" si="20">SUM(C69:C78)</f>
        <v>0</v>
      </c>
      <c r="D79" s="296">
        <f t="shared" ref="D79" si="21">SUM(D69:D78)</f>
        <v>0</v>
      </c>
      <c r="E79" s="296">
        <f t="shared" ref="E79" si="22">SUM(E69:E78)</f>
        <v>0</v>
      </c>
      <c r="F79" s="296">
        <f t="shared" ref="F79" si="23">SUM(F69:F78)</f>
        <v>0</v>
      </c>
      <c r="G79" s="296">
        <f t="shared" ref="G79" si="24">SUM(G69:G78)</f>
        <v>0</v>
      </c>
      <c r="H79" s="296">
        <f t="shared" ref="H79" si="25">SUM(H69:H78)</f>
        <v>0</v>
      </c>
      <c r="I79" s="296">
        <f t="shared" ref="I79" si="26">SUM(I69:I78)</f>
        <v>0</v>
      </c>
      <c r="J79" s="296">
        <f t="shared" ref="J79" si="27">SUM(J69:J78)</f>
        <v>0</v>
      </c>
    </row>
    <row r="80" spans="1:10" x14ac:dyDescent="0.25">
      <c r="B80" s="293"/>
      <c r="C80" s="293"/>
      <c r="D80" s="293"/>
      <c r="E80" s="293"/>
      <c r="F80" s="293"/>
      <c r="G80" s="293"/>
      <c r="H80" s="293"/>
      <c r="I80" s="293"/>
      <c r="J80" s="293"/>
    </row>
    <row r="81" spans="1:10" x14ac:dyDescent="0.25">
      <c r="A81" s="47" t="s">
        <v>4264</v>
      </c>
      <c r="B81" s="293"/>
      <c r="C81" s="293"/>
      <c r="D81" s="293"/>
      <c r="E81" s="293"/>
      <c r="F81" s="293"/>
      <c r="G81" s="293"/>
      <c r="H81" s="293"/>
      <c r="I81" s="293"/>
      <c r="J81" s="293"/>
    </row>
    <row r="82" spans="1:10" x14ac:dyDescent="0.25">
      <c r="A82" t="s">
        <v>87</v>
      </c>
      <c r="B82" s="293"/>
      <c r="C82" s="293"/>
      <c r="D82" s="293"/>
      <c r="E82" s="293"/>
      <c r="F82" s="293"/>
      <c r="G82" s="293"/>
      <c r="H82" s="293"/>
      <c r="I82" s="293"/>
      <c r="J82" s="293"/>
    </row>
    <row r="83" spans="1:10" x14ac:dyDescent="0.25">
      <c r="A83" t="s">
        <v>4265</v>
      </c>
      <c r="B83" s="293"/>
      <c r="C83" s="293"/>
      <c r="D83" s="293"/>
      <c r="E83" s="293"/>
      <c r="F83" s="293"/>
      <c r="G83" s="293"/>
      <c r="H83" s="293"/>
      <c r="I83" s="293"/>
      <c r="J83" s="293"/>
    </row>
    <row r="84" spans="1:10" x14ac:dyDescent="0.25">
      <c r="B84" s="293"/>
      <c r="C84" s="293"/>
      <c r="D84" s="293"/>
      <c r="E84" s="293"/>
      <c r="F84" s="293"/>
      <c r="G84" s="293"/>
      <c r="H84" s="293"/>
      <c r="I84" s="293"/>
      <c r="J84" s="293"/>
    </row>
    <row r="85" spans="1:10" x14ac:dyDescent="0.25">
      <c r="B85" s="293"/>
      <c r="C85" s="293"/>
      <c r="D85" s="293"/>
      <c r="E85" s="293"/>
      <c r="F85" s="293"/>
      <c r="G85" s="293"/>
      <c r="H85" s="293"/>
      <c r="I85" s="293"/>
      <c r="J85" s="293"/>
    </row>
    <row r="86" spans="1:10" x14ac:dyDescent="0.25">
      <c r="B86" s="293"/>
      <c r="C86" s="293"/>
      <c r="D86" s="293"/>
      <c r="E86" s="293"/>
      <c r="F86" s="293"/>
      <c r="G86" s="293"/>
      <c r="H86" s="293"/>
      <c r="I86" s="293"/>
      <c r="J86" s="293"/>
    </row>
    <row r="87" spans="1:10" x14ac:dyDescent="0.25">
      <c r="B87" s="293"/>
      <c r="C87" s="293"/>
      <c r="D87" s="293"/>
      <c r="E87" s="293"/>
      <c r="F87" s="293"/>
      <c r="G87" s="293"/>
      <c r="H87" s="293"/>
      <c r="I87" s="293"/>
      <c r="J87" s="293"/>
    </row>
    <row r="88" spans="1:10" x14ac:dyDescent="0.25">
      <c r="A88" t="s">
        <v>4266</v>
      </c>
      <c r="B88" s="293"/>
      <c r="C88" s="293"/>
      <c r="D88" s="293"/>
      <c r="E88" s="293"/>
      <c r="F88" s="293"/>
      <c r="G88" s="293"/>
      <c r="H88" s="293"/>
      <c r="I88" s="293"/>
      <c r="J88" s="293"/>
    </row>
    <row r="89" spans="1:10" x14ac:dyDescent="0.25">
      <c r="A89" t="s">
        <v>66</v>
      </c>
      <c r="B89" s="293"/>
      <c r="C89" s="293"/>
      <c r="D89" s="293"/>
      <c r="E89" s="293"/>
      <c r="F89" s="293"/>
      <c r="G89" s="293"/>
      <c r="H89" s="293"/>
      <c r="I89" s="293"/>
      <c r="J89" s="293"/>
    </row>
    <row r="90" spans="1:10" x14ac:dyDescent="0.25">
      <c r="B90" s="293"/>
      <c r="C90" s="293"/>
      <c r="D90" s="293"/>
      <c r="E90" s="293"/>
      <c r="F90" s="293"/>
      <c r="G90" s="293"/>
      <c r="H90" s="293"/>
      <c r="I90" s="293"/>
      <c r="J90" s="293"/>
    </row>
    <row r="91" spans="1:10" x14ac:dyDescent="0.25">
      <c r="B91" s="293"/>
      <c r="C91" s="293"/>
      <c r="D91" s="293"/>
      <c r="E91" s="293"/>
      <c r="F91" s="293"/>
      <c r="G91" s="293"/>
      <c r="H91" s="293"/>
      <c r="I91" s="293"/>
      <c r="J91" s="293"/>
    </row>
    <row r="92" spans="1:10" x14ac:dyDescent="0.25">
      <c r="B92" s="293"/>
      <c r="C92" s="293"/>
      <c r="D92" s="293"/>
      <c r="E92" s="293"/>
      <c r="F92" s="293"/>
      <c r="G92" s="293"/>
      <c r="H92" s="293"/>
      <c r="I92" s="293"/>
      <c r="J92" s="293"/>
    </row>
    <row r="93" spans="1:10" x14ac:dyDescent="0.25">
      <c r="B93" s="293"/>
      <c r="C93" s="293"/>
      <c r="D93" s="293"/>
      <c r="E93" s="293"/>
      <c r="F93" s="293"/>
      <c r="G93" s="293"/>
      <c r="H93" s="293"/>
      <c r="I93" s="293"/>
      <c r="J93" s="293"/>
    </row>
    <row r="94" spans="1:10" x14ac:dyDescent="0.25">
      <c r="A94" s="47" t="s">
        <v>4267</v>
      </c>
      <c r="B94" s="296">
        <f>SUM(B82:B93)</f>
        <v>0</v>
      </c>
      <c r="C94" s="296">
        <f t="shared" ref="C94" si="28">SUM(C82:C93)</f>
        <v>0</v>
      </c>
      <c r="D94" s="296">
        <f t="shared" ref="D94" si="29">SUM(D82:D93)</f>
        <v>0</v>
      </c>
      <c r="E94" s="296">
        <f t="shared" ref="E94" si="30">SUM(E82:E93)</f>
        <v>0</v>
      </c>
      <c r="F94" s="296">
        <f t="shared" ref="F94" si="31">SUM(F82:F93)</f>
        <v>0</v>
      </c>
      <c r="G94" s="296">
        <f t="shared" ref="G94" si="32">SUM(G82:G93)</f>
        <v>0</v>
      </c>
      <c r="H94" s="296">
        <f t="shared" ref="H94" si="33">SUM(H82:H93)</f>
        <v>0</v>
      </c>
      <c r="I94" s="296">
        <f t="shared" ref="I94" si="34">SUM(I82:I93)</f>
        <v>0</v>
      </c>
      <c r="J94" s="296">
        <f t="shared" ref="J94" si="35">SUM(J82:J93)</f>
        <v>0</v>
      </c>
    </row>
    <row r="95" spans="1:10" x14ac:dyDescent="0.25">
      <c r="B95" s="293"/>
      <c r="C95" s="293"/>
      <c r="D95" s="293"/>
      <c r="E95" s="293"/>
      <c r="F95" s="293"/>
      <c r="G95" s="293"/>
      <c r="H95" s="293"/>
      <c r="I95" s="293"/>
      <c r="J95" s="293"/>
    </row>
    <row r="96" spans="1:10" ht="15.75" thickBot="1" x14ac:dyDescent="0.3">
      <c r="A96" s="47" t="s">
        <v>4268</v>
      </c>
      <c r="B96" s="301">
        <f>B79-B94</f>
        <v>0</v>
      </c>
      <c r="C96" s="301">
        <f t="shared" ref="C96:J96" si="36">C79-C94</f>
        <v>0</v>
      </c>
      <c r="D96" s="301">
        <f t="shared" si="36"/>
        <v>0</v>
      </c>
      <c r="E96" s="301">
        <f t="shared" si="36"/>
        <v>0</v>
      </c>
      <c r="F96" s="301">
        <f t="shared" si="36"/>
        <v>0</v>
      </c>
      <c r="G96" s="301">
        <f t="shared" si="36"/>
        <v>0</v>
      </c>
      <c r="H96" s="301">
        <f t="shared" si="36"/>
        <v>0</v>
      </c>
      <c r="I96" s="301">
        <f t="shared" si="36"/>
        <v>0</v>
      </c>
      <c r="J96" s="301">
        <f t="shared" si="36"/>
        <v>0</v>
      </c>
    </row>
    <row r="97" spans="1:10" ht="15.75" thickTop="1" x14ac:dyDescent="0.25">
      <c r="B97" s="293"/>
      <c r="C97" s="293"/>
      <c r="D97" s="293"/>
      <c r="E97" s="293"/>
      <c r="F97" s="293"/>
      <c r="G97" s="293"/>
      <c r="H97" s="293"/>
      <c r="I97" s="293"/>
      <c r="J97" s="293"/>
    </row>
    <row r="98" spans="1:10" x14ac:dyDescent="0.25">
      <c r="A98" s="281"/>
      <c r="B98" s="316"/>
      <c r="C98" s="316"/>
      <c r="D98" s="316"/>
      <c r="E98" s="316"/>
      <c r="F98" s="316"/>
      <c r="G98" s="316"/>
      <c r="H98" s="316"/>
      <c r="I98" s="316"/>
      <c r="J98" s="316"/>
    </row>
    <row r="99" spans="1:10" x14ac:dyDescent="0.25">
      <c r="B99" s="293"/>
      <c r="C99" s="293"/>
      <c r="D99" s="293"/>
      <c r="E99" s="293"/>
      <c r="F99" s="293"/>
      <c r="G99" s="293"/>
      <c r="H99" s="293"/>
      <c r="I99" s="293"/>
      <c r="J99" s="293"/>
    </row>
    <row r="100" spans="1:10" x14ac:dyDescent="0.25">
      <c r="A100" s="280" t="s">
        <v>4271</v>
      </c>
      <c r="B100" s="293"/>
      <c r="C100" s="293"/>
      <c r="D100" s="293"/>
      <c r="E100" s="293"/>
      <c r="F100" s="293"/>
      <c r="G100" s="293"/>
      <c r="H100" s="293"/>
      <c r="I100" s="293"/>
      <c r="J100" s="293"/>
    </row>
    <row r="101" spans="1:10" x14ac:dyDescent="0.25">
      <c r="B101" s="293"/>
      <c r="C101" s="293"/>
      <c r="D101" s="293"/>
      <c r="E101" s="293"/>
      <c r="F101" s="293"/>
      <c r="G101" s="293"/>
      <c r="H101" s="293"/>
      <c r="I101" s="293"/>
      <c r="J101" s="293"/>
    </row>
    <row r="102" spans="1:10" x14ac:dyDescent="0.25">
      <c r="A102" s="47" t="s">
        <v>4260</v>
      </c>
      <c r="B102" s="293"/>
      <c r="C102" s="293"/>
      <c r="D102" s="293"/>
      <c r="E102" s="293"/>
      <c r="F102" s="293"/>
      <c r="G102" s="293"/>
      <c r="H102" s="293"/>
      <c r="I102" s="293"/>
      <c r="J102" s="293"/>
    </row>
    <row r="103" spans="1:10" x14ac:dyDescent="0.25">
      <c r="A103" t="s">
        <v>4262</v>
      </c>
      <c r="B103" s="293">
        <f>-operatingdata!F1270</f>
        <v>7420800</v>
      </c>
      <c r="C103" s="293">
        <f>-operatingdata!G1270</f>
        <v>7606500</v>
      </c>
      <c r="D103" s="293">
        <f>-operatingdata!H1270</f>
        <v>7796500</v>
      </c>
      <c r="E103" s="293">
        <f>-operatingdata!I1270</f>
        <v>7991400</v>
      </c>
      <c r="F103" s="293">
        <f>-operatingdata!J1270</f>
        <v>8190900</v>
      </c>
      <c r="G103" s="293">
        <f>-operatingdata!K1270</f>
        <v>8395800</v>
      </c>
      <c r="H103" s="293">
        <f>-operatingdata!L1270</f>
        <v>8605600</v>
      </c>
      <c r="I103" s="293">
        <f>-operatingdata!M1270</f>
        <v>8820800</v>
      </c>
      <c r="J103" s="293">
        <f>-operatingdata!N1270</f>
        <v>9041100</v>
      </c>
    </row>
    <row r="104" spans="1:10" x14ac:dyDescent="0.25">
      <c r="A104" t="s">
        <v>4261</v>
      </c>
      <c r="B104" s="293"/>
      <c r="C104" s="293"/>
      <c r="D104" s="293"/>
      <c r="E104" s="293"/>
      <c r="F104" s="293"/>
      <c r="G104" s="293"/>
      <c r="H104" s="293"/>
      <c r="I104" s="293"/>
      <c r="J104" s="293"/>
    </row>
    <row r="105" spans="1:10" x14ac:dyDescent="0.25">
      <c r="A105" t="s">
        <v>66</v>
      </c>
      <c r="B105" s="293"/>
      <c r="C105" s="293"/>
      <c r="D105" s="293"/>
      <c r="E105" s="293"/>
      <c r="F105" s="293"/>
      <c r="G105" s="293"/>
      <c r="H105" s="293"/>
      <c r="I105" s="293"/>
      <c r="J105" s="293"/>
    </row>
    <row r="106" spans="1:10" x14ac:dyDescent="0.25">
      <c r="B106" s="293"/>
      <c r="C106" s="293"/>
      <c r="D106" s="293"/>
      <c r="E106" s="293"/>
      <c r="F106" s="293"/>
      <c r="G106" s="293"/>
      <c r="H106" s="293"/>
      <c r="I106" s="293"/>
      <c r="J106" s="293"/>
    </row>
    <row r="107" spans="1:10" x14ac:dyDescent="0.25">
      <c r="B107" s="293"/>
      <c r="C107" s="293"/>
      <c r="D107" s="293"/>
      <c r="E107" s="293"/>
      <c r="F107" s="293"/>
      <c r="G107" s="293"/>
      <c r="H107" s="293"/>
      <c r="I107" s="293"/>
      <c r="J107" s="293"/>
    </row>
    <row r="108" spans="1:10" x14ac:dyDescent="0.25">
      <c r="B108" s="293"/>
      <c r="C108" s="293"/>
      <c r="D108" s="293"/>
      <c r="E108" s="293"/>
      <c r="F108" s="293"/>
      <c r="G108" s="293"/>
      <c r="H108" s="293"/>
      <c r="I108" s="293"/>
      <c r="J108" s="293"/>
    </row>
    <row r="109" spans="1:10" x14ac:dyDescent="0.25">
      <c r="B109" s="293"/>
      <c r="C109" s="293"/>
      <c r="D109" s="293"/>
      <c r="E109" s="293"/>
      <c r="F109" s="293"/>
      <c r="G109" s="293"/>
      <c r="H109" s="293"/>
      <c r="I109" s="293"/>
      <c r="J109" s="293"/>
    </row>
    <row r="110" spans="1:10" x14ac:dyDescent="0.25">
      <c r="A110" s="47" t="s">
        <v>4263</v>
      </c>
      <c r="B110" s="296">
        <f>SUM(B100:B109)</f>
        <v>7420800</v>
      </c>
      <c r="C110" s="296">
        <f t="shared" ref="C110" si="37">SUM(C100:C109)</f>
        <v>7606500</v>
      </c>
      <c r="D110" s="296">
        <f t="shared" ref="D110" si="38">SUM(D100:D109)</f>
        <v>7796500</v>
      </c>
      <c r="E110" s="296">
        <f t="shared" ref="E110" si="39">SUM(E100:E109)</f>
        <v>7991400</v>
      </c>
      <c r="F110" s="296">
        <f t="shared" ref="F110" si="40">SUM(F100:F109)</f>
        <v>8190900</v>
      </c>
      <c r="G110" s="296">
        <f t="shared" ref="G110" si="41">SUM(G100:G109)</f>
        <v>8395800</v>
      </c>
      <c r="H110" s="296">
        <f t="shared" ref="H110" si="42">SUM(H100:H109)</f>
        <v>8605600</v>
      </c>
      <c r="I110" s="296">
        <f t="shared" ref="I110" si="43">SUM(I100:I109)</f>
        <v>8820800</v>
      </c>
      <c r="J110" s="296">
        <f t="shared" ref="J110" si="44">SUM(J100:J109)</f>
        <v>9041100</v>
      </c>
    </row>
    <row r="111" spans="1:10" x14ac:dyDescent="0.25">
      <c r="B111" s="293"/>
      <c r="C111" s="293"/>
      <c r="D111" s="293"/>
      <c r="E111" s="293"/>
      <c r="F111" s="293"/>
      <c r="G111" s="293"/>
      <c r="H111" s="293"/>
      <c r="I111" s="293"/>
      <c r="J111" s="293"/>
    </row>
    <row r="112" spans="1:10" x14ac:dyDescent="0.25">
      <c r="A112" s="47" t="s">
        <v>4264</v>
      </c>
      <c r="B112" s="293"/>
      <c r="C112" s="293"/>
      <c r="D112" s="293"/>
      <c r="E112" s="293"/>
      <c r="F112" s="293"/>
      <c r="G112" s="293"/>
      <c r="H112" s="293"/>
      <c r="I112" s="293"/>
      <c r="J112" s="293"/>
    </row>
    <row r="113" spans="1:10" x14ac:dyDescent="0.25">
      <c r="A113" t="s">
        <v>87</v>
      </c>
      <c r="B113" s="293">
        <f>operatingdata!F1242</f>
        <v>6572600</v>
      </c>
      <c r="C113" s="293">
        <f>operatingdata!G1242</f>
        <v>6694100</v>
      </c>
      <c r="D113" s="293">
        <f>operatingdata!H1242</f>
        <v>6818100</v>
      </c>
      <c r="E113" s="293">
        <f>operatingdata!I1242</f>
        <v>6943500</v>
      </c>
      <c r="F113" s="293">
        <f>operatingdata!J1242</f>
        <v>7072000</v>
      </c>
      <c r="G113" s="293">
        <f>operatingdata!K1242</f>
        <v>7104500</v>
      </c>
      <c r="H113" s="293">
        <f>operatingdata!L1242</f>
        <v>7281200</v>
      </c>
      <c r="I113" s="293">
        <f>operatingdata!M1242</f>
        <v>7462400</v>
      </c>
      <c r="J113" s="293">
        <f>operatingdata!N1242</f>
        <v>7647900</v>
      </c>
    </row>
    <row r="114" spans="1:10" x14ac:dyDescent="0.25">
      <c r="A114" t="s">
        <v>4392</v>
      </c>
      <c r="B114" s="293">
        <f>-operatingdata!F1240</f>
        <v>-49500</v>
      </c>
      <c r="C114" s="293">
        <f>-operatingdata!G1240</f>
        <v>-50000</v>
      </c>
      <c r="D114" s="293">
        <f>-operatingdata!H1240</f>
        <v>-50500</v>
      </c>
      <c r="E114" s="293">
        <f>-operatingdata!I1240</f>
        <v>-51000</v>
      </c>
      <c r="F114" s="293">
        <f>-operatingdata!J1240</f>
        <v>-51500</v>
      </c>
      <c r="G114" s="293">
        <f>-operatingdata!K1240</f>
        <v>-52000</v>
      </c>
      <c r="H114" s="293">
        <f>-operatingdata!L1240</f>
        <v>-52500</v>
      </c>
      <c r="I114" s="293">
        <f>-operatingdata!M1240</f>
        <v>-53000</v>
      </c>
      <c r="J114" s="293">
        <f>-operatingdata!N1240</f>
        <v>-53500</v>
      </c>
    </row>
    <row r="115" spans="1:10" x14ac:dyDescent="0.25">
      <c r="A115" t="s">
        <v>4265</v>
      </c>
      <c r="B115" s="293">
        <f>capitalexpdata!G530</f>
        <v>2750000</v>
      </c>
      <c r="C115" s="293">
        <f>capitalexpdata!H530</f>
        <v>300000</v>
      </c>
      <c r="D115" s="293">
        <f>capitalexpdata!I530</f>
        <v>1550000</v>
      </c>
      <c r="E115" s="293">
        <f>capitalexpdata!J530</f>
        <v>0</v>
      </c>
      <c r="F115" s="293">
        <f>capitalexpdata!K530</f>
        <v>0</v>
      </c>
      <c r="G115" s="293">
        <f>capitalexpdata!L530</f>
        <v>0</v>
      </c>
      <c r="H115" s="293">
        <f>capitalexpdata!M530</f>
        <v>0</v>
      </c>
      <c r="I115" s="293">
        <f>capitalexpdata!N530</f>
        <v>250000</v>
      </c>
      <c r="J115" s="293">
        <f>capitalexpdata!O530</f>
        <v>0</v>
      </c>
    </row>
    <row r="116" spans="1:10" x14ac:dyDescent="0.25">
      <c r="B116" s="293"/>
      <c r="C116" s="293"/>
      <c r="D116" s="293"/>
      <c r="E116" s="293"/>
      <c r="F116" s="293"/>
      <c r="G116" s="293"/>
      <c r="H116" s="293"/>
      <c r="I116" s="293"/>
      <c r="J116" s="293"/>
    </row>
    <row r="117" spans="1:10" x14ac:dyDescent="0.25">
      <c r="B117" s="293"/>
      <c r="C117" s="293"/>
      <c r="D117" s="293"/>
      <c r="E117" s="293"/>
      <c r="F117" s="293"/>
      <c r="G117" s="293"/>
      <c r="H117" s="293"/>
      <c r="I117" s="293"/>
      <c r="J117" s="293"/>
    </row>
    <row r="118" spans="1:10" x14ac:dyDescent="0.25">
      <c r="B118" s="293"/>
      <c r="C118" s="293"/>
      <c r="D118" s="293"/>
      <c r="E118" s="293"/>
      <c r="F118" s="293"/>
      <c r="G118" s="293"/>
      <c r="H118" s="293"/>
      <c r="I118" s="293"/>
      <c r="J118" s="293"/>
    </row>
    <row r="119" spans="1:10" x14ac:dyDescent="0.25">
      <c r="B119" s="293"/>
      <c r="C119" s="293"/>
      <c r="D119" s="293"/>
      <c r="E119" s="293"/>
      <c r="F119" s="293"/>
      <c r="G119" s="293"/>
      <c r="H119" s="293"/>
      <c r="I119" s="293"/>
      <c r="J119" s="293"/>
    </row>
    <row r="120" spans="1:10" x14ac:dyDescent="0.25">
      <c r="A120" t="s">
        <v>4266</v>
      </c>
      <c r="B120" s="293">
        <f>ROUND(loans!T57,-2)</f>
        <v>118500</v>
      </c>
      <c r="C120" s="293">
        <f>ROUND(loans!X57,-2)</f>
        <v>125200</v>
      </c>
      <c r="D120" s="293">
        <f>ROUND(loans!AB57,-2)</f>
        <v>132400</v>
      </c>
      <c r="E120" s="293">
        <f>ROUND(loans!AF57,-2)</f>
        <v>140600</v>
      </c>
      <c r="F120" s="293">
        <f>ROUND(loans!AJ57,-2)</f>
        <v>148400</v>
      </c>
      <c r="G120" s="293"/>
      <c r="H120" s="293"/>
      <c r="I120" s="293"/>
      <c r="J120" s="293"/>
    </row>
    <row r="121" spans="1:10" x14ac:dyDescent="0.25">
      <c r="A121" t="s">
        <v>66</v>
      </c>
      <c r="B121" s="293"/>
      <c r="C121" s="293"/>
      <c r="D121" s="293"/>
      <c r="E121" s="293"/>
      <c r="F121" s="293"/>
      <c r="G121" s="293"/>
      <c r="H121" s="293"/>
      <c r="I121" s="293"/>
      <c r="J121" s="293"/>
    </row>
    <row r="122" spans="1:10" x14ac:dyDescent="0.25">
      <c r="B122" s="293"/>
      <c r="C122" s="293"/>
      <c r="D122" s="293"/>
      <c r="E122" s="293"/>
      <c r="F122" s="293"/>
      <c r="G122" s="293"/>
      <c r="H122" s="293"/>
      <c r="I122" s="293"/>
      <c r="J122" s="293"/>
    </row>
    <row r="123" spans="1:10" x14ac:dyDescent="0.25">
      <c r="B123" s="293"/>
      <c r="C123" s="293"/>
      <c r="D123" s="293"/>
      <c r="E123" s="293"/>
      <c r="F123" s="293"/>
      <c r="G123" s="293"/>
      <c r="H123" s="293"/>
      <c r="I123" s="293"/>
      <c r="J123" s="293"/>
    </row>
    <row r="124" spans="1:10" x14ac:dyDescent="0.25">
      <c r="B124" s="293"/>
      <c r="C124" s="293"/>
      <c r="D124" s="293"/>
      <c r="E124" s="293"/>
      <c r="F124" s="293"/>
      <c r="G124" s="293"/>
      <c r="H124" s="293"/>
      <c r="I124" s="293"/>
      <c r="J124" s="293"/>
    </row>
    <row r="125" spans="1:10" x14ac:dyDescent="0.25">
      <c r="B125" s="293"/>
      <c r="C125" s="293"/>
      <c r="D125" s="293"/>
      <c r="E125" s="293"/>
      <c r="F125" s="293"/>
      <c r="G125" s="293"/>
      <c r="H125" s="293"/>
      <c r="I125" s="293"/>
      <c r="J125" s="293"/>
    </row>
    <row r="126" spans="1:10" x14ac:dyDescent="0.25">
      <c r="A126" s="47" t="s">
        <v>4267</v>
      </c>
      <c r="B126" s="296">
        <f>SUM(B113:B125)</f>
        <v>9391600</v>
      </c>
      <c r="C126" s="296">
        <f t="shared" ref="C126" si="45">SUM(C113:C125)</f>
        <v>7069300</v>
      </c>
      <c r="D126" s="296">
        <f t="shared" ref="D126" si="46">SUM(D113:D125)</f>
        <v>8450000</v>
      </c>
      <c r="E126" s="296">
        <f t="shared" ref="E126" si="47">SUM(E113:E125)</f>
        <v>7033100</v>
      </c>
      <c r="F126" s="296">
        <f t="shared" ref="F126" si="48">SUM(F113:F125)</f>
        <v>7168900</v>
      </c>
      <c r="G126" s="296">
        <f t="shared" ref="G126" si="49">SUM(G113:G125)</f>
        <v>7052500</v>
      </c>
      <c r="H126" s="296">
        <f t="shared" ref="H126" si="50">SUM(H113:H125)</f>
        <v>7228700</v>
      </c>
      <c r="I126" s="296">
        <f t="shared" ref="I126" si="51">SUM(I113:I125)</f>
        <v>7659400</v>
      </c>
      <c r="J126" s="296">
        <f t="shared" ref="J126" si="52">SUM(J113:J125)</f>
        <v>7594400</v>
      </c>
    </row>
    <row r="127" spans="1:10" x14ac:dyDescent="0.25">
      <c r="B127" s="293"/>
      <c r="C127" s="293"/>
      <c r="D127" s="293"/>
      <c r="E127" s="293"/>
      <c r="F127" s="293"/>
      <c r="G127" s="293"/>
      <c r="H127" s="293"/>
      <c r="I127" s="293"/>
      <c r="J127" s="293"/>
    </row>
    <row r="128" spans="1:10" ht="15.75" thickBot="1" x14ac:dyDescent="0.3">
      <c r="A128" s="47" t="s">
        <v>4268</v>
      </c>
      <c r="B128" s="301">
        <f>B110-B126</f>
        <v>-1970800</v>
      </c>
      <c r="C128" s="301">
        <f t="shared" ref="C128:J128" si="53">C110-C126</f>
        <v>537200</v>
      </c>
      <c r="D128" s="301">
        <f t="shared" si="53"/>
        <v>-653500</v>
      </c>
      <c r="E128" s="301">
        <f t="shared" si="53"/>
        <v>958300</v>
      </c>
      <c r="F128" s="301">
        <f t="shared" si="53"/>
        <v>1022000</v>
      </c>
      <c r="G128" s="301">
        <f t="shared" si="53"/>
        <v>1343300</v>
      </c>
      <c r="H128" s="301">
        <f t="shared" si="53"/>
        <v>1376900</v>
      </c>
      <c r="I128" s="301">
        <f t="shared" si="53"/>
        <v>1161400</v>
      </c>
      <c r="J128" s="301">
        <f t="shared" si="53"/>
        <v>1446700</v>
      </c>
    </row>
    <row r="129" spans="1:10" ht="15.75" thickTop="1" x14ac:dyDescent="0.25">
      <c r="B129" s="293"/>
      <c r="C129" s="293"/>
      <c r="D129" s="293"/>
      <c r="E129" s="293"/>
      <c r="F129" s="293"/>
      <c r="G129" s="293"/>
      <c r="H129" s="293"/>
      <c r="I129" s="293"/>
      <c r="J129" s="293"/>
    </row>
    <row r="130" spans="1:10" x14ac:dyDescent="0.25">
      <c r="A130" s="281"/>
      <c r="B130" s="316"/>
      <c r="C130" s="316"/>
      <c r="D130" s="316"/>
      <c r="E130" s="316"/>
      <c r="F130" s="316"/>
      <c r="G130" s="316"/>
      <c r="H130" s="316"/>
      <c r="I130" s="316"/>
      <c r="J130" s="316"/>
    </row>
    <row r="131" spans="1:10" x14ac:dyDescent="0.25">
      <c r="B131" s="293"/>
      <c r="C131" s="293"/>
      <c r="D131" s="293"/>
      <c r="E131" s="293"/>
      <c r="F131" s="293"/>
      <c r="G131" s="293"/>
      <c r="H131" s="293"/>
      <c r="I131" s="293"/>
      <c r="J131" s="293"/>
    </row>
    <row r="132" spans="1:10" x14ac:dyDescent="0.25">
      <c r="A132" s="280" t="s">
        <v>4272</v>
      </c>
      <c r="B132" s="293"/>
      <c r="C132" s="293"/>
      <c r="D132" s="293"/>
      <c r="E132" s="293"/>
      <c r="F132" s="293"/>
      <c r="G132" s="293"/>
      <c r="H132" s="293"/>
      <c r="I132" s="293"/>
      <c r="J132" s="293"/>
    </row>
    <row r="133" spans="1:10" x14ac:dyDescent="0.25">
      <c r="B133" s="293"/>
      <c r="C133" s="293"/>
      <c r="D133" s="293"/>
      <c r="E133" s="293"/>
      <c r="F133" s="293"/>
      <c r="G133" s="293"/>
      <c r="H133" s="293"/>
      <c r="I133" s="293"/>
      <c r="J133" s="293"/>
    </row>
    <row r="134" spans="1:10" x14ac:dyDescent="0.25">
      <c r="A134" s="47" t="s">
        <v>4260</v>
      </c>
      <c r="B134" s="293"/>
      <c r="C134" s="293"/>
      <c r="D134" s="293"/>
      <c r="E134" s="293"/>
      <c r="F134" s="293"/>
      <c r="G134" s="293"/>
      <c r="H134" s="293"/>
      <c r="I134" s="293"/>
      <c r="J134" s="293"/>
    </row>
    <row r="135" spans="1:10" x14ac:dyDescent="0.25">
      <c r="A135" t="s">
        <v>4262</v>
      </c>
      <c r="B135" s="293">
        <f>-operatingdata!F807</f>
        <v>565900</v>
      </c>
      <c r="C135" s="293">
        <f>-operatingdata!G807</f>
        <v>580000</v>
      </c>
      <c r="D135" s="293">
        <f>-operatingdata!H807</f>
        <v>594400</v>
      </c>
      <c r="E135" s="293">
        <f>-operatingdata!I807</f>
        <v>609300</v>
      </c>
      <c r="F135" s="293">
        <f>-operatingdata!J807</f>
        <v>624400</v>
      </c>
      <c r="G135" s="293">
        <f>-operatingdata!K807</f>
        <v>639900</v>
      </c>
      <c r="H135" s="293">
        <f>-operatingdata!L807</f>
        <v>655900</v>
      </c>
      <c r="I135" s="293">
        <f>-operatingdata!M807</f>
        <v>672300</v>
      </c>
      <c r="J135" s="293">
        <f>-operatingdata!N807</f>
        <v>689100</v>
      </c>
    </row>
    <row r="136" spans="1:10" x14ac:dyDescent="0.25">
      <c r="A136" t="s">
        <v>4261</v>
      </c>
      <c r="B136" s="293"/>
      <c r="C136" s="293"/>
      <c r="D136" s="293"/>
      <c r="E136" s="293"/>
      <c r="F136" s="293"/>
      <c r="G136" s="293"/>
      <c r="H136" s="293"/>
      <c r="I136" s="293"/>
      <c r="J136" s="293"/>
    </row>
    <row r="137" spans="1:10" x14ac:dyDescent="0.25">
      <c r="A137" t="s">
        <v>66</v>
      </c>
      <c r="B137" s="293"/>
      <c r="C137" s="293"/>
      <c r="D137" s="293"/>
      <c r="E137" s="293"/>
      <c r="F137" s="293"/>
      <c r="G137" s="293"/>
      <c r="H137" s="293"/>
      <c r="I137" s="293"/>
      <c r="J137" s="293"/>
    </row>
    <row r="138" spans="1:10" x14ac:dyDescent="0.25">
      <c r="B138" s="293"/>
      <c r="C138" s="293"/>
      <c r="D138" s="293"/>
      <c r="E138" s="293"/>
      <c r="F138" s="293"/>
      <c r="G138" s="293"/>
      <c r="H138" s="293"/>
      <c r="I138" s="293"/>
      <c r="J138" s="293"/>
    </row>
    <row r="139" spans="1:10" x14ac:dyDescent="0.25">
      <c r="B139" s="293"/>
      <c r="C139" s="293"/>
      <c r="D139" s="293"/>
      <c r="E139" s="293"/>
      <c r="F139" s="293"/>
      <c r="G139" s="293"/>
      <c r="H139" s="293"/>
      <c r="I139" s="293"/>
      <c r="J139" s="293"/>
    </row>
    <row r="140" spans="1:10" x14ac:dyDescent="0.25">
      <c r="B140" s="293"/>
      <c r="C140" s="293"/>
      <c r="D140" s="293"/>
      <c r="E140" s="293"/>
      <c r="F140" s="293"/>
      <c r="G140" s="293"/>
      <c r="H140" s="293"/>
      <c r="I140" s="293"/>
      <c r="J140" s="293"/>
    </row>
    <row r="141" spans="1:10" x14ac:dyDescent="0.25">
      <c r="B141" s="293"/>
      <c r="C141" s="293"/>
      <c r="D141" s="293"/>
      <c r="E141" s="293"/>
      <c r="F141" s="293"/>
      <c r="G141" s="293"/>
      <c r="H141" s="293"/>
      <c r="I141" s="293"/>
      <c r="J141" s="293"/>
    </row>
    <row r="142" spans="1:10" x14ac:dyDescent="0.25">
      <c r="A142" s="47" t="s">
        <v>4263</v>
      </c>
      <c r="B142" s="296">
        <f>SUM(B132:B141)</f>
        <v>565900</v>
      </c>
      <c r="C142" s="296">
        <f t="shared" ref="C142" si="54">SUM(C132:C141)</f>
        <v>580000</v>
      </c>
      <c r="D142" s="296">
        <f t="shared" ref="D142" si="55">SUM(D132:D141)</f>
        <v>594400</v>
      </c>
      <c r="E142" s="296">
        <f t="shared" ref="E142" si="56">SUM(E132:E141)</f>
        <v>609300</v>
      </c>
      <c r="F142" s="296">
        <f t="shared" ref="F142" si="57">SUM(F132:F141)</f>
        <v>624400</v>
      </c>
      <c r="G142" s="296">
        <f t="shared" ref="G142" si="58">SUM(G132:G141)</f>
        <v>639900</v>
      </c>
      <c r="H142" s="296">
        <f t="shared" ref="H142" si="59">SUM(H132:H141)</f>
        <v>655900</v>
      </c>
      <c r="I142" s="296">
        <f t="shared" ref="I142" si="60">SUM(I132:I141)</f>
        <v>672300</v>
      </c>
      <c r="J142" s="296">
        <f t="shared" ref="J142" si="61">SUM(J132:J141)</f>
        <v>689100</v>
      </c>
    </row>
    <row r="143" spans="1:10" x14ac:dyDescent="0.25">
      <c r="B143" s="293"/>
      <c r="C143" s="293"/>
      <c r="D143" s="293"/>
      <c r="E143" s="293"/>
      <c r="F143" s="293"/>
      <c r="G143" s="293"/>
      <c r="H143" s="293"/>
      <c r="I143" s="293"/>
      <c r="J143" s="293"/>
    </row>
    <row r="144" spans="1:10" x14ac:dyDescent="0.25">
      <c r="A144" s="47" t="s">
        <v>4264</v>
      </c>
      <c r="B144" s="293"/>
      <c r="C144" s="293"/>
      <c r="D144" s="293"/>
      <c r="E144" s="293"/>
      <c r="F144" s="293"/>
      <c r="G144" s="293"/>
      <c r="H144" s="293"/>
      <c r="I144" s="293"/>
      <c r="J144" s="293"/>
    </row>
    <row r="145" spans="1:10" x14ac:dyDescent="0.25">
      <c r="A145" t="s">
        <v>87</v>
      </c>
      <c r="B145" s="293">
        <f>operatingdata!F794</f>
        <v>759700</v>
      </c>
      <c r="C145" s="293">
        <f>operatingdata!G794</f>
        <v>767000</v>
      </c>
      <c r="D145" s="293">
        <f>operatingdata!H794</f>
        <v>774400</v>
      </c>
      <c r="E145" s="293">
        <f>operatingdata!I794</f>
        <v>781900</v>
      </c>
      <c r="F145" s="293">
        <f>operatingdata!J794</f>
        <v>789300</v>
      </c>
      <c r="G145" s="293">
        <f>operatingdata!K794</f>
        <v>796700</v>
      </c>
      <c r="H145" s="293">
        <f>operatingdata!L794</f>
        <v>804000</v>
      </c>
      <c r="I145" s="293">
        <f>operatingdata!M794</f>
        <v>811300</v>
      </c>
      <c r="J145" s="293">
        <f>operatingdata!N794</f>
        <v>818700</v>
      </c>
    </row>
    <row r="146" spans="1:10" x14ac:dyDescent="0.25">
      <c r="A146" t="s">
        <v>4391</v>
      </c>
      <c r="B146" s="293">
        <f>-operatingdata!F791-operatingdata!F792</f>
        <v>-801700</v>
      </c>
      <c r="C146" s="293">
        <f>-operatingdata!G791-operatingdata!G792</f>
        <v>-809800</v>
      </c>
      <c r="D146" s="293">
        <f>-operatingdata!H791-operatingdata!H792</f>
        <v>-817900</v>
      </c>
      <c r="E146" s="293">
        <f>-operatingdata!I791-operatingdata!I792</f>
        <v>-826100</v>
      </c>
      <c r="F146" s="293">
        <f>-operatingdata!J791-operatingdata!J792</f>
        <v>-834400</v>
      </c>
      <c r="G146" s="293">
        <f>-operatingdata!K791-operatingdata!K792</f>
        <v>-842800</v>
      </c>
      <c r="H146" s="293">
        <f>-operatingdata!L791-operatingdata!L792</f>
        <v>-851300</v>
      </c>
      <c r="I146" s="293">
        <f>-operatingdata!M791-operatingdata!M792</f>
        <v>-859800</v>
      </c>
      <c r="J146" s="293">
        <f>-operatingdata!N791-operatingdata!N792</f>
        <v>-868400</v>
      </c>
    </row>
    <row r="147" spans="1:10" x14ac:dyDescent="0.25">
      <c r="A147" t="s">
        <v>4265</v>
      </c>
      <c r="B147" s="293">
        <f>capitalexpdata!G107</f>
        <v>937000</v>
      </c>
      <c r="C147" s="293">
        <f>capitalexpdata!H107</f>
        <v>1049000</v>
      </c>
      <c r="D147" s="293">
        <f>capitalexpdata!I107</f>
        <v>836601</v>
      </c>
      <c r="E147" s="293">
        <f>capitalexpdata!J107</f>
        <v>656500</v>
      </c>
      <c r="F147" s="293">
        <f>capitalexpdata!K107</f>
        <v>672500</v>
      </c>
      <c r="G147" s="293">
        <f>capitalexpdata!L107</f>
        <v>688800</v>
      </c>
      <c r="H147" s="293">
        <f>capitalexpdata!M107</f>
        <v>705300</v>
      </c>
      <c r="I147" s="293">
        <f>capitalexpdata!N107</f>
        <v>722300</v>
      </c>
      <c r="J147" s="293">
        <f>capitalexpdata!O107</f>
        <v>740000</v>
      </c>
    </row>
    <row r="148" spans="1:10" x14ac:dyDescent="0.25">
      <c r="A148" t="s">
        <v>4481</v>
      </c>
      <c r="B148" s="293"/>
      <c r="C148" s="293"/>
      <c r="D148" s="293"/>
      <c r="E148" s="293"/>
      <c r="F148" s="293"/>
      <c r="G148" s="293"/>
      <c r="H148" s="293"/>
      <c r="I148" s="293"/>
      <c r="J148" s="293"/>
    </row>
    <row r="149" spans="1:10" x14ac:dyDescent="0.25">
      <c r="B149" s="293"/>
      <c r="C149" s="293"/>
      <c r="D149" s="293"/>
      <c r="E149" s="293"/>
      <c r="F149" s="293"/>
      <c r="G149" s="293"/>
      <c r="H149" s="293"/>
      <c r="I149" s="293"/>
      <c r="J149" s="293"/>
    </row>
    <row r="150" spans="1:10" x14ac:dyDescent="0.25">
      <c r="B150" s="293"/>
      <c r="C150" s="293"/>
      <c r="D150" s="293"/>
      <c r="E150" s="293"/>
      <c r="F150" s="293"/>
      <c r="G150" s="293"/>
      <c r="H150" s="293"/>
      <c r="I150" s="293"/>
      <c r="J150" s="293"/>
    </row>
    <row r="151" spans="1:10" x14ac:dyDescent="0.25">
      <c r="B151" s="293"/>
      <c r="C151" s="293"/>
      <c r="D151" s="293"/>
      <c r="E151" s="293"/>
      <c r="F151" s="293"/>
      <c r="G151" s="293"/>
      <c r="H151" s="293"/>
      <c r="I151" s="293"/>
      <c r="J151" s="293"/>
    </row>
    <row r="152" spans="1:10" x14ac:dyDescent="0.25">
      <c r="A152" t="s">
        <v>4266</v>
      </c>
      <c r="B152" s="293"/>
      <c r="C152" s="293"/>
      <c r="D152" s="293"/>
      <c r="E152" s="293"/>
      <c r="F152" s="293"/>
      <c r="G152" s="293"/>
      <c r="H152" s="293"/>
      <c r="I152" s="293"/>
      <c r="J152" s="293"/>
    </row>
    <row r="153" spans="1:10" x14ac:dyDescent="0.25">
      <c r="A153" t="s">
        <v>66</v>
      </c>
      <c r="B153" s="293"/>
      <c r="C153" s="293"/>
      <c r="D153" s="293"/>
      <c r="E153" s="293"/>
      <c r="F153" s="293"/>
      <c r="G153" s="293"/>
      <c r="H153" s="293"/>
      <c r="I153" s="293"/>
      <c r="J153" s="293"/>
    </row>
    <row r="154" spans="1:10" x14ac:dyDescent="0.25">
      <c r="B154" s="293"/>
      <c r="C154" s="293"/>
      <c r="D154" s="293"/>
      <c r="E154" s="293"/>
      <c r="F154" s="293"/>
      <c r="G154" s="293"/>
      <c r="H154" s="293"/>
      <c r="I154" s="293"/>
      <c r="J154" s="293"/>
    </row>
    <row r="155" spans="1:10" x14ac:dyDescent="0.25">
      <c r="B155" s="293"/>
      <c r="C155" s="293"/>
      <c r="D155" s="293"/>
      <c r="E155" s="293"/>
      <c r="F155" s="293"/>
      <c r="G155" s="293"/>
      <c r="H155" s="293"/>
      <c r="I155" s="293"/>
      <c r="J155" s="293"/>
    </row>
    <row r="156" spans="1:10" x14ac:dyDescent="0.25">
      <c r="B156" s="293"/>
      <c r="C156" s="293"/>
      <c r="D156" s="293"/>
      <c r="E156" s="293"/>
      <c r="F156" s="293"/>
      <c r="G156" s="293"/>
      <c r="H156" s="293"/>
      <c r="I156" s="293"/>
      <c r="J156" s="293"/>
    </row>
    <row r="157" spans="1:10" x14ac:dyDescent="0.25">
      <c r="B157" s="293"/>
      <c r="C157" s="293"/>
      <c r="D157" s="293"/>
      <c r="E157" s="293"/>
      <c r="F157" s="293"/>
      <c r="G157" s="293"/>
      <c r="H157" s="293"/>
      <c r="I157" s="293"/>
      <c r="J157" s="293"/>
    </row>
    <row r="158" spans="1:10" x14ac:dyDescent="0.25">
      <c r="A158" s="47" t="s">
        <v>4267</v>
      </c>
      <c r="B158" s="296">
        <f>SUM(B145:B157)</f>
        <v>895000</v>
      </c>
      <c r="C158" s="296">
        <f t="shared" ref="C158" si="62">SUM(C145:C157)</f>
        <v>1006200</v>
      </c>
      <c r="D158" s="296">
        <f t="shared" ref="D158" si="63">SUM(D145:D157)</f>
        <v>793101</v>
      </c>
      <c r="E158" s="296">
        <f t="shared" ref="E158" si="64">SUM(E145:E157)</f>
        <v>612300</v>
      </c>
      <c r="F158" s="296">
        <f t="shared" ref="F158" si="65">SUM(F145:F157)</f>
        <v>627400</v>
      </c>
      <c r="G158" s="296">
        <f t="shared" ref="G158" si="66">SUM(G145:G157)</f>
        <v>642700</v>
      </c>
      <c r="H158" s="296">
        <f t="shared" ref="H158" si="67">SUM(H145:H157)</f>
        <v>658000</v>
      </c>
      <c r="I158" s="296">
        <f t="shared" ref="I158" si="68">SUM(I145:I157)</f>
        <v>673800</v>
      </c>
      <c r="J158" s="296">
        <f t="shared" ref="J158" si="69">SUM(J145:J157)</f>
        <v>690300</v>
      </c>
    </row>
    <row r="159" spans="1:10" x14ac:dyDescent="0.25">
      <c r="B159" s="293"/>
      <c r="C159" s="293"/>
      <c r="D159" s="293"/>
      <c r="E159" s="293"/>
      <c r="F159" s="293"/>
      <c r="G159" s="293"/>
      <c r="H159" s="293"/>
      <c r="I159" s="293"/>
      <c r="J159" s="293"/>
    </row>
    <row r="160" spans="1:10" ht="15.75" thickBot="1" x14ac:dyDescent="0.3">
      <c r="A160" s="47" t="s">
        <v>4268</v>
      </c>
      <c r="B160" s="301">
        <f>B142-B158</f>
        <v>-329100</v>
      </c>
      <c r="C160" s="301">
        <f t="shared" ref="C160:J160" si="70">C142-C158</f>
        <v>-426200</v>
      </c>
      <c r="D160" s="301">
        <f t="shared" si="70"/>
        <v>-198701</v>
      </c>
      <c r="E160" s="301">
        <f t="shared" si="70"/>
        <v>-3000</v>
      </c>
      <c r="F160" s="301">
        <f t="shared" si="70"/>
        <v>-3000</v>
      </c>
      <c r="G160" s="301">
        <f t="shared" si="70"/>
        <v>-2800</v>
      </c>
      <c r="H160" s="301">
        <f t="shared" si="70"/>
        <v>-2100</v>
      </c>
      <c r="I160" s="301">
        <f t="shared" si="70"/>
        <v>-1500</v>
      </c>
      <c r="J160" s="301">
        <f t="shared" si="70"/>
        <v>-1200</v>
      </c>
    </row>
    <row r="161" spans="1:10" ht="15.75" thickTop="1" x14ac:dyDescent="0.25">
      <c r="B161" s="293"/>
      <c r="C161" s="293"/>
      <c r="D161" s="293"/>
      <c r="E161" s="293"/>
      <c r="F161" s="293"/>
      <c r="G161" s="293"/>
      <c r="H161" s="293"/>
      <c r="I161" s="293"/>
      <c r="J161" s="293"/>
    </row>
    <row r="162" spans="1:10" x14ac:dyDescent="0.25">
      <c r="A162" s="281"/>
      <c r="B162" s="316"/>
      <c r="C162" s="316"/>
      <c r="D162" s="316"/>
      <c r="E162" s="316"/>
      <c r="F162" s="316"/>
      <c r="G162" s="316"/>
      <c r="H162" s="316"/>
      <c r="I162" s="316"/>
      <c r="J162" s="316"/>
    </row>
    <row r="163" spans="1:10" x14ac:dyDescent="0.25">
      <c r="B163" s="293"/>
      <c r="C163" s="293"/>
      <c r="D163" s="293"/>
      <c r="E163" s="293"/>
      <c r="F163" s="293"/>
      <c r="G163" s="293"/>
      <c r="H163" s="293"/>
      <c r="I163" s="293"/>
      <c r="J163" s="293"/>
    </row>
    <row r="164" spans="1:10" x14ac:dyDescent="0.25">
      <c r="A164" s="280" t="s">
        <v>4273</v>
      </c>
      <c r="B164" s="293"/>
      <c r="C164" s="293"/>
      <c r="D164" s="293"/>
      <c r="E164" s="293"/>
      <c r="F164" s="293"/>
      <c r="G164" s="293"/>
      <c r="H164" s="293"/>
      <c r="I164" s="293"/>
      <c r="J164" s="293"/>
    </row>
    <row r="165" spans="1:10" x14ac:dyDescent="0.25">
      <c r="B165" s="293"/>
      <c r="C165" s="293"/>
      <c r="D165" s="293"/>
      <c r="E165" s="293"/>
      <c r="F165" s="293"/>
      <c r="G165" s="293"/>
      <c r="H165" s="293"/>
      <c r="I165" s="293"/>
      <c r="J165" s="293"/>
    </row>
    <row r="166" spans="1:10" x14ac:dyDescent="0.25">
      <c r="A166" s="47" t="s">
        <v>4260</v>
      </c>
      <c r="B166" s="293"/>
      <c r="C166" s="293"/>
      <c r="D166" s="293"/>
      <c r="E166" s="293"/>
      <c r="F166" s="293"/>
      <c r="G166" s="293"/>
      <c r="H166" s="293"/>
      <c r="I166" s="293"/>
      <c r="J166" s="293"/>
    </row>
    <row r="167" spans="1:10" x14ac:dyDescent="0.25">
      <c r="A167" t="s">
        <v>4262</v>
      </c>
      <c r="B167" s="293"/>
      <c r="C167" s="293"/>
      <c r="D167" s="293"/>
      <c r="E167" s="293"/>
      <c r="F167" s="293"/>
      <c r="G167" s="293"/>
      <c r="H167" s="293"/>
      <c r="I167" s="293"/>
      <c r="J167" s="293"/>
    </row>
    <row r="168" spans="1:10" x14ac:dyDescent="0.25">
      <c r="A168" t="s">
        <v>4261</v>
      </c>
      <c r="B168" s="293"/>
      <c r="C168" s="293"/>
      <c r="D168" s="293"/>
      <c r="E168" s="293"/>
      <c r="F168" s="293"/>
      <c r="G168" s="293"/>
      <c r="H168" s="293"/>
      <c r="I168" s="293"/>
      <c r="J168" s="293"/>
    </row>
    <row r="169" spans="1:10" x14ac:dyDescent="0.25">
      <c r="A169" t="s">
        <v>66</v>
      </c>
      <c r="B169" s="293"/>
      <c r="C169" s="293"/>
      <c r="D169" s="293"/>
      <c r="E169" s="293"/>
      <c r="F169" s="293"/>
      <c r="G169" s="293"/>
      <c r="H169" s="293"/>
      <c r="I169" s="293"/>
      <c r="J169" s="293"/>
    </row>
    <row r="170" spans="1:10" x14ac:dyDescent="0.25">
      <c r="B170" s="293"/>
      <c r="C170" s="293"/>
      <c r="D170" s="293"/>
      <c r="E170" s="293"/>
      <c r="F170" s="293"/>
      <c r="G170" s="293"/>
      <c r="H170" s="293"/>
      <c r="I170" s="293"/>
      <c r="J170" s="293"/>
    </row>
    <row r="171" spans="1:10" x14ac:dyDescent="0.25">
      <c r="B171" s="293"/>
      <c r="C171" s="293"/>
      <c r="D171" s="293"/>
      <c r="E171" s="293"/>
      <c r="F171" s="293"/>
      <c r="G171" s="293"/>
      <c r="H171" s="293"/>
      <c r="I171" s="293"/>
      <c r="J171" s="293"/>
    </row>
    <row r="172" spans="1:10" x14ac:dyDescent="0.25">
      <c r="B172" s="293"/>
      <c r="C172" s="293"/>
      <c r="D172" s="293"/>
      <c r="E172" s="293"/>
      <c r="F172" s="293"/>
      <c r="G172" s="293"/>
      <c r="H172" s="293"/>
      <c r="I172" s="293"/>
      <c r="J172" s="293"/>
    </row>
    <row r="173" spans="1:10" x14ac:dyDescent="0.25">
      <c r="B173" s="293"/>
      <c r="C173" s="293"/>
      <c r="D173" s="293"/>
      <c r="E173" s="293"/>
      <c r="F173" s="293"/>
      <c r="G173" s="293"/>
      <c r="H173" s="293"/>
      <c r="I173" s="293"/>
      <c r="J173" s="293"/>
    </row>
    <row r="174" spans="1:10" x14ac:dyDescent="0.25">
      <c r="A174" s="47" t="s">
        <v>4263</v>
      </c>
      <c r="B174" s="296">
        <f>SUM(B164:B173)</f>
        <v>0</v>
      </c>
      <c r="C174" s="296">
        <f t="shared" ref="C174" si="71">SUM(C164:C173)</f>
        <v>0</v>
      </c>
      <c r="D174" s="296">
        <f t="shared" ref="D174" si="72">SUM(D164:D173)</f>
        <v>0</v>
      </c>
      <c r="E174" s="296">
        <f t="shared" ref="E174" si="73">SUM(E164:E173)</f>
        <v>0</v>
      </c>
      <c r="F174" s="296">
        <f t="shared" ref="F174" si="74">SUM(F164:F173)</f>
        <v>0</v>
      </c>
      <c r="G174" s="296">
        <f t="shared" ref="G174" si="75">SUM(G164:G173)</f>
        <v>0</v>
      </c>
      <c r="H174" s="296">
        <f t="shared" ref="H174" si="76">SUM(H164:H173)</f>
        <v>0</v>
      </c>
      <c r="I174" s="296">
        <f t="shared" ref="I174" si="77">SUM(I164:I173)</f>
        <v>0</v>
      </c>
      <c r="J174" s="296">
        <f t="shared" ref="J174" si="78">SUM(J164:J173)</f>
        <v>0</v>
      </c>
    </row>
    <row r="175" spans="1:10" x14ac:dyDescent="0.25">
      <c r="B175" s="293"/>
      <c r="C175" s="293"/>
      <c r="D175" s="293"/>
      <c r="E175" s="293"/>
      <c r="F175" s="293"/>
      <c r="G175" s="293"/>
      <c r="H175" s="293"/>
      <c r="I175" s="293"/>
      <c r="J175" s="293"/>
    </row>
    <row r="176" spans="1:10" x14ac:dyDescent="0.25">
      <c r="A176" s="47" t="s">
        <v>4264</v>
      </c>
      <c r="B176" s="293"/>
      <c r="C176" s="293"/>
      <c r="D176" s="293"/>
      <c r="E176" s="293"/>
      <c r="F176" s="293"/>
      <c r="G176" s="293"/>
      <c r="H176" s="293"/>
      <c r="I176" s="293"/>
      <c r="J176" s="293"/>
    </row>
    <row r="177" spans="1:10" x14ac:dyDescent="0.25">
      <c r="A177" t="s">
        <v>87</v>
      </c>
      <c r="B177" s="293"/>
      <c r="C177" s="293"/>
      <c r="D177" s="293"/>
      <c r="E177" s="293"/>
      <c r="F177" s="293"/>
      <c r="G177" s="293"/>
      <c r="H177" s="293"/>
      <c r="I177" s="293"/>
      <c r="J177" s="293"/>
    </row>
    <row r="178" spans="1:10" x14ac:dyDescent="0.25">
      <c r="A178" t="s">
        <v>4265</v>
      </c>
      <c r="B178" s="293"/>
      <c r="C178" s="293"/>
      <c r="D178" s="293"/>
      <c r="E178" s="293"/>
      <c r="F178" s="293"/>
      <c r="G178" s="293"/>
      <c r="H178" s="293"/>
      <c r="I178" s="293"/>
      <c r="J178" s="293"/>
    </row>
    <row r="179" spans="1:10" x14ac:dyDescent="0.25">
      <c r="B179" s="293"/>
      <c r="C179" s="293"/>
      <c r="D179" s="293"/>
      <c r="E179" s="293"/>
      <c r="F179" s="293"/>
      <c r="G179" s="293"/>
      <c r="H179" s="293"/>
      <c r="I179" s="293"/>
      <c r="J179" s="293"/>
    </row>
    <row r="180" spans="1:10" x14ac:dyDescent="0.25">
      <c r="B180" s="293"/>
      <c r="C180" s="293"/>
      <c r="D180" s="293"/>
      <c r="E180" s="293"/>
      <c r="F180" s="293"/>
      <c r="G180" s="293"/>
      <c r="H180" s="293"/>
      <c r="I180" s="293"/>
      <c r="J180" s="293"/>
    </row>
    <row r="181" spans="1:10" x14ac:dyDescent="0.25">
      <c r="B181" s="293"/>
      <c r="C181" s="293"/>
      <c r="D181" s="293"/>
      <c r="E181" s="293"/>
      <c r="F181" s="293"/>
      <c r="G181" s="293"/>
      <c r="H181" s="293"/>
      <c r="I181" s="293"/>
      <c r="J181" s="293"/>
    </row>
    <row r="182" spans="1:10" x14ac:dyDescent="0.25">
      <c r="B182" s="293"/>
      <c r="C182" s="293"/>
      <c r="D182" s="293"/>
      <c r="E182" s="293"/>
      <c r="F182" s="293"/>
      <c r="G182" s="293"/>
      <c r="H182" s="293"/>
      <c r="I182" s="293"/>
      <c r="J182" s="293"/>
    </row>
    <row r="183" spans="1:10" x14ac:dyDescent="0.25">
      <c r="A183" t="s">
        <v>4266</v>
      </c>
      <c r="B183" s="293"/>
      <c r="C183" s="293"/>
      <c r="D183" s="293"/>
      <c r="E183" s="293"/>
      <c r="F183" s="293"/>
      <c r="G183" s="293"/>
      <c r="H183" s="293"/>
      <c r="I183" s="293"/>
      <c r="J183" s="293"/>
    </row>
    <row r="184" spans="1:10" x14ac:dyDescent="0.25">
      <c r="A184" t="s">
        <v>66</v>
      </c>
      <c r="B184" s="293"/>
      <c r="C184" s="293"/>
      <c r="D184" s="293"/>
      <c r="E184" s="293"/>
      <c r="F184" s="293"/>
      <c r="G184" s="293"/>
      <c r="H184" s="293"/>
      <c r="I184" s="293"/>
      <c r="J184" s="293"/>
    </row>
    <row r="185" spans="1:10" x14ac:dyDescent="0.25">
      <c r="B185" s="293"/>
      <c r="C185" s="293"/>
      <c r="D185" s="293"/>
      <c r="E185" s="293"/>
      <c r="F185" s="293"/>
      <c r="G185" s="293"/>
      <c r="H185" s="293"/>
      <c r="I185" s="293"/>
      <c r="J185" s="293"/>
    </row>
    <row r="186" spans="1:10" x14ac:dyDescent="0.25">
      <c r="B186" s="293"/>
      <c r="C186" s="293"/>
      <c r="D186" s="293"/>
      <c r="E186" s="293"/>
      <c r="F186" s="293"/>
      <c r="G186" s="293"/>
      <c r="H186" s="293"/>
      <c r="I186" s="293"/>
      <c r="J186" s="293"/>
    </row>
    <row r="187" spans="1:10" x14ac:dyDescent="0.25">
      <c r="B187" s="293"/>
      <c r="C187" s="293"/>
      <c r="D187" s="293"/>
      <c r="E187" s="293"/>
      <c r="F187" s="293"/>
      <c r="G187" s="293"/>
      <c r="H187" s="293"/>
      <c r="I187" s="293"/>
      <c r="J187" s="293"/>
    </row>
    <row r="188" spans="1:10" x14ac:dyDescent="0.25">
      <c r="B188" s="293"/>
      <c r="C188" s="293"/>
      <c r="D188" s="293"/>
      <c r="E188" s="293"/>
      <c r="F188" s="293"/>
      <c r="G188" s="293"/>
      <c r="H188" s="293"/>
      <c r="I188" s="293"/>
      <c r="J188" s="293"/>
    </row>
    <row r="189" spans="1:10" x14ac:dyDescent="0.25">
      <c r="A189" s="47" t="s">
        <v>4267</v>
      </c>
      <c r="B189" s="296">
        <f>SUM(B177:B188)</f>
        <v>0</v>
      </c>
      <c r="C189" s="296">
        <f t="shared" ref="C189" si="79">SUM(C177:C188)</f>
        <v>0</v>
      </c>
      <c r="D189" s="296">
        <f t="shared" ref="D189" si="80">SUM(D177:D188)</f>
        <v>0</v>
      </c>
      <c r="E189" s="296">
        <f t="shared" ref="E189" si="81">SUM(E177:E188)</f>
        <v>0</v>
      </c>
      <c r="F189" s="296">
        <f t="shared" ref="F189" si="82">SUM(F177:F188)</f>
        <v>0</v>
      </c>
      <c r="G189" s="296">
        <f t="shared" ref="G189" si="83">SUM(G177:G188)</f>
        <v>0</v>
      </c>
      <c r="H189" s="296">
        <f t="shared" ref="H189" si="84">SUM(H177:H188)</f>
        <v>0</v>
      </c>
      <c r="I189" s="296">
        <f t="shared" ref="I189" si="85">SUM(I177:I188)</f>
        <v>0</v>
      </c>
      <c r="J189" s="296">
        <f t="shared" ref="J189" si="86">SUM(J177:J188)</f>
        <v>0</v>
      </c>
    </row>
    <row r="190" spans="1:10" x14ac:dyDescent="0.25">
      <c r="B190" s="293"/>
      <c r="C190" s="293"/>
      <c r="D190" s="293"/>
      <c r="E190" s="293"/>
      <c r="F190" s="293"/>
      <c r="G190" s="293"/>
      <c r="H190" s="293"/>
      <c r="I190" s="293"/>
      <c r="J190" s="293"/>
    </row>
    <row r="191" spans="1:10" ht="15.75" thickBot="1" x14ac:dyDescent="0.3">
      <c r="A191" s="47" t="s">
        <v>4268</v>
      </c>
      <c r="B191" s="301">
        <f>B174-B189</f>
        <v>0</v>
      </c>
      <c r="C191" s="301">
        <f t="shared" ref="C191:J191" si="87">C174-C189</f>
        <v>0</v>
      </c>
      <c r="D191" s="301">
        <f t="shared" si="87"/>
        <v>0</v>
      </c>
      <c r="E191" s="301">
        <f t="shared" si="87"/>
        <v>0</v>
      </c>
      <c r="F191" s="301">
        <f t="shared" si="87"/>
        <v>0</v>
      </c>
      <c r="G191" s="301">
        <f t="shared" si="87"/>
        <v>0</v>
      </c>
      <c r="H191" s="301">
        <f t="shared" si="87"/>
        <v>0</v>
      </c>
      <c r="I191" s="301">
        <f t="shared" si="87"/>
        <v>0</v>
      </c>
      <c r="J191" s="301">
        <f t="shared" si="87"/>
        <v>0</v>
      </c>
    </row>
    <row r="192" spans="1:10" ht="15.75" thickTop="1" x14ac:dyDescent="0.25">
      <c r="B192" s="293"/>
      <c r="C192" s="293"/>
      <c r="D192" s="293"/>
      <c r="E192" s="293"/>
      <c r="F192" s="293"/>
      <c r="G192" s="293"/>
      <c r="H192" s="293"/>
      <c r="I192" s="293"/>
      <c r="J192" s="293"/>
    </row>
    <row r="193" spans="1:10" x14ac:dyDescent="0.25">
      <c r="A193" s="281"/>
      <c r="B193" s="316"/>
      <c r="C193" s="316"/>
      <c r="D193" s="316"/>
      <c r="E193" s="316"/>
      <c r="F193" s="316"/>
      <c r="G193" s="316"/>
      <c r="H193" s="316"/>
      <c r="I193" s="316"/>
      <c r="J193" s="316"/>
    </row>
    <row r="194" spans="1:10" x14ac:dyDescent="0.25">
      <c r="B194" s="293"/>
      <c r="C194" s="293"/>
      <c r="D194" s="293"/>
      <c r="E194" s="293"/>
      <c r="F194" s="293"/>
      <c r="G194" s="293"/>
      <c r="H194" s="293"/>
      <c r="I194" s="293"/>
      <c r="J194" s="293"/>
    </row>
    <row r="195" spans="1:10" x14ac:dyDescent="0.25">
      <c r="A195" s="280" t="s">
        <v>4274</v>
      </c>
      <c r="B195" s="293"/>
      <c r="C195" s="293"/>
      <c r="D195" s="293"/>
      <c r="E195" s="293"/>
      <c r="F195" s="293"/>
      <c r="G195" s="293"/>
      <c r="H195" s="293"/>
      <c r="I195" s="293"/>
      <c r="J195" s="293"/>
    </row>
    <row r="196" spans="1:10" x14ac:dyDescent="0.25">
      <c r="B196" s="293"/>
      <c r="C196" s="293"/>
      <c r="D196" s="293"/>
      <c r="E196" s="293"/>
      <c r="F196" s="293"/>
      <c r="G196" s="293"/>
      <c r="H196" s="293"/>
      <c r="I196" s="293"/>
      <c r="J196" s="293"/>
    </row>
    <row r="197" spans="1:10" x14ac:dyDescent="0.25">
      <c r="A197" s="47" t="s">
        <v>4260</v>
      </c>
      <c r="B197" s="293"/>
      <c r="C197" s="293"/>
      <c r="D197" s="293"/>
      <c r="E197" s="293"/>
      <c r="F197" s="293"/>
      <c r="G197" s="293"/>
      <c r="H197" s="293"/>
      <c r="I197" s="293"/>
      <c r="J197" s="293"/>
    </row>
    <row r="198" spans="1:10" x14ac:dyDescent="0.25">
      <c r="A198" t="s">
        <v>4262</v>
      </c>
      <c r="B198" s="293"/>
      <c r="C198" s="293"/>
      <c r="D198" s="293"/>
      <c r="E198" s="293"/>
      <c r="F198" s="293"/>
      <c r="G198" s="293"/>
      <c r="H198" s="293"/>
      <c r="I198" s="293"/>
      <c r="J198" s="293"/>
    </row>
    <row r="199" spans="1:10" x14ac:dyDescent="0.25">
      <c r="A199" t="s">
        <v>4261</v>
      </c>
      <c r="B199" s="293"/>
      <c r="C199" s="293"/>
      <c r="D199" s="293"/>
      <c r="E199" s="293"/>
      <c r="F199" s="293"/>
      <c r="G199" s="293"/>
      <c r="H199" s="293"/>
      <c r="I199" s="293"/>
      <c r="J199" s="293"/>
    </row>
    <row r="200" spans="1:10" x14ac:dyDescent="0.25">
      <c r="A200" t="s">
        <v>66</v>
      </c>
      <c r="B200" s="293"/>
      <c r="C200" s="293"/>
      <c r="D200" s="293"/>
      <c r="E200" s="293"/>
      <c r="F200" s="293"/>
      <c r="G200" s="293"/>
      <c r="H200" s="293"/>
      <c r="I200" s="293"/>
      <c r="J200" s="293"/>
    </row>
    <row r="201" spans="1:10" x14ac:dyDescent="0.25">
      <c r="B201" s="293"/>
      <c r="C201" s="293"/>
      <c r="D201" s="293"/>
      <c r="E201" s="293"/>
      <c r="F201" s="293"/>
      <c r="G201" s="293"/>
      <c r="H201" s="293"/>
      <c r="I201" s="293"/>
      <c r="J201" s="293"/>
    </row>
    <row r="202" spans="1:10" x14ac:dyDescent="0.25">
      <c r="B202" s="293"/>
      <c r="C202" s="293"/>
      <c r="D202" s="293"/>
      <c r="E202" s="293"/>
      <c r="F202" s="293"/>
      <c r="G202" s="293"/>
      <c r="H202" s="293"/>
      <c r="I202" s="293"/>
      <c r="J202" s="293"/>
    </row>
    <row r="203" spans="1:10" x14ac:dyDescent="0.25">
      <c r="B203" s="293"/>
      <c r="C203" s="293"/>
      <c r="D203" s="293"/>
      <c r="E203" s="293"/>
      <c r="F203" s="293"/>
      <c r="G203" s="293"/>
      <c r="H203" s="293"/>
      <c r="I203" s="293"/>
      <c r="J203" s="293"/>
    </row>
    <row r="204" spans="1:10" x14ac:dyDescent="0.25">
      <c r="B204" s="293"/>
      <c r="C204" s="293"/>
      <c r="D204" s="293"/>
      <c r="E204" s="293"/>
      <c r="F204" s="293"/>
      <c r="G204" s="293"/>
      <c r="H204" s="293"/>
      <c r="I204" s="293"/>
      <c r="J204" s="293"/>
    </row>
    <row r="205" spans="1:10" x14ac:dyDescent="0.25">
      <c r="A205" s="47" t="s">
        <v>4263</v>
      </c>
      <c r="B205" s="296">
        <f>SUM(B195:B204)</f>
        <v>0</v>
      </c>
      <c r="C205" s="296">
        <f t="shared" ref="C205" si="88">SUM(C195:C204)</f>
        <v>0</v>
      </c>
      <c r="D205" s="296">
        <f t="shared" ref="D205" si="89">SUM(D195:D204)</f>
        <v>0</v>
      </c>
      <c r="E205" s="296">
        <f t="shared" ref="E205" si="90">SUM(E195:E204)</f>
        <v>0</v>
      </c>
      <c r="F205" s="296">
        <f t="shared" ref="F205" si="91">SUM(F195:F204)</f>
        <v>0</v>
      </c>
      <c r="G205" s="296">
        <f t="shared" ref="G205" si="92">SUM(G195:G204)</f>
        <v>0</v>
      </c>
      <c r="H205" s="296">
        <f t="shared" ref="H205" si="93">SUM(H195:H204)</f>
        <v>0</v>
      </c>
      <c r="I205" s="296">
        <f t="shared" ref="I205" si="94">SUM(I195:I204)</f>
        <v>0</v>
      </c>
      <c r="J205" s="296">
        <f t="shared" ref="J205" si="95">SUM(J195:J204)</f>
        <v>0</v>
      </c>
    </row>
    <row r="206" spans="1:10" x14ac:dyDescent="0.25">
      <c r="B206" s="293"/>
      <c r="C206" s="293"/>
      <c r="D206" s="293"/>
      <c r="E206" s="293"/>
      <c r="F206" s="293"/>
      <c r="G206" s="293"/>
      <c r="H206" s="293"/>
      <c r="I206" s="293"/>
      <c r="J206" s="293"/>
    </row>
    <row r="207" spans="1:10" x14ac:dyDescent="0.25">
      <c r="A207" s="47" t="s">
        <v>4264</v>
      </c>
      <c r="B207" s="293"/>
      <c r="C207" s="293"/>
      <c r="D207" s="293"/>
      <c r="E207" s="293"/>
      <c r="F207" s="293"/>
      <c r="G207" s="293"/>
      <c r="H207" s="293"/>
      <c r="I207" s="293"/>
      <c r="J207" s="293"/>
    </row>
    <row r="208" spans="1:10" x14ac:dyDescent="0.25">
      <c r="A208" t="s">
        <v>87</v>
      </c>
      <c r="B208" s="293"/>
      <c r="C208" s="293"/>
      <c r="D208" s="293"/>
      <c r="E208" s="293"/>
      <c r="F208" s="293"/>
      <c r="G208" s="293"/>
      <c r="H208" s="293"/>
      <c r="I208" s="293"/>
      <c r="J208" s="293"/>
    </row>
    <row r="209" spans="1:10" x14ac:dyDescent="0.25">
      <c r="A209" t="s">
        <v>4265</v>
      </c>
      <c r="B209" s="293"/>
      <c r="C209" s="293"/>
      <c r="D209" s="293"/>
      <c r="E209" s="293"/>
      <c r="F209" s="293"/>
      <c r="G209" s="293"/>
      <c r="H209" s="293"/>
      <c r="I209" s="293"/>
      <c r="J209" s="293"/>
    </row>
    <row r="210" spans="1:10" x14ac:dyDescent="0.25">
      <c r="B210" s="293"/>
      <c r="C210" s="293"/>
      <c r="D210" s="293"/>
      <c r="E210" s="293"/>
      <c r="F210" s="293"/>
      <c r="G210" s="293"/>
      <c r="H210" s="293"/>
      <c r="I210" s="293"/>
      <c r="J210" s="293"/>
    </row>
    <row r="211" spans="1:10" x14ac:dyDescent="0.25">
      <c r="B211" s="293"/>
      <c r="C211" s="293"/>
      <c r="D211" s="293"/>
      <c r="E211" s="293"/>
      <c r="F211" s="293"/>
      <c r="G211" s="293"/>
      <c r="H211" s="293"/>
      <c r="I211" s="293"/>
      <c r="J211" s="293"/>
    </row>
    <row r="212" spans="1:10" x14ac:dyDescent="0.25">
      <c r="B212" s="293"/>
      <c r="C212" s="293"/>
      <c r="D212" s="293"/>
      <c r="E212" s="293"/>
      <c r="F212" s="293"/>
      <c r="G212" s="293"/>
      <c r="H212" s="293"/>
      <c r="I212" s="293"/>
      <c r="J212" s="293"/>
    </row>
    <row r="213" spans="1:10" x14ac:dyDescent="0.25">
      <c r="B213" s="293"/>
      <c r="C213" s="293"/>
      <c r="D213" s="293"/>
      <c r="E213" s="293"/>
      <c r="F213" s="293"/>
      <c r="G213" s="293"/>
      <c r="H213" s="293"/>
      <c r="I213" s="293"/>
      <c r="J213" s="293"/>
    </row>
    <row r="214" spans="1:10" x14ac:dyDescent="0.25">
      <c r="A214" t="s">
        <v>4266</v>
      </c>
      <c r="B214" s="293"/>
      <c r="C214" s="293"/>
      <c r="D214" s="293"/>
      <c r="E214" s="293"/>
      <c r="F214" s="293"/>
      <c r="G214" s="293"/>
      <c r="H214" s="293"/>
      <c r="I214" s="293"/>
      <c r="J214" s="293"/>
    </row>
    <row r="215" spans="1:10" x14ac:dyDescent="0.25">
      <c r="A215" t="s">
        <v>66</v>
      </c>
      <c r="B215" s="293"/>
      <c r="C215" s="293"/>
      <c r="D215" s="293"/>
      <c r="E215" s="293"/>
      <c r="F215" s="293"/>
      <c r="G215" s="293"/>
      <c r="H215" s="293"/>
      <c r="I215" s="293"/>
      <c r="J215" s="293"/>
    </row>
    <row r="216" spans="1:10" x14ac:dyDescent="0.25">
      <c r="B216" s="293"/>
      <c r="C216" s="293"/>
      <c r="D216" s="293"/>
      <c r="E216" s="293"/>
      <c r="F216" s="293"/>
      <c r="G216" s="293"/>
      <c r="H216" s="293"/>
      <c r="I216" s="293"/>
      <c r="J216" s="293"/>
    </row>
    <row r="217" spans="1:10" x14ac:dyDescent="0.25">
      <c r="B217" s="293"/>
      <c r="C217" s="293"/>
      <c r="D217" s="293"/>
      <c r="E217" s="293"/>
      <c r="F217" s="293"/>
      <c r="G217" s="293"/>
      <c r="H217" s="293"/>
      <c r="I217" s="293"/>
      <c r="J217" s="293"/>
    </row>
    <row r="218" spans="1:10" x14ac:dyDescent="0.25">
      <c r="B218" s="293"/>
      <c r="C218" s="293"/>
      <c r="D218" s="293"/>
      <c r="E218" s="293"/>
      <c r="F218" s="293"/>
      <c r="G218" s="293"/>
      <c r="H218" s="293"/>
      <c r="I218" s="293"/>
      <c r="J218" s="293"/>
    </row>
    <row r="219" spans="1:10" x14ac:dyDescent="0.25">
      <c r="B219" s="293"/>
      <c r="C219" s="293"/>
      <c r="D219" s="293"/>
      <c r="E219" s="293"/>
      <c r="F219" s="293"/>
      <c r="G219" s="293"/>
      <c r="H219" s="293"/>
      <c r="I219" s="293"/>
      <c r="J219" s="293"/>
    </row>
    <row r="220" spans="1:10" x14ac:dyDescent="0.25">
      <c r="A220" s="47" t="s">
        <v>4267</v>
      </c>
      <c r="B220" s="296">
        <f>SUM(B208:B219)</f>
        <v>0</v>
      </c>
      <c r="C220" s="296">
        <f t="shared" ref="C220" si="96">SUM(C208:C219)</f>
        <v>0</v>
      </c>
      <c r="D220" s="296">
        <f t="shared" ref="D220" si="97">SUM(D208:D219)</f>
        <v>0</v>
      </c>
      <c r="E220" s="296">
        <f t="shared" ref="E220" si="98">SUM(E208:E219)</f>
        <v>0</v>
      </c>
      <c r="F220" s="296">
        <f t="shared" ref="F220" si="99">SUM(F208:F219)</f>
        <v>0</v>
      </c>
      <c r="G220" s="296">
        <f t="shared" ref="G220" si="100">SUM(G208:G219)</f>
        <v>0</v>
      </c>
      <c r="H220" s="296">
        <f t="shared" ref="H220" si="101">SUM(H208:H219)</f>
        <v>0</v>
      </c>
      <c r="I220" s="296">
        <f t="shared" ref="I220" si="102">SUM(I208:I219)</f>
        <v>0</v>
      </c>
      <c r="J220" s="296">
        <f t="shared" ref="J220" si="103">SUM(J208:J219)</f>
        <v>0</v>
      </c>
    </row>
    <row r="221" spans="1:10" x14ac:dyDescent="0.25">
      <c r="B221" s="293"/>
      <c r="C221" s="293"/>
      <c r="D221" s="293"/>
      <c r="E221" s="293"/>
      <c r="F221" s="293"/>
      <c r="G221" s="293"/>
      <c r="H221" s="293"/>
      <c r="I221" s="293"/>
      <c r="J221" s="293"/>
    </row>
    <row r="222" spans="1:10" ht="15.75" thickBot="1" x14ac:dyDescent="0.3">
      <c r="A222" s="47" t="s">
        <v>4268</v>
      </c>
      <c r="B222" s="301">
        <f>B205-B220</f>
        <v>0</v>
      </c>
      <c r="C222" s="301">
        <f t="shared" ref="C222:J222" si="104">C205-C220</f>
        <v>0</v>
      </c>
      <c r="D222" s="301">
        <f t="shared" si="104"/>
        <v>0</v>
      </c>
      <c r="E222" s="301">
        <f t="shared" si="104"/>
        <v>0</v>
      </c>
      <c r="F222" s="301">
        <f t="shared" si="104"/>
        <v>0</v>
      </c>
      <c r="G222" s="301">
        <f t="shared" si="104"/>
        <v>0</v>
      </c>
      <c r="H222" s="301">
        <f t="shared" si="104"/>
        <v>0</v>
      </c>
      <c r="I222" s="301">
        <f t="shared" si="104"/>
        <v>0</v>
      </c>
      <c r="J222" s="301">
        <f t="shared" si="104"/>
        <v>0</v>
      </c>
    </row>
    <row r="223" spans="1:10" ht="15.75" thickTop="1" x14ac:dyDescent="0.25">
      <c r="B223" s="293"/>
      <c r="C223" s="293"/>
      <c r="D223" s="293"/>
      <c r="E223" s="293"/>
      <c r="F223" s="293"/>
      <c r="G223" s="293"/>
      <c r="H223" s="293"/>
      <c r="I223" s="293"/>
      <c r="J223" s="293"/>
    </row>
    <row r="224" spans="1:10" x14ac:dyDescent="0.25">
      <c r="A224" s="281"/>
      <c r="B224" s="316"/>
      <c r="C224" s="316"/>
      <c r="D224" s="316"/>
      <c r="E224" s="316"/>
      <c r="F224" s="316"/>
      <c r="G224" s="316"/>
      <c r="H224" s="316"/>
      <c r="I224" s="316"/>
      <c r="J224" s="316"/>
    </row>
    <row r="225" spans="1:10" x14ac:dyDescent="0.25">
      <c r="B225" s="293"/>
      <c r="C225" s="293"/>
      <c r="D225" s="293"/>
      <c r="E225" s="293"/>
      <c r="F225" s="293"/>
      <c r="G225" s="293"/>
      <c r="H225" s="293"/>
      <c r="I225" s="293"/>
      <c r="J225" s="293"/>
    </row>
    <row r="226" spans="1:10" x14ac:dyDescent="0.25">
      <c r="A226" s="280" t="s">
        <v>4275</v>
      </c>
      <c r="B226" s="293"/>
      <c r="C226" s="293"/>
      <c r="D226" s="293"/>
      <c r="E226" s="293"/>
      <c r="F226" s="293"/>
      <c r="G226" s="293"/>
      <c r="H226" s="293"/>
      <c r="I226" s="293"/>
      <c r="J226" s="293"/>
    </row>
    <row r="227" spans="1:10" x14ac:dyDescent="0.25">
      <c r="B227" s="293"/>
      <c r="C227" s="293"/>
      <c r="D227" s="293"/>
      <c r="E227" s="293"/>
      <c r="F227" s="293"/>
      <c r="G227" s="293"/>
      <c r="H227" s="293"/>
      <c r="I227" s="293"/>
      <c r="J227" s="293"/>
    </row>
    <row r="228" spans="1:10" x14ac:dyDescent="0.25">
      <c r="A228" s="47" t="s">
        <v>4260</v>
      </c>
      <c r="B228" s="293"/>
      <c r="C228" s="293"/>
      <c r="D228" s="293"/>
      <c r="E228" s="293"/>
      <c r="F228" s="293"/>
      <c r="G228" s="293"/>
      <c r="H228" s="293"/>
      <c r="I228" s="293"/>
      <c r="J228" s="293"/>
    </row>
    <row r="229" spans="1:10" x14ac:dyDescent="0.25">
      <c r="A229" t="s">
        <v>4262</v>
      </c>
      <c r="B229" s="293"/>
      <c r="C229" s="293"/>
      <c r="D229" s="293"/>
      <c r="E229" s="293"/>
      <c r="F229" s="293"/>
      <c r="G229" s="293"/>
      <c r="H229" s="293"/>
      <c r="I229" s="293"/>
      <c r="J229" s="293"/>
    </row>
    <row r="230" spans="1:10" x14ac:dyDescent="0.25">
      <c r="A230" t="s">
        <v>4261</v>
      </c>
      <c r="B230" s="293"/>
      <c r="C230" s="293"/>
      <c r="D230" s="293"/>
      <c r="E230" s="293"/>
      <c r="F230" s="293"/>
      <c r="G230" s="293"/>
      <c r="H230" s="293"/>
      <c r="I230" s="293"/>
      <c r="J230" s="293"/>
    </row>
    <row r="231" spans="1:10" x14ac:dyDescent="0.25">
      <c r="A231" t="s">
        <v>66</v>
      </c>
      <c r="B231" s="293"/>
      <c r="C231" s="293"/>
      <c r="D231" s="293"/>
      <c r="E231" s="293"/>
      <c r="F231" s="293"/>
      <c r="G231" s="293"/>
      <c r="H231" s="293"/>
      <c r="I231" s="293"/>
      <c r="J231" s="293"/>
    </row>
    <row r="232" spans="1:10" x14ac:dyDescent="0.25">
      <c r="B232" s="293"/>
      <c r="C232" s="293"/>
      <c r="D232" s="293"/>
      <c r="E232" s="293"/>
      <c r="F232" s="293"/>
      <c r="G232" s="293"/>
      <c r="H232" s="293"/>
      <c r="I232" s="293"/>
      <c r="J232" s="293"/>
    </row>
    <row r="233" spans="1:10" x14ac:dyDescent="0.25">
      <c r="B233" s="293"/>
      <c r="C233" s="293"/>
      <c r="D233" s="293"/>
      <c r="E233" s="293"/>
      <c r="F233" s="293"/>
      <c r="G233" s="293"/>
      <c r="H233" s="293"/>
      <c r="I233" s="293"/>
      <c r="J233" s="293"/>
    </row>
    <row r="234" spans="1:10" x14ac:dyDescent="0.25">
      <c r="B234" s="293"/>
      <c r="C234" s="293"/>
      <c r="D234" s="293"/>
      <c r="E234" s="293"/>
      <c r="F234" s="293"/>
      <c r="G234" s="293"/>
      <c r="H234" s="293"/>
      <c r="I234" s="293"/>
      <c r="J234" s="293"/>
    </row>
    <row r="235" spans="1:10" x14ac:dyDescent="0.25">
      <c r="B235" s="293"/>
      <c r="C235" s="293"/>
      <c r="D235" s="293"/>
      <c r="E235" s="293"/>
      <c r="F235" s="293"/>
      <c r="G235" s="293"/>
      <c r="H235" s="293"/>
      <c r="I235" s="293"/>
      <c r="J235" s="293"/>
    </row>
    <row r="236" spans="1:10" x14ac:dyDescent="0.25">
      <c r="A236" s="47" t="s">
        <v>4263</v>
      </c>
      <c r="B236" s="296">
        <f>SUM(B226:B235)</f>
        <v>0</v>
      </c>
      <c r="C236" s="296">
        <f t="shared" ref="C236" si="105">SUM(C226:C235)</f>
        <v>0</v>
      </c>
      <c r="D236" s="296">
        <f t="shared" ref="D236" si="106">SUM(D226:D235)</f>
        <v>0</v>
      </c>
      <c r="E236" s="296">
        <f t="shared" ref="E236" si="107">SUM(E226:E235)</f>
        <v>0</v>
      </c>
      <c r="F236" s="296">
        <f t="shared" ref="F236" si="108">SUM(F226:F235)</f>
        <v>0</v>
      </c>
      <c r="G236" s="296">
        <f t="shared" ref="G236" si="109">SUM(G226:G235)</f>
        <v>0</v>
      </c>
      <c r="H236" s="296">
        <f t="shared" ref="H236" si="110">SUM(H226:H235)</f>
        <v>0</v>
      </c>
      <c r="I236" s="296">
        <f t="shared" ref="I236" si="111">SUM(I226:I235)</f>
        <v>0</v>
      </c>
      <c r="J236" s="296">
        <f t="shared" ref="J236" si="112">SUM(J226:J235)</f>
        <v>0</v>
      </c>
    </row>
    <row r="237" spans="1:10" x14ac:dyDescent="0.25">
      <c r="B237" s="293"/>
      <c r="C237" s="293"/>
      <c r="D237" s="293"/>
      <c r="E237" s="293"/>
      <c r="F237" s="293"/>
      <c r="G237" s="293"/>
      <c r="H237" s="293"/>
      <c r="I237" s="293"/>
      <c r="J237" s="293"/>
    </row>
    <row r="238" spans="1:10" x14ac:dyDescent="0.25">
      <c r="A238" s="47" t="s">
        <v>4264</v>
      </c>
      <c r="B238" s="293"/>
      <c r="C238" s="293"/>
      <c r="D238" s="293"/>
      <c r="E238" s="293"/>
      <c r="F238" s="293"/>
      <c r="G238" s="293"/>
      <c r="H238" s="293"/>
      <c r="I238" s="293"/>
      <c r="J238" s="293"/>
    </row>
    <row r="239" spans="1:10" x14ac:dyDescent="0.25">
      <c r="A239" t="s">
        <v>87</v>
      </c>
      <c r="B239" s="293"/>
      <c r="C239" s="293"/>
      <c r="D239" s="293"/>
      <c r="E239" s="293"/>
      <c r="F239" s="293"/>
      <c r="G239" s="293"/>
      <c r="H239" s="293"/>
      <c r="I239" s="293"/>
      <c r="J239" s="293"/>
    </row>
    <row r="240" spans="1:10" x14ac:dyDescent="0.25">
      <c r="A240" t="s">
        <v>4265</v>
      </c>
      <c r="B240" s="293"/>
      <c r="C240" s="293"/>
      <c r="D240" s="293"/>
      <c r="E240" s="293"/>
      <c r="F240" s="293"/>
      <c r="G240" s="293"/>
      <c r="H240" s="293"/>
      <c r="I240" s="293"/>
      <c r="J240" s="293"/>
    </row>
    <row r="241" spans="1:10" x14ac:dyDescent="0.25">
      <c r="B241" s="293"/>
      <c r="C241" s="293"/>
      <c r="D241" s="293"/>
      <c r="E241" s="293"/>
      <c r="F241" s="293"/>
      <c r="G241" s="293"/>
      <c r="H241" s="293"/>
      <c r="I241" s="293"/>
      <c r="J241" s="293"/>
    </row>
    <row r="242" spans="1:10" x14ac:dyDescent="0.25">
      <c r="B242" s="293"/>
      <c r="C242" s="293"/>
      <c r="D242" s="293"/>
      <c r="E242" s="293"/>
      <c r="F242" s="293"/>
      <c r="G242" s="293"/>
      <c r="H242" s="293"/>
      <c r="I242" s="293"/>
      <c r="J242" s="293"/>
    </row>
    <row r="243" spans="1:10" x14ac:dyDescent="0.25">
      <c r="B243" s="293"/>
      <c r="C243" s="293"/>
      <c r="D243" s="293"/>
      <c r="E243" s="293"/>
      <c r="F243" s="293"/>
      <c r="G243" s="293"/>
      <c r="H243" s="293"/>
      <c r="I243" s="293"/>
      <c r="J243" s="293"/>
    </row>
    <row r="244" spans="1:10" x14ac:dyDescent="0.25">
      <c r="B244" s="293"/>
      <c r="C244" s="293"/>
      <c r="D244" s="293"/>
      <c r="E244" s="293"/>
      <c r="F244" s="293"/>
      <c r="G244" s="293"/>
      <c r="H244" s="293"/>
      <c r="I244" s="293"/>
      <c r="J244" s="293"/>
    </row>
    <row r="245" spans="1:10" x14ac:dyDescent="0.25">
      <c r="A245" t="s">
        <v>4266</v>
      </c>
      <c r="B245" s="293"/>
      <c r="C245" s="293"/>
      <c r="D245" s="293"/>
      <c r="E245" s="293"/>
      <c r="F245" s="293"/>
      <c r="G245" s="293"/>
      <c r="H245" s="293"/>
      <c r="I245" s="293"/>
      <c r="J245" s="293"/>
    </row>
    <row r="246" spans="1:10" x14ac:dyDescent="0.25">
      <c r="A246" t="s">
        <v>66</v>
      </c>
      <c r="B246" s="293"/>
      <c r="C246" s="293"/>
      <c r="D246" s="293"/>
      <c r="E246" s="293"/>
      <c r="F246" s="293"/>
      <c r="G246" s="293"/>
      <c r="H246" s="293"/>
      <c r="I246" s="293"/>
      <c r="J246" s="293"/>
    </row>
    <row r="247" spans="1:10" x14ac:dyDescent="0.25">
      <c r="B247" s="293"/>
      <c r="C247" s="293"/>
      <c r="D247" s="293"/>
      <c r="E247" s="293"/>
      <c r="F247" s="293"/>
      <c r="G247" s="293"/>
      <c r="H247" s="293"/>
      <c r="I247" s="293"/>
      <c r="J247" s="293"/>
    </row>
    <row r="248" spans="1:10" x14ac:dyDescent="0.25">
      <c r="B248" s="293"/>
      <c r="C248" s="293"/>
      <c r="D248" s="293"/>
      <c r="E248" s="293"/>
      <c r="F248" s="293"/>
      <c r="G248" s="293"/>
      <c r="H248" s="293"/>
      <c r="I248" s="293"/>
      <c r="J248" s="293"/>
    </row>
    <row r="249" spans="1:10" x14ac:dyDescent="0.25">
      <c r="B249" s="293"/>
      <c r="C249" s="293"/>
      <c r="D249" s="293"/>
      <c r="E249" s="293"/>
      <c r="F249" s="293"/>
      <c r="G249" s="293"/>
      <c r="H249" s="293"/>
      <c r="I249" s="293"/>
      <c r="J249" s="293"/>
    </row>
    <row r="250" spans="1:10" x14ac:dyDescent="0.25">
      <c r="B250" s="293"/>
      <c r="C250" s="293"/>
      <c r="D250" s="293"/>
      <c r="E250" s="293"/>
      <c r="F250" s="293"/>
      <c r="G250" s="293"/>
      <c r="H250" s="293"/>
      <c r="I250" s="293"/>
      <c r="J250" s="293"/>
    </row>
    <row r="251" spans="1:10" x14ac:dyDescent="0.25">
      <c r="A251" s="47" t="s">
        <v>4267</v>
      </c>
      <c r="B251" s="296">
        <f>SUM(B239:B250)</f>
        <v>0</v>
      </c>
      <c r="C251" s="296">
        <f t="shared" ref="C251" si="113">SUM(C239:C250)</f>
        <v>0</v>
      </c>
      <c r="D251" s="296">
        <f t="shared" ref="D251" si="114">SUM(D239:D250)</f>
        <v>0</v>
      </c>
      <c r="E251" s="296">
        <f t="shared" ref="E251" si="115">SUM(E239:E250)</f>
        <v>0</v>
      </c>
      <c r="F251" s="296">
        <f t="shared" ref="F251" si="116">SUM(F239:F250)</f>
        <v>0</v>
      </c>
      <c r="G251" s="296">
        <f t="shared" ref="G251" si="117">SUM(G239:G250)</f>
        <v>0</v>
      </c>
      <c r="H251" s="296">
        <f t="shared" ref="H251" si="118">SUM(H239:H250)</f>
        <v>0</v>
      </c>
      <c r="I251" s="296">
        <f t="shared" ref="I251" si="119">SUM(I239:I250)</f>
        <v>0</v>
      </c>
      <c r="J251" s="296">
        <f t="shared" ref="J251" si="120">SUM(J239:J250)</f>
        <v>0</v>
      </c>
    </row>
    <row r="252" spans="1:10" x14ac:dyDescent="0.25">
      <c r="B252" s="293"/>
      <c r="C252" s="293"/>
      <c r="D252" s="293"/>
      <c r="E252" s="293"/>
      <c r="F252" s="293"/>
      <c r="G252" s="293"/>
      <c r="H252" s="293"/>
      <c r="I252" s="293"/>
      <c r="J252" s="293"/>
    </row>
    <row r="253" spans="1:10" ht="15.75" thickBot="1" x14ac:dyDescent="0.3">
      <c r="A253" s="47" t="s">
        <v>4268</v>
      </c>
      <c r="B253" s="301">
        <f>B236-B251</f>
        <v>0</v>
      </c>
      <c r="C253" s="301">
        <f t="shared" ref="C253:J253" si="121">C236-C251</f>
        <v>0</v>
      </c>
      <c r="D253" s="301">
        <f t="shared" si="121"/>
        <v>0</v>
      </c>
      <c r="E253" s="301">
        <f t="shared" si="121"/>
        <v>0</v>
      </c>
      <c r="F253" s="301">
        <f t="shared" si="121"/>
        <v>0</v>
      </c>
      <c r="G253" s="301">
        <f t="shared" si="121"/>
        <v>0</v>
      </c>
      <c r="H253" s="301">
        <f t="shared" si="121"/>
        <v>0</v>
      </c>
      <c r="I253" s="301">
        <f t="shared" si="121"/>
        <v>0</v>
      </c>
      <c r="J253" s="301">
        <f t="shared" si="121"/>
        <v>0</v>
      </c>
    </row>
    <row r="254" spans="1:10" ht="15.75" thickTop="1" x14ac:dyDescent="0.25">
      <c r="B254" s="293"/>
      <c r="C254" s="293"/>
      <c r="D254" s="293"/>
      <c r="E254" s="293"/>
      <c r="F254" s="293"/>
      <c r="G254" s="293"/>
      <c r="H254" s="293"/>
      <c r="I254" s="293"/>
      <c r="J254" s="293"/>
    </row>
    <row r="255" spans="1:10" x14ac:dyDescent="0.25">
      <c r="A255" s="281"/>
      <c r="B255" s="316"/>
      <c r="C255" s="316"/>
      <c r="D255" s="316"/>
      <c r="E255" s="316"/>
      <c r="F255" s="316"/>
      <c r="G255" s="316"/>
      <c r="H255" s="316"/>
      <c r="I255" s="316"/>
      <c r="J255" s="316"/>
    </row>
    <row r="256" spans="1:10" x14ac:dyDescent="0.25">
      <c r="B256" s="293"/>
      <c r="C256" s="293"/>
      <c r="D256" s="293"/>
      <c r="E256" s="293"/>
      <c r="F256" s="293"/>
      <c r="G256" s="293"/>
      <c r="H256" s="293"/>
      <c r="I256" s="293"/>
      <c r="J256" s="293"/>
    </row>
    <row r="257" spans="1:10" x14ac:dyDescent="0.25">
      <c r="A257" s="280" t="s">
        <v>4276</v>
      </c>
      <c r="B257" s="293"/>
      <c r="C257" s="293"/>
      <c r="D257" s="293"/>
      <c r="E257" s="293"/>
      <c r="F257" s="293"/>
      <c r="G257" s="293"/>
      <c r="H257" s="293"/>
      <c r="I257" s="293"/>
      <c r="J257" s="293"/>
    </row>
    <row r="258" spans="1:10" x14ac:dyDescent="0.25">
      <c r="B258" s="293"/>
      <c r="C258" s="293"/>
      <c r="D258" s="293"/>
      <c r="E258" s="293"/>
      <c r="F258" s="293"/>
      <c r="G258" s="293"/>
      <c r="H258" s="293"/>
      <c r="I258" s="293"/>
      <c r="J258" s="293"/>
    </row>
    <row r="259" spans="1:10" x14ac:dyDescent="0.25">
      <c r="A259" s="47" t="s">
        <v>4260</v>
      </c>
      <c r="B259" s="293"/>
      <c r="C259" s="293"/>
      <c r="D259" s="293"/>
      <c r="E259" s="293"/>
      <c r="F259" s="293"/>
      <c r="G259" s="293"/>
      <c r="H259" s="293"/>
      <c r="I259" s="293"/>
      <c r="J259" s="293"/>
    </row>
    <row r="260" spans="1:10" x14ac:dyDescent="0.25">
      <c r="A260" t="s">
        <v>4262</v>
      </c>
      <c r="B260" s="293"/>
      <c r="C260" s="293"/>
      <c r="D260" s="293"/>
      <c r="E260" s="293"/>
      <c r="F260" s="293"/>
      <c r="G260" s="293"/>
      <c r="H260" s="293"/>
      <c r="I260" s="293"/>
      <c r="J260" s="293"/>
    </row>
    <row r="261" spans="1:10" x14ac:dyDescent="0.25">
      <c r="A261" t="s">
        <v>4261</v>
      </c>
      <c r="B261" s="293"/>
      <c r="C261" s="293"/>
      <c r="D261" s="293"/>
      <c r="E261" s="293"/>
      <c r="F261" s="293"/>
      <c r="G261" s="293"/>
      <c r="H261" s="293"/>
      <c r="I261" s="293"/>
      <c r="J261" s="293"/>
    </row>
    <row r="262" spans="1:10" x14ac:dyDescent="0.25">
      <c r="A262" t="s">
        <v>66</v>
      </c>
      <c r="B262" s="293"/>
      <c r="C262" s="293"/>
      <c r="D262" s="293"/>
      <c r="E262" s="293"/>
      <c r="F262" s="293"/>
      <c r="G262" s="293"/>
      <c r="H262" s="293"/>
      <c r="I262" s="293"/>
      <c r="J262" s="293"/>
    </row>
    <row r="263" spans="1:10" x14ac:dyDescent="0.25">
      <c r="B263" s="293"/>
      <c r="C263" s="293"/>
      <c r="D263" s="293"/>
      <c r="E263" s="293"/>
      <c r="F263" s="293"/>
      <c r="G263" s="293"/>
      <c r="H263" s="293"/>
      <c r="I263" s="293"/>
      <c r="J263" s="293"/>
    </row>
    <row r="264" spans="1:10" x14ac:dyDescent="0.25">
      <c r="B264" s="293"/>
      <c r="C264" s="293"/>
      <c r="D264" s="293"/>
      <c r="E264" s="293"/>
      <c r="F264" s="293"/>
      <c r="G264" s="293"/>
      <c r="H264" s="293"/>
      <c r="I264" s="293"/>
      <c r="J264" s="293"/>
    </row>
    <row r="265" spans="1:10" x14ac:dyDescent="0.25">
      <c r="B265" s="293"/>
      <c r="C265" s="293"/>
      <c r="D265" s="293"/>
      <c r="E265" s="293"/>
      <c r="F265" s="293"/>
      <c r="G265" s="293"/>
      <c r="H265" s="293"/>
      <c r="I265" s="293"/>
      <c r="J265" s="293"/>
    </row>
    <row r="266" spans="1:10" x14ac:dyDescent="0.25">
      <c r="B266" s="293"/>
      <c r="C266" s="293"/>
      <c r="D266" s="293"/>
      <c r="E266" s="293"/>
      <c r="F266" s="293"/>
      <c r="G266" s="293"/>
      <c r="H266" s="293"/>
      <c r="I266" s="293"/>
      <c r="J266" s="293"/>
    </row>
    <row r="267" spans="1:10" x14ac:dyDescent="0.25">
      <c r="A267" s="47" t="s">
        <v>4263</v>
      </c>
      <c r="B267" s="296">
        <f>SUM(B257:B266)</f>
        <v>0</v>
      </c>
      <c r="C267" s="296">
        <f t="shared" ref="C267" si="122">SUM(C257:C266)</f>
        <v>0</v>
      </c>
      <c r="D267" s="296">
        <f t="shared" ref="D267" si="123">SUM(D257:D266)</f>
        <v>0</v>
      </c>
      <c r="E267" s="296">
        <f t="shared" ref="E267" si="124">SUM(E257:E266)</f>
        <v>0</v>
      </c>
      <c r="F267" s="296">
        <f t="shared" ref="F267" si="125">SUM(F257:F266)</f>
        <v>0</v>
      </c>
      <c r="G267" s="296">
        <f t="shared" ref="G267" si="126">SUM(G257:G266)</f>
        <v>0</v>
      </c>
      <c r="H267" s="296">
        <f t="shared" ref="H267" si="127">SUM(H257:H266)</f>
        <v>0</v>
      </c>
      <c r="I267" s="296">
        <f t="shared" ref="I267" si="128">SUM(I257:I266)</f>
        <v>0</v>
      </c>
      <c r="J267" s="296">
        <f t="shared" ref="J267" si="129">SUM(J257:J266)</f>
        <v>0</v>
      </c>
    </row>
    <row r="268" spans="1:10" x14ac:dyDescent="0.25">
      <c r="B268" s="293"/>
      <c r="C268" s="293"/>
      <c r="D268" s="293"/>
      <c r="E268" s="293"/>
      <c r="F268" s="293"/>
      <c r="G268" s="293"/>
      <c r="H268" s="293"/>
      <c r="I268" s="293"/>
      <c r="J268" s="293"/>
    </row>
    <row r="269" spans="1:10" x14ac:dyDescent="0.25">
      <c r="A269" s="47" t="s">
        <v>4264</v>
      </c>
      <c r="B269" s="293"/>
      <c r="C269" s="293"/>
      <c r="D269" s="293"/>
      <c r="E269" s="293"/>
      <c r="F269" s="293"/>
      <c r="G269" s="293"/>
      <c r="H269" s="293"/>
      <c r="I269" s="293"/>
      <c r="J269" s="293"/>
    </row>
    <row r="270" spans="1:10" x14ac:dyDescent="0.25">
      <c r="A270" t="s">
        <v>87</v>
      </c>
      <c r="B270" s="293"/>
      <c r="C270" s="293"/>
      <c r="D270" s="293"/>
      <c r="E270" s="293"/>
      <c r="F270" s="293"/>
      <c r="G270" s="293"/>
      <c r="H270" s="293"/>
      <c r="I270" s="293"/>
      <c r="J270" s="293"/>
    </row>
    <row r="271" spans="1:10" x14ac:dyDescent="0.25">
      <c r="A271" t="s">
        <v>4265</v>
      </c>
      <c r="B271" s="293"/>
      <c r="C271" s="293"/>
      <c r="D271" s="293"/>
      <c r="E271" s="293"/>
      <c r="F271" s="293"/>
      <c r="G271" s="293"/>
      <c r="H271" s="293"/>
      <c r="I271" s="293"/>
      <c r="J271" s="293"/>
    </row>
    <row r="272" spans="1:10" x14ac:dyDescent="0.25">
      <c r="B272" s="293"/>
      <c r="C272" s="293"/>
      <c r="D272" s="293"/>
      <c r="E272" s="293"/>
      <c r="F272" s="293"/>
      <c r="G272" s="293"/>
      <c r="H272" s="293"/>
      <c r="I272" s="293"/>
      <c r="J272" s="293"/>
    </row>
    <row r="273" spans="1:10" x14ac:dyDescent="0.25">
      <c r="B273" s="293"/>
      <c r="C273" s="293"/>
      <c r="D273" s="293"/>
      <c r="E273" s="293"/>
      <c r="F273" s="293"/>
      <c r="G273" s="293"/>
      <c r="H273" s="293"/>
      <c r="I273" s="293"/>
      <c r="J273" s="293"/>
    </row>
    <row r="274" spans="1:10" x14ac:dyDescent="0.25">
      <c r="B274" s="293"/>
      <c r="C274" s="293"/>
      <c r="D274" s="293"/>
      <c r="E274" s="293"/>
      <c r="F274" s="293"/>
      <c r="G274" s="293"/>
      <c r="H274" s="293"/>
      <c r="I274" s="293"/>
      <c r="J274" s="293"/>
    </row>
    <row r="275" spans="1:10" x14ac:dyDescent="0.25">
      <c r="B275" s="293"/>
      <c r="C275" s="293"/>
      <c r="D275" s="293"/>
      <c r="E275" s="293"/>
      <c r="F275" s="293"/>
      <c r="G275" s="293"/>
      <c r="H275" s="293"/>
      <c r="I275" s="293"/>
      <c r="J275" s="293"/>
    </row>
    <row r="276" spans="1:10" x14ac:dyDescent="0.25">
      <c r="A276" t="s">
        <v>4266</v>
      </c>
      <c r="B276" s="293"/>
      <c r="C276" s="293"/>
      <c r="D276" s="293"/>
      <c r="E276" s="293"/>
      <c r="F276" s="293"/>
      <c r="G276" s="293"/>
      <c r="H276" s="293"/>
      <c r="I276" s="293"/>
      <c r="J276" s="293"/>
    </row>
    <row r="277" spans="1:10" x14ac:dyDescent="0.25">
      <c r="A277" t="s">
        <v>66</v>
      </c>
      <c r="B277" s="293"/>
      <c r="C277" s="293"/>
      <c r="D277" s="293"/>
      <c r="E277" s="293"/>
      <c r="F277" s="293"/>
      <c r="G277" s="293"/>
      <c r="H277" s="293"/>
      <c r="I277" s="293"/>
      <c r="J277" s="293"/>
    </row>
    <row r="278" spans="1:10" x14ac:dyDescent="0.25">
      <c r="B278" s="293"/>
      <c r="C278" s="293"/>
      <c r="D278" s="293"/>
      <c r="E278" s="293"/>
      <c r="F278" s="293"/>
      <c r="G278" s="293"/>
      <c r="H278" s="293"/>
      <c r="I278" s="293"/>
      <c r="J278" s="293"/>
    </row>
    <row r="279" spans="1:10" x14ac:dyDescent="0.25">
      <c r="B279" s="293"/>
      <c r="C279" s="293"/>
      <c r="D279" s="293"/>
      <c r="E279" s="293"/>
      <c r="F279" s="293"/>
      <c r="G279" s="293"/>
      <c r="H279" s="293"/>
      <c r="I279" s="293"/>
      <c r="J279" s="293"/>
    </row>
    <row r="280" spans="1:10" x14ac:dyDescent="0.25">
      <c r="B280" s="293"/>
      <c r="C280" s="293"/>
      <c r="D280" s="293"/>
      <c r="E280" s="293"/>
      <c r="F280" s="293"/>
      <c r="G280" s="293"/>
      <c r="H280" s="293"/>
      <c r="I280" s="293"/>
      <c r="J280" s="293"/>
    </row>
    <row r="281" spans="1:10" x14ac:dyDescent="0.25">
      <c r="B281" s="293"/>
      <c r="C281" s="293"/>
      <c r="D281" s="293"/>
      <c r="E281" s="293"/>
      <c r="F281" s="293"/>
      <c r="G281" s="293"/>
      <c r="H281" s="293"/>
      <c r="I281" s="293"/>
      <c r="J281" s="293"/>
    </row>
    <row r="282" spans="1:10" x14ac:dyDescent="0.25">
      <c r="A282" s="47" t="s">
        <v>4267</v>
      </c>
      <c r="B282" s="296">
        <f>SUM(B270:B281)</f>
        <v>0</v>
      </c>
      <c r="C282" s="296">
        <f t="shared" ref="C282" si="130">SUM(C270:C281)</f>
        <v>0</v>
      </c>
      <c r="D282" s="296">
        <f t="shared" ref="D282" si="131">SUM(D270:D281)</f>
        <v>0</v>
      </c>
      <c r="E282" s="296">
        <f t="shared" ref="E282" si="132">SUM(E270:E281)</f>
        <v>0</v>
      </c>
      <c r="F282" s="296">
        <f t="shared" ref="F282" si="133">SUM(F270:F281)</f>
        <v>0</v>
      </c>
      <c r="G282" s="296">
        <f t="shared" ref="G282" si="134">SUM(G270:G281)</f>
        <v>0</v>
      </c>
      <c r="H282" s="296">
        <f t="shared" ref="H282" si="135">SUM(H270:H281)</f>
        <v>0</v>
      </c>
      <c r="I282" s="296">
        <f t="shared" ref="I282" si="136">SUM(I270:I281)</f>
        <v>0</v>
      </c>
      <c r="J282" s="296">
        <f t="shared" ref="J282" si="137">SUM(J270:J281)</f>
        <v>0</v>
      </c>
    </row>
    <row r="283" spans="1:10" x14ac:dyDescent="0.25">
      <c r="B283" s="293"/>
      <c r="C283" s="293"/>
      <c r="D283" s="293"/>
      <c r="E283" s="293"/>
      <c r="F283" s="293"/>
      <c r="G283" s="293"/>
      <c r="H283" s="293"/>
      <c r="I283" s="293"/>
      <c r="J283" s="293"/>
    </row>
    <row r="284" spans="1:10" ht="15.75" thickBot="1" x14ac:dyDescent="0.3">
      <c r="A284" s="47" t="s">
        <v>4268</v>
      </c>
      <c r="B284" s="301">
        <f>B267-B282</f>
        <v>0</v>
      </c>
      <c r="C284" s="301">
        <f t="shared" ref="C284:J284" si="138">C267-C282</f>
        <v>0</v>
      </c>
      <c r="D284" s="301">
        <f t="shared" si="138"/>
        <v>0</v>
      </c>
      <c r="E284" s="301">
        <f t="shared" si="138"/>
        <v>0</v>
      </c>
      <c r="F284" s="301">
        <f t="shared" si="138"/>
        <v>0</v>
      </c>
      <c r="G284" s="301">
        <f t="shared" si="138"/>
        <v>0</v>
      </c>
      <c r="H284" s="301">
        <f t="shared" si="138"/>
        <v>0</v>
      </c>
      <c r="I284" s="301">
        <f t="shared" si="138"/>
        <v>0</v>
      </c>
      <c r="J284" s="301">
        <f t="shared" si="138"/>
        <v>0</v>
      </c>
    </row>
    <row r="285" spans="1:10" ht="15.75" thickTop="1" x14ac:dyDescent="0.25">
      <c r="B285" s="293"/>
      <c r="C285" s="293"/>
      <c r="D285" s="293"/>
      <c r="E285" s="293"/>
      <c r="F285" s="293"/>
      <c r="G285" s="293"/>
      <c r="H285" s="293"/>
      <c r="I285" s="293"/>
      <c r="J285" s="293"/>
    </row>
    <row r="286" spans="1:10" x14ac:dyDescent="0.25">
      <c r="A286" s="281"/>
      <c r="B286" s="316"/>
      <c r="C286" s="316"/>
      <c r="D286" s="316"/>
      <c r="E286" s="316"/>
      <c r="F286" s="316"/>
      <c r="G286" s="316"/>
      <c r="H286" s="316"/>
      <c r="I286" s="316"/>
      <c r="J286" s="316"/>
    </row>
    <row r="287" spans="1:10" x14ac:dyDescent="0.25">
      <c r="B287" s="293"/>
      <c r="C287" s="293"/>
      <c r="D287" s="293"/>
      <c r="E287" s="293"/>
      <c r="F287" s="293"/>
      <c r="G287" s="293"/>
      <c r="H287" s="293"/>
      <c r="I287" s="293"/>
      <c r="J287" s="293"/>
    </row>
    <row r="288" spans="1:10" x14ac:dyDescent="0.25">
      <c r="A288" s="280" t="s">
        <v>4277</v>
      </c>
      <c r="B288" s="293"/>
      <c r="C288" s="293"/>
      <c r="D288" s="293"/>
      <c r="E288" s="293"/>
      <c r="F288" s="293"/>
      <c r="G288" s="293"/>
      <c r="H288" s="293"/>
      <c r="I288" s="293"/>
      <c r="J288" s="293"/>
    </row>
    <row r="289" spans="1:10" x14ac:dyDescent="0.25">
      <c r="B289" s="293"/>
      <c r="C289" s="293"/>
      <c r="D289" s="293"/>
      <c r="E289" s="293"/>
      <c r="F289" s="293"/>
      <c r="G289" s="293"/>
      <c r="H289" s="293"/>
      <c r="I289" s="293"/>
      <c r="J289" s="293"/>
    </row>
    <row r="290" spans="1:10" x14ac:dyDescent="0.25">
      <c r="A290" s="47" t="s">
        <v>4260</v>
      </c>
      <c r="B290" s="293"/>
      <c r="C290" s="293"/>
      <c r="D290" s="293"/>
      <c r="E290" s="293"/>
      <c r="F290" s="293"/>
      <c r="G290" s="293"/>
      <c r="H290" s="293"/>
      <c r="I290" s="293"/>
      <c r="J290" s="293"/>
    </row>
    <row r="291" spans="1:10" x14ac:dyDescent="0.25">
      <c r="A291" t="s">
        <v>4262</v>
      </c>
      <c r="B291" s="293"/>
      <c r="C291" s="293"/>
      <c r="D291" s="293"/>
      <c r="E291" s="293"/>
      <c r="F291" s="293"/>
      <c r="G291" s="293"/>
      <c r="H291" s="293"/>
      <c r="I291" s="293"/>
      <c r="J291" s="293"/>
    </row>
    <row r="292" spans="1:10" x14ac:dyDescent="0.25">
      <c r="A292" t="s">
        <v>4261</v>
      </c>
      <c r="B292" s="293"/>
      <c r="C292" s="293"/>
      <c r="D292" s="293"/>
      <c r="E292" s="293"/>
      <c r="F292" s="293"/>
      <c r="G292" s="293"/>
      <c r="H292" s="293"/>
      <c r="I292" s="293"/>
      <c r="J292" s="293"/>
    </row>
    <row r="293" spans="1:10" x14ac:dyDescent="0.25">
      <c r="A293" t="s">
        <v>66</v>
      </c>
      <c r="B293" s="293"/>
      <c r="C293" s="293"/>
      <c r="D293" s="293"/>
      <c r="E293" s="293"/>
      <c r="F293" s="293"/>
      <c r="G293" s="293"/>
      <c r="H293" s="293"/>
      <c r="I293" s="293"/>
      <c r="J293" s="293"/>
    </row>
    <row r="294" spans="1:10" x14ac:dyDescent="0.25">
      <c r="B294" s="293"/>
      <c r="C294" s="293"/>
      <c r="D294" s="293"/>
      <c r="E294" s="293"/>
      <c r="F294" s="293"/>
      <c r="G294" s="293"/>
      <c r="H294" s="293"/>
      <c r="I294" s="293"/>
      <c r="J294" s="293"/>
    </row>
    <row r="295" spans="1:10" x14ac:dyDescent="0.25">
      <c r="B295" s="293"/>
      <c r="C295" s="293"/>
      <c r="D295" s="293"/>
      <c r="E295" s="293"/>
      <c r="F295" s="293"/>
      <c r="G295" s="293"/>
      <c r="H295" s="293"/>
      <c r="I295" s="293"/>
      <c r="J295" s="293"/>
    </row>
    <row r="296" spans="1:10" x14ac:dyDescent="0.25">
      <c r="B296" s="293"/>
      <c r="C296" s="293"/>
      <c r="D296" s="293"/>
      <c r="E296" s="293"/>
      <c r="F296" s="293"/>
      <c r="G296" s="293"/>
      <c r="H296" s="293"/>
      <c r="I296" s="293"/>
      <c r="J296" s="293"/>
    </row>
    <row r="297" spans="1:10" x14ac:dyDescent="0.25">
      <c r="B297" s="293"/>
      <c r="C297" s="293"/>
      <c r="D297" s="293"/>
      <c r="E297" s="293"/>
      <c r="F297" s="293"/>
      <c r="G297" s="293"/>
      <c r="H297" s="293"/>
      <c r="I297" s="293"/>
      <c r="J297" s="293"/>
    </row>
    <row r="298" spans="1:10" x14ac:dyDescent="0.25">
      <c r="A298" s="47" t="s">
        <v>4263</v>
      </c>
      <c r="B298" s="296">
        <f>SUM(B288:B297)</f>
        <v>0</v>
      </c>
      <c r="C298" s="296">
        <f t="shared" ref="C298" si="139">SUM(C288:C297)</f>
        <v>0</v>
      </c>
      <c r="D298" s="296">
        <f t="shared" ref="D298" si="140">SUM(D288:D297)</f>
        <v>0</v>
      </c>
      <c r="E298" s="296">
        <f t="shared" ref="E298" si="141">SUM(E288:E297)</f>
        <v>0</v>
      </c>
      <c r="F298" s="296">
        <f t="shared" ref="F298" si="142">SUM(F288:F297)</f>
        <v>0</v>
      </c>
      <c r="G298" s="296">
        <f t="shared" ref="G298" si="143">SUM(G288:G297)</f>
        <v>0</v>
      </c>
      <c r="H298" s="296">
        <f t="shared" ref="H298" si="144">SUM(H288:H297)</f>
        <v>0</v>
      </c>
      <c r="I298" s="296">
        <f t="shared" ref="I298" si="145">SUM(I288:I297)</f>
        <v>0</v>
      </c>
      <c r="J298" s="296">
        <f t="shared" ref="J298" si="146">SUM(J288:J297)</f>
        <v>0</v>
      </c>
    </row>
    <row r="299" spans="1:10" x14ac:dyDescent="0.25">
      <c r="B299" s="293"/>
      <c r="C299" s="293"/>
      <c r="D299" s="293"/>
      <c r="E299" s="293"/>
      <c r="F299" s="293"/>
      <c r="G299" s="293"/>
      <c r="H299" s="293"/>
      <c r="I299" s="293"/>
      <c r="J299" s="293"/>
    </row>
    <row r="300" spans="1:10" x14ac:dyDescent="0.25">
      <c r="A300" s="47" t="s">
        <v>4264</v>
      </c>
      <c r="B300" s="293"/>
      <c r="C300" s="293"/>
      <c r="D300" s="293"/>
      <c r="E300" s="293"/>
      <c r="F300" s="293"/>
      <c r="G300" s="293"/>
      <c r="H300" s="293"/>
      <c r="I300" s="293"/>
      <c r="J300" s="293"/>
    </row>
    <row r="301" spans="1:10" x14ac:dyDescent="0.25">
      <c r="A301" t="s">
        <v>87</v>
      </c>
      <c r="B301" s="293"/>
      <c r="C301" s="293"/>
      <c r="D301" s="293"/>
      <c r="E301" s="293"/>
      <c r="F301" s="293"/>
      <c r="G301" s="293"/>
      <c r="H301" s="293"/>
      <c r="I301" s="293"/>
      <c r="J301" s="293"/>
    </row>
    <row r="302" spans="1:10" x14ac:dyDescent="0.25">
      <c r="A302" t="s">
        <v>4265</v>
      </c>
      <c r="B302" s="293"/>
      <c r="C302" s="293"/>
      <c r="D302" s="293"/>
      <c r="E302" s="293"/>
      <c r="F302" s="293"/>
      <c r="G302" s="293"/>
      <c r="H302" s="293"/>
      <c r="I302" s="293"/>
      <c r="J302" s="293"/>
    </row>
    <row r="303" spans="1:10" x14ac:dyDescent="0.25">
      <c r="B303" s="293"/>
      <c r="C303" s="293"/>
      <c r="D303" s="293"/>
      <c r="E303" s="293"/>
      <c r="F303" s="293"/>
      <c r="G303" s="293"/>
      <c r="H303" s="293"/>
      <c r="I303" s="293"/>
      <c r="J303" s="293"/>
    </row>
    <row r="304" spans="1:10" x14ac:dyDescent="0.25">
      <c r="B304" s="293"/>
      <c r="C304" s="293"/>
      <c r="D304" s="293"/>
      <c r="E304" s="293"/>
      <c r="F304" s="293"/>
      <c r="G304" s="293"/>
      <c r="H304" s="293"/>
      <c r="I304" s="293"/>
      <c r="J304" s="293"/>
    </row>
    <row r="305" spans="1:10" x14ac:dyDescent="0.25">
      <c r="B305" s="293"/>
      <c r="C305" s="293"/>
      <c r="D305" s="293"/>
      <c r="E305" s="293"/>
      <c r="F305" s="293"/>
      <c r="G305" s="293"/>
      <c r="H305" s="293"/>
      <c r="I305" s="293"/>
      <c r="J305" s="293"/>
    </row>
    <row r="306" spans="1:10" x14ac:dyDescent="0.25">
      <c r="B306" s="293"/>
      <c r="C306" s="293"/>
      <c r="D306" s="293"/>
      <c r="E306" s="293"/>
      <c r="F306" s="293"/>
      <c r="G306" s="293"/>
      <c r="H306" s="293"/>
      <c r="I306" s="293"/>
      <c r="J306" s="293"/>
    </row>
    <row r="307" spans="1:10" x14ac:dyDescent="0.25">
      <c r="A307" t="s">
        <v>4266</v>
      </c>
      <c r="B307" s="293"/>
      <c r="C307" s="293"/>
      <c r="D307" s="293"/>
      <c r="E307" s="293"/>
      <c r="F307" s="293"/>
      <c r="G307" s="293"/>
      <c r="H307" s="293"/>
      <c r="I307" s="293"/>
      <c r="J307" s="293"/>
    </row>
    <row r="308" spans="1:10" x14ac:dyDescent="0.25">
      <c r="A308" t="s">
        <v>66</v>
      </c>
      <c r="B308" s="293"/>
      <c r="C308" s="293"/>
      <c r="D308" s="293"/>
      <c r="E308" s="293"/>
      <c r="F308" s="293"/>
      <c r="G308" s="293"/>
      <c r="H308" s="293"/>
      <c r="I308" s="293"/>
      <c r="J308" s="293"/>
    </row>
    <row r="309" spans="1:10" x14ac:dyDescent="0.25">
      <c r="B309" s="293"/>
      <c r="C309" s="293"/>
      <c r="D309" s="293"/>
      <c r="E309" s="293"/>
      <c r="F309" s="293"/>
      <c r="G309" s="293"/>
      <c r="H309" s="293"/>
      <c r="I309" s="293"/>
      <c r="J309" s="293"/>
    </row>
    <row r="310" spans="1:10" x14ac:dyDescent="0.25">
      <c r="B310" s="293"/>
      <c r="C310" s="293"/>
      <c r="D310" s="293"/>
      <c r="E310" s="293"/>
      <c r="F310" s="293"/>
      <c r="G310" s="293"/>
      <c r="H310" s="293"/>
      <c r="I310" s="293"/>
      <c r="J310" s="293"/>
    </row>
    <row r="311" spans="1:10" x14ac:dyDescent="0.25">
      <c r="B311" s="293"/>
      <c r="C311" s="293"/>
      <c r="D311" s="293"/>
      <c r="E311" s="293"/>
      <c r="F311" s="293"/>
      <c r="G311" s="293"/>
      <c r="H311" s="293"/>
      <c r="I311" s="293"/>
      <c r="J311" s="293"/>
    </row>
    <row r="312" spans="1:10" x14ac:dyDescent="0.25">
      <c r="B312" s="293"/>
      <c r="C312" s="293"/>
      <c r="D312" s="293"/>
      <c r="E312" s="293"/>
      <c r="F312" s="293"/>
      <c r="G312" s="293"/>
      <c r="H312" s="293"/>
      <c r="I312" s="293"/>
      <c r="J312" s="293"/>
    </row>
    <row r="313" spans="1:10" x14ac:dyDescent="0.25">
      <c r="A313" s="47" t="s">
        <v>4267</v>
      </c>
      <c r="B313" s="296">
        <f>SUM(B301:B312)</f>
        <v>0</v>
      </c>
      <c r="C313" s="296">
        <f t="shared" ref="C313" si="147">SUM(C301:C312)</f>
        <v>0</v>
      </c>
      <c r="D313" s="296">
        <f t="shared" ref="D313" si="148">SUM(D301:D312)</f>
        <v>0</v>
      </c>
      <c r="E313" s="296">
        <f t="shared" ref="E313" si="149">SUM(E301:E312)</f>
        <v>0</v>
      </c>
      <c r="F313" s="296">
        <f t="shared" ref="F313" si="150">SUM(F301:F312)</f>
        <v>0</v>
      </c>
      <c r="G313" s="296">
        <f t="shared" ref="G313" si="151">SUM(G301:G312)</f>
        <v>0</v>
      </c>
      <c r="H313" s="296">
        <f t="shared" ref="H313" si="152">SUM(H301:H312)</f>
        <v>0</v>
      </c>
      <c r="I313" s="296">
        <f t="shared" ref="I313" si="153">SUM(I301:I312)</f>
        <v>0</v>
      </c>
      <c r="J313" s="296">
        <f t="shared" ref="J313" si="154">SUM(J301:J312)</f>
        <v>0</v>
      </c>
    </row>
    <row r="314" spans="1:10" x14ac:dyDescent="0.25">
      <c r="B314" s="293"/>
      <c r="C314" s="293"/>
      <c r="D314" s="293"/>
      <c r="E314" s="293"/>
      <c r="F314" s="293"/>
      <c r="G314" s="293"/>
      <c r="H314" s="293"/>
      <c r="I314" s="293"/>
      <c r="J314" s="293"/>
    </row>
    <row r="315" spans="1:10" ht="15.75" thickBot="1" x14ac:dyDescent="0.3">
      <c r="A315" s="47" t="s">
        <v>4268</v>
      </c>
      <c r="B315" s="301">
        <f>B298-B313</f>
        <v>0</v>
      </c>
      <c r="C315" s="301">
        <f t="shared" ref="C315:J315" si="155">C298-C313</f>
        <v>0</v>
      </c>
      <c r="D315" s="301">
        <f t="shared" si="155"/>
        <v>0</v>
      </c>
      <c r="E315" s="301">
        <f t="shared" si="155"/>
        <v>0</v>
      </c>
      <c r="F315" s="301">
        <f t="shared" si="155"/>
        <v>0</v>
      </c>
      <c r="G315" s="301">
        <f t="shared" si="155"/>
        <v>0</v>
      </c>
      <c r="H315" s="301">
        <f t="shared" si="155"/>
        <v>0</v>
      </c>
      <c r="I315" s="301">
        <f t="shared" si="155"/>
        <v>0</v>
      </c>
      <c r="J315" s="301">
        <f t="shared" si="155"/>
        <v>0</v>
      </c>
    </row>
    <row r="316" spans="1:10" ht="15.75" thickTop="1" x14ac:dyDescent="0.25">
      <c r="B316" s="293"/>
      <c r="C316" s="293"/>
      <c r="D316" s="293"/>
      <c r="E316" s="293"/>
      <c r="F316" s="293"/>
      <c r="G316" s="293"/>
      <c r="H316" s="293"/>
      <c r="I316" s="293"/>
      <c r="J316" s="293"/>
    </row>
    <row r="317" spans="1:10" x14ac:dyDescent="0.25">
      <c r="A317" s="281"/>
      <c r="B317" s="316"/>
      <c r="C317" s="316"/>
      <c r="D317" s="316"/>
      <c r="E317" s="316"/>
      <c r="F317" s="316"/>
      <c r="G317" s="316"/>
      <c r="H317" s="316"/>
      <c r="I317" s="316"/>
      <c r="J317" s="316"/>
    </row>
    <row r="318" spans="1:10" x14ac:dyDescent="0.25">
      <c r="B318" s="293"/>
      <c r="C318" s="293"/>
      <c r="D318" s="293"/>
      <c r="E318" s="293"/>
      <c r="F318" s="293"/>
      <c r="G318" s="293"/>
      <c r="H318" s="293"/>
      <c r="I318" s="293"/>
      <c r="J318" s="293"/>
    </row>
    <row r="319" spans="1:10" x14ac:dyDescent="0.25">
      <c r="A319" s="280" t="s">
        <v>4278</v>
      </c>
      <c r="B319" s="293"/>
      <c r="C319" s="293"/>
      <c r="D319" s="293"/>
      <c r="E319" s="293"/>
      <c r="F319" s="293"/>
      <c r="G319" s="293"/>
      <c r="H319" s="293"/>
      <c r="I319" s="293"/>
      <c r="J319" s="293"/>
    </row>
    <row r="320" spans="1:10" x14ac:dyDescent="0.25">
      <c r="B320" s="293"/>
      <c r="C320" s="293"/>
      <c r="D320" s="293"/>
      <c r="E320" s="293"/>
      <c r="F320" s="293"/>
      <c r="G320" s="293"/>
      <c r="H320" s="293"/>
      <c r="I320" s="293"/>
      <c r="J320" s="293"/>
    </row>
    <row r="321" spans="1:10" x14ac:dyDescent="0.25">
      <c r="A321" s="47" t="s">
        <v>4260</v>
      </c>
      <c r="B321" s="293"/>
      <c r="C321" s="293"/>
      <c r="D321" s="293"/>
      <c r="E321" s="293"/>
      <c r="F321" s="293"/>
      <c r="G321" s="293"/>
      <c r="H321" s="293"/>
      <c r="I321" s="293"/>
      <c r="J321" s="293"/>
    </row>
    <row r="322" spans="1:10" x14ac:dyDescent="0.25">
      <c r="A322" t="s">
        <v>4262</v>
      </c>
      <c r="B322" s="293">
        <f>-operatingdata!F1656-operatingdata!F1657-operatingdata!F1658-operatingdata!F1660</f>
        <v>123400</v>
      </c>
      <c r="C322" s="293">
        <f>-operatingdata!G1656-operatingdata!G1657-operatingdata!G1658-operatingdata!G1660</f>
        <v>126500</v>
      </c>
      <c r="D322" s="293">
        <f>-operatingdata!H1656-operatingdata!H1657-operatingdata!H1658-operatingdata!H1660</f>
        <v>129700</v>
      </c>
      <c r="E322" s="293">
        <f>-operatingdata!I1656-operatingdata!I1657-operatingdata!I1658-operatingdata!I1660</f>
        <v>132900</v>
      </c>
      <c r="F322" s="293">
        <f>-operatingdata!J1656-operatingdata!J1657-operatingdata!J1658-operatingdata!J1660</f>
        <v>136200</v>
      </c>
      <c r="G322" s="293">
        <f>-operatingdata!K1656-operatingdata!K1657-operatingdata!K1658-operatingdata!K1660</f>
        <v>139600</v>
      </c>
      <c r="H322" s="293">
        <f>-operatingdata!L1656-operatingdata!L1657-operatingdata!L1658-operatingdata!L1660</f>
        <v>143100</v>
      </c>
      <c r="I322" s="293">
        <f>-operatingdata!M1656-operatingdata!M1657-operatingdata!M1658-operatingdata!M1660</f>
        <v>146700</v>
      </c>
      <c r="J322" s="293">
        <f>-operatingdata!N1656-operatingdata!N1657-operatingdata!N1658-operatingdata!N1660</f>
        <v>150400</v>
      </c>
    </row>
    <row r="323" spans="1:10" x14ac:dyDescent="0.25">
      <c r="A323" t="s">
        <v>4261</v>
      </c>
      <c r="B323" s="293"/>
      <c r="C323" s="293"/>
      <c r="D323" s="293"/>
      <c r="E323" s="293"/>
      <c r="F323" s="293"/>
      <c r="G323" s="293"/>
      <c r="H323" s="293"/>
      <c r="I323" s="293"/>
      <c r="J323" s="293"/>
    </row>
    <row r="324" spans="1:10" x14ac:dyDescent="0.25">
      <c r="A324" t="s">
        <v>66</v>
      </c>
      <c r="B324" s="293"/>
      <c r="C324" s="293"/>
      <c r="D324" s="293"/>
      <c r="E324" s="293"/>
      <c r="F324" s="293"/>
      <c r="G324" s="293"/>
      <c r="H324" s="293"/>
      <c r="I324" s="293"/>
      <c r="J324" s="293"/>
    </row>
    <row r="325" spans="1:10" x14ac:dyDescent="0.25">
      <c r="B325" s="293"/>
      <c r="C325" s="293"/>
      <c r="D325" s="293"/>
      <c r="E325" s="293"/>
      <c r="F325" s="293"/>
      <c r="G325" s="293"/>
      <c r="H325" s="293"/>
      <c r="I325" s="293"/>
      <c r="J325" s="293"/>
    </row>
    <row r="326" spans="1:10" x14ac:dyDescent="0.25">
      <c r="B326" s="293"/>
      <c r="C326" s="293"/>
      <c r="D326" s="293"/>
      <c r="E326" s="293"/>
      <c r="F326" s="293"/>
      <c r="G326" s="293"/>
      <c r="H326" s="293"/>
      <c r="I326" s="293"/>
      <c r="J326" s="293"/>
    </row>
    <row r="327" spans="1:10" x14ac:dyDescent="0.25">
      <c r="B327" s="293"/>
      <c r="C327" s="293"/>
      <c r="D327" s="293"/>
      <c r="E327" s="293"/>
      <c r="F327" s="293"/>
      <c r="G327" s="293"/>
      <c r="H327" s="293"/>
      <c r="I327" s="293"/>
      <c r="J327" s="293"/>
    </row>
    <row r="328" spans="1:10" x14ac:dyDescent="0.25">
      <c r="B328" s="293"/>
      <c r="C328" s="293"/>
      <c r="D328" s="293"/>
      <c r="E328" s="293"/>
      <c r="F328" s="293"/>
      <c r="G328" s="293"/>
      <c r="H328" s="293"/>
      <c r="I328" s="293"/>
      <c r="J328" s="293"/>
    </row>
    <row r="329" spans="1:10" x14ac:dyDescent="0.25">
      <c r="A329" s="47" t="s">
        <v>4263</v>
      </c>
      <c r="B329" s="296">
        <f>SUM(B319:B328)</f>
        <v>123400</v>
      </c>
      <c r="C329" s="296">
        <f t="shared" ref="C329" si="156">SUM(C319:C328)</f>
        <v>126500</v>
      </c>
      <c r="D329" s="296">
        <f t="shared" ref="D329" si="157">SUM(D319:D328)</f>
        <v>129700</v>
      </c>
      <c r="E329" s="296">
        <f t="shared" ref="E329" si="158">SUM(E319:E328)</f>
        <v>132900</v>
      </c>
      <c r="F329" s="296">
        <f t="shared" ref="F329" si="159">SUM(F319:F328)</f>
        <v>136200</v>
      </c>
      <c r="G329" s="296">
        <f t="shared" ref="G329" si="160">SUM(G319:G328)</f>
        <v>139600</v>
      </c>
      <c r="H329" s="296">
        <f t="shared" ref="H329" si="161">SUM(H319:H328)</f>
        <v>143100</v>
      </c>
      <c r="I329" s="296">
        <f t="shared" ref="I329" si="162">SUM(I319:I328)</f>
        <v>146700</v>
      </c>
      <c r="J329" s="296">
        <f t="shared" ref="J329" si="163">SUM(J319:J328)</f>
        <v>150400</v>
      </c>
    </row>
    <row r="330" spans="1:10" x14ac:dyDescent="0.25">
      <c r="B330" s="293"/>
      <c r="C330" s="293"/>
      <c r="D330" s="293"/>
      <c r="E330" s="293"/>
      <c r="F330" s="293"/>
      <c r="G330" s="293"/>
      <c r="H330" s="293"/>
      <c r="I330" s="293"/>
      <c r="J330" s="293"/>
    </row>
    <row r="331" spans="1:10" x14ac:dyDescent="0.25">
      <c r="A331" s="47" t="s">
        <v>4264</v>
      </c>
      <c r="B331" s="293"/>
      <c r="C331" s="293"/>
      <c r="D331" s="293"/>
      <c r="E331" s="293"/>
      <c r="F331" s="293"/>
      <c r="G331" s="293"/>
      <c r="H331" s="293"/>
      <c r="I331" s="293"/>
      <c r="J331" s="293"/>
    </row>
    <row r="332" spans="1:10" x14ac:dyDescent="0.25">
      <c r="A332" t="s">
        <v>87</v>
      </c>
      <c r="B332" s="293">
        <f>operatingdata!F1644</f>
        <v>16300</v>
      </c>
      <c r="C332" s="293">
        <f>operatingdata!F1644</f>
        <v>16300</v>
      </c>
      <c r="D332" s="293">
        <f>operatingdata!G1644</f>
        <v>16600</v>
      </c>
      <c r="E332" s="293">
        <f>operatingdata!H1644</f>
        <v>16900</v>
      </c>
      <c r="F332" s="293">
        <f>operatingdata!I1644</f>
        <v>17200</v>
      </c>
      <c r="G332" s="293">
        <f>operatingdata!J1644</f>
        <v>17500</v>
      </c>
      <c r="H332" s="293">
        <f>operatingdata!K1644</f>
        <v>17900</v>
      </c>
      <c r="I332" s="293">
        <f>operatingdata!L1644</f>
        <v>18300</v>
      </c>
      <c r="J332" s="293">
        <f>operatingdata!M1644</f>
        <v>18800</v>
      </c>
    </row>
    <row r="333" spans="1:10" x14ac:dyDescent="0.25">
      <c r="A333" t="s">
        <v>4265</v>
      </c>
      <c r="B333" s="293"/>
      <c r="C333" s="293"/>
      <c r="D333" s="293"/>
      <c r="E333" s="293"/>
      <c r="F333" s="293"/>
      <c r="G333" s="293"/>
      <c r="H333" s="293"/>
      <c r="I333" s="293"/>
      <c r="J333" s="293"/>
    </row>
    <row r="334" spans="1:10" x14ac:dyDescent="0.25">
      <c r="B334" s="293"/>
      <c r="C334" s="293"/>
      <c r="D334" s="293"/>
      <c r="E334" s="293"/>
      <c r="F334" s="293"/>
      <c r="G334" s="293"/>
      <c r="H334" s="293"/>
      <c r="I334" s="293"/>
      <c r="J334" s="293"/>
    </row>
    <row r="335" spans="1:10" x14ac:dyDescent="0.25">
      <c r="B335" s="293"/>
      <c r="C335" s="293"/>
      <c r="D335" s="293"/>
      <c r="E335" s="293"/>
      <c r="F335" s="293"/>
      <c r="G335" s="293"/>
      <c r="H335" s="293"/>
      <c r="I335" s="293"/>
      <c r="J335" s="293"/>
    </row>
    <row r="336" spans="1:10" x14ac:dyDescent="0.25">
      <c r="B336" s="293"/>
      <c r="C336" s="293"/>
      <c r="D336" s="293"/>
      <c r="E336" s="293"/>
      <c r="F336" s="293"/>
      <c r="G336" s="293"/>
      <c r="H336" s="293"/>
      <c r="I336" s="293"/>
      <c r="J336" s="293"/>
    </row>
    <row r="337" spans="1:10" x14ac:dyDescent="0.25">
      <c r="B337" s="293"/>
      <c r="C337" s="293"/>
      <c r="D337" s="293"/>
      <c r="E337" s="293"/>
      <c r="F337" s="293"/>
      <c r="G337" s="293"/>
      <c r="H337" s="293"/>
      <c r="I337" s="293"/>
      <c r="J337" s="293"/>
    </row>
    <row r="338" spans="1:10" x14ac:dyDescent="0.25">
      <c r="A338" t="s">
        <v>4266</v>
      </c>
      <c r="B338" s="293"/>
      <c r="C338" s="293"/>
      <c r="D338" s="293"/>
      <c r="E338" s="293"/>
      <c r="F338" s="293"/>
      <c r="G338" s="293"/>
      <c r="H338" s="293"/>
      <c r="I338" s="293"/>
      <c r="J338" s="293"/>
    </row>
    <row r="339" spans="1:10" x14ac:dyDescent="0.25">
      <c r="A339" t="s">
        <v>66</v>
      </c>
      <c r="B339" s="293"/>
      <c r="C339" s="293"/>
      <c r="D339" s="293"/>
      <c r="E339" s="293"/>
      <c r="F339" s="293"/>
      <c r="G339" s="293"/>
      <c r="H339" s="293"/>
      <c r="I339" s="293"/>
      <c r="J339" s="293"/>
    </row>
    <row r="340" spans="1:10" x14ac:dyDescent="0.25">
      <c r="B340" s="293"/>
      <c r="C340" s="293"/>
      <c r="D340" s="293"/>
      <c r="E340" s="293"/>
      <c r="F340" s="293"/>
      <c r="G340" s="293"/>
      <c r="H340" s="293"/>
      <c r="I340" s="293"/>
      <c r="J340" s="293"/>
    </row>
    <row r="341" spans="1:10" x14ac:dyDescent="0.25">
      <c r="B341" s="293"/>
      <c r="C341" s="293"/>
      <c r="D341" s="293"/>
      <c r="E341" s="293"/>
      <c r="F341" s="293"/>
      <c r="G341" s="293"/>
      <c r="H341" s="293"/>
      <c r="I341" s="293"/>
      <c r="J341" s="293"/>
    </row>
    <row r="342" spans="1:10" x14ac:dyDescent="0.25">
      <c r="B342" s="293"/>
      <c r="C342" s="293"/>
      <c r="D342" s="293"/>
      <c r="E342" s="293"/>
      <c r="F342" s="293"/>
      <c r="G342" s="293"/>
      <c r="H342" s="293"/>
      <c r="I342" s="293"/>
      <c r="J342" s="293"/>
    </row>
    <row r="343" spans="1:10" x14ac:dyDescent="0.25">
      <c r="B343" s="293"/>
      <c r="C343" s="293"/>
      <c r="D343" s="293"/>
      <c r="E343" s="293"/>
      <c r="F343" s="293"/>
      <c r="G343" s="293"/>
      <c r="H343" s="293"/>
      <c r="I343" s="293"/>
      <c r="J343" s="293"/>
    </row>
    <row r="344" spans="1:10" x14ac:dyDescent="0.25">
      <c r="A344" s="47" t="s">
        <v>4267</v>
      </c>
      <c r="B344" s="296">
        <f>SUM(B332:B343)</f>
        <v>16300</v>
      </c>
      <c r="C344" s="296">
        <f t="shared" ref="C344" si="164">SUM(C332:C343)</f>
        <v>16300</v>
      </c>
      <c r="D344" s="296">
        <f t="shared" ref="D344" si="165">SUM(D332:D343)</f>
        <v>16600</v>
      </c>
      <c r="E344" s="296">
        <f t="shared" ref="E344" si="166">SUM(E332:E343)</f>
        <v>16900</v>
      </c>
      <c r="F344" s="296">
        <f t="shared" ref="F344" si="167">SUM(F332:F343)</f>
        <v>17200</v>
      </c>
      <c r="G344" s="296">
        <f t="shared" ref="G344" si="168">SUM(G332:G343)</f>
        <v>17500</v>
      </c>
      <c r="H344" s="296">
        <f t="shared" ref="H344" si="169">SUM(H332:H343)</f>
        <v>17900</v>
      </c>
      <c r="I344" s="296">
        <f t="shared" ref="I344" si="170">SUM(I332:I343)</f>
        <v>18300</v>
      </c>
      <c r="J344" s="296">
        <f t="shared" ref="J344" si="171">SUM(J332:J343)</f>
        <v>18800</v>
      </c>
    </row>
    <row r="345" spans="1:10" x14ac:dyDescent="0.25">
      <c r="B345" s="293"/>
      <c r="C345" s="293"/>
      <c r="D345" s="293"/>
      <c r="E345" s="293"/>
      <c r="F345" s="293"/>
      <c r="G345" s="293"/>
      <c r="H345" s="293"/>
      <c r="I345" s="293"/>
      <c r="J345" s="293"/>
    </row>
    <row r="346" spans="1:10" ht="15.75" thickBot="1" x14ac:dyDescent="0.3">
      <c r="A346" s="47" t="s">
        <v>4268</v>
      </c>
      <c r="B346" s="301">
        <f>B329-B344</f>
        <v>107100</v>
      </c>
      <c r="C346" s="301">
        <f t="shared" ref="C346:J346" si="172">C329-C344</f>
        <v>110200</v>
      </c>
      <c r="D346" s="301">
        <f t="shared" si="172"/>
        <v>113100</v>
      </c>
      <c r="E346" s="301">
        <f t="shared" si="172"/>
        <v>116000</v>
      </c>
      <c r="F346" s="301">
        <f t="shared" si="172"/>
        <v>119000</v>
      </c>
      <c r="G346" s="301">
        <f t="shared" si="172"/>
        <v>122100</v>
      </c>
      <c r="H346" s="301">
        <f t="shared" si="172"/>
        <v>125200</v>
      </c>
      <c r="I346" s="301">
        <f t="shared" si="172"/>
        <v>128400</v>
      </c>
      <c r="J346" s="301">
        <f t="shared" si="172"/>
        <v>131600</v>
      </c>
    </row>
    <row r="347" spans="1:10" ht="15.75" thickTop="1" x14ac:dyDescent="0.25">
      <c r="B347" s="293"/>
      <c r="C347" s="293"/>
      <c r="D347" s="293"/>
      <c r="E347" s="293"/>
      <c r="F347" s="293"/>
      <c r="G347" s="293"/>
      <c r="H347" s="293"/>
      <c r="I347" s="293"/>
      <c r="J347" s="293"/>
    </row>
    <row r="348" spans="1:10" x14ac:dyDescent="0.25">
      <c r="A348" s="281"/>
      <c r="B348" s="316"/>
      <c r="C348" s="316"/>
      <c r="D348" s="316"/>
      <c r="E348" s="316"/>
      <c r="F348" s="316"/>
      <c r="G348" s="316"/>
      <c r="H348" s="316"/>
      <c r="I348" s="316"/>
      <c r="J348" s="316"/>
    </row>
    <row r="349" spans="1:10" x14ac:dyDescent="0.25">
      <c r="B349" s="293"/>
      <c r="C349" s="293"/>
      <c r="D349" s="293"/>
      <c r="E349" s="293"/>
      <c r="F349" s="293"/>
      <c r="G349" s="293"/>
      <c r="H349" s="293"/>
      <c r="I349" s="293"/>
      <c r="J349" s="293"/>
    </row>
    <row r="350" spans="1:10" x14ac:dyDescent="0.25">
      <c r="A350" s="280" t="s">
        <v>4279</v>
      </c>
      <c r="B350" s="293"/>
      <c r="C350" s="293"/>
      <c r="D350" s="293"/>
      <c r="E350" s="293"/>
      <c r="F350" s="293"/>
      <c r="G350" s="293"/>
      <c r="H350" s="293"/>
      <c r="I350" s="293"/>
      <c r="J350" s="293"/>
    </row>
    <row r="351" spans="1:10" x14ac:dyDescent="0.25">
      <c r="B351" s="293"/>
      <c r="C351" s="293"/>
      <c r="D351" s="293"/>
      <c r="E351" s="293"/>
      <c r="F351" s="293"/>
      <c r="G351" s="293"/>
      <c r="H351" s="293"/>
      <c r="I351" s="293"/>
      <c r="J351" s="293"/>
    </row>
    <row r="352" spans="1:10" x14ac:dyDescent="0.25">
      <c r="A352" s="47" t="s">
        <v>4260</v>
      </c>
      <c r="B352" s="293"/>
      <c r="C352" s="293"/>
      <c r="D352" s="293"/>
      <c r="E352" s="293"/>
      <c r="F352" s="293"/>
      <c r="G352" s="293"/>
      <c r="H352" s="293"/>
      <c r="I352" s="293"/>
      <c r="J352" s="293"/>
    </row>
    <row r="353" spans="1:10" x14ac:dyDescent="0.25">
      <c r="A353" t="s">
        <v>4262</v>
      </c>
      <c r="B353" s="293"/>
      <c r="C353" s="293"/>
      <c r="D353" s="293"/>
      <c r="E353" s="293"/>
      <c r="F353" s="293"/>
      <c r="G353" s="293"/>
      <c r="H353" s="293"/>
      <c r="I353" s="293"/>
      <c r="J353" s="293"/>
    </row>
    <row r="354" spans="1:10" x14ac:dyDescent="0.25">
      <c r="A354" t="s">
        <v>4261</v>
      </c>
      <c r="B354" s="293"/>
      <c r="C354" s="293"/>
      <c r="D354" s="293"/>
      <c r="E354" s="293"/>
      <c r="F354" s="293"/>
      <c r="G354" s="293"/>
      <c r="H354" s="293"/>
      <c r="I354" s="293"/>
      <c r="J354" s="293"/>
    </row>
    <row r="355" spans="1:10" x14ac:dyDescent="0.25">
      <c r="A355" t="s">
        <v>66</v>
      </c>
      <c r="B355" s="293"/>
      <c r="C355" s="293"/>
      <c r="D355" s="293"/>
      <c r="E355" s="293"/>
      <c r="F355" s="293"/>
      <c r="G355" s="293"/>
      <c r="H355" s="293"/>
      <c r="I355" s="293"/>
      <c r="J355" s="293"/>
    </row>
    <row r="356" spans="1:10" x14ac:dyDescent="0.25">
      <c r="B356" s="293"/>
      <c r="C356" s="293"/>
      <c r="D356" s="293"/>
      <c r="E356" s="293"/>
      <c r="F356" s="293"/>
      <c r="G356" s="293"/>
      <c r="H356" s="293"/>
      <c r="I356" s="293"/>
      <c r="J356" s="293"/>
    </row>
    <row r="357" spans="1:10" x14ac:dyDescent="0.25">
      <c r="B357" s="293"/>
      <c r="C357" s="293"/>
      <c r="D357" s="293"/>
      <c r="E357" s="293"/>
      <c r="F357" s="293"/>
      <c r="G357" s="293"/>
      <c r="H357" s="293"/>
      <c r="I357" s="293"/>
      <c r="J357" s="293"/>
    </row>
    <row r="358" spans="1:10" x14ac:dyDescent="0.25">
      <c r="B358" s="293"/>
      <c r="C358" s="293"/>
      <c r="D358" s="293"/>
      <c r="E358" s="293"/>
      <c r="F358" s="293"/>
      <c r="G358" s="293"/>
      <c r="H358" s="293"/>
      <c r="I358" s="293"/>
      <c r="J358" s="293"/>
    </row>
    <row r="359" spans="1:10" x14ac:dyDescent="0.25">
      <c r="B359" s="293"/>
      <c r="C359" s="293"/>
      <c r="D359" s="293"/>
      <c r="E359" s="293"/>
      <c r="F359" s="293"/>
      <c r="G359" s="293"/>
      <c r="H359" s="293"/>
      <c r="I359" s="293"/>
      <c r="J359" s="293"/>
    </row>
    <row r="360" spans="1:10" x14ac:dyDescent="0.25">
      <c r="A360" s="47" t="s">
        <v>4263</v>
      </c>
      <c r="B360" s="296">
        <f>SUM(B350:B359)</f>
        <v>0</v>
      </c>
      <c r="C360" s="296">
        <f t="shared" ref="C360" si="173">SUM(C350:C359)</f>
        <v>0</v>
      </c>
      <c r="D360" s="296">
        <f t="shared" ref="D360" si="174">SUM(D350:D359)</f>
        <v>0</v>
      </c>
      <c r="E360" s="296">
        <f t="shared" ref="E360" si="175">SUM(E350:E359)</f>
        <v>0</v>
      </c>
      <c r="F360" s="296">
        <f t="shared" ref="F360" si="176">SUM(F350:F359)</f>
        <v>0</v>
      </c>
      <c r="G360" s="296">
        <f t="shared" ref="G360" si="177">SUM(G350:G359)</f>
        <v>0</v>
      </c>
      <c r="H360" s="296">
        <f t="shared" ref="H360" si="178">SUM(H350:H359)</f>
        <v>0</v>
      </c>
      <c r="I360" s="296">
        <f t="shared" ref="I360" si="179">SUM(I350:I359)</f>
        <v>0</v>
      </c>
      <c r="J360" s="296">
        <f t="shared" ref="J360" si="180">SUM(J350:J359)</f>
        <v>0</v>
      </c>
    </row>
    <row r="361" spans="1:10" x14ac:dyDescent="0.25">
      <c r="B361" s="293"/>
      <c r="C361" s="293"/>
      <c r="D361" s="293"/>
      <c r="E361" s="293"/>
      <c r="F361" s="293"/>
      <c r="G361" s="293"/>
      <c r="H361" s="293"/>
      <c r="I361" s="293"/>
      <c r="J361" s="293"/>
    </row>
    <row r="362" spans="1:10" x14ac:dyDescent="0.25">
      <c r="A362" s="47" t="s">
        <v>4264</v>
      </c>
      <c r="B362" s="293"/>
      <c r="C362" s="293"/>
      <c r="D362" s="293"/>
      <c r="E362" s="293"/>
      <c r="F362" s="293"/>
      <c r="G362" s="293"/>
      <c r="H362" s="293"/>
      <c r="I362" s="293"/>
      <c r="J362" s="293"/>
    </row>
    <row r="363" spans="1:10" x14ac:dyDescent="0.25">
      <c r="A363" t="s">
        <v>87</v>
      </c>
      <c r="B363" s="293"/>
      <c r="C363" s="293"/>
      <c r="D363" s="293"/>
      <c r="E363" s="293"/>
      <c r="F363" s="293"/>
      <c r="G363" s="293"/>
      <c r="H363" s="293"/>
      <c r="I363" s="293"/>
      <c r="J363" s="293"/>
    </row>
    <row r="364" spans="1:10" x14ac:dyDescent="0.25">
      <c r="A364" t="s">
        <v>4265</v>
      </c>
      <c r="B364" s="293"/>
      <c r="C364" s="293"/>
      <c r="D364" s="293"/>
      <c r="E364" s="293"/>
      <c r="F364" s="293"/>
      <c r="G364" s="293"/>
      <c r="H364" s="293"/>
      <c r="I364" s="293"/>
      <c r="J364" s="293"/>
    </row>
    <row r="365" spans="1:10" x14ac:dyDescent="0.25">
      <c r="B365" s="293"/>
      <c r="C365" s="293"/>
      <c r="D365" s="293"/>
      <c r="E365" s="293"/>
      <c r="F365" s="293"/>
      <c r="G365" s="293"/>
      <c r="H365" s="293"/>
      <c r="I365" s="293"/>
      <c r="J365" s="293"/>
    </row>
    <row r="366" spans="1:10" x14ac:dyDescent="0.25">
      <c r="B366" s="293"/>
      <c r="C366" s="293"/>
      <c r="D366" s="293"/>
      <c r="E366" s="293"/>
      <c r="F366" s="293"/>
      <c r="G366" s="293"/>
      <c r="H366" s="293"/>
      <c r="I366" s="293"/>
      <c r="J366" s="293"/>
    </row>
    <row r="367" spans="1:10" x14ac:dyDescent="0.25">
      <c r="B367" s="293"/>
      <c r="C367" s="293"/>
      <c r="D367" s="293"/>
      <c r="E367" s="293"/>
      <c r="F367" s="293"/>
      <c r="G367" s="293"/>
      <c r="H367" s="293"/>
      <c r="I367" s="293"/>
      <c r="J367" s="293"/>
    </row>
    <row r="368" spans="1:10" x14ac:dyDescent="0.25">
      <c r="B368" s="293"/>
      <c r="C368" s="293"/>
      <c r="D368" s="293"/>
      <c r="E368" s="293"/>
      <c r="F368" s="293"/>
      <c r="G368" s="293"/>
      <c r="H368" s="293"/>
      <c r="I368" s="293"/>
      <c r="J368" s="293"/>
    </row>
    <row r="369" spans="1:10" x14ac:dyDescent="0.25">
      <c r="A369" t="s">
        <v>4266</v>
      </c>
      <c r="B369" s="293"/>
      <c r="C369" s="293"/>
      <c r="D369" s="293"/>
      <c r="E369" s="293"/>
      <c r="F369" s="293"/>
      <c r="G369" s="293"/>
      <c r="H369" s="293"/>
      <c r="I369" s="293"/>
      <c r="J369" s="293"/>
    </row>
    <row r="370" spans="1:10" x14ac:dyDescent="0.25">
      <c r="A370" t="s">
        <v>66</v>
      </c>
      <c r="B370" s="293"/>
      <c r="C370" s="293"/>
      <c r="D370" s="293"/>
      <c r="E370" s="293"/>
      <c r="F370" s="293"/>
      <c r="G370" s="293"/>
      <c r="H370" s="293"/>
      <c r="I370" s="293"/>
      <c r="J370" s="293"/>
    </row>
    <row r="371" spans="1:10" x14ac:dyDescent="0.25">
      <c r="B371" s="293"/>
      <c r="C371" s="293"/>
      <c r="D371" s="293"/>
      <c r="E371" s="293"/>
      <c r="F371" s="293"/>
      <c r="G371" s="293"/>
      <c r="H371" s="293"/>
      <c r="I371" s="293"/>
      <c r="J371" s="293"/>
    </row>
    <row r="372" spans="1:10" x14ac:dyDescent="0.25">
      <c r="B372" s="293"/>
      <c r="C372" s="293"/>
      <c r="D372" s="293"/>
      <c r="E372" s="293"/>
      <c r="F372" s="293"/>
      <c r="G372" s="293"/>
      <c r="H372" s="293"/>
      <c r="I372" s="293"/>
      <c r="J372" s="293"/>
    </row>
    <row r="373" spans="1:10" x14ac:dyDescent="0.25">
      <c r="B373" s="293"/>
      <c r="C373" s="293"/>
      <c r="D373" s="293"/>
      <c r="E373" s="293"/>
      <c r="F373" s="293"/>
      <c r="G373" s="293"/>
      <c r="H373" s="293"/>
      <c r="I373" s="293"/>
      <c r="J373" s="293"/>
    </row>
    <row r="374" spans="1:10" x14ac:dyDescent="0.25">
      <c r="B374" s="293"/>
      <c r="C374" s="293"/>
      <c r="D374" s="293"/>
      <c r="E374" s="293"/>
      <c r="F374" s="293"/>
      <c r="G374" s="293"/>
      <c r="H374" s="293"/>
      <c r="I374" s="293"/>
      <c r="J374" s="293"/>
    </row>
    <row r="375" spans="1:10" x14ac:dyDescent="0.25">
      <c r="A375" s="47" t="s">
        <v>4267</v>
      </c>
      <c r="B375" s="296">
        <f>SUM(B363:B374)</f>
        <v>0</v>
      </c>
      <c r="C375" s="296">
        <f t="shared" ref="C375" si="181">SUM(C363:C374)</f>
        <v>0</v>
      </c>
      <c r="D375" s="296">
        <f t="shared" ref="D375" si="182">SUM(D363:D374)</f>
        <v>0</v>
      </c>
      <c r="E375" s="296">
        <f t="shared" ref="E375" si="183">SUM(E363:E374)</f>
        <v>0</v>
      </c>
      <c r="F375" s="296">
        <f t="shared" ref="F375" si="184">SUM(F363:F374)</f>
        <v>0</v>
      </c>
      <c r="G375" s="296">
        <f t="shared" ref="G375" si="185">SUM(G363:G374)</f>
        <v>0</v>
      </c>
      <c r="H375" s="296">
        <f t="shared" ref="H375" si="186">SUM(H363:H374)</f>
        <v>0</v>
      </c>
      <c r="I375" s="296">
        <f t="shared" ref="I375" si="187">SUM(I363:I374)</f>
        <v>0</v>
      </c>
      <c r="J375" s="296">
        <f t="shared" ref="J375" si="188">SUM(J363:J374)</f>
        <v>0</v>
      </c>
    </row>
    <row r="376" spans="1:10" x14ac:dyDescent="0.25">
      <c r="B376" s="293"/>
      <c r="C376" s="293"/>
      <c r="D376" s="293"/>
      <c r="E376" s="293"/>
      <c r="F376" s="293"/>
      <c r="G376" s="293"/>
      <c r="H376" s="293"/>
      <c r="I376" s="293"/>
      <c r="J376" s="293"/>
    </row>
    <row r="377" spans="1:10" ht="15.75" thickBot="1" x14ac:dyDescent="0.3">
      <c r="A377" s="47" t="s">
        <v>4268</v>
      </c>
      <c r="B377" s="301">
        <f>B360-B375</f>
        <v>0</v>
      </c>
      <c r="C377" s="301">
        <f t="shared" ref="C377:J377" si="189">C360-C375</f>
        <v>0</v>
      </c>
      <c r="D377" s="301">
        <f t="shared" si="189"/>
        <v>0</v>
      </c>
      <c r="E377" s="301">
        <f t="shared" si="189"/>
        <v>0</v>
      </c>
      <c r="F377" s="301">
        <f t="shared" si="189"/>
        <v>0</v>
      </c>
      <c r="G377" s="301">
        <f t="shared" si="189"/>
        <v>0</v>
      </c>
      <c r="H377" s="301">
        <f t="shared" si="189"/>
        <v>0</v>
      </c>
      <c r="I377" s="301">
        <f t="shared" si="189"/>
        <v>0</v>
      </c>
      <c r="J377" s="301">
        <f t="shared" si="189"/>
        <v>0</v>
      </c>
    </row>
    <row r="378" spans="1:10" ht="15.75" thickTop="1" x14ac:dyDescent="0.25">
      <c r="B378" s="293"/>
      <c r="C378" s="293"/>
      <c r="D378" s="293"/>
      <c r="E378" s="293"/>
      <c r="F378" s="293"/>
      <c r="G378" s="293"/>
      <c r="H378" s="293"/>
      <c r="I378" s="293"/>
      <c r="J378" s="293"/>
    </row>
    <row r="379" spans="1:10" x14ac:dyDescent="0.25">
      <c r="A379" s="281"/>
      <c r="B379" s="316"/>
      <c r="C379" s="316"/>
      <c r="D379" s="316"/>
      <c r="E379" s="316"/>
      <c r="F379" s="316"/>
      <c r="G379" s="316"/>
      <c r="H379" s="316"/>
      <c r="I379" s="316"/>
      <c r="J379" s="316"/>
    </row>
    <row r="380" spans="1:10" x14ac:dyDescent="0.25">
      <c r="B380" s="293"/>
      <c r="C380" s="293"/>
      <c r="D380" s="293"/>
      <c r="E380" s="293"/>
      <c r="F380" s="293"/>
      <c r="G380" s="293"/>
      <c r="H380" s="293"/>
      <c r="I380" s="293"/>
      <c r="J380" s="293"/>
    </row>
    <row r="381" spans="1:10" x14ac:dyDescent="0.25">
      <c r="A381" s="280" t="s">
        <v>4280</v>
      </c>
      <c r="B381" s="293"/>
      <c r="C381" s="293"/>
      <c r="D381" s="293"/>
      <c r="E381" s="293"/>
      <c r="F381" s="293"/>
      <c r="G381" s="293"/>
      <c r="H381" s="293"/>
      <c r="I381" s="293"/>
      <c r="J381" s="293"/>
    </row>
    <row r="382" spans="1:10" x14ac:dyDescent="0.25">
      <c r="B382" s="293"/>
      <c r="C382" s="293"/>
      <c r="D382" s="293"/>
      <c r="E382" s="293"/>
      <c r="F382" s="293"/>
      <c r="G382" s="293"/>
      <c r="H382" s="293"/>
      <c r="I382" s="293"/>
      <c r="J382" s="293"/>
    </row>
    <row r="383" spans="1:10" x14ac:dyDescent="0.25">
      <c r="A383" s="47" t="s">
        <v>4260</v>
      </c>
      <c r="B383" s="293"/>
      <c r="C383" s="293"/>
      <c r="D383" s="293"/>
      <c r="E383" s="293"/>
      <c r="F383" s="293"/>
      <c r="G383" s="293"/>
      <c r="H383" s="293"/>
      <c r="I383" s="293"/>
      <c r="J383" s="293"/>
    </row>
    <row r="384" spans="1:10" x14ac:dyDescent="0.25">
      <c r="A384" t="s">
        <v>4262</v>
      </c>
      <c r="B384" s="293">
        <f>-(operatingdata!F934+operatingdata!F939)</f>
        <v>3206000</v>
      </c>
      <c r="C384" s="293">
        <f>-(operatingdata!G934+operatingdata!G939)</f>
        <v>3213700</v>
      </c>
      <c r="D384" s="293">
        <f>-(operatingdata!H934+operatingdata!H939)</f>
        <v>3221500</v>
      </c>
      <c r="E384" s="293">
        <f>-(operatingdata!I934+operatingdata!I939)</f>
        <v>3329500</v>
      </c>
      <c r="F384" s="293">
        <f>-(operatingdata!J934+operatingdata!J939)</f>
        <v>3337700</v>
      </c>
      <c r="G384" s="293">
        <f>-(operatingdata!K934+operatingdata!K939)</f>
        <v>3346100</v>
      </c>
      <c r="H384" s="293">
        <f>-(operatingdata!L934+operatingdata!L939)</f>
        <v>3354800</v>
      </c>
      <c r="I384" s="293">
        <f>-(operatingdata!M934+operatingdata!M939)</f>
        <v>3363700</v>
      </c>
      <c r="J384" s="293">
        <f>-(operatingdata!N934+operatingdata!N939)</f>
        <v>3372800</v>
      </c>
    </row>
    <row r="385" spans="1:10" x14ac:dyDescent="0.25">
      <c r="A385" t="s">
        <v>4261</v>
      </c>
      <c r="B385" s="293"/>
      <c r="C385" s="293"/>
      <c r="D385" s="293"/>
      <c r="E385" s="293"/>
      <c r="F385" s="293"/>
      <c r="G385" s="293"/>
      <c r="H385" s="293"/>
      <c r="I385" s="293"/>
      <c r="J385" s="293"/>
    </row>
    <row r="386" spans="1:10" x14ac:dyDescent="0.25">
      <c r="A386" t="s">
        <v>66</v>
      </c>
      <c r="B386" s="293"/>
      <c r="C386" s="293"/>
      <c r="D386" s="293"/>
      <c r="E386" s="293"/>
      <c r="F386" s="293"/>
      <c r="G386" s="293"/>
      <c r="H386" s="293"/>
      <c r="I386" s="293"/>
      <c r="J386" s="293"/>
    </row>
    <row r="387" spans="1:10" x14ac:dyDescent="0.25">
      <c r="A387" t="s">
        <v>4398</v>
      </c>
      <c r="B387" s="293">
        <f>-ROUND(B384*28%,-2)</f>
        <v>-897700</v>
      </c>
      <c r="C387" s="293">
        <f t="shared" ref="C387:J387" si="190">-ROUND(C384*28%,-2)</f>
        <v>-899800</v>
      </c>
      <c r="D387" s="293">
        <f t="shared" si="190"/>
        <v>-902000</v>
      </c>
      <c r="E387" s="293">
        <f t="shared" si="190"/>
        <v>-932300</v>
      </c>
      <c r="F387" s="293">
        <f t="shared" si="190"/>
        <v>-934600</v>
      </c>
      <c r="G387" s="293">
        <f t="shared" si="190"/>
        <v>-936900</v>
      </c>
      <c r="H387" s="293">
        <f t="shared" si="190"/>
        <v>-939300</v>
      </c>
      <c r="I387" s="293">
        <f t="shared" si="190"/>
        <v>-941800</v>
      </c>
      <c r="J387" s="293">
        <f t="shared" si="190"/>
        <v>-944400</v>
      </c>
    </row>
    <row r="388" spans="1:10" x14ac:dyDescent="0.25">
      <c r="B388" s="293"/>
      <c r="C388" s="293"/>
      <c r="D388" s="293"/>
      <c r="E388" s="293"/>
      <c r="F388" s="293"/>
      <c r="G388" s="293"/>
      <c r="H388" s="293"/>
      <c r="I388" s="293"/>
      <c r="J388" s="293"/>
    </row>
    <row r="389" spans="1:10" x14ac:dyDescent="0.25">
      <c r="B389" s="293"/>
      <c r="C389" s="293"/>
      <c r="D389" s="293"/>
      <c r="E389" s="293"/>
      <c r="F389" s="293"/>
      <c r="G389" s="293"/>
      <c r="H389" s="293"/>
      <c r="I389" s="293"/>
      <c r="J389" s="293"/>
    </row>
    <row r="390" spans="1:10" x14ac:dyDescent="0.25">
      <c r="B390" s="293"/>
      <c r="C390" s="293"/>
      <c r="D390" s="293"/>
      <c r="E390" s="293"/>
      <c r="F390" s="293"/>
      <c r="G390" s="293"/>
      <c r="H390" s="293"/>
      <c r="I390" s="293"/>
      <c r="J390" s="293"/>
    </row>
    <row r="391" spans="1:10" x14ac:dyDescent="0.25">
      <c r="A391" s="47" t="s">
        <v>4263</v>
      </c>
      <c r="B391" s="296">
        <f>SUM(B381:B390)</f>
        <v>2308300</v>
      </c>
      <c r="C391" s="296">
        <f t="shared" ref="C391" si="191">SUM(C381:C390)</f>
        <v>2313900</v>
      </c>
      <c r="D391" s="296">
        <f t="shared" ref="D391" si="192">SUM(D381:D390)</f>
        <v>2319500</v>
      </c>
      <c r="E391" s="296">
        <f t="shared" ref="E391" si="193">SUM(E381:E390)</f>
        <v>2397200</v>
      </c>
      <c r="F391" s="296">
        <f t="shared" ref="F391" si="194">SUM(F381:F390)</f>
        <v>2403100</v>
      </c>
      <c r="G391" s="296">
        <f t="shared" ref="G391" si="195">SUM(G381:G390)</f>
        <v>2409200</v>
      </c>
      <c r="H391" s="296">
        <f t="shared" ref="H391" si="196">SUM(H381:H390)</f>
        <v>2415500</v>
      </c>
      <c r="I391" s="296">
        <f t="shared" ref="I391" si="197">SUM(I381:I390)</f>
        <v>2421900</v>
      </c>
      <c r="J391" s="296">
        <f t="shared" ref="J391" si="198">SUM(J381:J390)</f>
        <v>2428400</v>
      </c>
    </row>
    <row r="392" spans="1:10" x14ac:dyDescent="0.25">
      <c r="B392" s="293"/>
      <c r="C392" s="293"/>
      <c r="D392" s="293"/>
      <c r="E392" s="293"/>
      <c r="F392" s="293"/>
      <c r="G392" s="293"/>
      <c r="H392" s="293"/>
      <c r="I392" s="293"/>
      <c r="J392" s="293"/>
    </row>
    <row r="393" spans="1:10" x14ac:dyDescent="0.25">
      <c r="A393" s="47" t="s">
        <v>4264</v>
      </c>
      <c r="B393" s="293"/>
      <c r="C393" s="293"/>
      <c r="D393" s="293"/>
      <c r="E393" s="293"/>
      <c r="F393" s="293"/>
      <c r="G393" s="293"/>
      <c r="H393" s="293"/>
      <c r="I393" s="293"/>
      <c r="J393" s="293"/>
    </row>
    <row r="394" spans="1:10" x14ac:dyDescent="0.25">
      <c r="A394" t="s">
        <v>87</v>
      </c>
      <c r="B394" s="293">
        <f>SUM(operatingdata!F876:F882)</f>
        <v>524000</v>
      </c>
      <c r="C394" s="293">
        <f>SUM(operatingdata!G876:G882)</f>
        <v>534500</v>
      </c>
      <c r="D394" s="293">
        <f>SUM(operatingdata!H876:H882)</f>
        <v>545200</v>
      </c>
      <c r="E394" s="293">
        <f>SUM(operatingdata!I876:I882)</f>
        <v>556100</v>
      </c>
      <c r="F394" s="293">
        <f>SUM(operatingdata!J876:J882)</f>
        <v>567200</v>
      </c>
      <c r="G394" s="293">
        <f>SUM(operatingdata!K876:K882)</f>
        <v>578500</v>
      </c>
      <c r="H394" s="293">
        <f>SUM(operatingdata!L876:L882)</f>
        <v>593000</v>
      </c>
      <c r="I394" s="293">
        <f>SUM(operatingdata!M876:M882)</f>
        <v>607800</v>
      </c>
      <c r="J394" s="293">
        <f>SUM(operatingdata!N876:N882)</f>
        <v>623000</v>
      </c>
    </row>
    <row r="395" spans="1:10" x14ac:dyDescent="0.25">
      <c r="A395" t="s">
        <v>4399</v>
      </c>
      <c r="B395" s="293">
        <f>-ROUND(B394*28%,-2)</f>
        <v>-146700</v>
      </c>
      <c r="C395" s="293">
        <f t="shared" ref="C395:J395" si="199">-ROUND(C394*28%,-2)</f>
        <v>-149700</v>
      </c>
      <c r="D395" s="293">
        <f t="shared" si="199"/>
        <v>-152700</v>
      </c>
      <c r="E395" s="293">
        <f t="shared" si="199"/>
        <v>-155700</v>
      </c>
      <c r="F395" s="293">
        <f t="shared" si="199"/>
        <v>-158800</v>
      </c>
      <c r="G395" s="293">
        <f t="shared" si="199"/>
        <v>-162000</v>
      </c>
      <c r="H395" s="293">
        <f t="shared" si="199"/>
        <v>-166000</v>
      </c>
      <c r="I395" s="293">
        <f t="shared" si="199"/>
        <v>-170200</v>
      </c>
      <c r="J395" s="293">
        <f t="shared" si="199"/>
        <v>-174400</v>
      </c>
    </row>
    <row r="396" spans="1:10" x14ac:dyDescent="0.25">
      <c r="A396" t="s">
        <v>4265</v>
      </c>
      <c r="B396" s="293"/>
      <c r="C396" s="293"/>
      <c r="D396" s="293"/>
      <c r="E396" s="293"/>
      <c r="F396" s="293"/>
      <c r="G396" s="293"/>
      <c r="H396" s="293"/>
      <c r="I396" s="293"/>
      <c r="J396" s="293"/>
    </row>
    <row r="397" spans="1:10" x14ac:dyDescent="0.25">
      <c r="B397" s="293"/>
      <c r="C397" s="293"/>
      <c r="D397" s="293"/>
      <c r="E397" s="293"/>
      <c r="F397" s="293"/>
      <c r="G397" s="293"/>
      <c r="H397" s="293"/>
      <c r="I397" s="293"/>
      <c r="J397" s="293"/>
    </row>
    <row r="398" spans="1:10" x14ac:dyDescent="0.25">
      <c r="B398" s="293"/>
      <c r="C398" s="293"/>
      <c r="D398" s="293"/>
      <c r="E398" s="293"/>
      <c r="F398" s="293"/>
      <c r="G398" s="293"/>
      <c r="H398" s="293"/>
      <c r="I398" s="293"/>
      <c r="J398" s="293"/>
    </row>
    <row r="399" spans="1:10" x14ac:dyDescent="0.25">
      <c r="B399" s="293"/>
      <c r="C399" s="293"/>
      <c r="D399" s="293"/>
      <c r="E399" s="293"/>
      <c r="F399" s="293"/>
      <c r="G399" s="293"/>
      <c r="H399" s="293"/>
      <c r="I399" s="293"/>
      <c r="J399" s="293"/>
    </row>
    <row r="400" spans="1:10" x14ac:dyDescent="0.25">
      <c r="B400" s="293"/>
      <c r="C400" s="293"/>
      <c r="D400" s="293"/>
      <c r="E400" s="293"/>
      <c r="F400" s="293"/>
      <c r="G400" s="293"/>
      <c r="H400" s="293"/>
      <c r="I400" s="293"/>
      <c r="J400" s="293"/>
    </row>
    <row r="401" spans="1:10" x14ac:dyDescent="0.25">
      <c r="A401" t="s">
        <v>4266</v>
      </c>
      <c r="B401" s="293"/>
      <c r="C401" s="293"/>
      <c r="D401" s="293"/>
      <c r="E401" s="293"/>
      <c r="F401" s="293"/>
      <c r="G401" s="293"/>
      <c r="H401" s="293"/>
      <c r="I401" s="293"/>
      <c r="J401" s="293"/>
    </row>
    <row r="402" spans="1:10" x14ac:dyDescent="0.25">
      <c r="A402" t="s">
        <v>66</v>
      </c>
      <c r="B402" s="293"/>
      <c r="C402" s="293"/>
      <c r="D402" s="293"/>
      <c r="E402" s="293"/>
      <c r="F402" s="293"/>
      <c r="G402" s="293"/>
      <c r="H402" s="293"/>
      <c r="I402" s="293"/>
      <c r="J402" s="293"/>
    </row>
    <row r="403" spans="1:10" x14ac:dyDescent="0.25">
      <c r="A403" t="s">
        <v>4396</v>
      </c>
      <c r="B403" s="293">
        <f>B391-B394-B395</f>
        <v>1931000</v>
      </c>
      <c r="C403" s="293">
        <f t="shared" ref="C403:J403" si="200">C391-C394-C395</f>
        <v>1929100</v>
      </c>
      <c r="D403" s="293">
        <f t="shared" si="200"/>
        <v>1927000</v>
      </c>
      <c r="E403" s="293">
        <f t="shared" si="200"/>
        <v>1996800</v>
      </c>
      <c r="F403" s="293">
        <f t="shared" si="200"/>
        <v>1994700</v>
      </c>
      <c r="G403" s="293">
        <f t="shared" si="200"/>
        <v>1992700</v>
      </c>
      <c r="H403" s="293">
        <f t="shared" si="200"/>
        <v>1988500</v>
      </c>
      <c r="I403" s="293">
        <f t="shared" si="200"/>
        <v>1984300</v>
      </c>
      <c r="J403" s="293">
        <f t="shared" si="200"/>
        <v>1979800</v>
      </c>
    </row>
    <row r="404" spans="1:10" x14ac:dyDescent="0.25">
      <c r="A404" t="s">
        <v>4511</v>
      </c>
      <c r="B404" s="293">
        <v>1007000</v>
      </c>
      <c r="C404" s="293"/>
      <c r="D404" s="293"/>
      <c r="E404" s="293"/>
      <c r="F404" s="293"/>
      <c r="G404" s="293"/>
      <c r="H404" s="293"/>
      <c r="I404" s="293"/>
      <c r="J404" s="293"/>
    </row>
    <row r="405" spans="1:10" x14ac:dyDescent="0.25">
      <c r="B405" s="293"/>
      <c r="C405" s="293"/>
      <c r="D405" s="293"/>
      <c r="E405" s="293"/>
      <c r="F405" s="293"/>
      <c r="G405" s="293"/>
      <c r="H405" s="293"/>
      <c r="I405" s="293"/>
      <c r="J405" s="293"/>
    </row>
    <row r="406" spans="1:10" x14ac:dyDescent="0.25">
      <c r="B406" s="293"/>
      <c r="C406" s="293"/>
      <c r="D406" s="293"/>
      <c r="E406" s="293"/>
      <c r="F406" s="293"/>
      <c r="G406" s="293"/>
      <c r="H406" s="293"/>
      <c r="I406" s="293"/>
      <c r="J406" s="293"/>
    </row>
    <row r="407" spans="1:10" x14ac:dyDescent="0.25">
      <c r="A407" s="47" t="s">
        <v>4267</v>
      </c>
      <c r="B407" s="296">
        <f>SUM(B394:B406)</f>
        <v>3315300</v>
      </c>
      <c r="C407" s="296">
        <f t="shared" ref="C407" si="201">SUM(C394:C406)</f>
        <v>2313900</v>
      </c>
      <c r="D407" s="296">
        <f t="shared" ref="D407" si="202">SUM(D394:D406)</f>
        <v>2319500</v>
      </c>
      <c r="E407" s="296">
        <f t="shared" ref="E407" si="203">SUM(E394:E406)</f>
        <v>2397200</v>
      </c>
      <c r="F407" s="296">
        <f t="shared" ref="F407" si="204">SUM(F394:F406)</f>
        <v>2403100</v>
      </c>
      <c r="G407" s="296">
        <f t="shared" ref="G407" si="205">SUM(G394:G406)</f>
        <v>2409200</v>
      </c>
      <c r="H407" s="296">
        <f t="shared" ref="H407" si="206">SUM(H394:H406)</f>
        <v>2415500</v>
      </c>
      <c r="I407" s="296">
        <f t="shared" ref="I407" si="207">SUM(I394:I406)</f>
        <v>2421900</v>
      </c>
      <c r="J407" s="296">
        <f t="shared" ref="J407" si="208">SUM(J394:J406)</f>
        <v>2428400</v>
      </c>
    </row>
    <row r="408" spans="1:10" x14ac:dyDescent="0.25">
      <c r="B408" s="293"/>
      <c r="C408" s="293"/>
      <c r="D408" s="293"/>
      <c r="E408" s="293"/>
      <c r="F408" s="293"/>
      <c r="G408" s="293"/>
      <c r="H408" s="293"/>
      <c r="I408" s="293"/>
      <c r="J408" s="293"/>
    </row>
    <row r="409" spans="1:10" ht="15.75" thickBot="1" x14ac:dyDescent="0.3">
      <c r="A409" s="47" t="s">
        <v>4268</v>
      </c>
      <c r="B409" s="301">
        <f>B391-B407</f>
        <v>-1007000</v>
      </c>
      <c r="C409" s="301">
        <f t="shared" ref="C409:J409" si="209">C391-C407</f>
        <v>0</v>
      </c>
      <c r="D409" s="301">
        <f t="shared" si="209"/>
        <v>0</v>
      </c>
      <c r="E409" s="301">
        <f t="shared" si="209"/>
        <v>0</v>
      </c>
      <c r="F409" s="301">
        <f t="shared" si="209"/>
        <v>0</v>
      </c>
      <c r="G409" s="301">
        <f t="shared" si="209"/>
        <v>0</v>
      </c>
      <c r="H409" s="301">
        <f t="shared" si="209"/>
        <v>0</v>
      </c>
      <c r="I409" s="301">
        <f t="shared" si="209"/>
        <v>0</v>
      </c>
      <c r="J409" s="301">
        <f t="shared" si="209"/>
        <v>0</v>
      </c>
    </row>
    <row r="410" spans="1:10" ht="15.75" thickTop="1" x14ac:dyDescent="0.25">
      <c r="B410" s="293"/>
      <c r="C410" s="293"/>
      <c r="D410" s="293"/>
      <c r="E410" s="293"/>
      <c r="F410" s="293"/>
      <c r="G410" s="293"/>
      <c r="H410" s="293"/>
      <c r="I410" s="293"/>
      <c r="J410" s="293"/>
    </row>
    <row r="411" spans="1:10" x14ac:dyDescent="0.25">
      <c r="A411" s="281"/>
      <c r="B411" s="316"/>
      <c r="C411" s="316"/>
      <c r="D411" s="316"/>
      <c r="E411" s="316"/>
      <c r="F411" s="316"/>
      <c r="G411" s="316"/>
      <c r="H411" s="316"/>
      <c r="I411" s="316"/>
      <c r="J411" s="316"/>
    </row>
    <row r="412" spans="1:10" x14ac:dyDescent="0.25">
      <c r="B412" s="293"/>
      <c r="C412" s="293"/>
      <c r="D412" s="293"/>
      <c r="E412" s="293"/>
      <c r="F412" s="293"/>
      <c r="G412" s="293"/>
      <c r="H412" s="293"/>
      <c r="I412" s="293"/>
      <c r="J412" s="293"/>
    </row>
    <row r="413" spans="1:10" x14ac:dyDescent="0.25">
      <c r="A413" s="280" t="s">
        <v>4281</v>
      </c>
      <c r="B413" s="293"/>
      <c r="C413" s="293"/>
      <c r="D413" s="293"/>
      <c r="E413" s="293"/>
      <c r="F413" s="293"/>
      <c r="G413" s="293"/>
      <c r="H413" s="293"/>
      <c r="I413" s="293"/>
      <c r="J413" s="293"/>
    </row>
    <row r="414" spans="1:10" x14ac:dyDescent="0.25">
      <c r="B414" s="293"/>
      <c r="C414" s="293"/>
      <c r="D414" s="293"/>
      <c r="E414" s="293"/>
      <c r="F414" s="293"/>
      <c r="G414" s="293"/>
      <c r="H414" s="293"/>
      <c r="I414" s="293"/>
      <c r="J414" s="293"/>
    </row>
    <row r="415" spans="1:10" x14ac:dyDescent="0.25">
      <c r="A415" s="47" t="s">
        <v>4260</v>
      </c>
      <c r="B415" s="293"/>
      <c r="C415" s="293"/>
      <c r="D415" s="293"/>
      <c r="E415" s="293"/>
      <c r="F415" s="293"/>
      <c r="G415" s="293"/>
      <c r="H415" s="293"/>
      <c r="I415" s="293"/>
      <c r="J415" s="293"/>
    </row>
    <row r="416" spans="1:10" x14ac:dyDescent="0.25">
      <c r="A416" t="s">
        <v>4262</v>
      </c>
      <c r="B416" s="293"/>
      <c r="C416" s="293"/>
      <c r="D416" s="293"/>
      <c r="E416" s="293"/>
      <c r="F416" s="293"/>
      <c r="G416" s="293"/>
      <c r="H416" s="293"/>
      <c r="I416" s="293"/>
      <c r="J416" s="293"/>
    </row>
    <row r="417" spans="1:10" x14ac:dyDescent="0.25">
      <c r="A417" t="s">
        <v>4261</v>
      </c>
      <c r="B417" s="293"/>
      <c r="C417" s="293"/>
      <c r="D417" s="293"/>
      <c r="E417" s="293"/>
      <c r="F417" s="293"/>
      <c r="G417" s="293"/>
      <c r="H417" s="293"/>
      <c r="I417" s="293"/>
      <c r="J417" s="293"/>
    </row>
    <row r="418" spans="1:10" x14ac:dyDescent="0.25">
      <c r="A418" t="s">
        <v>66</v>
      </c>
      <c r="B418" s="293"/>
      <c r="C418" s="293"/>
      <c r="D418" s="293"/>
      <c r="E418" s="293"/>
      <c r="F418" s="293"/>
      <c r="G418" s="293"/>
      <c r="H418" s="293"/>
      <c r="I418" s="293"/>
      <c r="J418" s="293"/>
    </row>
    <row r="419" spans="1:10" x14ac:dyDescent="0.25">
      <c r="B419" s="293"/>
      <c r="C419" s="293"/>
      <c r="D419" s="293"/>
      <c r="E419" s="293"/>
      <c r="F419" s="293"/>
      <c r="G419" s="293"/>
      <c r="H419" s="293"/>
      <c r="I419" s="293"/>
      <c r="J419" s="293"/>
    </row>
    <row r="420" spans="1:10" x14ac:dyDescent="0.25">
      <c r="B420" s="293"/>
      <c r="C420" s="293"/>
      <c r="D420" s="293"/>
      <c r="E420" s="293"/>
      <c r="F420" s="293"/>
      <c r="G420" s="293"/>
      <c r="H420" s="293"/>
      <c r="I420" s="293"/>
      <c r="J420" s="293"/>
    </row>
    <row r="421" spans="1:10" x14ac:dyDescent="0.25">
      <c r="B421" s="293"/>
      <c r="C421" s="293"/>
      <c r="D421" s="293"/>
      <c r="E421" s="293"/>
      <c r="F421" s="293"/>
      <c r="G421" s="293"/>
      <c r="H421" s="293"/>
      <c r="I421" s="293"/>
      <c r="J421" s="293"/>
    </row>
    <row r="422" spans="1:10" x14ac:dyDescent="0.25">
      <c r="B422" s="293"/>
      <c r="C422" s="293"/>
      <c r="D422" s="293"/>
      <c r="E422" s="293"/>
      <c r="F422" s="293"/>
      <c r="G422" s="293"/>
      <c r="H422" s="293"/>
      <c r="I422" s="293"/>
      <c r="J422" s="293"/>
    </row>
    <row r="423" spans="1:10" x14ac:dyDescent="0.25">
      <c r="A423" s="47" t="s">
        <v>4263</v>
      </c>
      <c r="B423" s="296">
        <f>SUM(B413:B422)</f>
        <v>0</v>
      </c>
      <c r="C423" s="296">
        <f t="shared" ref="C423" si="210">SUM(C413:C422)</f>
        <v>0</v>
      </c>
      <c r="D423" s="296">
        <f t="shared" ref="D423" si="211">SUM(D413:D422)</f>
        <v>0</v>
      </c>
      <c r="E423" s="296">
        <f t="shared" ref="E423" si="212">SUM(E413:E422)</f>
        <v>0</v>
      </c>
      <c r="F423" s="296">
        <f t="shared" ref="F423" si="213">SUM(F413:F422)</f>
        <v>0</v>
      </c>
      <c r="G423" s="296">
        <f t="shared" ref="G423" si="214">SUM(G413:G422)</f>
        <v>0</v>
      </c>
      <c r="H423" s="296">
        <f t="shared" ref="H423" si="215">SUM(H413:H422)</f>
        <v>0</v>
      </c>
      <c r="I423" s="296">
        <f t="shared" ref="I423" si="216">SUM(I413:I422)</f>
        <v>0</v>
      </c>
      <c r="J423" s="296">
        <f t="shared" ref="J423" si="217">SUM(J413:J422)</f>
        <v>0</v>
      </c>
    </row>
    <row r="424" spans="1:10" x14ac:dyDescent="0.25">
      <c r="B424" s="293"/>
      <c r="C424" s="293"/>
      <c r="D424" s="293"/>
      <c r="E424" s="293"/>
      <c r="F424" s="293"/>
      <c r="G424" s="293"/>
      <c r="H424" s="293"/>
      <c r="I424" s="293"/>
      <c r="J424" s="293"/>
    </row>
    <row r="425" spans="1:10" x14ac:dyDescent="0.25">
      <c r="A425" s="47" t="s">
        <v>4264</v>
      </c>
      <c r="B425" s="293"/>
      <c r="C425" s="293"/>
      <c r="D425" s="293"/>
      <c r="E425" s="293"/>
      <c r="F425" s="293"/>
      <c r="G425" s="293"/>
      <c r="H425" s="293"/>
      <c r="I425" s="293"/>
      <c r="J425" s="293"/>
    </row>
    <row r="426" spans="1:10" x14ac:dyDescent="0.25">
      <c r="A426" t="s">
        <v>87</v>
      </c>
      <c r="B426" s="293"/>
      <c r="C426" s="293"/>
      <c r="D426" s="293"/>
      <c r="E426" s="293"/>
      <c r="F426" s="293"/>
      <c r="G426" s="293"/>
      <c r="H426" s="293"/>
      <c r="I426" s="293"/>
      <c r="J426" s="293"/>
    </row>
    <row r="427" spans="1:10" x14ac:dyDescent="0.25">
      <c r="A427" t="s">
        <v>4265</v>
      </c>
      <c r="B427" s="293"/>
      <c r="C427" s="293"/>
      <c r="D427" s="293"/>
      <c r="E427" s="293"/>
      <c r="F427" s="293"/>
      <c r="G427" s="293"/>
      <c r="H427" s="293"/>
      <c r="I427" s="293"/>
      <c r="J427" s="293"/>
    </row>
    <row r="428" spans="1:10" x14ac:dyDescent="0.25">
      <c r="B428" s="293"/>
      <c r="C428" s="293"/>
      <c r="D428" s="293"/>
      <c r="E428" s="293"/>
      <c r="F428" s="293"/>
      <c r="G428" s="293"/>
      <c r="H428" s="293"/>
      <c r="I428" s="293"/>
      <c r="J428" s="293"/>
    </row>
    <row r="429" spans="1:10" x14ac:dyDescent="0.25">
      <c r="B429" s="293"/>
      <c r="C429" s="293"/>
      <c r="D429" s="293"/>
      <c r="E429" s="293"/>
      <c r="F429" s="293"/>
      <c r="G429" s="293"/>
      <c r="H429" s="293"/>
      <c r="I429" s="293"/>
      <c r="J429" s="293"/>
    </row>
    <row r="430" spans="1:10" x14ac:dyDescent="0.25">
      <c r="B430" s="293"/>
      <c r="C430" s="293"/>
      <c r="D430" s="293"/>
      <c r="E430" s="293"/>
      <c r="F430" s="293"/>
      <c r="G430" s="293"/>
      <c r="H430" s="293"/>
      <c r="I430" s="293"/>
      <c r="J430" s="293"/>
    </row>
    <row r="431" spans="1:10" x14ac:dyDescent="0.25">
      <c r="B431" s="293"/>
      <c r="C431" s="293"/>
      <c r="D431" s="293"/>
      <c r="E431" s="293"/>
      <c r="F431" s="293"/>
      <c r="G431" s="293"/>
      <c r="H431" s="293"/>
      <c r="I431" s="293"/>
      <c r="J431" s="293"/>
    </row>
    <row r="432" spans="1:10" x14ac:dyDescent="0.25">
      <c r="A432" t="s">
        <v>4266</v>
      </c>
      <c r="B432" s="293"/>
      <c r="C432" s="293"/>
      <c r="D432" s="293"/>
      <c r="E432" s="293"/>
      <c r="F432" s="293"/>
      <c r="G432" s="293"/>
      <c r="H432" s="293"/>
      <c r="I432" s="293"/>
      <c r="J432" s="293"/>
    </row>
    <row r="433" spans="1:10" x14ac:dyDescent="0.25">
      <c r="A433" t="s">
        <v>66</v>
      </c>
      <c r="B433" s="293"/>
      <c r="C433" s="293"/>
      <c r="D433" s="293"/>
      <c r="E433" s="293"/>
      <c r="F433" s="293"/>
      <c r="G433" s="293"/>
      <c r="H433" s="293"/>
      <c r="I433" s="293"/>
      <c r="J433" s="293"/>
    </row>
    <row r="434" spans="1:10" x14ac:dyDescent="0.25">
      <c r="B434" s="293"/>
      <c r="C434" s="293"/>
      <c r="D434" s="293"/>
      <c r="E434" s="293"/>
      <c r="F434" s="293"/>
      <c r="G434" s="293"/>
      <c r="H434" s="293"/>
      <c r="I434" s="293"/>
      <c r="J434" s="293"/>
    </row>
    <row r="435" spans="1:10" x14ac:dyDescent="0.25">
      <c r="B435" s="293"/>
      <c r="C435" s="293"/>
      <c r="D435" s="293"/>
      <c r="E435" s="293"/>
      <c r="F435" s="293"/>
      <c r="G435" s="293"/>
      <c r="H435" s="293"/>
      <c r="I435" s="293"/>
      <c r="J435" s="293"/>
    </row>
    <row r="436" spans="1:10" x14ac:dyDescent="0.25">
      <c r="B436" s="293"/>
      <c r="C436" s="293"/>
      <c r="D436" s="293"/>
      <c r="E436" s="293"/>
      <c r="F436" s="293"/>
      <c r="G436" s="293"/>
      <c r="H436" s="293"/>
      <c r="I436" s="293"/>
      <c r="J436" s="293"/>
    </row>
    <row r="437" spans="1:10" x14ac:dyDescent="0.25">
      <c r="B437" s="293"/>
      <c r="C437" s="293"/>
      <c r="D437" s="293"/>
      <c r="E437" s="293"/>
      <c r="F437" s="293"/>
      <c r="G437" s="293"/>
      <c r="H437" s="293"/>
      <c r="I437" s="293"/>
      <c r="J437" s="293"/>
    </row>
    <row r="438" spans="1:10" x14ac:dyDescent="0.25">
      <c r="A438" s="47" t="s">
        <v>4267</v>
      </c>
      <c r="B438" s="296">
        <f>SUM(B426:B437)</f>
        <v>0</v>
      </c>
      <c r="C438" s="296">
        <f t="shared" ref="C438" si="218">SUM(C426:C437)</f>
        <v>0</v>
      </c>
      <c r="D438" s="296">
        <f t="shared" ref="D438" si="219">SUM(D426:D437)</f>
        <v>0</v>
      </c>
      <c r="E438" s="296">
        <f t="shared" ref="E438" si="220">SUM(E426:E437)</f>
        <v>0</v>
      </c>
      <c r="F438" s="296">
        <f t="shared" ref="F438" si="221">SUM(F426:F437)</f>
        <v>0</v>
      </c>
      <c r="G438" s="296">
        <f t="shared" ref="G438" si="222">SUM(G426:G437)</f>
        <v>0</v>
      </c>
      <c r="H438" s="296">
        <f t="shared" ref="H438" si="223">SUM(H426:H437)</f>
        <v>0</v>
      </c>
      <c r="I438" s="296">
        <f t="shared" ref="I438" si="224">SUM(I426:I437)</f>
        <v>0</v>
      </c>
      <c r="J438" s="296">
        <f t="shared" ref="J438" si="225">SUM(J426:J437)</f>
        <v>0</v>
      </c>
    </row>
    <row r="439" spans="1:10" x14ac:dyDescent="0.25">
      <c r="B439" s="293"/>
      <c r="C439" s="293"/>
      <c r="D439" s="293"/>
      <c r="E439" s="293"/>
      <c r="F439" s="293"/>
      <c r="G439" s="293"/>
      <c r="H439" s="293"/>
      <c r="I439" s="293"/>
      <c r="J439" s="293"/>
    </row>
    <row r="440" spans="1:10" ht="15.75" thickBot="1" x14ac:dyDescent="0.3">
      <c r="A440" s="47" t="s">
        <v>4268</v>
      </c>
      <c r="B440" s="301">
        <f>B423-B438</f>
        <v>0</v>
      </c>
      <c r="C440" s="301">
        <f t="shared" ref="C440:J440" si="226">C423-C438</f>
        <v>0</v>
      </c>
      <c r="D440" s="301">
        <f t="shared" si="226"/>
        <v>0</v>
      </c>
      <c r="E440" s="301">
        <f t="shared" si="226"/>
        <v>0</v>
      </c>
      <c r="F440" s="301">
        <f t="shared" si="226"/>
        <v>0</v>
      </c>
      <c r="G440" s="301">
        <f t="shared" si="226"/>
        <v>0</v>
      </c>
      <c r="H440" s="301">
        <f t="shared" si="226"/>
        <v>0</v>
      </c>
      <c r="I440" s="301">
        <f t="shared" si="226"/>
        <v>0</v>
      </c>
      <c r="J440" s="301">
        <f t="shared" si="226"/>
        <v>0</v>
      </c>
    </row>
    <row r="441" spans="1:10" ht="15.75" thickTop="1" x14ac:dyDescent="0.25">
      <c r="B441" s="293"/>
      <c r="C441" s="293"/>
      <c r="D441" s="293"/>
      <c r="E441" s="293"/>
      <c r="F441" s="293"/>
      <c r="G441" s="293"/>
      <c r="H441" s="293"/>
      <c r="I441" s="293"/>
      <c r="J441" s="293"/>
    </row>
    <row r="442" spans="1:10" x14ac:dyDescent="0.25">
      <c r="A442" s="281"/>
      <c r="B442" s="316"/>
      <c r="C442" s="316"/>
      <c r="D442" s="316"/>
      <c r="E442" s="316"/>
      <c r="F442" s="316"/>
      <c r="G442" s="316"/>
      <c r="H442" s="316"/>
      <c r="I442" s="316"/>
      <c r="J442" s="316"/>
    </row>
    <row r="443" spans="1:10" x14ac:dyDescent="0.25">
      <c r="B443" s="293"/>
      <c r="C443" s="293"/>
      <c r="D443" s="293"/>
      <c r="E443" s="293"/>
      <c r="F443" s="293"/>
      <c r="G443" s="293"/>
      <c r="H443" s="293"/>
      <c r="I443" s="293"/>
      <c r="J443" s="293"/>
    </row>
    <row r="444" spans="1:10" x14ac:dyDescent="0.25">
      <c r="A444" s="280" t="s">
        <v>4282</v>
      </c>
      <c r="B444" s="293"/>
      <c r="C444" s="293"/>
      <c r="D444" s="293"/>
      <c r="E444" s="293"/>
      <c r="F444" s="293"/>
      <c r="G444" s="293"/>
      <c r="H444" s="293"/>
      <c r="I444" s="293"/>
      <c r="J444" s="293"/>
    </row>
    <row r="445" spans="1:10" x14ac:dyDescent="0.25">
      <c r="B445" s="293"/>
      <c r="C445" s="293"/>
      <c r="D445" s="293"/>
      <c r="E445" s="293"/>
      <c r="F445" s="293"/>
      <c r="G445" s="293"/>
      <c r="H445" s="293"/>
      <c r="I445" s="293"/>
      <c r="J445" s="293"/>
    </row>
    <row r="446" spans="1:10" x14ac:dyDescent="0.25">
      <c r="A446" s="47" t="s">
        <v>4260</v>
      </c>
      <c r="B446" s="293"/>
      <c r="C446" s="293"/>
      <c r="D446" s="293"/>
      <c r="E446" s="293"/>
      <c r="F446" s="293"/>
      <c r="G446" s="293"/>
      <c r="H446" s="293"/>
      <c r="I446" s="293"/>
      <c r="J446" s="293"/>
    </row>
    <row r="447" spans="1:10" x14ac:dyDescent="0.25">
      <c r="A447" t="s">
        <v>4262</v>
      </c>
      <c r="B447" s="293"/>
      <c r="C447" s="293"/>
      <c r="D447" s="293"/>
      <c r="E447" s="293"/>
      <c r="F447" s="293"/>
      <c r="G447" s="293"/>
      <c r="H447" s="293"/>
      <c r="I447" s="293"/>
      <c r="J447" s="293"/>
    </row>
    <row r="448" spans="1:10" x14ac:dyDescent="0.25">
      <c r="A448" t="s">
        <v>4261</v>
      </c>
      <c r="B448" s="293"/>
      <c r="C448" s="293"/>
      <c r="D448" s="293"/>
      <c r="E448" s="293"/>
      <c r="F448" s="293"/>
      <c r="G448" s="293"/>
      <c r="H448" s="293"/>
      <c r="I448" s="293"/>
      <c r="J448" s="293"/>
    </row>
    <row r="449" spans="1:10" x14ac:dyDescent="0.25">
      <c r="A449" t="s">
        <v>66</v>
      </c>
      <c r="B449" s="293"/>
      <c r="C449" s="293"/>
      <c r="D449" s="293"/>
      <c r="E449" s="293"/>
      <c r="F449" s="293"/>
      <c r="G449" s="293"/>
      <c r="H449" s="293"/>
      <c r="I449" s="293"/>
      <c r="J449" s="293"/>
    </row>
    <row r="450" spans="1:10" x14ac:dyDescent="0.25">
      <c r="B450" s="293"/>
      <c r="C450" s="293"/>
      <c r="D450" s="293"/>
      <c r="E450" s="293"/>
      <c r="F450" s="293"/>
      <c r="G450" s="293"/>
      <c r="H450" s="293"/>
      <c r="I450" s="293"/>
      <c r="J450" s="293"/>
    </row>
    <row r="451" spans="1:10" x14ac:dyDescent="0.25">
      <c r="B451" s="293"/>
      <c r="C451" s="293"/>
      <c r="D451" s="293"/>
      <c r="E451" s="293"/>
      <c r="F451" s="293"/>
      <c r="G451" s="293"/>
      <c r="H451" s="293"/>
      <c r="I451" s="293"/>
      <c r="J451" s="293"/>
    </row>
    <row r="452" spans="1:10" x14ac:dyDescent="0.25">
      <c r="B452" s="293"/>
      <c r="C452" s="293"/>
      <c r="D452" s="293"/>
      <c r="E452" s="293"/>
      <c r="F452" s="293"/>
      <c r="G452" s="293"/>
      <c r="H452" s="293"/>
      <c r="I452" s="293"/>
      <c r="J452" s="293"/>
    </row>
    <row r="453" spans="1:10" x14ac:dyDescent="0.25">
      <c r="B453" s="293"/>
      <c r="C453" s="293"/>
      <c r="D453" s="293"/>
      <c r="E453" s="293"/>
      <c r="F453" s="293"/>
      <c r="G453" s="293"/>
      <c r="H453" s="293"/>
      <c r="I453" s="293"/>
      <c r="J453" s="293"/>
    </row>
    <row r="454" spans="1:10" x14ac:dyDescent="0.25">
      <c r="A454" s="47" t="s">
        <v>4263</v>
      </c>
      <c r="B454" s="296">
        <f>SUM(B444:B453)</f>
        <v>0</v>
      </c>
      <c r="C454" s="296">
        <f t="shared" ref="C454" si="227">SUM(C444:C453)</f>
        <v>0</v>
      </c>
      <c r="D454" s="296">
        <f t="shared" ref="D454" si="228">SUM(D444:D453)</f>
        <v>0</v>
      </c>
      <c r="E454" s="296">
        <f t="shared" ref="E454" si="229">SUM(E444:E453)</f>
        <v>0</v>
      </c>
      <c r="F454" s="296">
        <f t="shared" ref="F454" si="230">SUM(F444:F453)</f>
        <v>0</v>
      </c>
      <c r="G454" s="296">
        <f t="shared" ref="G454" si="231">SUM(G444:G453)</f>
        <v>0</v>
      </c>
      <c r="H454" s="296">
        <f t="shared" ref="H454" si="232">SUM(H444:H453)</f>
        <v>0</v>
      </c>
      <c r="I454" s="296">
        <f t="shared" ref="I454" si="233">SUM(I444:I453)</f>
        <v>0</v>
      </c>
      <c r="J454" s="296">
        <f t="shared" ref="J454" si="234">SUM(J444:J453)</f>
        <v>0</v>
      </c>
    </row>
    <row r="455" spans="1:10" x14ac:dyDescent="0.25">
      <c r="B455" s="293"/>
      <c r="C455" s="293"/>
      <c r="D455" s="293"/>
      <c r="E455" s="293"/>
      <c r="F455" s="293"/>
      <c r="G455" s="293"/>
      <c r="H455" s="293"/>
      <c r="I455" s="293"/>
      <c r="J455" s="293"/>
    </row>
    <row r="456" spans="1:10" x14ac:dyDescent="0.25">
      <c r="A456" s="47" t="s">
        <v>4264</v>
      </c>
      <c r="B456" s="293"/>
      <c r="C456" s="293"/>
      <c r="D456" s="293"/>
      <c r="E456" s="293"/>
      <c r="F456" s="293"/>
      <c r="G456" s="293"/>
      <c r="H456" s="293"/>
      <c r="I456" s="293"/>
      <c r="J456" s="293"/>
    </row>
    <row r="457" spans="1:10" x14ac:dyDescent="0.25">
      <c r="A457" t="s">
        <v>87</v>
      </c>
      <c r="B457" s="293"/>
      <c r="C457" s="293"/>
      <c r="D457" s="293"/>
      <c r="E457" s="293"/>
      <c r="F457" s="293"/>
      <c r="G457" s="293"/>
      <c r="H457" s="293"/>
      <c r="I457" s="293"/>
      <c r="J457" s="293"/>
    </row>
    <row r="458" spans="1:10" x14ac:dyDescent="0.25">
      <c r="A458" t="s">
        <v>4265</v>
      </c>
      <c r="B458" s="293"/>
      <c r="C458" s="293"/>
      <c r="D458" s="293"/>
      <c r="E458" s="293"/>
      <c r="F458" s="293"/>
      <c r="G458" s="293"/>
      <c r="H458" s="293"/>
      <c r="I458" s="293"/>
      <c r="J458" s="293"/>
    </row>
    <row r="459" spans="1:10" x14ac:dyDescent="0.25">
      <c r="B459" s="293"/>
      <c r="C459" s="293"/>
      <c r="D459" s="293"/>
      <c r="E459" s="293"/>
      <c r="F459" s="293"/>
      <c r="G459" s="293"/>
      <c r="H459" s="293"/>
      <c r="I459" s="293"/>
      <c r="J459" s="293"/>
    </row>
    <row r="460" spans="1:10" x14ac:dyDescent="0.25">
      <c r="B460" s="293"/>
      <c r="C460" s="293"/>
      <c r="D460" s="293"/>
      <c r="E460" s="293"/>
      <c r="F460" s="293"/>
      <c r="G460" s="293"/>
      <c r="H460" s="293"/>
      <c r="I460" s="293"/>
      <c r="J460" s="293"/>
    </row>
    <row r="461" spans="1:10" x14ac:dyDescent="0.25">
      <c r="B461" s="293"/>
      <c r="C461" s="293"/>
      <c r="D461" s="293"/>
      <c r="E461" s="293"/>
      <c r="F461" s="293"/>
      <c r="G461" s="293"/>
      <c r="H461" s="293"/>
      <c r="I461" s="293"/>
      <c r="J461" s="293"/>
    </row>
    <row r="462" spans="1:10" x14ac:dyDescent="0.25">
      <c r="B462" s="293"/>
      <c r="C462" s="293"/>
      <c r="D462" s="293"/>
      <c r="E462" s="293"/>
      <c r="F462" s="293"/>
      <c r="G462" s="293"/>
      <c r="H462" s="293"/>
      <c r="I462" s="293"/>
      <c r="J462" s="293"/>
    </row>
    <row r="463" spans="1:10" x14ac:dyDescent="0.25">
      <c r="A463" t="s">
        <v>4266</v>
      </c>
      <c r="B463" s="293"/>
      <c r="C463" s="293"/>
      <c r="D463" s="293"/>
      <c r="E463" s="293"/>
      <c r="F463" s="293"/>
      <c r="G463" s="293"/>
      <c r="H463" s="293"/>
      <c r="I463" s="293"/>
      <c r="J463" s="293"/>
    </row>
    <row r="464" spans="1:10" x14ac:dyDescent="0.25">
      <c r="A464" t="s">
        <v>66</v>
      </c>
      <c r="B464" s="293"/>
      <c r="C464" s="293"/>
      <c r="D464" s="293"/>
      <c r="E464" s="293"/>
      <c r="F464" s="293"/>
      <c r="G464" s="293"/>
      <c r="H464" s="293"/>
      <c r="I464" s="293"/>
      <c r="J464" s="293"/>
    </row>
    <row r="465" spans="1:10" x14ac:dyDescent="0.25">
      <c r="B465" s="293"/>
      <c r="C465" s="293"/>
      <c r="D465" s="293"/>
      <c r="E465" s="293"/>
      <c r="F465" s="293"/>
      <c r="G465" s="293"/>
      <c r="H465" s="293"/>
      <c r="I465" s="293"/>
      <c r="J465" s="293"/>
    </row>
    <row r="466" spans="1:10" x14ac:dyDescent="0.25">
      <c r="B466" s="293"/>
      <c r="C466" s="293"/>
      <c r="D466" s="293"/>
      <c r="E466" s="293"/>
      <c r="F466" s="293"/>
      <c r="G466" s="293"/>
      <c r="H466" s="293"/>
      <c r="I466" s="293"/>
      <c r="J466" s="293"/>
    </row>
    <row r="467" spans="1:10" x14ac:dyDescent="0.25">
      <c r="B467" s="293"/>
      <c r="C467" s="293"/>
      <c r="D467" s="293"/>
      <c r="E467" s="293"/>
      <c r="F467" s="293"/>
      <c r="G467" s="293"/>
      <c r="H467" s="293"/>
      <c r="I467" s="293"/>
      <c r="J467" s="293"/>
    </row>
    <row r="468" spans="1:10" x14ac:dyDescent="0.25">
      <c r="B468" s="293"/>
      <c r="C468" s="293"/>
      <c r="D468" s="293"/>
      <c r="E468" s="293"/>
      <c r="F468" s="293"/>
      <c r="G468" s="293"/>
      <c r="H468" s="293"/>
      <c r="I468" s="293"/>
      <c r="J468" s="293"/>
    </row>
    <row r="469" spans="1:10" x14ac:dyDescent="0.25">
      <c r="A469" s="47" t="s">
        <v>4267</v>
      </c>
      <c r="B469" s="296">
        <f>SUM(B457:B468)</f>
        <v>0</v>
      </c>
      <c r="C469" s="296">
        <f t="shared" ref="C469" si="235">SUM(C457:C468)</f>
        <v>0</v>
      </c>
      <c r="D469" s="296">
        <f t="shared" ref="D469" si="236">SUM(D457:D468)</f>
        <v>0</v>
      </c>
      <c r="E469" s="296">
        <f t="shared" ref="E469" si="237">SUM(E457:E468)</f>
        <v>0</v>
      </c>
      <c r="F469" s="296">
        <f t="shared" ref="F469" si="238">SUM(F457:F468)</f>
        <v>0</v>
      </c>
      <c r="G469" s="296">
        <f t="shared" ref="G469" si="239">SUM(G457:G468)</f>
        <v>0</v>
      </c>
      <c r="H469" s="296">
        <f t="shared" ref="H469" si="240">SUM(H457:H468)</f>
        <v>0</v>
      </c>
      <c r="I469" s="296">
        <f t="shared" ref="I469" si="241">SUM(I457:I468)</f>
        <v>0</v>
      </c>
      <c r="J469" s="296">
        <f t="shared" ref="J469" si="242">SUM(J457:J468)</f>
        <v>0</v>
      </c>
    </row>
    <row r="470" spans="1:10" x14ac:dyDescent="0.25">
      <c r="B470" s="293"/>
      <c r="C470" s="293"/>
      <c r="D470" s="293"/>
      <c r="E470" s="293"/>
      <c r="F470" s="293"/>
      <c r="G470" s="293"/>
      <c r="H470" s="293"/>
      <c r="I470" s="293"/>
      <c r="J470" s="293"/>
    </row>
    <row r="471" spans="1:10" ht="15.75" thickBot="1" x14ac:dyDescent="0.3">
      <c r="A471" s="47" t="s">
        <v>4268</v>
      </c>
      <c r="B471" s="301">
        <f>B454-B469</f>
        <v>0</v>
      </c>
      <c r="C471" s="301">
        <f t="shared" ref="C471:J471" si="243">C454-C469</f>
        <v>0</v>
      </c>
      <c r="D471" s="301">
        <f t="shared" si="243"/>
        <v>0</v>
      </c>
      <c r="E471" s="301">
        <f t="shared" si="243"/>
        <v>0</v>
      </c>
      <c r="F471" s="301">
        <f t="shared" si="243"/>
        <v>0</v>
      </c>
      <c r="G471" s="301">
        <f t="shared" si="243"/>
        <v>0</v>
      </c>
      <c r="H471" s="301">
        <f t="shared" si="243"/>
        <v>0</v>
      </c>
      <c r="I471" s="301">
        <f t="shared" si="243"/>
        <v>0</v>
      </c>
      <c r="J471" s="301">
        <f t="shared" si="243"/>
        <v>0</v>
      </c>
    </row>
    <row r="472" spans="1:10" ht="15.75" thickTop="1" x14ac:dyDescent="0.25">
      <c r="B472" s="293"/>
      <c r="C472" s="293"/>
      <c r="D472" s="293"/>
      <c r="E472" s="293"/>
      <c r="F472" s="293"/>
      <c r="G472" s="293"/>
      <c r="H472" s="293"/>
      <c r="I472" s="293"/>
      <c r="J472" s="293"/>
    </row>
    <row r="473" spans="1:10" x14ac:dyDescent="0.25">
      <c r="A473" s="281"/>
      <c r="B473" s="316"/>
      <c r="C473" s="316"/>
      <c r="D473" s="316"/>
      <c r="E473" s="316"/>
      <c r="F473" s="316"/>
      <c r="G473" s="316"/>
      <c r="H473" s="316"/>
      <c r="I473" s="316"/>
      <c r="J473" s="316"/>
    </row>
    <row r="474" spans="1:10" x14ac:dyDescent="0.25">
      <c r="B474" s="293"/>
      <c r="C474" s="293"/>
      <c r="D474" s="293"/>
      <c r="E474" s="293"/>
      <c r="F474" s="293"/>
      <c r="G474" s="293"/>
      <c r="H474" s="293"/>
      <c r="I474" s="293"/>
      <c r="J474" s="293"/>
    </row>
    <row r="475" spans="1:10" x14ac:dyDescent="0.25">
      <c r="A475" s="280" t="s">
        <v>4283</v>
      </c>
      <c r="B475" s="293"/>
      <c r="C475" s="293"/>
      <c r="D475" s="293"/>
      <c r="E475" s="293"/>
      <c r="F475" s="293"/>
      <c r="G475" s="293"/>
      <c r="H475" s="293"/>
      <c r="I475" s="293"/>
      <c r="J475" s="293"/>
    </row>
    <row r="476" spans="1:10" x14ac:dyDescent="0.25">
      <c r="B476" s="293"/>
      <c r="C476" s="293"/>
      <c r="D476" s="293"/>
      <c r="E476" s="293"/>
      <c r="F476" s="293"/>
      <c r="G476" s="293"/>
      <c r="H476" s="293"/>
      <c r="I476" s="293"/>
      <c r="J476" s="293"/>
    </row>
    <row r="477" spans="1:10" x14ac:dyDescent="0.25">
      <c r="A477" s="47" t="s">
        <v>4260</v>
      </c>
      <c r="B477" s="293"/>
      <c r="C477" s="293"/>
      <c r="D477" s="293"/>
      <c r="E477" s="293"/>
      <c r="F477" s="293"/>
      <c r="G477" s="293"/>
      <c r="H477" s="293"/>
      <c r="I477" s="293"/>
      <c r="J477" s="293"/>
    </row>
    <row r="478" spans="1:10" x14ac:dyDescent="0.25">
      <c r="A478" t="s">
        <v>4262</v>
      </c>
      <c r="B478" s="293"/>
      <c r="C478" s="293"/>
      <c r="D478" s="293"/>
      <c r="E478" s="293"/>
      <c r="F478" s="293"/>
      <c r="G478" s="293"/>
      <c r="H478" s="293"/>
      <c r="I478" s="293"/>
      <c r="J478" s="293"/>
    </row>
    <row r="479" spans="1:10" x14ac:dyDescent="0.25">
      <c r="A479" t="s">
        <v>4261</v>
      </c>
      <c r="B479" s="293"/>
      <c r="C479" s="293"/>
      <c r="D479" s="293"/>
      <c r="E479" s="293"/>
      <c r="F479" s="293"/>
      <c r="G479" s="293"/>
      <c r="H479" s="293"/>
      <c r="I479" s="293"/>
      <c r="J479" s="293"/>
    </row>
    <row r="480" spans="1:10" x14ac:dyDescent="0.25">
      <c r="A480" t="s">
        <v>66</v>
      </c>
      <c r="B480" s="293"/>
      <c r="C480" s="293"/>
      <c r="D480" s="293"/>
      <c r="E480" s="293"/>
      <c r="F480" s="293"/>
      <c r="G480" s="293"/>
      <c r="H480" s="293"/>
      <c r="I480" s="293"/>
      <c r="J480" s="293"/>
    </row>
    <row r="481" spans="1:10" x14ac:dyDescent="0.25">
      <c r="B481" s="293"/>
      <c r="C481" s="293"/>
      <c r="D481" s="293"/>
      <c r="E481" s="293"/>
      <c r="F481" s="293"/>
      <c r="G481" s="293"/>
      <c r="H481" s="293"/>
      <c r="I481" s="293"/>
      <c r="J481" s="293"/>
    </row>
    <row r="482" spans="1:10" x14ac:dyDescent="0.25">
      <c r="B482" s="293"/>
      <c r="C482" s="293"/>
      <c r="D482" s="293"/>
      <c r="E482" s="293"/>
      <c r="F482" s="293"/>
      <c r="G482" s="293"/>
      <c r="H482" s="293"/>
      <c r="I482" s="293"/>
      <c r="J482" s="293"/>
    </row>
    <row r="483" spans="1:10" x14ac:dyDescent="0.25">
      <c r="B483" s="293"/>
      <c r="C483" s="293"/>
      <c r="D483" s="293"/>
      <c r="E483" s="293"/>
      <c r="F483" s="293"/>
      <c r="G483" s="293"/>
      <c r="H483" s="293"/>
      <c r="I483" s="293"/>
      <c r="J483" s="293"/>
    </row>
    <row r="484" spans="1:10" x14ac:dyDescent="0.25">
      <c r="B484" s="293"/>
      <c r="C484" s="293"/>
      <c r="D484" s="293"/>
      <c r="E484" s="293"/>
      <c r="F484" s="293"/>
      <c r="G484" s="293"/>
      <c r="H484" s="293"/>
      <c r="I484" s="293"/>
      <c r="J484" s="293"/>
    </row>
    <row r="485" spans="1:10" x14ac:dyDescent="0.25">
      <c r="A485" s="47" t="s">
        <v>4263</v>
      </c>
      <c r="B485" s="296">
        <f>SUM(B475:B484)</f>
        <v>0</v>
      </c>
      <c r="C485" s="296">
        <f t="shared" ref="C485" si="244">SUM(C475:C484)</f>
        <v>0</v>
      </c>
      <c r="D485" s="296">
        <f t="shared" ref="D485" si="245">SUM(D475:D484)</f>
        <v>0</v>
      </c>
      <c r="E485" s="296">
        <f t="shared" ref="E485" si="246">SUM(E475:E484)</f>
        <v>0</v>
      </c>
      <c r="F485" s="296">
        <f t="shared" ref="F485" si="247">SUM(F475:F484)</f>
        <v>0</v>
      </c>
      <c r="G485" s="296">
        <f t="shared" ref="G485" si="248">SUM(G475:G484)</f>
        <v>0</v>
      </c>
      <c r="H485" s="296">
        <f t="shared" ref="H485" si="249">SUM(H475:H484)</f>
        <v>0</v>
      </c>
      <c r="I485" s="296">
        <f t="shared" ref="I485" si="250">SUM(I475:I484)</f>
        <v>0</v>
      </c>
      <c r="J485" s="296">
        <f t="shared" ref="J485" si="251">SUM(J475:J484)</f>
        <v>0</v>
      </c>
    </row>
    <row r="486" spans="1:10" x14ac:dyDescent="0.25">
      <c r="B486" s="293"/>
      <c r="C486" s="293"/>
      <c r="D486" s="293"/>
      <c r="E486" s="293"/>
      <c r="F486" s="293"/>
      <c r="G486" s="293"/>
      <c r="H486" s="293"/>
      <c r="I486" s="293"/>
      <c r="J486" s="293"/>
    </row>
    <row r="487" spans="1:10" x14ac:dyDescent="0.25">
      <c r="A487" s="47" t="s">
        <v>4264</v>
      </c>
      <c r="B487" s="293"/>
      <c r="C487" s="293"/>
      <c r="D487" s="293"/>
      <c r="E487" s="293"/>
      <c r="F487" s="293"/>
      <c r="G487" s="293"/>
      <c r="H487" s="293"/>
      <c r="I487" s="293"/>
      <c r="J487" s="293"/>
    </row>
    <row r="488" spans="1:10" x14ac:dyDescent="0.25">
      <c r="A488" t="s">
        <v>87</v>
      </c>
      <c r="B488" s="293"/>
      <c r="C488" s="293"/>
      <c r="D488" s="293"/>
      <c r="E488" s="293"/>
      <c r="F488" s="293"/>
      <c r="G488" s="293"/>
      <c r="H488" s="293"/>
      <c r="I488" s="293"/>
      <c r="J488" s="293"/>
    </row>
    <row r="489" spans="1:10" x14ac:dyDescent="0.25">
      <c r="A489" t="s">
        <v>4265</v>
      </c>
      <c r="B489" s="293"/>
      <c r="C489" s="293"/>
      <c r="D489" s="293"/>
      <c r="E489" s="293"/>
      <c r="F489" s="293"/>
      <c r="G489" s="293"/>
      <c r="H489" s="293"/>
      <c r="I489" s="293"/>
      <c r="J489" s="293"/>
    </row>
    <row r="490" spans="1:10" x14ac:dyDescent="0.25">
      <c r="B490" s="293"/>
      <c r="C490" s="293"/>
      <c r="D490" s="293"/>
      <c r="E490" s="293"/>
      <c r="F490" s="293"/>
      <c r="G490" s="293"/>
      <c r="H490" s="293"/>
      <c r="I490" s="293"/>
      <c r="J490" s="293"/>
    </row>
    <row r="491" spans="1:10" x14ac:dyDescent="0.25">
      <c r="B491" s="293"/>
      <c r="C491" s="293"/>
      <c r="D491" s="293"/>
      <c r="E491" s="293"/>
      <c r="F491" s="293"/>
      <c r="G491" s="293"/>
      <c r="H491" s="293"/>
      <c r="I491" s="293"/>
      <c r="J491" s="293"/>
    </row>
    <row r="492" spans="1:10" x14ac:dyDescent="0.25">
      <c r="B492" s="293"/>
      <c r="C492" s="293"/>
      <c r="D492" s="293"/>
      <c r="E492" s="293"/>
      <c r="F492" s="293"/>
      <c r="G492" s="293"/>
      <c r="H492" s="293"/>
      <c r="I492" s="293"/>
      <c r="J492" s="293"/>
    </row>
    <row r="493" spans="1:10" x14ac:dyDescent="0.25">
      <c r="B493" s="293"/>
      <c r="C493" s="293"/>
      <c r="D493" s="293"/>
      <c r="E493" s="293"/>
      <c r="F493" s="293"/>
      <c r="G493" s="293"/>
      <c r="H493" s="293"/>
      <c r="I493" s="293"/>
      <c r="J493" s="293"/>
    </row>
    <row r="494" spans="1:10" x14ac:dyDescent="0.25">
      <c r="A494" t="s">
        <v>4266</v>
      </c>
      <c r="B494" s="293"/>
      <c r="C494" s="293"/>
      <c r="D494" s="293"/>
      <c r="E494" s="293"/>
      <c r="F494" s="293"/>
      <c r="G494" s="293"/>
      <c r="H494" s="293"/>
      <c r="I494" s="293"/>
      <c r="J494" s="293"/>
    </row>
    <row r="495" spans="1:10" x14ac:dyDescent="0.25">
      <c r="A495" t="s">
        <v>66</v>
      </c>
      <c r="B495" s="293"/>
      <c r="C495" s="293"/>
      <c r="D495" s="293"/>
      <c r="E495" s="293"/>
      <c r="F495" s="293"/>
      <c r="G495" s="293"/>
      <c r="H495" s="293"/>
      <c r="I495" s="293"/>
      <c r="J495" s="293"/>
    </row>
    <row r="496" spans="1:10" x14ac:dyDescent="0.25">
      <c r="B496" s="293"/>
      <c r="C496" s="293"/>
      <c r="D496" s="293"/>
      <c r="E496" s="293"/>
      <c r="F496" s="293"/>
      <c r="G496" s="293"/>
      <c r="H496" s="293"/>
      <c r="I496" s="293"/>
      <c r="J496" s="293"/>
    </row>
    <row r="497" spans="1:10" x14ac:dyDescent="0.25">
      <c r="B497" s="293"/>
      <c r="C497" s="293"/>
      <c r="D497" s="293"/>
      <c r="E497" s="293"/>
      <c r="F497" s="293"/>
      <c r="G497" s="293"/>
      <c r="H497" s="293"/>
      <c r="I497" s="293"/>
      <c r="J497" s="293"/>
    </row>
    <row r="498" spans="1:10" x14ac:dyDescent="0.25">
      <c r="B498" s="293"/>
      <c r="C498" s="293"/>
      <c r="D498" s="293"/>
      <c r="E498" s="293"/>
      <c r="F498" s="293"/>
      <c r="G498" s="293"/>
      <c r="H498" s="293"/>
      <c r="I498" s="293"/>
      <c r="J498" s="293"/>
    </row>
    <row r="499" spans="1:10" x14ac:dyDescent="0.25">
      <c r="B499" s="293"/>
      <c r="C499" s="293"/>
      <c r="D499" s="293"/>
      <c r="E499" s="293"/>
      <c r="F499" s="293"/>
      <c r="G499" s="293"/>
      <c r="H499" s="293"/>
      <c r="I499" s="293"/>
      <c r="J499" s="293"/>
    </row>
    <row r="500" spans="1:10" x14ac:dyDescent="0.25">
      <c r="A500" s="47" t="s">
        <v>4267</v>
      </c>
      <c r="B500" s="296">
        <f>SUM(B488:B499)</f>
        <v>0</v>
      </c>
      <c r="C500" s="296">
        <f t="shared" ref="C500" si="252">SUM(C488:C499)</f>
        <v>0</v>
      </c>
      <c r="D500" s="296">
        <f t="shared" ref="D500" si="253">SUM(D488:D499)</f>
        <v>0</v>
      </c>
      <c r="E500" s="296">
        <f t="shared" ref="E500" si="254">SUM(E488:E499)</f>
        <v>0</v>
      </c>
      <c r="F500" s="296">
        <f t="shared" ref="F500" si="255">SUM(F488:F499)</f>
        <v>0</v>
      </c>
      <c r="G500" s="296">
        <f t="shared" ref="G500" si="256">SUM(G488:G499)</f>
        <v>0</v>
      </c>
      <c r="H500" s="296">
        <f t="shared" ref="H500" si="257">SUM(H488:H499)</f>
        <v>0</v>
      </c>
      <c r="I500" s="296">
        <f t="shared" ref="I500" si="258">SUM(I488:I499)</f>
        <v>0</v>
      </c>
      <c r="J500" s="296">
        <f t="shared" ref="J500" si="259">SUM(J488:J499)</f>
        <v>0</v>
      </c>
    </row>
    <row r="501" spans="1:10" x14ac:dyDescent="0.25">
      <c r="B501" s="293"/>
      <c r="C501" s="293"/>
      <c r="D501" s="293"/>
      <c r="E501" s="293"/>
      <c r="F501" s="293"/>
      <c r="G501" s="293"/>
      <c r="H501" s="293"/>
      <c r="I501" s="293"/>
      <c r="J501" s="293"/>
    </row>
    <row r="502" spans="1:10" ht="15.75" thickBot="1" x14ac:dyDescent="0.3">
      <c r="A502" s="47" t="s">
        <v>4268</v>
      </c>
      <c r="B502" s="301">
        <f>B485-B500</f>
        <v>0</v>
      </c>
      <c r="C502" s="301">
        <f t="shared" ref="C502:J502" si="260">C485-C500</f>
        <v>0</v>
      </c>
      <c r="D502" s="301">
        <f t="shared" si="260"/>
        <v>0</v>
      </c>
      <c r="E502" s="301">
        <f t="shared" si="260"/>
        <v>0</v>
      </c>
      <c r="F502" s="301">
        <f t="shared" si="260"/>
        <v>0</v>
      </c>
      <c r="G502" s="301">
        <f t="shared" si="260"/>
        <v>0</v>
      </c>
      <c r="H502" s="301">
        <f t="shared" si="260"/>
        <v>0</v>
      </c>
      <c r="I502" s="301">
        <f t="shared" si="260"/>
        <v>0</v>
      </c>
      <c r="J502" s="301">
        <f t="shared" si="260"/>
        <v>0</v>
      </c>
    </row>
    <row r="503" spans="1:10" ht="15.75" thickTop="1" x14ac:dyDescent="0.25">
      <c r="B503" s="293"/>
      <c r="C503" s="293"/>
      <c r="D503" s="293"/>
      <c r="E503" s="293"/>
      <c r="F503" s="293"/>
      <c r="G503" s="293"/>
      <c r="H503" s="293"/>
      <c r="I503" s="293"/>
      <c r="J503" s="293"/>
    </row>
    <row r="504" spans="1:10" x14ac:dyDescent="0.25">
      <c r="A504" s="281"/>
      <c r="B504" s="316"/>
      <c r="C504" s="316"/>
      <c r="D504" s="316"/>
      <c r="E504" s="316"/>
      <c r="F504" s="316"/>
      <c r="G504" s="316"/>
      <c r="H504" s="316"/>
      <c r="I504" s="316"/>
      <c r="J504" s="316"/>
    </row>
    <row r="505" spans="1:10" x14ac:dyDescent="0.25">
      <c r="B505" s="293"/>
      <c r="C505" s="293"/>
      <c r="D505" s="293"/>
      <c r="E505" s="293"/>
      <c r="F505" s="293"/>
      <c r="G505" s="293"/>
      <c r="H505" s="293"/>
      <c r="I505" s="293"/>
      <c r="J505" s="293"/>
    </row>
    <row r="506" spans="1:10" x14ac:dyDescent="0.25">
      <c r="A506" s="280" t="s">
        <v>4285</v>
      </c>
      <c r="B506" s="293"/>
      <c r="C506" s="293"/>
      <c r="D506" s="293"/>
      <c r="E506" s="293"/>
      <c r="F506" s="293"/>
      <c r="G506" s="293"/>
      <c r="H506" s="293"/>
      <c r="I506" s="293"/>
      <c r="J506" s="293"/>
    </row>
    <row r="507" spans="1:10" x14ac:dyDescent="0.25">
      <c r="B507" s="293"/>
      <c r="C507" s="293"/>
      <c r="D507" s="293"/>
      <c r="E507" s="293"/>
      <c r="F507" s="293"/>
      <c r="G507" s="293"/>
      <c r="H507" s="293"/>
      <c r="I507" s="293"/>
      <c r="J507" s="293"/>
    </row>
    <row r="508" spans="1:10" x14ac:dyDescent="0.25">
      <c r="A508" s="47" t="s">
        <v>4260</v>
      </c>
      <c r="B508" s="293"/>
      <c r="C508" s="293"/>
      <c r="D508" s="293"/>
      <c r="E508" s="293"/>
      <c r="F508" s="293"/>
      <c r="G508" s="293"/>
      <c r="H508" s="293"/>
      <c r="I508" s="293"/>
      <c r="J508" s="293"/>
    </row>
    <row r="509" spans="1:10" x14ac:dyDescent="0.25">
      <c r="A509" t="s">
        <v>4262</v>
      </c>
      <c r="B509" s="293">
        <f>-operatingdata!F937</f>
        <v>292000</v>
      </c>
      <c r="C509" s="293">
        <f>-operatingdata!G937</f>
        <v>292000</v>
      </c>
      <c r="D509" s="293">
        <f>-operatingdata!H937</f>
        <v>292000</v>
      </c>
      <c r="E509" s="293">
        <f>-operatingdata!I937</f>
        <v>292000</v>
      </c>
      <c r="F509" s="293">
        <f>-operatingdata!J937</f>
        <v>292000</v>
      </c>
      <c r="G509" s="293">
        <f>-operatingdata!K937</f>
        <v>292000</v>
      </c>
      <c r="H509" s="293">
        <f>-operatingdata!L937</f>
        <v>292000</v>
      </c>
      <c r="I509" s="293">
        <f>-operatingdata!M937</f>
        <v>292000</v>
      </c>
      <c r="J509" s="293">
        <f>-operatingdata!N937</f>
        <v>292000</v>
      </c>
    </row>
    <row r="510" spans="1:10" x14ac:dyDescent="0.25">
      <c r="A510" t="s">
        <v>4261</v>
      </c>
      <c r="B510" s="293"/>
      <c r="C510" s="293"/>
      <c r="D510" s="293"/>
      <c r="E510" s="293"/>
      <c r="F510" s="293"/>
      <c r="G510" s="293"/>
      <c r="H510" s="293"/>
      <c r="I510" s="293"/>
      <c r="J510" s="293"/>
    </row>
    <row r="511" spans="1:10" x14ac:dyDescent="0.25">
      <c r="A511" t="s">
        <v>66</v>
      </c>
      <c r="B511" s="293"/>
      <c r="C511" s="293"/>
      <c r="D511" s="293"/>
      <c r="E511" s="293"/>
      <c r="F511" s="293"/>
      <c r="G511" s="293"/>
      <c r="H511" s="293"/>
      <c r="I511" s="293"/>
      <c r="J511" s="293"/>
    </row>
    <row r="512" spans="1:10" x14ac:dyDescent="0.25">
      <c r="B512" s="293"/>
      <c r="C512" s="293"/>
      <c r="D512" s="293"/>
      <c r="E512" s="293"/>
      <c r="F512" s="293"/>
      <c r="G512" s="293"/>
      <c r="H512" s="293"/>
      <c r="I512" s="293"/>
      <c r="J512" s="293"/>
    </row>
    <row r="513" spans="1:10" x14ac:dyDescent="0.25">
      <c r="B513" s="293"/>
      <c r="C513" s="293"/>
      <c r="D513" s="293"/>
      <c r="E513" s="293"/>
      <c r="F513" s="293"/>
      <c r="G513" s="293"/>
      <c r="H513" s="293"/>
      <c r="I513" s="293"/>
      <c r="J513" s="293"/>
    </row>
    <row r="514" spans="1:10" x14ac:dyDescent="0.25">
      <c r="B514" s="293"/>
      <c r="C514" s="293"/>
      <c r="D514" s="293"/>
      <c r="E514" s="293"/>
      <c r="F514" s="293"/>
      <c r="G514" s="293"/>
      <c r="H514" s="293"/>
      <c r="I514" s="293"/>
      <c r="J514" s="293"/>
    </row>
    <row r="515" spans="1:10" x14ac:dyDescent="0.25">
      <c r="B515" s="293"/>
      <c r="C515" s="293"/>
      <c r="D515" s="293"/>
      <c r="E515" s="293"/>
      <c r="F515" s="293"/>
      <c r="G515" s="293"/>
      <c r="H515" s="293"/>
      <c r="I515" s="293"/>
      <c r="J515" s="293"/>
    </row>
    <row r="516" spans="1:10" x14ac:dyDescent="0.25">
      <c r="A516" s="47" t="s">
        <v>4263</v>
      </c>
      <c r="B516" s="296">
        <f>SUM(B506:B515)</f>
        <v>292000</v>
      </c>
      <c r="C516" s="296">
        <f t="shared" ref="C516" si="261">SUM(C506:C515)</f>
        <v>292000</v>
      </c>
      <c r="D516" s="296">
        <f t="shared" ref="D516" si="262">SUM(D506:D515)</f>
        <v>292000</v>
      </c>
      <c r="E516" s="296">
        <f t="shared" ref="E516" si="263">SUM(E506:E515)</f>
        <v>292000</v>
      </c>
      <c r="F516" s="296">
        <f t="shared" ref="F516" si="264">SUM(F506:F515)</f>
        <v>292000</v>
      </c>
      <c r="G516" s="296">
        <f t="shared" ref="G516" si="265">SUM(G506:G515)</f>
        <v>292000</v>
      </c>
      <c r="H516" s="296">
        <f t="shared" ref="H516" si="266">SUM(H506:H515)</f>
        <v>292000</v>
      </c>
      <c r="I516" s="296">
        <f t="shared" ref="I516" si="267">SUM(I506:I515)</f>
        <v>292000</v>
      </c>
      <c r="J516" s="296">
        <f t="shared" ref="J516" si="268">SUM(J506:J515)</f>
        <v>292000</v>
      </c>
    </row>
    <row r="517" spans="1:10" x14ac:dyDescent="0.25">
      <c r="B517" s="293"/>
      <c r="C517" s="293"/>
      <c r="D517" s="293"/>
      <c r="E517" s="293"/>
      <c r="F517" s="293"/>
      <c r="G517" s="293"/>
      <c r="H517" s="293"/>
      <c r="I517" s="293"/>
      <c r="J517" s="293"/>
    </row>
    <row r="518" spans="1:10" x14ac:dyDescent="0.25">
      <c r="A518" s="47" t="s">
        <v>4264</v>
      </c>
      <c r="B518" s="293"/>
      <c r="C518" s="293"/>
      <c r="D518" s="293"/>
      <c r="E518" s="293"/>
      <c r="F518" s="293"/>
      <c r="G518" s="293"/>
      <c r="H518" s="293"/>
      <c r="I518" s="293"/>
      <c r="J518" s="293"/>
    </row>
    <row r="519" spans="1:10" x14ac:dyDescent="0.25">
      <c r="A519" t="s">
        <v>87</v>
      </c>
      <c r="B519" s="293"/>
      <c r="C519" s="293"/>
      <c r="D519" s="293"/>
      <c r="E519" s="293"/>
      <c r="F519" s="293"/>
      <c r="G519" s="293"/>
      <c r="H519" s="293"/>
      <c r="I519" s="293"/>
      <c r="J519" s="293"/>
    </row>
    <row r="520" spans="1:10" x14ac:dyDescent="0.25">
      <c r="A520" t="s">
        <v>4265</v>
      </c>
      <c r="B520" s="293">
        <f>SUM(capitalexpdata!G230:G285)</f>
        <v>561000</v>
      </c>
      <c r="C520" s="293">
        <f>SUM(capitalexpdata!H230:H285)</f>
        <v>292000</v>
      </c>
      <c r="D520" s="293">
        <f>SUM(capitalexpdata!I230:I285)</f>
        <v>292000</v>
      </c>
      <c r="E520" s="293">
        <f>SUM(capitalexpdata!J230:J285)</f>
        <v>246000</v>
      </c>
      <c r="F520" s="293">
        <f>SUM(capitalexpdata!K230:K285)</f>
        <v>292000</v>
      </c>
      <c r="G520" s="293">
        <f>SUM(capitalexpdata!L230:L285)</f>
        <v>292000</v>
      </c>
      <c r="H520" s="293">
        <f>SUM(capitalexpdata!M230:M285)</f>
        <v>292000</v>
      </c>
      <c r="I520" s="293">
        <f>SUM(capitalexpdata!N230:N285)</f>
        <v>289000</v>
      </c>
      <c r="J520" s="293">
        <f>SUM(capitalexpdata!O230:O285)</f>
        <v>292000</v>
      </c>
    </row>
    <row r="521" spans="1:10" x14ac:dyDescent="0.25">
      <c r="B521" s="293"/>
      <c r="C521" s="293"/>
      <c r="D521" s="293"/>
      <c r="E521" s="293"/>
      <c r="F521" s="293"/>
      <c r="G521" s="293"/>
      <c r="H521" s="293"/>
      <c r="I521" s="293"/>
      <c r="J521" s="293"/>
    </row>
    <row r="522" spans="1:10" x14ac:dyDescent="0.25">
      <c r="B522" s="293"/>
      <c r="C522" s="293"/>
      <c r="D522" s="293"/>
      <c r="E522" s="293"/>
      <c r="F522" s="293"/>
      <c r="G522" s="293"/>
      <c r="H522" s="293"/>
      <c r="I522" s="293"/>
      <c r="J522" s="293"/>
    </row>
    <row r="523" spans="1:10" x14ac:dyDescent="0.25">
      <c r="B523" s="293"/>
      <c r="C523" s="293"/>
      <c r="D523" s="293"/>
      <c r="E523" s="293"/>
      <c r="F523" s="293"/>
      <c r="G523" s="293"/>
      <c r="H523" s="293"/>
      <c r="I523" s="293"/>
      <c r="J523" s="293"/>
    </row>
    <row r="524" spans="1:10" x14ac:dyDescent="0.25">
      <c r="B524" s="293"/>
      <c r="C524" s="293"/>
      <c r="D524" s="293"/>
      <c r="E524" s="293"/>
      <c r="F524" s="293"/>
      <c r="G524" s="293"/>
      <c r="H524" s="293"/>
      <c r="I524" s="293"/>
      <c r="J524" s="293"/>
    </row>
    <row r="525" spans="1:10" x14ac:dyDescent="0.25">
      <c r="A525" t="s">
        <v>4266</v>
      </c>
      <c r="B525" s="293"/>
      <c r="C525" s="293"/>
      <c r="D525" s="293"/>
      <c r="E525" s="293"/>
      <c r="F525" s="293"/>
      <c r="G525" s="293"/>
      <c r="H525" s="293"/>
      <c r="I525" s="293"/>
      <c r="J525" s="293"/>
    </row>
    <row r="526" spans="1:10" x14ac:dyDescent="0.25">
      <c r="A526" t="s">
        <v>66</v>
      </c>
      <c r="B526" s="293"/>
      <c r="C526" s="293"/>
      <c r="D526" s="293"/>
      <c r="E526" s="293"/>
      <c r="F526" s="293"/>
      <c r="G526" s="293"/>
      <c r="H526" s="293"/>
      <c r="I526" s="293"/>
      <c r="J526" s="293"/>
    </row>
    <row r="527" spans="1:10" x14ac:dyDescent="0.25">
      <c r="B527" s="293"/>
      <c r="C527" s="293"/>
      <c r="D527" s="293"/>
      <c r="E527" s="293"/>
      <c r="F527" s="293"/>
      <c r="G527" s="293"/>
      <c r="H527" s="293"/>
      <c r="I527" s="293"/>
      <c r="J527" s="293"/>
    </row>
    <row r="528" spans="1:10" x14ac:dyDescent="0.25">
      <c r="B528" s="293"/>
      <c r="C528" s="293"/>
      <c r="D528" s="293"/>
      <c r="E528" s="293"/>
      <c r="F528" s="293"/>
      <c r="G528" s="293"/>
      <c r="H528" s="293"/>
      <c r="I528" s="293"/>
      <c r="J528" s="293"/>
    </row>
    <row r="529" spans="1:10" x14ac:dyDescent="0.25">
      <c r="B529" s="293"/>
      <c r="C529" s="293"/>
      <c r="D529" s="293"/>
      <c r="E529" s="293"/>
      <c r="F529" s="293"/>
      <c r="G529" s="293"/>
      <c r="H529" s="293"/>
      <c r="I529" s="293"/>
      <c r="J529" s="293"/>
    </row>
    <row r="530" spans="1:10" x14ac:dyDescent="0.25">
      <c r="B530" s="293"/>
      <c r="C530" s="293"/>
      <c r="D530" s="293"/>
      <c r="E530" s="293"/>
      <c r="F530" s="293"/>
      <c r="G530" s="293"/>
      <c r="H530" s="293"/>
      <c r="I530" s="293"/>
      <c r="J530" s="293"/>
    </row>
    <row r="531" spans="1:10" x14ac:dyDescent="0.25">
      <c r="A531" s="47" t="s">
        <v>4267</v>
      </c>
      <c r="B531" s="296">
        <f>SUM(B519:B530)</f>
        <v>561000</v>
      </c>
      <c r="C531" s="296">
        <f t="shared" ref="C531" si="269">SUM(C519:C530)</f>
        <v>292000</v>
      </c>
      <c r="D531" s="296">
        <f t="shared" ref="D531" si="270">SUM(D519:D530)</f>
        <v>292000</v>
      </c>
      <c r="E531" s="296">
        <f t="shared" ref="E531" si="271">SUM(E519:E530)</f>
        <v>246000</v>
      </c>
      <c r="F531" s="296">
        <f t="shared" ref="F531" si="272">SUM(F519:F530)</f>
        <v>292000</v>
      </c>
      <c r="G531" s="296">
        <f t="shared" ref="G531" si="273">SUM(G519:G530)</f>
        <v>292000</v>
      </c>
      <c r="H531" s="296">
        <f t="shared" ref="H531" si="274">SUM(H519:H530)</f>
        <v>292000</v>
      </c>
      <c r="I531" s="296">
        <f t="shared" ref="I531" si="275">SUM(I519:I530)</f>
        <v>289000</v>
      </c>
      <c r="J531" s="296">
        <f t="shared" ref="J531" si="276">SUM(J519:J530)</f>
        <v>292000</v>
      </c>
    </row>
    <row r="532" spans="1:10" x14ac:dyDescent="0.25">
      <c r="B532" s="293"/>
      <c r="C532" s="293"/>
      <c r="D532" s="293"/>
      <c r="E532" s="293"/>
      <c r="F532" s="293"/>
      <c r="G532" s="293"/>
      <c r="H532" s="293"/>
      <c r="I532" s="293"/>
      <c r="J532" s="293"/>
    </row>
    <row r="533" spans="1:10" ht="15.75" thickBot="1" x14ac:dyDescent="0.3">
      <c r="A533" s="47" t="s">
        <v>4268</v>
      </c>
      <c r="B533" s="301">
        <f>B516-B531</f>
        <v>-269000</v>
      </c>
      <c r="C533" s="301">
        <f t="shared" ref="C533:J533" si="277">C516-C531</f>
        <v>0</v>
      </c>
      <c r="D533" s="301">
        <f t="shared" si="277"/>
        <v>0</v>
      </c>
      <c r="E533" s="301">
        <f t="shared" si="277"/>
        <v>46000</v>
      </c>
      <c r="F533" s="301">
        <f t="shared" si="277"/>
        <v>0</v>
      </c>
      <c r="G533" s="301">
        <f t="shared" si="277"/>
        <v>0</v>
      </c>
      <c r="H533" s="301">
        <f t="shared" si="277"/>
        <v>0</v>
      </c>
      <c r="I533" s="301">
        <f t="shared" si="277"/>
        <v>3000</v>
      </c>
      <c r="J533" s="301">
        <f t="shared" si="277"/>
        <v>0</v>
      </c>
    </row>
    <row r="534" spans="1:10" ht="15.75" thickTop="1" x14ac:dyDescent="0.25">
      <c r="B534" s="293"/>
      <c r="C534" s="293"/>
      <c r="D534" s="293"/>
      <c r="E534" s="293"/>
      <c r="F534" s="293"/>
      <c r="G534" s="293"/>
      <c r="H534" s="293"/>
      <c r="I534" s="293"/>
      <c r="J534" s="293"/>
    </row>
    <row r="535" spans="1:10" x14ac:dyDescent="0.25">
      <c r="A535" s="281"/>
      <c r="B535" s="316"/>
      <c r="C535" s="316"/>
      <c r="D535" s="316"/>
      <c r="E535" s="316"/>
      <c r="F535" s="316"/>
      <c r="G535" s="316"/>
      <c r="H535" s="316"/>
      <c r="I535" s="316"/>
      <c r="J535" s="316"/>
    </row>
    <row r="536" spans="1:10" x14ac:dyDescent="0.25">
      <c r="B536" s="293"/>
      <c r="C536" s="293"/>
      <c r="D536" s="293"/>
      <c r="E536" s="293"/>
      <c r="F536" s="293"/>
      <c r="G536" s="293"/>
      <c r="H536" s="293"/>
      <c r="I536" s="293"/>
      <c r="J536" s="293"/>
    </row>
    <row r="537" spans="1:10" x14ac:dyDescent="0.25">
      <c r="A537" s="280" t="s">
        <v>4284</v>
      </c>
      <c r="B537" s="293"/>
      <c r="C537" s="293"/>
      <c r="D537" s="293"/>
      <c r="E537" s="293"/>
      <c r="F537" s="293"/>
      <c r="G537" s="293"/>
      <c r="H537" s="293"/>
      <c r="I537" s="293"/>
      <c r="J537" s="293"/>
    </row>
    <row r="538" spans="1:10" x14ac:dyDescent="0.25">
      <c r="B538" s="293"/>
      <c r="C538" s="293"/>
      <c r="D538" s="293"/>
      <c r="E538" s="293"/>
      <c r="F538" s="293"/>
      <c r="G538" s="293"/>
      <c r="H538" s="293"/>
      <c r="I538" s="293"/>
      <c r="J538" s="293"/>
    </row>
    <row r="539" spans="1:10" x14ac:dyDescent="0.25">
      <c r="A539" s="47" t="s">
        <v>4260</v>
      </c>
      <c r="B539" s="293"/>
      <c r="C539" s="293"/>
      <c r="D539" s="293"/>
      <c r="E539" s="293"/>
      <c r="F539" s="293"/>
      <c r="G539" s="293"/>
      <c r="H539" s="293"/>
      <c r="I539" s="293"/>
      <c r="J539" s="293"/>
    </row>
    <row r="540" spans="1:10" x14ac:dyDescent="0.25">
      <c r="A540" t="s">
        <v>4262</v>
      </c>
      <c r="B540" s="293"/>
      <c r="C540" s="293"/>
      <c r="D540" s="293"/>
      <c r="E540" s="293"/>
      <c r="F540" s="293"/>
      <c r="G540" s="293"/>
      <c r="H540" s="293"/>
      <c r="I540" s="293"/>
      <c r="J540" s="293"/>
    </row>
    <row r="541" spans="1:10" x14ac:dyDescent="0.25">
      <c r="A541" t="s">
        <v>4261</v>
      </c>
      <c r="B541" s="293"/>
      <c r="C541" s="293"/>
      <c r="D541" s="293"/>
      <c r="E541" s="293"/>
      <c r="F541" s="293"/>
      <c r="G541" s="293"/>
      <c r="H541" s="293"/>
      <c r="I541" s="293"/>
      <c r="J541" s="293"/>
    </row>
    <row r="542" spans="1:10" x14ac:dyDescent="0.25">
      <c r="A542" t="s">
        <v>66</v>
      </c>
      <c r="B542" s="293"/>
      <c r="C542" s="293"/>
      <c r="D542" s="293"/>
      <c r="E542" s="293"/>
      <c r="F542" s="293"/>
      <c r="G542" s="293"/>
      <c r="H542" s="293"/>
      <c r="I542" s="293"/>
      <c r="J542" s="293"/>
    </row>
    <row r="543" spans="1:10" x14ac:dyDescent="0.25">
      <c r="B543" s="293"/>
      <c r="C543" s="293"/>
      <c r="D543" s="293"/>
      <c r="E543" s="293"/>
      <c r="F543" s="293"/>
      <c r="G543" s="293"/>
      <c r="H543" s="293"/>
      <c r="I543" s="293"/>
      <c r="J543" s="293"/>
    </row>
    <row r="544" spans="1:10" x14ac:dyDescent="0.25">
      <c r="B544" s="293"/>
      <c r="C544" s="293"/>
      <c r="D544" s="293"/>
      <c r="E544" s="293"/>
      <c r="F544" s="293"/>
      <c r="G544" s="293"/>
      <c r="H544" s="293"/>
      <c r="I544" s="293"/>
      <c r="J544" s="293"/>
    </row>
    <row r="545" spans="1:10" x14ac:dyDescent="0.25">
      <c r="B545" s="293"/>
      <c r="C545" s="293"/>
      <c r="D545" s="293"/>
      <c r="E545" s="293"/>
      <c r="F545" s="293"/>
      <c r="G545" s="293"/>
      <c r="H545" s="293"/>
      <c r="I545" s="293"/>
      <c r="J545" s="293"/>
    </row>
    <row r="546" spans="1:10" x14ac:dyDescent="0.25">
      <c r="B546" s="293"/>
      <c r="C546" s="293"/>
      <c r="D546" s="293"/>
      <c r="E546" s="293"/>
      <c r="F546" s="293"/>
      <c r="G546" s="293"/>
      <c r="H546" s="293"/>
      <c r="I546" s="293"/>
      <c r="J546" s="293"/>
    </row>
    <row r="547" spans="1:10" x14ac:dyDescent="0.25">
      <c r="A547" s="47" t="s">
        <v>4263</v>
      </c>
      <c r="B547" s="296">
        <f>SUM(B537:B546)</f>
        <v>0</v>
      </c>
      <c r="C547" s="296">
        <f t="shared" ref="C547" si="278">SUM(C537:C546)</f>
        <v>0</v>
      </c>
      <c r="D547" s="296">
        <f t="shared" ref="D547" si="279">SUM(D537:D546)</f>
        <v>0</v>
      </c>
      <c r="E547" s="296">
        <f t="shared" ref="E547" si="280">SUM(E537:E546)</f>
        <v>0</v>
      </c>
      <c r="F547" s="296">
        <f t="shared" ref="F547" si="281">SUM(F537:F546)</f>
        <v>0</v>
      </c>
      <c r="G547" s="296">
        <f t="shared" ref="G547" si="282">SUM(G537:G546)</f>
        <v>0</v>
      </c>
      <c r="H547" s="296">
        <f t="shared" ref="H547" si="283">SUM(H537:H546)</f>
        <v>0</v>
      </c>
      <c r="I547" s="296">
        <f t="shared" ref="I547" si="284">SUM(I537:I546)</f>
        <v>0</v>
      </c>
      <c r="J547" s="296">
        <f t="shared" ref="J547" si="285">SUM(J537:J546)</f>
        <v>0</v>
      </c>
    </row>
    <row r="548" spans="1:10" x14ac:dyDescent="0.25">
      <c r="B548" s="293"/>
      <c r="C548" s="293"/>
      <c r="D548" s="293"/>
      <c r="E548" s="293"/>
      <c r="F548" s="293"/>
      <c r="G548" s="293"/>
      <c r="H548" s="293"/>
      <c r="I548" s="293"/>
      <c r="J548" s="293"/>
    </row>
    <row r="549" spans="1:10" x14ac:dyDescent="0.25">
      <c r="A549" s="47" t="s">
        <v>4264</v>
      </c>
      <c r="B549" s="293"/>
      <c r="C549" s="293"/>
      <c r="D549" s="293"/>
      <c r="E549" s="293"/>
      <c r="F549" s="293"/>
      <c r="G549" s="293"/>
      <c r="H549" s="293"/>
      <c r="I549" s="293"/>
      <c r="J549" s="293"/>
    </row>
    <row r="550" spans="1:10" x14ac:dyDescent="0.25">
      <c r="A550" t="s">
        <v>87</v>
      </c>
      <c r="B550" s="293"/>
      <c r="C550" s="293"/>
      <c r="D550" s="293"/>
      <c r="E550" s="293"/>
      <c r="F550" s="293"/>
      <c r="G550" s="293"/>
      <c r="H550" s="293"/>
      <c r="I550" s="293"/>
      <c r="J550" s="293"/>
    </row>
    <row r="551" spans="1:10" x14ac:dyDescent="0.25">
      <c r="A551" t="s">
        <v>4265</v>
      </c>
      <c r="B551" s="293"/>
      <c r="C551" s="293"/>
      <c r="D551" s="293"/>
      <c r="E551" s="293"/>
      <c r="F551" s="293"/>
      <c r="G551" s="293"/>
      <c r="H551" s="293"/>
      <c r="I551" s="293"/>
      <c r="J551" s="293"/>
    </row>
    <row r="552" spans="1:10" x14ac:dyDescent="0.25">
      <c r="B552" s="293"/>
      <c r="C552" s="293"/>
      <c r="D552" s="293"/>
      <c r="E552" s="293"/>
      <c r="F552" s="293"/>
      <c r="G552" s="293"/>
      <c r="H552" s="293"/>
      <c r="I552" s="293"/>
      <c r="J552" s="293"/>
    </row>
    <row r="553" spans="1:10" x14ac:dyDescent="0.25">
      <c r="B553" s="293"/>
      <c r="C553" s="293"/>
      <c r="D553" s="293"/>
      <c r="E553" s="293"/>
      <c r="F553" s="293"/>
      <c r="G553" s="293"/>
      <c r="H553" s="293"/>
      <c r="I553" s="293"/>
      <c r="J553" s="293"/>
    </row>
    <row r="554" spans="1:10" x14ac:dyDescent="0.25">
      <c r="B554" s="293"/>
      <c r="C554" s="293"/>
      <c r="D554" s="293"/>
      <c r="E554" s="293"/>
      <c r="F554" s="293"/>
      <c r="G554" s="293"/>
      <c r="H554" s="293"/>
      <c r="I554" s="293"/>
      <c r="J554" s="293"/>
    </row>
    <row r="555" spans="1:10" x14ac:dyDescent="0.25">
      <c r="B555" s="293"/>
      <c r="C555" s="293"/>
      <c r="D555" s="293"/>
      <c r="E555" s="293"/>
      <c r="F555" s="293"/>
      <c r="G555" s="293"/>
      <c r="H555" s="293"/>
      <c r="I555" s="293"/>
      <c r="J555" s="293"/>
    </row>
    <row r="556" spans="1:10" x14ac:dyDescent="0.25">
      <c r="A556" t="s">
        <v>4266</v>
      </c>
      <c r="B556" s="293"/>
      <c r="C556" s="293"/>
      <c r="D556" s="293"/>
      <c r="E556" s="293"/>
      <c r="F556" s="293"/>
      <c r="G556" s="293"/>
      <c r="H556" s="293"/>
      <c r="I556" s="293"/>
      <c r="J556" s="293"/>
    </row>
    <row r="557" spans="1:10" x14ac:dyDescent="0.25">
      <c r="A557" t="s">
        <v>66</v>
      </c>
      <c r="B557" s="293"/>
      <c r="C557" s="293"/>
      <c r="D557" s="293"/>
      <c r="E557" s="293"/>
      <c r="F557" s="293"/>
      <c r="G557" s="293"/>
      <c r="H557" s="293"/>
      <c r="I557" s="293"/>
      <c r="J557" s="293"/>
    </row>
    <row r="558" spans="1:10" x14ac:dyDescent="0.25">
      <c r="B558" s="293"/>
      <c r="C558" s="293"/>
      <c r="D558" s="293"/>
      <c r="E558" s="293"/>
      <c r="F558" s="293"/>
      <c r="G558" s="293"/>
      <c r="H558" s="293"/>
      <c r="I558" s="293"/>
      <c r="J558" s="293"/>
    </row>
    <row r="559" spans="1:10" x14ac:dyDescent="0.25">
      <c r="B559" s="293"/>
      <c r="C559" s="293"/>
      <c r="D559" s="293"/>
      <c r="E559" s="293"/>
      <c r="F559" s="293"/>
      <c r="G559" s="293"/>
      <c r="H559" s="293"/>
      <c r="I559" s="293"/>
      <c r="J559" s="293"/>
    </row>
    <row r="560" spans="1:10" x14ac:dyDescent="0.25">
      <c r="B560" s="293"/>
      <c r="C560" s="293"/>
      <c r="D560" s="293"/>
      <c r="E560" s="293"/>
      <c r="F560" s="293"/>
      <c r="G560" s="293"/>
      <c r="H560" s="293"/>
      <c r="I560" s="293"/>
      <c r="J560" s="293"/>
    </row>
    <row r="561" spans="1:10" x14ac:dyDescent="0.25">
      <c r="B561" s="293"/>
      <c r="C561" s="293"/>
      <c r="D561" s="293"/>
      <c r="E561" s="293"/>
      <c r="F561" s="293"/>
      <c r="G561" s="293"/>
      <c r="H561" s="293"/>
      <c r="I561" s="293"/>
      <c r="J561" s="293"/>
    </row>
    <row r="562" spans="1:10" x14ac:dyDescent="0.25">
      <c r="A562" s="47" t="s">
        <v>4267</v>
      </c>
      <c r="B562" s="296">
        <f>SUM(B550:B561)</f>
        <v>0</v>
      </c>
      <c r="C562" s="296">
        <f t="shared" ref="C562" si="286">SUM(C550:C561)</f>
        <v>0</v>
      </c>
      <c r="D562" s="296">
        <f t="shared" ref="D562" si="287">SUM(D550:D561)</f>
        <v>0</v>
      </c>
      <c r="E562" s="296">
        <f t="shared" ref="E562" si="288">SUM(E550:E561)</f>
        <v>0</v>
      </c>
      <c r="F562" s="296">
        <f t="shared" ref="F562" si="289">SUM(F550:F561)</f>
        <v>0</v>
      </c>
      <c r="G562" s="296">
        <f t="shared" ref="G562" si="290">SUM(G550:G561)</f>
        <v>0</v>
      </c>
      <c r="H562" s="296">
        <f t="shared" ref="H562" si="291">SUM(H550:H561)</f>
        <v>0</v>
      </c>
      <c r="I562" s="296">
        <f t="shared" ref="I562" si="292">SUM(I550:I561)</f>
        <v>0</v>
      </c>
      <c r="J562" s="296">
        <f t="shared" ref="J562" si="293">SUM(J550:J561)</f>
        <v>0</v>
      </c>
    </row>
    <row r="563" spans="1:10" x14ac:dyDescent="0.25">
      <c r="B563" s="293"/>
      <c r="C563" s="293"/>
      <c r="D563" s="293"/>
      <c r="E563" s="293"/>
      <c r="F563" s="293"/>
      <c r="G563" s="293"/>
      <c r="H563" s="293"/>
      <c r="I563" s="293"/>
      <c r="J563" s="293"/>
    </row>
    <row r="564" spans="1:10" ht="15.75" thickBot="1" x14ac:dyDescent="0.3">
      <c r="A564" s="47" t="s">
        <v>4268</v>
      </c>
      <c r="B564" s="301">
        <f>B547-B562</f>
        <v>0</v>
      </c>
      <c r="C564" s="301">
        <f t="shared" ref="C564:J564" si="294">C547-C562</f>
        <v>0</v>
      </c>
      <c r="D564" s="301">
        <f t="shared" si="294"/>
        <v>0</v>
      </c>
      <c r="E564" s="301">
        <f t="shared" si="294"/>
        <v>0</v>
      </c>
      <c r="F564" s="301">
        <f t="shared" si="294"/>
        <v>0</v>
      </c>
      <c r="G564" s="301">
        <f t="shared" si="294"/>
        <v>0</v>
      </c>
      <c r="H564" s="301">
        <f t="shared" si="294"/>
        <v>0</v>
      </c>
      <c r="I564" s="301">
        <f t="shared" si="294"/>
        <v>0</v>
      </c>
      <c r="J564" s="301">
        <f t="shared" si="294"/>
        <v>0</v>
      </c>
    </row>
    <row r="565" spans="1:10" ht="15.75" thickTop="1" x14ac:dyDescent="0.25">
      <c r="B565" s="293"/>
      <c r="C565" s="293"/>
      <c r="D565" s="293"/>
      <c r="E565" s="293"/>
      <c r="F565" s="293"/>
      <c r="G565" s="293"/>
      <c r="H565" s="293"/>
      <c r="I565" s="293"/>
      <c r="J565" s="293"/>
    </row>
    <row r="566" spans="1:10" x14ac:dyDescent="0.25">
      <c r="A566" s="281"/>
      <c r="B566" s="316"/>
      <c r="C566" s="316"/>
      <c r="D566" s="316"/>
      <c r="E566" s="316"/>
      <c r="F566" s="316"/>
      <c r="G566" s="316"/>
      <c r="H566" s="316"/>
      <c r="I566" s="316"/>
      <c r="J566" s="316"/>
    </row>
    <row r="567" spans="1:10" x14ac:dyDescent="0.25">
      <c r="B567" s="293"/>
      <c r="C567" s="293"/>
      <c r="D567" s="293"/>
      <c r="E567" s="293"/>
      <c r="F567" s="293"/>
      <c r="G567" s="293"/>
      <c r="H567" s="293"/>
      <c r="I567" s="293"/>
      <c r="J567" s="293"/>
    </row>
    <row r="568" spans="1:10" x14ac:dyDescent="0.25">
      <c r="A568" s="280" t="s">
        <v>4286</v>
      </c>
      <c r="B568" s="293"/>
      <c r="C568" s="293"/>
      <c r="D568" s="293"/>
      <c r="E568" s="293"/>
      <c r="F568" s="293"/>
      <c r="G568" s="293"/>
      <c r="H568" s="293"/>
      <c r="I568" s="293"/>
      <c r="J568" s="293"/>
    </row>
    <row r="569" spans="1:10" x14ac:dyDescent="0.25">
      <c r="B569" s="293"/>
      <c r="C569" s="293"/>
      <c r="D569" s="293"/>
      <c r="E569" s="293"/>
      <c r="F569" s="293"/>
      <c r="G569" s="293"/>
      <c r="H569" s="293"/>
      <c r="I569" s="293"/>
      <c r="J569" s="293"/>
    </row>
    <row r="570" spans="1:10" x14ac:dyDescent="0.25">
      <c r="A570" s="47" t="s">
        <v>4260</v>
      </c>
      <c r="B570" s="293"/>
      <c r="C570" s="293"/>
      <c r="D570" s="293"/>
      <c r="E570" s="293"/>
      <c r="F570" s="293"/>
      <c r="G570" s="293"/>
      <c r="H570" s="293"/>
      <c r="I570" s="293"/>
      <c r="J570" s="293"/>
    </row>
    <row r="571" spans="1:10" x14ac:dyDescent="0.25">
      <c r="A571" t="s">
        <v>4262</v>
      </c>
      <c r="B571" s="293">
        <f>-operatingdata!F487-operatingdata!F565</f>
        <v>1866100</v>
      </c>
      <c r="C571" s="293">
        <f>-operatingdata!G487-operatingdata!G565</f>
        <v>1913200</v>
      </c>
      <c r="D571" s="293">
        <f>-operatingdata!H487-operatingdata!H565</f>
        <v>1961400</v>
      </c>
      <c r="E571" s="293">
        <f>-operatingdata!I487-operatingdata!I565</f>
        <v>2010700</v>
      </c>
      <c r="F571" s="293">
        <f>-operatingdata!J487-operatingdata!J565</f>
        <v>2061200</v>
      </c>
      <c r="G571" s="293">
        <f>-operatingdata!K487-operatingdata!K565</f>
        <v>2112900</v>
      </c>
      <c r="H571" s="293">
        <f>-operatingdata!L487-operatingdata!L565</f>
        <v>2165800</v>
      </c>
      <c r="I571" s="293">
        <f>-operatingdata!M487-operatingdata!M565</f>
        <v>2219800</v>
      </c>
      <c r="J571" s="293">
        <f>-operatingdata!N487-operatingdata!N565</f>
        <v>2275400</v>
      </c>
    </row>
    <row r="572" spans="1:10" x14ac:dyDescent="0.25">
      <c r="A572" t="s">
        <v>4261</v>
      </c>
      <c r="B572" s="293"/>
      <c r="C572" s="293"/>
      <c r="D572" s="293"/>
      <c r="E572" s="293"/>
      <c r="F572" s="293"/>
      <c r="G572" s="293"/>
      <c r="H572" s="293"/>
      <c r="I572" s="293"/>
      <c r="J572" s="293"/>
    </row>
    <row r="573" spans="1:10" x14ac:dyDescent="0.25">
      <c r="A573" t="s">
        <v>66</v>
      </c>
      <c r="B573" s="293"/>
      <c r="C573" s="293"/>
      <c r="D573" s="293"/>
      <c r="E573" s="293"/>
      <c r="F573" s="293"/>
      <c r="G573" s="293"/>
      <c r="H573" s="293"/>
      <c r="I573" s="293"/>
      <c r="J573" s="293"/>
    </row>
    <row r="574" spans="1:10" x14ac:dyDescent="0.25">
      <c r="B574" s="293"/>
      <c r="C574" s="293"/>
      <c r="D574" s="293"/>
      <c r="E574" s="293"/>
      <c r="F574" s="293"/>
      <c r="G574" s="293"/>
      <c r="H574" s="293"/>
      <c r="I574" s="293"/>
      <c r="J574" s="293"/>
    </row>
    <row r="575" spans="1:10" x14ac:dyDescent="0.25">
      <c r="B575" s="293"/>
      <c r="C575" s="293"/>
      <c r="D575" s="293"/>
      <c r="E575" s="293"/>
      <c r="F575" s="293"/>
      <c r="G575" s="293"/>
      <c r="H575" s="293"/>
      <c r="I575" s="293"/>
      <c r="J575" s="293"/>
    </row>
    <row r="576" spans="1:10" x14ac:dyDescent="0.25">
      <c r="B576" s="293"/>
      <c r="C576" s="293"/>
      <c r="D576" s="293"/>
      <c r="E576" s="293"/>
      <c r="F576" s="293"/>
      <c r="G576" s="293"/>
      <c r="H576" s="293"/>
      <c r="I576" s="293"/>
      <c r="J576" s="293"/>
    </row>
    <row r="577" spans="1:10" x14ac:dyDescent="0.25">
      <c r="B577" s="293"/>
      <c r="C577" s="293"/>
      <c r="D577" s="293"/>
      <c r="E577" s="293"/>
      <c r="F577" s="293"/>
      <c r="G577" s="293"/>
      <c r="H577" s="293"/>
      <c r="I577" s="293"/>
      <c r="J577" s="293"/>
    </row>
    <row r="578" spans="1:10" x14ac:dyDescent="0.25">
      <c r="A578" s="47" t="s">
        <v>4263</v>
      </c>
      <c r="B578" s="296">
        <f>SUM(B568:B577)</f>
        <v>1866100</v>
      </c>
      <c r="C578" s="296">
        <f t="shared" ref="C578" si="295">SUM(C568:C577)</f>
        <v>1913200</v>
      </c>
      <c r="D578" s="296">
        <f t="shared" ref="D578" si="296">SUM(D568:D577)</f>
        <v>1961400</v>
      </c>
      <c r="E578" s="296">
        <f t="shared" ref="E578" si="297">SUM(E568:E577)</f>
        <v>2010700</v>
      </c>
      <c r="F578" s="296">
        <f t="shared" ref="F578" si="298">SUM(F568:F577)</f>
        <v>2061200</v>
      </c>
      <c r="G578" s="296">
        <f t="shared" ref="G578" si="299">SUM(G568:G577)</f>
        <v>2112900</v>
      </c>
      <c r="H578" s="296">
        <f t="shared" ref="H578" si="300">SUM(H568:H577)</f>
        <v>2165800</v>
      </c>
      <c r="I578" s="296">
        <f t="shared" ref="I578" si="301">SUM(I568:I577)</f>
        <v>2219800</v>
      </c>
      <c r="J578" s="296">
        <f t="shared" ref="J578" si="302">SUM(J568:J577)</f>
        <v>2275400</v>
      </c>
    </row>
    <row r="579" spans="1:10" x14ac:dyDescent="0.25">
      <c r="B579" s="293"/>
      <c r="C579" s="293"/>
      <c r="D579" s="293"/>
      <c r="E579" s="293"/>
      <c r="F579" s="293"/>
      <c r="G579" s="293"/>
      <c r="H579" s="293"/>
      <c r="I579" s="293"/>
      <c r="J579" s="293"/>
    </row>
    <row r="580" spans="1:10" x14ac:dyDescent="0.25">
      <c r="A580" s="47" t="s">
        <v>4264</v>
      </c>
      <c r="B580" s="293"/>
      <c r="C580" s="293"/>
      <c r="D580" s="293"/>
      <c r="E580" s="293"/>
      <c r="F580" s="293"/>
      <c r="G580" s="293"/>
      <c r="H580" s="293"/>
      <c r="I580" s="293"/>
      <c r="J580" s="293"/>
    </row>
    <row r="581" spans="1:10" x14ac:dyDescent="0.25">
      <c r="A581" t="s">
        <v>87</v>
      </c>
      <c r="B581" s="293">
        <f>operatingdata!F531+operatingdata!F471</f>
        <v>1932600</v>
      </c>
      <c r="C581" s="293">
        <f>operatingdata!G531+operatingdata!G471</f>
        <v>1970600</v>
      </c>
      <c r="D581" s="293">
        <f>operatingdata!H531+operatingdata!H471</f>
        <v>2009200</v>
      </c>
      <c r="E581" s="293">
        <f>operatingdata!I531+operatingdata!I471</f>
        <v>2048400</v>
      </c>
      <c r="F581" s="293">
        <f>operatingdata!J531+operatingdata!J471</f>
        <v>2088800</v>
      </c>
      <c r="G581" s="293">
        <f>operatingdata!K531+operatingdata!K471</f>
        <v>2129700</v>
      </c>
      <c r="H581" s="293">
        <f>operatingdata!L531+operatingdata!L471</f>
        <v>2182100</v>
      </c>
      <c r="I581" s="293">
        <f>operatingdata!M531+operatingdata!M471</f>
        <v>2236000</v>
      </c>
      <c r="J581" s="293">
        <f>operatingdata!N531+operatingdata!N471</f>
        <v>2290800</v>
      </c>
    </row>
    <row r="582" spans="1:10" x14ac:dyDescent="0.25">
      <c r="A582" t="s">
        <v>4392</v>
      </c>
      <c r="B582" s="293">
        <f>-operatingdata!F469</f>
        <v>-59400</v>
      </c>
      <c r="C582" s="293">
        <f>-operatingdata!G469</f>
        <v>-60000</v>
      </c>
      <c r="D582" s="293">
        <f>-operatingdata!H469</f>
        <v>-60600</v>
      </c>
      <c r="E582" s="293">
        <f>-operatingdata!I469</f>
        <v>-61200</v>
      </c>
      <c r="F582" s="293">
        <f>-operatingdata!J469</f>
        <v>-61800</v>
      </c>
      <c r="G582" s="293">
        <f>-operatingdata!K469</f>
        <v>-62400</v>
      </c>
      <c r="H582" s="293">
        <f>-operatingdata!L469</f>
        <v>-63000</v>
      </c>
      <c r="I582" s="293">
        <f>-operatingdata!M469</f>
        <v>-63600</v>
      </c>
      <c r="J582" s="293">
        <f>-operatingdata!N469</f>
        <v>-64200</v>
      </c>
    </row>
    <row r="583" spans="1:10" x14ac:dyDescent="0.25">
      <c r="A583" t="s">
        <v>4265</v>
      </c>
      <c r="B583" s="293"/>
      <c r="C583" s="293"/>
      <c r="D583" s="293"/>
      <c r="E583" s="293"/>
      <c r="F583" s="293"/>
      <c r="G583" s="293"/>
      <c r="H583" s="293"/>
      <c r="I583" s="293"/>
      <c r="J583" s="293"/>
    </row>
    <row r="584" spans="1:10" x14ac:dyDescent="0.25">
      <c r="B584" s="293"/>
      <c r="C584" s="293"/>
      <c r="D584" s="293"/>
      <c r="E584" s="293"/>
      <c r="F584" s="293"/>
      <c r="G584" s="293"/>
      <c r="H584" s="293"/>
      <c r="I584" s="293"/>
      <c r="J584" s="293"/>
    </row>
    <row r="585" spans="1:10" x14ac:dyDescent="0.25">
      <c r="B585" s="293"/>
      <c r="C585" s="293"/>
      <c r="D585" s="293"/>
      <c r="E585" s="293"/>
      <c r="F585" s="293"/>
      <c r="G585" s="293"/>
      <c r="H585" s="293"/>
      <c r="I585" s="293"/>
      <c r="J585" s="293"/>
    </row>
    <row r="586" spans="1:10" x14ac:dyDescent="0.25">
      <c r="B586" s="293"/>
      <c r="C586" s="293"/>
      <c r="D586" s="293"/>
      <c r="E586" s="293"/>
      <c r="F586" s="293"/>
      <c r="G586" s="293"/>
      <c r="H586" s="293"/>
      <c r="I586" s="293"/>
      <c r="J586" s="293"/>
    </row>
    <row r="587" spans="1:10" x14ac:dyDescent="0.25">
      <c r="B587" s="293"/>
      <c r="C587" s="293"/>
      <c r="D587" s="293"/>
      <c r="E587" s="293"/>
      <c r="F587" s="293"/>
      <c r="G587" s="293"/>
      <c r="H587" s="293"/>
      <c r="I587" s="293"/>
      <c r="J587" s="293"/>
    </row>
    <row r="588" spans="1:10" x14ac:dyDescent="0.25">
      <c r="A588" t="s">
        <v>4266</v>
      </c>
      <c r="B588" s="293"/>
      <c r="C588" s="293"/>
      <c r="D588" s="293"/>
      <c r="E588" s="293"/>
      <c r="F588" s="293"/>
      <c r="G588" s="293"/>
      <c r="H588" s="293"/>
      <c r="I588" s="293"/>
      <c r="J588" s="293"/>
    </row>
    <row r="589" spans="1:10" x14ac:dyDescent="0.25">
      <c r="A589" t="s">
        <v>66</v>
      </c>
      <c r="B589" s="293"/>
      <c r="C589" s="293"/>
      <c r="D589" s="293"/>
      <c r="E589" s="293"/>
      <c r="F589" s="293"/>
      <c r="G589" s="293"/>
      <c r="H589" s="293"/>
      <c r="I589" s="293"/>
      <c r="J589" s="293"/>
    </row>
    <row r="590" spans="1:10" x14ac:dyDescent="0.25">
      <c r="B590" s="293"/>
      <c r="C590" s="293"/>
      <c r="D590" s="293"/>
      <c r="E590" s="293"/>
      <c r="F590" s="293"/>
      <c r="G590" s="293"/>
      <c r="H590" s="293"/>
      <c r="I590" s="293"/>
      <c r="J590" s="293"/>
    </row>
    <row r="591" spans="1:10" x14ac:dyDescent="0.25">
      <c r="B591" s="293"/>
      <c r="C591" s="293"/>
      <c r="D591" s="293"/>
      <c r="E591" s="293"/>
      <c r="F591" s="293"/>
      <c r="G591" s="293"/>
      <c r="H591" s="293"/>
      <c r="I591" s="293"/>
      <c r="J591" s="293"/>
    </row>
    <row r="592" spans="1:10" x14ac:dyDescent="0.25">
      <c r="B592" s="293"/>
      <c r="C592" s="293"/>
      <c r="D592" s="293"/>
      <c r="E592" s="293"/>
      <c r="F592" s="293"/>
      <c r="G592" s="293"/>
      <c r="H592" s="293"/>
      <c r="I592" s="293"/>
      <c r="J592" s="293"/>
    </row>
    <row r="593" spans="1:10" x14ac:dyDescent="0.25">
      <c r="B593" s="293"/>
      <c r="C593" s="293"/>
      <c r="D593" s="293"/>
      <c r="E593" s="293"/>
      <c r="F593" s="293"/>
      <c r="G593" s="293"/>
      <c r="H593" s="293"/>
      <c r="I593" s="293"/>
      <c r="J593" s="293"/>
    </row>
    <row r="594" spans="1:10" x14ac:dyDescent="0.25">
      <c r="A594" s="47" t="s">
        <v>4267</v>
      </c>
      <c r="B594" s="296">
        <f>SUM(B581:B593)</f>
        <v>1873200</v>
      </c>
      <c r="C594" s="296">
        <f t="shared" ref="C594" si="303">SUM(C581:C593)</f>
        <v>1910600</v>
      </c>
      <c r="D594" s="296">
        <f t="shared" ref="D594" si="304">SUM(D581:D593)</f>
        <v>1948600</v>
      </c>
      <c r="E594" s="296">
        <f t="shared" ref="E594" si="305">SUM(E581:E593)</f>
        <v>1987200</v>
      </c>
      <c r="F594" s="296">
        <f t="shared" ref="F594" si="306">SUM(F581:F593)</f>
        <v>2027000</v>
      </c>
      <c r="G594" s="296">
        <f t="shared" ref="G594" si="307">SUM(G581:G593)</f>
        <v>2067300</v>
      </c>
      <c r="H594" s="296">
        <f t="shared" ref="H594" si="308">SUM(H581:H593)</f>
        <v>2119100</v>
      </c>
      <c r="I594" s="296">
        <f t="shared" ref="I594" si="309">SUM(I581:I593)</f>
        <v>2172400</v>
      </c>
      <c r="J594" s="296">
        <f t="shared" ref="J594" si="310">SUM(J581:J593)</f>
        <v>2226600</v>
      </c>
    </row>
    <row r="595" spans="1:10" x14ac:dyDescent="0.25">
      <c r="B595" s="293"/>
      <c r="C595" s="293"/>
      <c r="D595" s="293"/>
      <c r="E595" s="293"/>
      <c r="F595" s="293"/>
      <c r="G595" s="293"/>
      <c r="H595" s="293"/>
      <c r="I595" s="293"/>
      <c r="J595" s="293"/>
    </row>
    <row r="596" spans="1:10" ht="15.75" thickBot="1" x14ac:dyDescent="0.3">
      <c r="A596" s="47" t="s">
        <v>4268</v>
      </c>
      <c r="B596" s="301">
        <f>B578-B594</f>
        <v>-7100</v>
      </c>
      <c r="C596" s="301">
        <f t="shared" ref="C596:J596" si="311">C578-C594</f>
        <v>2600</v>
      </c>
      <c r="D596" s="301">
        <f t="shared" si="311"/>
        <v>12800</v>
      </c>
      <c r="E596" s="301">
        <f t="shared" si="311"/>
        <v>23500</v>
      </c>
      <c r="F596" s="301">
        <f t="shared" si="311"/>
        <v>34200</v>
      </c>
      <c r="G596" s="301">
        <f t="shared" si="311"/>
        <v>45600</v>
      </c>
      <c r="H596" s="301">
        <f t="shared" si="311"/>
        <v>46700</v>
      </c>
      <c r="I596" s="301">
        <f t="shared" si="311"/>
        <v>47400</v>
      </c>
      <c r="J596" s="301">
        <f t="shared" si="311"/>
        <v>48800</v>
      </c>
    </row>
    <row r="597" spans="1:10" ht="15.75" thickTop="1" x14ac:dyDescent="0.25">
      <c r="B597" s="293"/>
      <c r="C597" s="293"/>
      <c r="D597" s="293"/>
      <c r="E597" s="293"/>
      <c r="F597" s="293"/>
      <c r="G597" s="293"/>
      <c r="H597" s="293"/>
      <c r="I597" s="293"/>
      <c r="J597" s="293"/>
    </row>
    <row r="598" spans="1:10" x14ac:dyDescent="0.25">
      <c r="A598" s="281"/>
      <c r="B598" s="316"/>
      <c r="C598" s="316"/>
      <c r="D598" s="316"/>
      <c r="E598" s="316"/>
      <c r="F598" s="316"/>
      <c r="G598" s="316"/>
      <c r="H598" s="316"/>
      <c r="I598" s="316"/>
      <c r="J598" s="316"/>
    </row>
    <row r="599" spans="1:10" x14ac:dyDescent="0.25">
      <c r="B599" s="293"/>
      <c r="C599" s="293"/>
      <c r="D599" s="293"/>
      <c r="E599" s="293"/>
      <c r="F599" s="293"/>
      <c r="G599" s="293"/>
      <c r="H599" s="293"/>
      <c r="I599" s="293"/>
      <c r="J599" s="293"/>
    </row>
    <row r="600" spans="1:10" x14ac:dyDescent="0.25">
      <c r="A600" s="280" t="s">
        <v>4287</v>
      </c>
      <c r="B600" s="293"/>
      <c r="C600" s="293"/>
      <c r="D600" s="293"/>
      <c r="E600" s="293"/>
      <c r="F600" s="293"/>
      <c r="G600" s="293"/>
      <c r="H600" s="293"/>
      <c r="I600" s="293"/>
      <c r="J600" s="293"/>
    </row>
    <row r="601" spans="1:10" x14ac:dyDescent="0.25">
      <c r="B601" s="293"/>
      <c r="C601" s="293"/>
      <c r="D601" s="293"/>
      <c r="E601" s="293"/>
      <c r="F601" s="293"/>
      <c r="G601" s="293"/>
      <c r="H601" s="293"/>
      <c r="I601" s="293"/>
      <c r="J601" s="293"/>
    </row>
    <row r="602" spans="1:10" x14ac:dyDescent="0.25">
      <c r="A602" s="47" t="s">
        <v>4260</v>
      </c>
      <c r="B602" s="293"/>
      <c r="C602" s="293"/>
      <c r="D602" s="293"/>
      <c r="E602" s="293"/>
      <c r="F602" s="293"/>
      <c r="G602" s="293"/>
      <c r="H602" s="293"/>
      <c r="I602" s="293"/>
      <c r="J602" s="293"/>
    </row>
    <row r="603" spans="1:10" x14ac:dyDescent="0.25">
      <c r="A603" t="s">
        <v>4262</v>
      </c>
      <c r="B603" s="293"/>
      <c r="C603" s="293"/>
      <c r="D603" s="293"/>
      <c r="E603" s="293"/>
      <c r="F603" s="293"/>
      <c r="G603" s="293"/>
      <c r="H603" s="293"/>
      <c r="I603" s="293"/>
      <c r="J603" s="293"/>
    </row>
    <row r="604" spans="1:10" x14ac:dyDescent="0.25">
      <c r="A604" t="s">
        <v>4261</v>
      </c>
      <c r="B604" s="293"/>
      <c r="C604" s="293"/>
      <c r="D604" s="293"/>
      <c r="E604" s="293"/>
      <c r="F604" s="293"/>
      <c r="G604" s="293"/>
      <c r="H604" s="293"/>
      <c r="I604" s="293"/>
      <c r="J604" s="293"/>
    </row>
    <row r="605" spans="1:10" x14ac:dyDescent="0.25">
      <c r="A605" t="s">
        <v>66</v>
      </c>
      <c r="B605" s="293"/>
      <c r="C605" s="293"/>
      <c r="D605" s="293"/>
      <c r="E605" s="293"/>
      <c r="F605" s="293"/>
      <c r="G605" s="293"/>
      <c r="H605" s="293"/>
      <c r="I605" s="293"/>
      <c r="J605" s="293"/>
    </row>
    <row r="606" spans="1:10" x14ac:dyDescent="0.25">
      <c r="B606" s="293"/>
      <c r="C606" s="293"/>
      <c r="D606" s="293"/>
      <c r="E606" s="293"/>
      <c r="F606" s="293"/>
      <c r="G606" s="293"/>
      <c r="H606" s="293"/>
      <c r="I606" s="293"/>
      <c r="J606" s="293"/>
    </row>
    <row r="607" spans="1:10" x14ac:dyDescent="0.25">
      <c r="B607" s="293"/>
      <c r="C607" s="293"/>
      <c r="D607" s="293"/>
      <c r="E607" s="293"/>
      <c r="F607" s="293"/>
      <c r="G607" s="293"/>
      <c r="H607" s="293"/>
      <c r="I607" s="293"/>
      <c r="J607" s="293"/>
    </row>
    <row r="608" spans="1:10" x14ac:dyDescent="0.25">
      <c r="B608" s="293"/>
      <c r="C608" s="293"/>
      <c r="D608" s="293"/>
      <c r="E608" s="293"/>
      <c r="F608" s="293"/>
      <c r="G608" s="293"/>
      <c r="H608" s="293"/>
      <c r="I608" s="293"/>
      <c r="J608" s="293"/>
    </row>
    <row r="609" spans="1:10" x14ac:dyDescent="0.25">
      <c r="B609" s="293"/>
      <c r="C609" s="293"/>
      <c r="D609" s="293"/>
      <c r="E609" s="293"/>
      <c r="F609" s="293"/>
      <c r="G609" s="293"/>
      <c r="H609" s="293"/>
      <c r="I609" s="293"/>
      <c r="J609" s="293"/>
    </row>
    <row r="610" spans="1:10" x14ac:dyDescent="0.25">
      <c r="A610" s="47" t="s">
        <v>4263</v>
      </c>
      <c r="B610" s="296">
        <f>SUM(B600:B609)</f>
        <v>0</v>
      </c>
      <c r="C610" s="296">
        <f t="shared" ref="C610" si="312">SUM(C600:C609)</f>
        <v>0</v>
      </c>
      <c r="D610" s="296">
        <f t="shared" ref="D610" si="313">SUM(D600:D609)</f>
        <v>0</v>
      </c>
      <c r="E610" s="296">
        <f t="shared" ref="E610" si="314">SUM(E600:E609)</f>
        <v>0</v>
      </c>
      <c r="F610" s="296">
        <f t="shared" ref="F610" si="315">SUM(F600:F609)</f>
        <v>0</v>
      </c>
      <c r="G610" s="296">
        <f t="shared" ref="G610" si="316">SUM(G600:G609)</f>
        <v>0</v>
      </c>
      <c r="H610" s="296">
        <f t="shared" ref="H610" si="317">SUM(H600:H609)</f>
        <v>0</v>
      </c>
      <c r="I610" s="296">
        <f t="shared" ref="I610" si="318">SUM(I600:I609)</f>
        <v>0</v>
      </c>
      <c r="J610" s="296">
        <f t="shared" ref="J610" si="319">SUM(J600:J609)</f>
        <v>0</v>
      </c>
    </row>
    <row r="611" spans="1:10" x14ac:dyDescent="0.25">
      <c r="B611" s="293"/>
      <c r="C611" s="293"/>
      <c r="D611" s="293"/>
      <c r="E611" s="293"/>
      <c r="F611" s="293"/>
      <c r="G611" s="293"/>
      <c r="H611" s="293"/>
      <c r="I611" s="293"/>
      <c r="J611" s="293"/>
    </row>
    <row r="612" spans="1:10" x14ac:dyDescent="0.25">
      <c r="A612" s="47" t="s">
        <v>4264</v>
      </c>
      <c r="B612" s="293"/>
      <c r="C612" s="293"/>
      <c r="D612" s="293"/>
      <c r="E612" s="293"/>
      <c r="F612" s="293"/>
      <c r="G612" s="293"/>
      <c r="H612" s="293"/>
      <c r="I612" s="293"/>
      <c r="J612" s="293"/>
    </row>
    <row r="613" spans="1:10" x14ac:dyDescent="0.25">
      <c r="A613" t="s">
        <v>87</v>
      </c>
      <c r="B613" s="293"/>
      <c r="C613" s="293"/>
      <c r="D613" s="293"/>
      <c r="E613" s="293"/>
      <c r="F613" s="293"/>
      <c r="G613" s="293"/>
      <c r="H613" s="293"/>
      <c r="I613" s="293"/>
      <c r="J613" s="293"/>
    </row>
    <row r="614" spans="1:10" x14ac:dyDescent="0.25">
      <c r="A614" t="s">
        <v>4265</v>
      </c>
      <c r="B614" s="293"/>
      <c r="C614" s="293"/>
      <c r="D614" s="293"/>
      <c r="E614" s="293"/>
      <c r="F614" s="293"/>
      <c r="G614" s="293"/>
      <c r="H614" s="293"/>
      <c r="I614" s="293"/>
      <c r="J614" s="293"/>
    </row>
    <row r="615" spans="1:10" x14ac:dyDescent="0.25">
      <c r="B615" s="293"/>
      <c r="C615" s="293"/>
      <c r="D615" s="293"/>
      <c r="E615" s="293"/>
      <c r="F615" s="293"/>
      <c r="G615" s="293"/>
      <c r="H615" s="293"/>
      <c r="I615" s="293"/>
      <c r="J615" s="293"/>
    </row>
    <row r="616" spans="1:10" x14ac:dyDescent="0.25">
      <c r="B616" s="293"/>
      <c r="C616" s="293"/>
      <c r="D616" s="293"/>
      <c r="E616" s="293"/>
      <c r="F616" s="293"/>
      <c r="G616" s="293"/>
      <c r="H616" s="293"/>
      <c r="I616" s="293"/>
      <c r="J616" s="293"/>
    </row>
    <row r="617" spans="1:10" x14ac:dyDescent="0.25">
      <c r="B617" s="293"/>
      <c r="C617" s="293"/>
      <c r="D617" s="293"/>
      <c r="E617" s="293"/>
      <c r="F617" s="293"/>
      <c r="G617" s="293"/>
      <c r="H617" s="293"/>
      <c r="I617" s="293"/>
      <c r="J617" s="293"/>
    </row>
    <row r="618" spans="1:10" x14ac:dyDescent="0.25">
      <c r="B618" s="293"/>
      <c r="C618" s="293"/>
      <c r="D618" s="293"/>
      <c r="E618" s="293"/>
      <c r="F618" s="293"/>
      <c r="G618" s="293"/>
      <c r="H618" s="293"/>
      <c r="I618" s="293"/>
      <c r="J618" s="293"/>
    </row>
    <row r="619" spans="1:10" x14ac:dyDescent="0.25">
      <c r="A619" t="s">
        <v>4266</v>
      </c>
      <c r="B619" s="293"/>
      <c r="C619" s="293"/>
      <c r="D619" s="293"/>
      <c r="E619" s="293"/>
      <c r="F619" s="293"/>
      <c r="G619" s="293"/>
      <c r="H619" s="293"/>
      <c r="I619" s="293"/>
      <c r="J619" s="293"/>
    </row>
    <row r="620" spans="1:10" x14ac:dyDescent="0.25">
      <c r="A620" t="s">
        <v>66</v>
      </c>
      <c r="B620" s="293"/>
      <c r="C620" s="293"/>
      <c r="D620" s="293"/>
      <c r="E620" s="293"/>
      <c r="F620" s="293"/>
      <c r="G620" s="293"/>
      <c r="H620" s="293"/>
      <c r="I620" s="293"/>
      <c r="J620" s="293"/>
    </row>
    <row r="621" spans="1:10" x14ac:dyDescent="0.25">
      <c r="B621" s="293"/>
      <c r="C621" s="293"/>
      <c r="D621" s="293"/>
      <c r="E621" s="293"/>
      <c r="F621" s="293"/>
      <c r="G621" s="293"/>
      <c r="H621" s="293"/>
      <c r="I621" s="293"/>
      <c r="J621" s="293"/>
    </row>
    <row r="622" spans="1:10" x14ac:dyDescent="0.25">
      <c r="B622" s="293"/>
      <c r="C622" s="293"/>
      <c r="D622" s="293"/>
      <c r="E622" s="293"/>
      <c r="F622" s="293"/>
      <c r="G622" s="293"/>
      <c r="H622" s="293"/>
      <c r="I622" s="293"/>
      <c r="J622" s="293"/>
    </row>
    <row r="623" spans="1:10" x14ac:dyDescent="0.25">
      <c r="B623" s="293"/>
      <c r="C623" s="293"/>
      <c r="D623" s="293"/>
      <c r="E623" s="293"/>
      <c r="F623" s="293"/>
      <c r="G623" s="293"/>
      <c r="H623" s="293"/>
      <c r="I623" s="293"/>
      <c r="J623" s="293"/>
    </row>
    <row r="624" spans="1:10" x14ac:dyDescent="0.25">
      <c r="B624" s="293"/>
      <c r="C624" s="293"/>
      <c r="D624" s="293"/>
      <c r="E624" s="293"/>
      <c r="F624" s="293"/>
      <c r="G624" s="293"/>
      <c r="H624" s="293"/>
      <c r="I624" s="293"/>
      <c r="J624" s="293"/>
    </row>
    <row r="625" spans="1:10" x14ac:dyDescent="0.25">
      <c r="A625" s="47" t="s">
        <v>4267</v>
      </c>
      <c r="B625" s="296">
        <f>SUM(B613:B624)</f>
        <v>0</v>
      </c>
      <c r="C625" s="296">
        <f t="shared" ref="C625" si="320">SUM(C613:C624)</f>
        <v>0</v>
      </c>
      <c r="D625" s="296">
        <f t="shared" ref="D625" si="321">SUM(D613:D624)</f>
        <v>0</v>
      </c>
      <c r="E625" s="296">
        <f t="shared" ref="E625" si="322">SUM(E613:E624)</f>
        <v>0</v>
      </c>
      <c r="F625" s="296">
        <f t="shared" ref="F625" si="323">SUM(F613:F624)</f>
        <v>0</v>
      </c>
      <c r="G625" s="296">
        <f t="shared" ref="G625" si="324">SUM(G613:G624)</f>
        <v>0</v>
      </c>
      <c r="H625" s="296">
        <f t="shared" ref="H625" si="325">SUM(H613:H624)</f>
        <v>0</v>
      </c>
      <c r="I625" s="296">
        <f t="shared" ref="I625" si="326">SUM(I613:I624)</f>
        <v>0</v>
      </c>
      <c r="J625" s="296">
        <f t="shared" ref="J625" si="327">SUM(J613:J624)</f>
        <v>0</v>
      </c>
    </row>
    <row r="626" spans="1:10" x14ac:dyDescent="0.25">
      <c r="B626" s="293"/>
      <c r="C626" s="293"/>
      <c r="D626" s="293"/>
      <c r="E626" s="293"/>
      <c r="F626" s="293"/>
      <c r="G626" s="293"/>
      <c r="H626" s="293"/>
      <c r="I626" s="293"/>
      <c r="J626" s="293"/>
    </row>
    <row r="627" spans="1:10" ht="15.75" thickBot="1" x14ac:dyDescent="0.3">
      <c r="A627" s="47" t="s">
        <v>4268</v>
      </c>
      <c r="B627" s="301">
        <f>B610-B625</f>
        <v>0</v>
      </c>
      <c r="C627" s="301">
        <f t="shared" ref="C627:J627" si="328">C610-C625</f>
        <v>0</v>
      </c>
      <c r="D627" s="301">
        <f t="shared" si="328"/>
        <v>0</v>
      </c>
      <c r="E627" s="301">
        <f t="shared" si="328"/>
        <v>0</v>
      </c>
      <c r="F627" s="301">
        <f t="shared" si="328"/>
        <v>0</v>
      </c>
      <c r="G627" s="301">
        <f t="shared" si="328"/>
        <v>0</v>
      </c>
      <c r="H627" s="301">
        <f t="shared" si="328"/>
        <v>0</v>
      </c>
      <c r="I627" s="301">
        <f t="shared" si="328"/>
        <v>0</v>
      </c>
      <c r="J627" s="301">
        <f t="shared" si="328"/>
        <v>0</v>
      </c>
    </row>
    <row r="628" spans="1:10" ht="15.75" thickTop="1" x14ac:dyDescent="0.25">
      <c r="B628" s="293"/>
      <c r="C628" s="293"/>
      <c r="D628" s="293"/>
      <c r="E628" s="293"/>
      <c r="F628" s="293"/>
      <c r="G628" s="293"/>
      <c r="H628" s="293"/>
      <c r="I628" s="293"/>
      <c r="J628" s="293"/>
    </row>
    <row r="629" spans="1:10" x14ac:dyDescent="0.25">
      <c r="A629" s="281"/>
      <c r="B629" s="316"/>
      <c r="C629" s="316"/>
      <c r="D629" s="316"/>
      <c r="E629" s="316"/>
      <c r="F629" s="316"/>
      <c r="G629" s="316"/>
      <c r="H629" s="316"/>
      <c r="I629" s="316"/>
      <c r="J629" s="316"/>
    </row>
    <row r="630" spans="1:10" x14ac:dyDescent="0.25">
      <c r="B630" s="293"/>
      <c r="C630" s="293"/>
      <c r="D630" s="293"/>
      <c r="E630" s="293"/>
      <c r="F630" s="293"/>
      <c r="G630" s="293"/>
      <c r="H630" s="293"/>
      <c r="I630" s="293"/>
      <c r="J630" s="293"/>
    </row>
    <row r="631" spans="1:10" x14ac:dyDescent="0.25">
      <c r="A631" s="280" t="s">
        <v>4288</v>
      </c>
      <c r="B631" s="293"/>
      <c r="C631" s="293"/>
      <c r="D631" s="293"/>
      <c r="E631" s="293"/>
      <c r="F631" s="293"/>
      <c r="G631" s="293"/>
      <c r="H631" s="293"/>
      <c r="I631" s="293"/>
      <c r="J631" s="293"/>
    </row>
    <row r="632" spans="1:10" x14ac:dyDescent="0.25">
      <c r="B632" s="293"/>
      <c r="C632" s="293"/>
      <c r="D632" s="293"/>
      <c r="E632" s="293"/>
      <c r="F632" s="293"/>
      <c r="G632" s="293"/>
      <c r="H632" s="293"/>
      <c r="I632" s="293"/>
      <c r="J632" s="293"/>
    </row>
    <row r="633" spans="1:10" x14ac:dyDescent="0.25">
      <c r="A633" s="47" t="s">
        <v>4260</v>
      </c>
      <c r="B633" s="293"/>
      <c r="C633" s="293"/>
      <c r="D633" s="293"/>
      <c r="E633" s="293"/>
      <c r="F633" s="293"/>
      <c r="G633" s="293"/>
      <c r="H633" s="293"/>
      <c r="I633" s="293"/>
      <c r="J633" s="293"/>
    </row>
    <row r="634" spans="1:10" x14ac:dyDescent="0.25">
      <c r="A634" t="s">
        <v>4262</v>
      </c>
      <c r="B634" s="293"/>
      <c r="C634" s="293"/>
      <c r="D634" s="293"/>
      <c r="E634" s="293"/>
      <c r="F634" s="293"/>
      <c r="G634" s="293"/>
      <c r="H634" s="293"/>
      <c r="I634" s="293"/>
      <c r="J634" s="293"/>
    </row>
    <row r="635" spans="1:10" x14ac:dyDescent="0.25">
      <c r="A635" t="s">
        <v>4261</v>
      </c>
      <c r="B635" s="293"/>
      <c r="C635" s="293"/>
      <c r="D635" s="293"/>
      <c r="E635" s="293"/>
      <c r="F635" s="293"/>
      <c r="G635" s="293"/>
      <c r="H635" s="293"/>
      <c r="I635" s="293"/>
      <c r="J635" s="293"/>
    </row>
    <row r="636" spans="1:10" x14ac:dyDescent="0.25">
      <c r="A636" t="s">
        <v>66</v>
      </c>
      <c r="B636" s="293"/>
      <c r="C636" s="293"/>
      <c r="D636" s="293"/>
      <c r="E636" s="293"/>
      <c r="F636" s="293"/>
      <c r="G636" s="293"/>
      <c r="H636" s="293"/>
      <c r="I636" s="293"/>
      <c r="J636" s="293"/>
    </row>
    <row r="637" spans="1:10" x14ac:dyDescent="0.25">
      <c r="B637" s="293"/>
      <c r="C637" s="293"/>
      <c r="D637" s="293"/>
      <c r="E637" s="293"/>
      <c r="F637" s="293"/>
      <c r="G637" s="293"/>
      <c r="H637" s="293"/>
      <c r="I637" s="293"/>
      <c r="J637" s="293"/>
    </row>
    <row r="638" spans="1:10" x14ac:dyDescent="0.25">
      <c r="B638" s="293"/>
      <c r="C638" s="293"/>
      <c r="D638" s="293"/>
      <c r="E638" s="293"/>
      <c r="F638" s="293"/>
      <c r="G638" s="293"/>
      <c r="H638" s="293"/>
      <c r="I638" s="293"/>
      <c r="J638" s="293"/>
    </row>
    <row r="639" spans="1:10" x14ac:dyDescent="0.25">
      <c r="B639" s="293"/>
      <c r="C639" s="293"/>
      <c r="D639" s="293"/>
      <c r="E639" s="293"/>
      <c r="F639" s="293"/>
      <c r="G639" s="293"/>
      <c r="H639" s="293"/>
      <c r="I639" s="293"/>
      <c r="J639" s="293"/>
    </row>
    <row r="640" spans="1:10" x14ac:dyDescent="0.25">
      <c r="B640" s="293"/>
      <c r="C640" s="293"/>
      <c r="D640" s="293"/>
      <c r="E640" s="293"/>
      <c r="F640" s="293"/>
      <c r="G640" s="293"/>
      <c r="H640" s="293"/>
      <c r="I640" s="293"/>
      <c r="J640" s="293"/>
    </row>
    <row r="641" spans="1:10" x14ac:dyDescent="0.25">
      <c r="A641" s="47" t="s">
        <v>4263</v>
      </c>
      <c r="B641" s="296">
        <f>SUM(B631:B640)</f>
        <v>0</v>
      </c>
      <c r="C641" s="296">
        <f t="shared" ref="C641" si="329">SUM(C631:C640)</f>
        <v>0</v>
      </c>
      <c r="D641" s="296">
        <f t="shared" ref="D641" si="330">SUM(D631:D640)</f>
        <v>0</v>
      </c>
      <c r="E641" s="296">
        <f t="shared" ref="E641" si="331">SUM(E631:E640)</f>
        <v>0</v>
      </c>
      <c r="F641" s="296">
        <f t="shared" ref="F641" si="332">SUM(F631:F640)</f>
        <v>0</v>
      </c>
      <c r="G641" s="296">
        <f t="shared" ref="G641" si="333">SUM(G631:G640)</f>
        <v>0</v>
      </c>
      <c r="H641" s="296">
        <f t="shared" ref="H641" si="334">SUM(H631:H640)</f>
        <v>0</v>
      </c>
      <c r="I641" s="296">
        <f t="shared" ref="I641" si="335">SUM(I631:I640)</f>
        <v>0</v>
      </c>
      <c r="J641" s="296">
        <f t="shared" ref="J641" si="336">SUM(J631:J640)</f>
        <v>0</v>
      </c>
    </row>
    <row r="642" spans="1:10" x14ac:dyDescent="0.25">
      <c r="B642" s="293"/>
      <c r="C642" s="293"/>
      <c r="D642" s="293"/>
      <c r="E642" s="293"/>
      <c r="F642" s="293"/>
      <c r="G642" s="293"/>
      <c r="H642" s="293"/>
      <c r="I642" s="293"/>
      <c r="J642" s="293"/>
    </row>
    <row r="643" spans="1:10" x14ac:dyDescent="0.25">
      <c r="A643" s="47" t="s">
        <v>4264</v>
      </c>
      <c r="B643" s="293"/>
      <c r="C643" s="293"/>
      <c r="D643" s="293"/>
      <c r="E643" s="293"/>
      <c r="F643" s="293"/>
      <c r="G643" s="293"/>
      <c r="H643" s="293"/>
      <c r="I643" s="293"/>
      <c r="J643" s="293"/>
    </row>
    <row r="644" spans="1:10" x14ac:dyDescent="0.25">
      <c r="A644" t="s">
        <v>87</v>
      </c>
      <c r="B644" s="293"/>
      <c r="C644" s="293"/>
      <c r="D644" s="293"/>
      <c r="E644" s="293"/>
      <c r="F644" s="293"/>
      <c r="G644" s="293"/>
      <c r="H644" s="293"/>
      <c r="I644" s="293"/>
      <c r="J644" s="293"/>
    </row>
    <row r="645" spans="1:10" x14ac:dyDescent="0.25">
      <c r="A645" t="s">
        <v>4265</v>
      </c>
      <c r="B645" s="293"/>
      <c r="C645" s="293"/>
      <c r="D645" s="293"/>
      <c r="E645" s="293"/>
      <c r="F645" s="293"/>
      <c r="G645" s="293"/>
      <c r="H645" s="293"/>
      <c r="I645" s="293"/>
      <c r="J645" s="293"/>
    </row>
    <row r="646" spans="1:10" x14ac:dyDescent="0.25">
      <c r="B646" s="293"/>
      <c r="C646" s="293"/>
      <c r="D646" s="293"/>
      <c r="E646" s="293"/>
      <c r="F646" s="293"/>
      <c r="G646" s="293"/>
      <c r="H646" s="293"/>
      <c r="I646" s="293"/>
      <c r="J646" s="293"/>
    </row>
    <row r="647" spans="1:10" x14ac:dyDescent="0.25">
      <c r="B647" s="293"/>
      <c r="C647" s="293"/>
      <c r="D647" s="293"/>
      <c r="E647" s="293"/>
      <c r="F647" s="293"/>
      <c r="G647" s="293"/>
      <c r="H647" s="293"/>
      <c r="I647" s="293"/>
      <c r="J647" s="293"/>
    </row>
    <row r="648" spans="1:10" x14ac:dyDescent="0.25">
      <c r="B648" s="293"/>
      <c r="C648" s="293"/>
      <c r="D648" s="293"/>
      <c r="E648" s="293"/>
      <c r="F648" s="293"/>
      <c r="G648" s="293"/>
      <c r="H648" s="293"/>
      <c r="I648" s="293"/>
      <c r="J648" s="293"/>
    </row>
    <row r="649" spans="1:10" x14ac:dyDescent="0.25">
      <c r="B649" s="293"/>
      <c r="C649" s="293"/>
      <c r="D649" s="293"/>
      <c r="E649" s="293"/>
      <c r="F649" s="293"/>
      <c r="G649" s="293"/>
      <c r="H649" s="293"/>
      <c r="I649" s="293"/>
      <c r="J649" s="293"/>
    </row>
    <row r="650" spans="1:10" x14ac:dyDescent="0.25">
      <c r="A650" t="s">
        <v>4266</v>
      </c>
      <c r="B650" s="293"/>
      <c r="C650" s="293"/>
      <c r="D650" s="293"/>
      <c r="E650" s="293"/>
      <c r="F650" s="293"/>
      <c r="G650" s="293"/>
      <c r="H650" s="293"/>
      <c r="I650" s="293"/>
      <c r="J650" s="293"/>
    </row>
    <row r="651" spans="1:10" x14ac:dyDescent="0.25">
      <c r="A651" t="s">
        <v>66</v>
      </c>
      <c r="B651" s="293"/>
      <c r="C651" s="293"/>
      <c r="D651" s="293"/>
      <c r="E651" s="293"/>
      <c r="F651" s="293"/>
      <c r="G651" s="293"/>
      <c r="H651" s="293"/>
      <c r="I651" s="293"/>
      <c r="J651" s="293"/>
    </row>
    <row r="652" spans="1:10" x14ac:dyDescent="0.25">
      <c r="B652" s="293"/>
      <c r="C652" s="293"/>
      <c r="D652" s="293"/>
      <c r="E652" s="293"/>
      <c r="F652" s="293"/>
      <c r="G652" s="293"/>
      <c r="H652" s="293"/>
      <c r="I652" s="293"/>
      <c r="J652" s="293"/>
    </row>
    <row r="653" spans="1:10" x14ac:dyDescent="0.25">
      <c r="B653" s="293"/>
      <c r="C653" s="293"/>
      <c r="D653" s="293"/>
      <c r="E653" s="293"/>
      <c r="F653" s="293"/>
      <c r="G653" s="293"/>
      <c r="H653" s="293"/>
      <c r="I653" s="293"/>
      <c r="J653" s="293"/>
    </row>
    <row r="654" spans="1:10" x14ac:dyDescent="0.25">
      <c r="B654" s="293"/>
      <c r="C654" s="293"/>
      <c r="D654" s="293"/>
      <c r="E654" s="293"/>
      <c r="F654" s="293"/>
      <c r="G654" s="293"/>
      <c r="H654" s="293"/>
      <c r="I654" s="293"/>
      <c r="J654" s="293"/>
    </row>
    <row r="655" spans="1:10" x14ac:dyDescent="0.25">
      <c r="B655" s="293"/>
      <c r="C655" s="293"/>
      <c r="D655" s="293"/>
      <c r="E655" s="293"/>
      <c r="F655" s="293"/>
      <c r="G655" s="293"/>
      <c r="H655" s="293"/>
      <c r="I655" s="293"/>
      <c r="J655" s="293"/>
    </row>
    <row r="656" spans="1:10" x14ac:dyDescent="0.25">
      <c r="A656" s="47" t="s">
        <v>4267</v>
      </c>
      <c r="B656" s="296">
        <f>SUM(B644:B655)</f>
        <v>0</v>
      </c>
      <c r="C656" s="296">
        <f t="shared" ref="C656" si="337">SUM(C644:C655)</f>
        <v>0</v>
      </c>
      <c r="D656" s="296">
        <f t="shared" ref="D656" si="338">SUM(D644:D655)</f>
        <v>0</v>
      </c>
      <c r="E656" s="296">
        <f t="shared" ref="E656" si="339">SUM(E644:E655)</f>
        <v>0</v>
      </c>
      <c r="F656" s="296">
        <f t="shared" ref="F656" si="340">SUM(F644:F655)</f>
        <v>0</v>
      </c>
      <c r="G656" s="296">
        <f t="shared" ref="G656" si="341">SUM(G644:G655)</f>
        <v>0</v>
      </c>
      <c r="H656" s="296">
        <f t="shared" ref="H656" si="342">SUM(H644:H655)</f>
        <v>0</v>
      </c>
      <c r="I656" s="296">
        <f t="shared" ref="I656" si="343">SUM(I644:I655)</f>
        <v>0</v>
      </c>
      <c r="J656" s="296">
        <f t="shared" ref="J656" si="344">SUM(J644:J655)</f>
        <v>0</v>
      </c>
    </row>
    <row r="657" spans="1:10" x14ac:dyDescent="0.25">
      <c r="B657" s="293"/>
      <c r="C657" s="293"/>
      <c r="D657" s="293"/>
      <c r="E657" s="293"/>
      <c r="F657" s="293"/>
      <c r="G657" s="293"/>
      <c r="H657" s="293"/>
      <c r="I657" s="293"/>
      <c r="J657" s="293"/>
    </row>
    <row r="658" spans="1:10" ht="15.75" thickBot="1" x14ac:dyDescent="0.3">
      <c r="A658" s="47" t="s">
        <v>4268</v>
      </c>
      <c r="B658" s="301">
        <f>B641-B656</f>
        <v>0</v>
      </c>
      <c r="C658" s="301">
        <f t="shared" ref="C658:J658" si="345">C641-C656</f>
        <v>0</v>
      </c>
      <c r="D658" s="301">
        <f t="shared" si="345"/>
        <v>0</v>
      </c>
      <c r="E658" s="301">
        <f t="shared" si="345"/>
        <v>0</v>
      </c>
      <c r="F658" s="301">
        <f t="shared" si="345"/>
        <v>0</v>
      </c>
      <c r="G658" s="301">
        <f t="shared" si="345"/>
        <v>0</v>
      </c>
      <c r="H658" s="301">
        <f t="shared" si="345"/>
        <v>0</v>
      </c>
      <c r="I658" s="301">
        <f t="shared" si="345"/>
        <v>0</v>
      </c>
      <c r="J658" s="301">
        <f t="shared" si="345"/>
        <v>0</v>
      </c>
    </row>
    <row r="659" spans="1:10" ht="15.75" thickTop="1" x14ac:dyDescent="0.25">
      <c r="B659" s="293"/>
      <c r="C659" s="293"/>
      <c r="D659" s="293"/>
      <c r="E659" s="293"/>
      <c r="F659" s="293"/>
      <c r="G659" s="293"/>
      <c r="H659" s="293"/>
      <c r="I659" s="293"/>
      <c r="J659" s="293"/>
    </row>
    <row r="660" spans="1:10" x14ac:dyDescent="0.25">
      <c r="A660" s="281"/>
      <c r="B660" s="316"/>
      <c r="C660" s="316"/>
      <c r="D660" s="316"/>
      <c r="E660" s="316"/>
      <c r="F660" s="316"/>
      <c r="G660" s="316"/>
      <c r="H660" s="316"/>
      <c r="I660" s="316"/>
      <c r="J660" s="316"/>
    </row>
    <row r="661" spans="1:10" x14ac:dyDescent="0.25">
      <c r="B661" s="293"/>
      <c r="C661" s="293"/>
      <c r="D661" s="293"/>
      <c r="E661" s="293"/>
      <c r="F661" s="293"/>
      <c r="G661" s="293"/>
      <c r="H661" s="293"/>
      <c r="I661" s="293"/>
      <c r="J661" s="293"/>
    </row>
    <row r="662" spans="1:10" x14ac:dyDescent="0.25">
      <c r="A662" s="280" t="s">
        <v>4289</v>
      </c>
      <c r="B662" s="293"/>
      <c r="C662" s="293"/>
      <c r="D662" s="293"/>
      <c r="E662" s="293"/>
      <c r="F662" s="293"/>
      <c r="G662" s="293"/>
      <c r="H662" s="293"/>
      <c r="I662" s="293"/>
      <c r="J662" s="293"/>
    </row>
    <row r="663" spans="1:10" x14ac:dyDescent="0.25">
      <c r="B663" s="293"/>
      <c r="C663" s="293"/>
      <c r="D663" s="293"/>
      <c r="E663" s="293"/>
      <c r="F663" s="293"/>
      <c r="G663" s="293"/>
      <c r="H663" s="293"/>
      <c r="I663" s="293"/>
      <c r="J663" s="293"/>
    </row>
    <row r="664" spans="1:10" x14ac:dyDescent="0.25">
      <c r="A664" s="47" t="s">
        <v>4260</v>
      </c>
      <c r="B664" s="293"/>
      <c r="C664" s="293"/>
      <c r="D664" s="293"/>
      <c r="E664" s="293"/>
      <c r="F664" s="293"/>
      <c r="G664" s="293"/>
      <c r="H664" s="293"/>
      <c r="I664" s="293"/>
      <c r="J664" s="293"/>
    </row>
    <row r="665" spans="1:10" x14ac:dyDescent="0.25">
      <c r="A665" t="s">
        <v>4262</v>
      </c>
      <c r="B665" s="293"/>
      <c r="C665" s="293"/>
      <c r="D665" s="293"/>
      <c r="E665" s="293"/>
      <c r="F665" s="293"/>
      <c r="G665" s="293"/>
      <c r="H665" s="293"/>
      <c r="I665" s="293"/>
      <c r="J665" s="293"/>
    </row>
    <row r="666" spans="1:10" x14ac:dyDescent="0.25">
      <c r="A666" t="s">
        <v>4261</v>
      </c>
      <c r="B666" s="293"/>
      <c r="C666" s="293"/>
      <c r="D666" s="293"/>
      <c r="E666" s="293"/>
      <c r="F666" s="293"/>
      <c r="G666" s="293"/>
      <c r="H666" s="293"/>
      <c r="I666" s="293"/>
      <c r="J666" s="293"/>
    </row>
    <row r="667" spans="1:10" x14ac:dyDescent="0.25">
      <c r="A667" t="s">
        <v>66</v>
      </c>
      <c r="B667" s="293"/>
      <c r="C667" s="293"/>
      <c r="D667" s="293"/>
      <c r="E667" s="293"/>
      <c r="F667" s="293"/>
      <c r="G667" s="293"/>
      <c r="H667" s="293"/>
      <c r="I667" s="293"/>
      <c r="J667" s="293"/>
    </row>
    <row r="668" spans="1:10" x14ac:dyDescent="0.25">
      <c r="B668" s="293"/>
      <c r="C668" s="293"/>
      <c r="D668" s="293"/>
      <c r="E668" s="293"/>
      <c r="F668" s="293"/>
      <c r="G668" s="293"/>
      <c r="H668" s="293"/>
      <c r="I668" s="293"/>
      <c r="J668" s="293"/>
    </row>
    <row r="669" spans="1:10" x14ac:dyDescent="0.25">
      <c r="B669" s="293"/>
      <c r="C669" s="293"/>
      <c r="D669" s="293"/>
      <c r="E669" s="293"/>
      <c r="F669" s="293"/>
      <c r="G669" s="293"/>
      <c r="H669" s="293"/>
      <c r="I669" s="293"/>
      <c r="J669" s="293"/>
    </row>
    <row r="670" spans="1:10" x14ac:dyDescent="0.25">
      <c r="B670" s="293"/>
      <c r="C670" s="293"/>
      <c r="D670" s="293"/>
      <c r="E670" s="293"/>
      <c r="F670" s="293"/>
      <c r="G670" s="293"/>
      <c r="H670" s="293"/>
      <c r="I670" s="293"/>
      <c r="J670" s="293"/>
    </row>
    <row r="671" spans="1:10" x14ac:dyDescent="0.25">
      <c r="B671" s="293"/>
      <c r="C671" s="293"/>
      <c r="D671" s="293"/>
      <c r="E671" s="293"/>
      <c r="F671" s="293"/>
      <c r="G671" s="293"/>
      <c r="H671" s="293"/>
      <c r="I671" s="293"/>
      <c r="J671" s="293"/>
    </row>
    <row r="672" spans="1:10" x14ac:dyDescent="0.25">
      <c r="A672" s="47" t="s">
        <v>4263</v>
      </c>
      <c r="B672" s="296">
        <f>SUM(B662:B671)</f>
        <v>0</v>
      </c>
      <c r="C672" s="296">
        <f t="shared" ref="C672" si="346">SUM(C662:C671)</f>
        <v>0</v>
      </c>
      <c r="D672" s="296">
        <f t="shared" ref="D672" si="347">SUM(D662:D671)</f>
        <v>0</v>
      </c>
      <c r="E672" s="296">
        <f t="shared" ref="E672" si="348">SUM(E662:E671)</f>
        <v>0</v>
      </c>
      <c r="F672" s="296">
        <f t="shared" ref="F672" si="349">SUM(F662:F671)</f>
        <v>0</v>
      </c>
      <c r="G672" s="296">
        <f t="shared" ref="G672" si="350">SUM(G662:G671)</f>
        <v>0</v>
      </c>
      <c r="H672" s="296">
        <f t="shared" ref="H672" si="351">SUM(H662:H671)</f>
        <v>0</v>
      </c>
      <c r="I672" s="296">
        <f t="shared" ref="I672" si="352">SUM(I662:I671)</f>
        <v>0</v>
      </c>
      <c r="J672" s="296">
        <f t="shared" ref="J672" si="353">SUM(J662:J671)</f>
        <v>0</v>
      </c>
    </row>
    <row r="673" spans="1:10" x14ac:dyDescent="0.25">
      <c r="B673" s="293"/>
      <c r="C673" s="293"/>
      <c r="D673" s="293"/>
      <c r="E673" s="293"/>
      <c r="F673" s="293"/>
      <c r="G673" s="293"/>
      <c r="H673" s="293"/>
      <c r="I673" s="293"/>
      <c r="J673" s="293"/>
    </row>
    <row r="674" spans="1:10" x14ac:dyDescent="0.25">
      <c r="A674" s="47" t="s">
        <v>4264</v>
      </c>
      <c r="B674" s="293"/>
      <c r="C674" s="293"/>
      <c r="D674" s="293"/>
      <c r="E674" s="293"/>
      <c r="F674" s="293"/>
      <c r="G674" s="293"/>
      <c r="H674" s="293"/>
      <c r="I674" s="293"/>
      <c r="J674" s="293"/>
    </row>
    <row r="675" spans="1:10" x14ac:dyDescent="0.25">
      <c r="A675" t="s">
        <v>87</v>
      </c>
      <c r="B675" s="293"/>
      <c r="C675" s="293"/>
      <c r="D675" s="293"/>
      <c r="E675" s="293"/>
      <c r="F675" s="293"/>
      <c r="G675" s="293"/>
      <c r="H675" s="293"/>
      <c r="I675" s="293"/>
      <c r="J675" s="293"/>
    </row>
    <row r="676" spans="1:10" x14ac:dyDescent="0.25">
      <c r="A676" t="s">
        <v>4265</v>
      </c>
      <c r="B676" s="293"/>
      <c r="C676" s="293"/>
      <c r="D676" s="293"/>
      <c r="E676" s="293"/>
      <c r="F676" s="293"/>
      <c r="G676" s="293"/>
      <c r="H676" s="293"/>
      <c r="I676" s="293"/>
      <c r="J676" s="293"/>
    </row>
    <row r="677" spans="1:10" x14ac:dyDescent="0.25">
      <c r="B677" s="293"/>
      <c r="C677" s="293"/>
      <c r="D677" s="293"/>
      <c r="E677" s="293"/>
      <c r="F677" s="293"/>
      <c r="G677" s="293"/>
      <c r="H677" s="293"/>
      <c r="I677" s="293"/>
      <c r="J677" s="293"/>
    </row>
    <row r="678" spans="1:10" x14ac:dyDescent="0.25">
      <c r="B678" s="293"/>
      <c r="C678" s="293"/>
      <c r="D678" s="293"/>
      <c r="E678" s="293"/>
      <c r="F678" s="293"/>
      <c r="G678" s="293"/>
      <c r="H678" s="293"/>
      <c r="I678" s="293"/>
      <c r="J678" s="293"/>
    </row>
    <row r="679" spans="1:10" x14ac:dyDescent="0.25">
      <c r="B679" s="293"/>
      <c r="C679" s="293"/>
      <c r="D679" s="293"/>
      <c r="E679" s="293"/>
      <c r="F679" s="293"/>
      <c r="G679" s="293"/>
      <c r="H679" s="293"/>
      <c r="I679" s="293"/>
      <c r="J679" s="293"/>
    </row>
    <row r="680" spans="1:10" x14ac:dyDescent="0.25">
      <c r="B680" s="293"/>
      <c r="C680" s="293"/>
      <c r="D680" s="293"/>
      <c r="E680" s="293"/>
      <c r="F680" s="293"/>
      <c r="G680" s="293"/>
      <c r="H680" s="293"/>
      <c r="I680" s="293"/>
      <c r="J680" s="293"/>
    </row>
    <row r="681" spans="1:10" x14ac:dyDescent="0.25">
      <c r="A681" t="s">
        <v>4266</v>
      </c>
      <c r="B681" s="293"/>
      <c r="C681" s="293"/>
      <c r="D681" s="293"/>
      <c r="E681" s="293"/>
      <c r="F681" s="293"/>
      <c r="G681" s="293"/>
      <c r="H681" s="293"/>
      <c r="I681" s="293"/>
      <c r="J681" s="293"/>
    </row>
    <row r="682" spans="1:10" x14ac:dyDescent="0.25">
      <c r="A682" t="s">
        <v>66</v>
      </c>
      <c r="B682" s="293"/>
      <c r="C682" s="293"/>
      <c r="D682" s="293"/>
      <c r="E682" s="293"/>
      <c r="F682" s="293"/>
      <c r="G682" s="293"/>
      <c r="H682" s="293"/>
      <c r="I682" s="293"/>
      <c r="J682" s="293"/>
    </row>
    <row r="683" spans="1:10" x14ac:dyDescent="0.25">
      <c r="B683" s="293"/>
      <c r="C683" s="293"/>
      <c r="D683" s="293"/>
      <c r="E683" s="293"/>
      <c r="F683" s="293"/>
      <c r="G683" s="293"/>
      <c r="H683" s="293"/>
      <c r="I683" s="293"/>
      <c r="J683" s="293"/>
    </row>
    <row r="684" spans="1:10" x14ac:dyDescent="0.25">
      <c r="B684" s="293"/>
      <c r="C684" s="293"/>
      <c r="D684" s="293"/>
      <c r="E684" s="293"/>
      <c r="F684" s="293"/>
      <c r="G684" s="293"/>
      <c r="H684" s="293"/>
      <c r="I684" s="293"/>
      <c r="J684" s="293"/>
    </row>
    <row r="685" spans="1:10" x14ac:dyDescent="0.25">
      <c r="B685" s="293"/>
      <c r="C685" s="293"/>
      <c r="D685" s="293"/>
      <c r="E685" s="293"/>
      <c r="F685" s="293"/>
      <c r="G685" s="293"/>
      <c r="H685" s="293"/>
      <c r="I685" s="293"/>
      <c r="J685" s="293"/>
    </row>
    <row r="686" spans="1:10" x14ac:dyDescent="0.25">
      <c r="B686" s="293"/>
      <c r="C686" s="293"/>
      <c r="D686" s="293"/>
      <c r="E686" s="293"/>
      <c r="F686" s="293"/>
      <c r="G686" s="293"/>
      <c r="H686" s="293"/>
      <c r="I686" s="293"/>
      <c r="J686" s="293"/>
    </row>
    <row r="687" spans="1:10" x14ac:dyDescent="0.25">
      <c r="A687" s="47" t="s">
        <v>4267</v>
      </c>
      <c r="B687" s="296">
        <f>SUM(B675:B686)</f>
        <v>0</v>
      </c>
      <c r="C687" s="296">
        <f t="shared" ref="C687" si="354">SUM(C675:C686)</f>
        <v>0</v>
      </c>
      <c r="D687" s="296">
        <f t="shared" ref="D687" si="355">SUM(D675:D686)</f>
        <v>0</v>
      </c>
      <c r="E687" s="296">
        <f t="shared" ref="E687" si="356">SUM(E675:E686)</f>
        <v>0</v>
      </c>
      <c r="F687" s="296">
        <f t="shared" ref="F687" si="357">SUM(F675:F686)</f>
        <v>0</v>
      </c>
      <c r="G687" s="296">
        <f t="shared" ref="G687" si="358">SUM(G675:G686)</f>
        <v>0</v>
      </c>
      <c r="H687" s="296">
        <f t="shared" ref="H687" si="359">SUM(H675:H686)</f>
        <v>0</v>
      </c>
      <c r="I687" s="296">
        <f t="shared" ref="I687" si="360">SUM(I675:I686)</f>
        <v>0</v>
      </c>
      <c r="J687" s="296">
        <f t="shared" ref="J687" si="361">SUM(J675:J686)</f>
        <v>0</v>
      </c>
    </row>
    <row r="688" spans="1:10" x14ac:dyDescent="0.25">
      <c r="B688" s="293"/>
      <c r="C688" s="293"/>
      <c r="D688" s="293"/>
      <c r="E688" s="293"/>
      <c r="F688" s="293"/>
      <c r="G688" s="293"/>
      <c r="H688" s="293"/>
      <c r="I688" s="293"/>
      <c r="J688" s="293"/>
    </row>
    <row r="689" spans="1:10" ht="15.75" thickBot="1" x14ac:dyDescent="0.3">
      <c r="A689" s="47" t="s">
        <v>4268</v>
      </c>
      <c r="B689" s="301">
        <f>B672-B687</f>
        <v>0</v>
      </c>
      <c r="C689" s="301">
        <f t="shared" ref="C689:J689" si="362">C672-C687</f>
        <v>0</v>
      </c>
      <c r="D689" s="301">
        <f t="shared" si="362"/>
        <v>0</v>
      </c>
      <c r="E689" s="301">
        <f t="shared" si="362"/>
        <v>0</v>
      </c>
      <c r="F689" s="301">
        <f t="shared" si="362"/>
        <v>0</v>
      </c>
      <c r="G689" s="301">
        <f t="shared" si="362"/>
        <v>0</v>
      </c>
      <c r="H689" s="301">
        <f t="shared" si="362"/>
        <v>0</v>
      </c>
      <c r="I689" s="301">
        <f t="shared" si="362"/>
        <v>0</v>
      </c>
      <c r="J689" s="301">
        <f t="shared" si="362"/>
        <v>0</v>
      </c>
    </row>
    <row r="690" spans="1:10" ht="15.75" thickTop="1" x14ac:dyDescent="0.25">
      <c r="B690" s="293"/>
      <c r="C690" s="293"/>
      <c r="D690" s="293"/>
      <c r="E690" s="293"/>
      <c r="F690" s="293"/>
      <c r="G690" s="293"/>
      <c r="H690" s="293"/>
      <c r="I690" s="293"/>
      <c r="J690" s="293"/>
    </row>
    <row r="691" spans="1:10" x14ac:dyDescent="0.25">
      <c r="A691" s="281"/>
      <c r="B691" s="316"/>
      <c r="C691" s="316"/>
      <c r="D691" s="316"/>
      <c r="E691" s="316"/>
      <c r="F691" s="316"/>
      <c r="G691" s="316"/>
      <c r="H691" s="316"/>
      <c r="I691" s="316"/>
      <c r="J691" s="316"/>
    </row>
    <row r="692" spans="1:10" x14ac:dyDescent="0.25">
      <c r="B692" s="293"/>
      <c r="C692" s="293"/>
      <c r="D692" s="293"/>
      <c r="E692" s="293"/>
      <c r="F692" s="293"/>
      <c r="G692" s="293"/>
      <c r="H692" s="293"/>
      <c r="I692" s="293"/>
      <c r="J692" s="293"/>
    </row>
    <row r="693" spans="1:10" x14ac:dyDescent="0.25">
      <c r="A693" s="280" t="s">
        <v>4290</v>
      </c>
      <c r="B693" s="293"/>
      <c r="C693" s="293"/>
      <c r="D693" s="293"/>
      <c r="E693" s="293"/>
      <c r="F693" s="293"/>
      <c r="G693" s="293"/>
      <c r="H693" s="293"/>
      <c r="I693" s="293"/>
      <c r="J693" s="293"/>
    </row>
    <row r="694" spans="1:10" x14ac:dyDescent="0.25">
      <c r="B694" s="293"/>
      <c r="C694" s="293"/>
      <c r="D694" s="293"/>
      <c r="E694" s="293"/>
      <c r="F694" s="293"/>
      <c r="G694" s="293"/>
      <c r="H694" s="293"/>
      <c r="I694" s="293"/>
      <c r="J694" s="293"/>
    </row>
    <row r="695" spans="1:10" x14ac:dyDescent="0.25">
      <c r="A695" s="47" t="s">
        <v>4260</v>
      </c>
      <c r="B695" s="293"/>
      <c r="C695" s="293"/>
      <c r="D695" s="293"/>
      <c r="E695" s="293"/>
      <c r="F695" s="293"/>
      <c r="G695" s="293"/>
      <c r="H695" s="293"/>
      <c r="I695" s="293"/>
      <c r="J695" s="293"/>
    </row>
    <row r="696" spans="1:10" x14ac:dyDescent="0.25">
      <c r="A696" t="s">
        <v>4262</v>
      </c>
      <c r="B696" s="293"/>
      <c r="C696" s="293"/>
      <c r="D696" s="293"/>
      <c r="E696" s="293"/>
      <c r="F696" s="293"/>
      <c r="G696" s="293"/>
      <c r="H696" s="293"/>
      <c r="I696" s="293"/>
      <c r="J696" s="293"/>
    </row>
    <row r="697" spans="1:10" x14ac:dyDescent="0.25">
      <c r="A697" t="s">
        <v>4261</v>
      </c>
      <c r="B697" s="293"/>
      <c r="C697" s="293"/>
      <c r="D697" s="293"/>
      <c r="E697" s="293"/>
      <c r="F697" s="293"/>
      <c r="G697" s="293"/>
      <c r="H697" s="293"/>
      <c r="I697" s="293"/>
      <c r="J697" s="293"/>
    </row>
    <row r="698" spans="1:10" x14ac:dyDescent="0.25">
      <c r="A698" t="s">
        <v>66</v>
      </c>
      <c r="B698" s="293"/>
      <c r="C698" s="293"/>
      <c r="D698" s="293"/>
      <c r="E698" s="293"/>
      <c r="F698" s="293"/>
      <c r="G698" s="293"/>
      <c r="H698" s="293"/>
      <c r="I698" s="293"/>
      <c r="J698" s="293"/>
    </row>
    <row r="699" spans="1:10" x14ac:dyDescent="0.25">
      <c r="B699" s="293"/>
      <c r="C699" s="293"/>
      <c r="D699" s="293"/>
      <c r="E699" s="293"/>
      <c r="F699" s="293"/>
      <c r="G699" s="293"/>
      <c r="H699" s="293"/>
      <c r="I699" s="293"/>
      <c r="J699" s="293"/>
    </row>
    <row r="700" spans="1:10" x14ac:dyDescent="0.25">
      <c r="B700" s="293"/>
      <c r="C700" s="293"/>
      <c r="D700" s="293"/>
      <c r="E700" s="293"/>
      <c r="F700" s="293"/>
      <c r="G700" s="293"/>
      <c r="H700" s="293"/>
      <c r="I700" s="293"/>
      <c r="J700" s="293"/>
    </row>
    <row r="701" spans="1:10" x14ac:dyDescent="0.25">
      <c r="B701" s="293"/>
      <c r="C701" s="293"/>
      <c r="D701" s="293"/>
      <c r="E701" s="293"/>
      <c r="F701" s="293"/>
      <c r="G701" s="293"/>
      <c r="H701" s="293"/>
      <c r="I701" s="293"/>
      <c r="J701" s="293"/>
    </row>
    <row r="702" spans="1:10" x14ac:dyDescent="0.25">
      <c r="B702" s="293"/>
      <c r="C702" s="293"/>
      <c r="D702" s="293"/>
      <c r="E702" s="293"/>
      <c r="F702" s="293"/>
      <c r="G702" s="293"/>
      <c r="H702" s="293"/>
      <c r="I702" s="293"/>
      <c r="J702" s="293"/>
    </row>
    <row r="703" spans="1:10" x14ac:dyDescent="0.25">
      <c r="A703" s="47" t="s">
        <v>4263</v>
      </c>
      <c r="B703" s="296">
        <f>SUM(B693:B702)</f>
        <v>0</v>
      </c>
      <c r="C703" s="296">
        <f t="shared" ref="C703" si="363">SUM(C693:C702)</f>
        <v>0</v>
      </c>
      <c r="D703" s="296">
        <f t="shared" ref="D703" si="364">SUM(D693:D702)</f>
        <v>0</v>
      </c>
      <c r="E703" s="296">
        <f t="shared" ref="E703" si="365">SUM(E693:E702)</f>
        <v>0</v>
      </c>
      <c r="F703" s="296">
        <f t="shared" ref="F703" si="366">SUM(F693:F702)</f>
        <v>0</v>
      </c>
      <c r="G703" s="296">
        <f t="shared" ref="G703" si="367">SUM(G693:G702)</f>
        <v>0</v>
      </c>
      <c r="H703" s="296">
        <f t="shared" ref="H703" si="368">SUM(H693:H702)</f>
        <v>0</v>
      </c>
      <c r="I703" s="296">
        <f t="shared" ref="I703" si="369">SUM(I693:I702)</f>
        <v>0</v>
      </c>
      <c r="J703" s="296">
        <f t="shared" ref="J703" si="370">SUM(J693:J702)</f>
        <v>0</v>
      </c>
    </row>
    <row r="704" spans="1:10" x14ac:dyDescent="0.25">
      <c r="B704" s="293"/>
      <c r="C704" s="293"/>
      <c r="D704" s="293"/>
      <c r="E704" s="293"/>
      <c r="F704" s="293"/>
      <c r="G704" s="293"/>
      <c r="H704" s="293"/>
      <c r="I704" s="293"/>
      <c r="J704" s="293"/>
    </row>
    <row r="705" spans="1:10" x14ac:dyDescent="0.25">
      <c r="A705" s="47" t="s">
        <v>4264</v>
      </c>
      <c r="B705" s="293"/>
      <c r="C705" s="293"/>
      <c r="D705" s="293"/>
      <c r="E705" s="293"/>
      <c r="F705" s="293"/>
      <c r="G705" s="293"/>
      <c r="H705" s="293"/>
      <c r="I705" s="293"/>
      <c r="J705" s="293"/>
    </row>
    <row r="706" spans="1:10" x14ac:dyDescent="0.25">
      <c r="A706" t="s">
        <v>87</v>
      </c>
      <c r="B706" s="293"/>
      <c r="C706" s="293"/>
      <c r="D706" s="293"/>
      <c r="E706" s="293"/>
      <c r="F706" s="293"/>
      <c r="G706" s="293"/>
      <c r="H706" s="293"/>
      <c r="I706" s="293"/>
      <c r="J706" s="293"/>
    </row>
    <row r="707" spans="1:10" x14ac:dyDescent="0.25">
      <c r="A707" t="s">
        <v>4265</v>
      </c>
      <c r="B707" s="293"/>
      <c r="C707" s="293"/>
      <c r="D707" s="293"/>
      <c r="E707" s="293"/>
      <c r="F707" s="293"/>
      <c r="G707" s="293"/>
      <c r="H707" s="293"/>
      <c r="I707" s="293"/>
      <c r="J707" s="293"/>
    </row>
    <row r="708" spans="1:10" x14ac:dyDescent="0.25">
      <c r="B708" s="293"/>
      <c r="C708" s="293"/>
      <c r="D708" s="293"/>
      <c r="E708" s="293"/>
      <c r="F708" s="293"/>
      <c r="G708" s="293"/>
      <c r="H708" s="293"/>
      <c r="I708" s="293"/>
      <c r="J708" s="293"/>
    </row>
    <row r="709" spans="1:10" x14ac:dyDescent="0.25">
      <c r="B709" s="293"/>
      <c r="C709" s="293"/>
      <c r="D709" s="293"/>
      <c r="E709" s="293"/>
      <c r="F709" s="293"/>
      <c r="G709" s="293"/>
      <c r="H709" s="293"/>
      <c r="I709" s="293"/>
      <c r="J709" s="293"/>
    </row>
    <row r="710" spans="1:10" x14ac:dyDescent="0.25">
      <c r="B710" s="293"/>
      <c r="C710" s="293"/>
      <c r="D710" s="293"/>
      <c r="E710" s="293"/>
      <c r="F710" s="293"/>
      <c r="G710" s="293"/>
      <c r="H710" s="293"/>
      <c r="I710" s="293"/>
      <c r="J710" s="293"/>
    </row>
    <row r="711" spans="1:10" x14ac:dyDescent="0.25">
      <c r="B711" s="293"/>
      <c r="C711" s="293"/>
      <c r="D711" s="293"/>
      <c r="E711" s="293"/>
      <c r="F711" s="293"/>
      <c r="G711" s="293"/>
      <c r="H711" s="293"/>
      <c r="I711" s="293"/>
      <c r="J711" s="293"/>
    </row>
    <row r="712" spans="1:10" x14ac:dyDescent="0.25">
      <c r="A712" t="s">
        <v>4266</v>
      </c>
      <c r="B712" s="293"/>
      <c r="C712" s="293"/>
      <c r="D712" s="293"/>
      <c r="E712" s="293"/>
      <c r="F712" s="293"/>
      <c r="G712" s="293"/>
      <c r="H712" s="293"/>
      <c r="I712" s="293"/>
      <c r="J712" s="293"/>
    </row>
    <row r="713" spans="1:10" x14ac:dyDescent="0.25">
      <c r="A713" t="s">
        <v>66</v>
      </c>
      <c r="B713" s="293"/>
      <c r="C713" s="293"/>
      <c r="D713" s="293"/>
      <c r="E713" s="293"/>
      <c r="F713" s="293"/>
      <c r="G713" s="293"/>
      <c r="H713" s="293"/>
      <c r="I713" s="293"/>
      <c r="J713" s="293"/>
    </row>
    <row r="714" spans="1:10" x14ac:dyDescent="0.25">
      <c r="B714" s="293"/>
      <c r="C714" s="293"/>
      <c r="D714" s="293"/>
      <c r="E714" s="293"/>
      <c r="F714" s="293"/>
      <c r="G714" s="293"/>
      <c r="H714" s="293"/>
      <c r="I714" s="293"/>
      <c r="J714" s="293"/>
    </row>
    <row r="715" spans="1:10" x14ac:dyDescent="0.25">
      <c r="B715" s="293"/>
      <c r="C715" s="293"/>
      <c r="D715" s="293"/>
      <c r="E715" s="293"/>
      <c r="F715" s="293"/>
      <c r="G715" s="293"/>
      <c r="H715" s="293"/>
      <c r="I715" s="293"/>
      <c r="J715" s="293"/>
    </row>
    <row r="716" spans="1:10" x14ac:dyDescent="0.25">
      <c r="B716" s="293"/>
      <c r="C716" s="293"/>
      <c r="D716" s="293"/>
      <c r="E716" s="293"/>
      <c r="F716" s="293"/>
      <c r="G716" s="293"/>
      <c r="H716" s="293"/>
      <c r="I716" s="293"/>
      <c r="J716" s="293"/>
    </row>
    <row r="717" spans="1:10" x14ac:dyDescent="0.25">
      <c r="B717" s="293"/>
      <c r="C717" s="293"/>
      <c r="D717" s="293"/>
      <c r="E717" s="293"/>
      <c r="F717" s="293"/>
      <c r="G717" s="293"/>
      <c r="H717" s="293"/>
      <c r="I717" s="293"/>
      <c r="J717" s="293"/>
    </row>
    <row r="718" spans="1:10" x14ac:dyDescent="0.25">
      <c r="A718" s="47" t="s">
        <v>4267</v>
      </c>
      <c r="B718" s="296">
        <f>SUM(B706:B717)</f>
        <v>0</v>
      </c>
      <c r="C718" s="296">
        <f t="shared" ref="C718" si="371">SUM(C706:C717)</f>
        <v>0</v>
      </c>
      <c r="D718" s="296">
        <f t="shared" ref="D718" si="372">SUM(D706:D717)</f>
        <v>0</v>
      </c>
      <c r="E718" s="296">
        <f t="shared" ref="E718" si="373">SUM(E706:E717)</f>
        <v>0</v>
      </c>
      <c r="F718" s="296">
        <f t="shared" ref="F718" si="374">SUM(F706:F717)</f>
        <v>0</v>
      </c>
      <c r="G718" s="296">
        <f t="shared" ref="G718" si="375">SUM(G706:G717)</f>
        <v>0</v>
      </c>
      <c r="H718" s="296">
        <f t="shared" ref="H718" si="376">SUM(H706:H717)</f>
        <v>0</v>
      </c>
      <c r="I718" s="296">
        <f t="shared" ref="I718" si="377">SUM(I706:I717)</f>
        <v>0</v>
      </c>
      <c r="J718" s="296">
        <f t="shared" ref="J718" si="378">SUM(J706:J717)</f>
        <v>0</v>
      </c>
    </row>
    <row r="719" spans="1:10" x14ac:dyDescent="0.25">
      <c r="B719" s="293"/>
      <c r="C719" s="293"/>
      <c r="D719" s="293"/>
      <c r="E719" s="293"/>
      <c r="F719" s="293"/>
      <c r="G719" s="293"/>
      <c r="H719" s="293"/>
      <c r="I719" s="293"/>
      <c r="J719" s="293"/>
    </row>
    <row r="720" spans="1:10" ht="15.75" thickBot="1" x14ac:dyDescent="0.3">
      <c r="A720" s="47" t="s">
        <v>4268</v>
      </c>
      <c r="B720" s="301">
        <f>B703-B718</f>
        <v>0</v>
      </c>
      <c r="C720" s="301">
        <f t="shared" ref="C720:J720" si="379">C703-C718</f>
        <v>0</v>
      </c>
      <c r="D720" s="301">
        <f t="shared" si="379"/>
        <v>0</v>
      </c>
      <c r="E720" s="301">
        <f t="shared" si="379"/>
        <v>0</v>
      </c>
      <c r="F720" s="301">
        <f t="shared" si="379"/>
        <v>0</v>
      </c>
      <c r="G720" s="301">
        <f t="shared" si="379"/>
        <v>0</v>
      </c>
      <c r="H720" s="301">
        <f t="shared" si="379"/>
        <v>0</v>
      </c>
      <c r="I720" s="301">
        <f t="shared" si="379"/>
        <v>0</v>
      </c>
      <c r="J720" s="301">
        <f t="shared" si="379"/>
        <v>0</v>
      </c>
    </row>
    <row r="721" spans="1:10" ht="15.75" thickTop="1" x14ac:dyDescent="0.25">
      <c r="B721" s="293"/>
      <c r="C721" s="293"/>
      <c r="D721" s="293"/>
      <c r="E721" s="293"/>
      <c r="F721" s="293"/>
      <c r="G721" s="293"/>
      <c r="H721" s="293"/>
      <c r="I721" s="293"/>
      <c r="J721" s="293"/>
    </row>
    <row r="722" spans="1:10" x14ac:dyDescent="0.25">
      <c r="A722" s="281"/>
      <c r="B722" s="316"/>
      <c r="C722" s="316"/>
      <c r="D722" s="316"/>
      <c r="E722" s="316"/>
      <c r="F722" s="316"/>
      <c r="G722" s="316"/>
      <c r="H722" s="316"/>
      <c r="I722" s="316"/>
      <c r="J722" s="316"/>
    </row>
    <row r="723" spans="1:10" x14ac:dyDescent="0.25">
      <c r="B723" s="293"/>
      <c r="C723" s="293"/>
      <c r="D723" s="293"/>
      <c r="E723" s="293"/>
      <c r="F723" s="293"/>
      <c r="G723" s="293"/>
      <c r="H723" s="293"/>
      <c r="I723" s="293"/>
      <c r="J723" s="293"/>
    </row>
    <row r="724" spans="1:10" x14ac:dyDescent="0.25">
      <c r="A724" s="280" t="s">
        <v>4291</v>
      </c>
      <c r="B724" s="293"/>
      <c r="C724" s="293"/>
      <c r="D724" s="293"/>
      <c r="E724" s="293"/>
      <c r="F724" s="293"/>
      <c r="G724" s="293"/>
      <c r="H724" s="293"/>
      <c r="I724" s="293"/>
      <c r="J724" s="293"/>
    </row>
    <row r="725" spans="1:10" x14ac:dyDescent="0.25">
      <c r="B725" s="293"/>
      <c r="C725" s="293"/>
      <c r="D725" s="293"/>
      <c r="E725" s="293"/>
      <c r="F725" s="293"/>
      <c r="G725" s="293"/>
      <c r="H725" s="293"/>
      <c r="I725" s="293"/>
      <c r="J725" s="293"/>
    </row>
    <row r="726" spans="1:10" x14ac:dyDescent="0.25">
      <c r="A726" s="47" t="s">
        <v>4260</v>
      </c>
      <c r="B726" s="293"/>
      <c r="C726" s="293"/>
      <c r="D726" s="293"/>
      <c r="E726" s="293"/>
      <c r="F726" s="293"/>
      <c r="G726" s="293"/>
      <c r="H726" s="293"/>
      <c r="I726" s="293"/>
      <c r="J726" s="293"/>
    </row>
    <row r="727" spans="1:10" x14ac:dyDescent="0.25">
      <c r="A727" t="s">
        <v>4262</v>
      </c>
      <c r="B727" s="293"/>
      <c r="C727" s="293"/>
      <c r="D727" s="293"/>
      <c r="E727" s="293"/>
      <c r="F727" s="293"/>
      <c r="G727" s="293"/>
      <c r="H727" s="293"/>
      <c r="I727" s="293"/>
      <c r="J727" s="293"/>
    </row>
    <row r="728" spans="1:10" x14ac:dyDescent="0.25">
      <c r="A728" t="s">
        <v>4261</v>
      </c>
      <c r="B728" s="293"/>
      <c r="C728" s="293"/>
      <c r="D728" s="293"/>
      <c r="E728" s="293"/>
      <c r="F728" s="293"/>
      <c r="G728" s="293"/>
      <c r="H728" s="293"/>
      <c r="I728" s="293"/>
      <c r="J728" s="293"/>
    </row>
    <row r="729" spans="1:10" x14ac:dyDescent="0.25">
      <c r="A729" t="s">
        <v>66</v>
      </c>
      <c r="B729" s="293"/>
      <c r="C729" s="293"/>
      <c r="D729" s="293"/>
      <c r="E729" s="293"/>
      <c r="F729" s="293"/>
      <c r="G729" s="293"/>
      <c r="H729" s="293"/>
      <c r="I729" s="293"/>
      <c r="J729" s="293"/>
    </row>
    <row r="730" spans="1:10" x14ac:dyDescent="0.25">
      <c r="B730" s="293"/>
      <c r="C730" s="293"/>
      <c r="D730" s="293"/>
      <c r="E730" s="293"/>
      <c r="F730" s="293"/>
      <c r="G730" s="293"/>
      <c r="H730" s="293"/>
      <c r="I730" s="293"/>
      <c r="J730" s="293"/>
    </row>
    <row r="731" spans="1:10" x14ac:dyDescent="0.25">
      <c r="B731" s="293"/>
      <c r="C731" s="293"/>
      <c r="D731" s="293"/>
      <c r="E731" s="293"/>
      <c r="F731" s="293"/>
      <c r="G731" s="293"/>
      <c r="H731" s="293"/>
      <c r="I731" s="293"/>
      <c r="J731" s="293"/>
    </row>
    <row r="732" spans="1:10" x14ac:dyDescent="0.25">
      <c r="B732" s="293"/>
      <c r="C732" s="293"/>
      <c r="D732" s="293"/>
      <c r="E732" s="293"/>
      <c r="F732" s="293"/>
      <c r="G732" s="293"/>
      <c r="H732" s="293"/>
      <c r="I732" s="293"/>
      <c r="J732" s="293"/>
    </row>
    <row r="733" spans="1:10" x14ac:dyDescent="0.25">
      <c r="B733" s="293"/>
      <c r="C733" s="293"/>
      <c r="D733" s="293"/>
      <c r="E733" s="293"/>
      <c r="F733" s="293"/>
      <c r="G733" s="293"/>
      <c r="H733" s="293"/>
      <c r="I733" s="293"/>
      <c r="J733" s="293"/>
    </row>
    <row r="734" spans="1:10" x14ac:dyDescent="0.25">
      <c r="A734" s="47" t="s">
        <v>4263</v>
      </c>
      <c r="B734" s="296">
        <f>SUM(B724:B733)</f>
        <v>0</v>
      </c>
      <c r="C734" s="296">
        <f t="shared" ref="C734" si="380">SUM(C724:C733)</f>
        <v>0</v>
      </c>
      <c r="D734" s="296">
        <f t="shared" ref="D734" si="381">SUM(D724:D733)</f>
        <v>0</v>
      </c>
      <c r="E734" s="296">
        <f t="shared" ref="E734" si="382">SUM(E724:E733)</f>
        <v>0</v>
      </c>
      <c r="F734" s="296">
        <f t="shared" ref="F734" si="383">SUM(F724:F733)</f>
        <v>0</v>
      </c>
      <c r="G734" s="296">
        <f t="shared" ref="G734" si="384">SUM(G724:G733)</f>
        <v>0</v>
      </c>
      <c r="H734" s="296">
        <f t="shared" ref="H734" si="385">SUM(H724:H733)</f>
        <v>0</v>
      </c>
      <c r="I734" s="296">
        <f t="shared" ref="I734" si="386">SUM(I724:I733)</f>
        <v>0</v>
      </c>
      <c r="J734" s="296">
        <f t="shared" ref="J734" si="387">SUM(J724:J733)</f>
        <v>0</v>
      </c>
    </row>
    <row r="735" spans="1:10" x14ac:dyDescent="0.25">
      <c r="B735" s="293"/>
      <c r="C735" s="293"/>
      <c r="D735" s="293"/>
      <c r="E735" s="293"/>
      <c r="F735" s="293"/>
      <c r="G735" s="293"/>
      <c r="H735" s="293"/>
      <c r="I735" s="293"/>
      <c r="J735" s="293"/>
    </row>
    <row r="736" spans="1:10" x14ac:dyDescent="0.25">
      <c r="A736" s="47" t="s">
        <v>4264</v>
      </c>
      <c r="B736" s="293"/>
      <c r="C736" s="293"/>
      <c r="D736" s="293"/>
      <c r="E736" s="293"/>
      <c r="F736" s="293"/>
      <c r="G736" s="293"/>
      <c r="H736" s="293"/>
      <c r="I736" s="293"/>
      <c r="J736" s="293"/>
    </row>
    <row r="737" spans="1:10" x14ac:dyDescent="0.25">
      <c r="A737" t="s">
        <v>87</v>
      </c>
      <c r="B737" s="293"/>
      <c r="C737" s="293"/>
      <c r="D737" s="293"/>
      <c r="E737" s="293"/>
      <c r="F737" s="293"/>
      <c r="G737" s="293"/>
      <c r="H737" s="293"/>
      <c r="I737" s="293"/>
      <c r="J737" s="293"/>
    </row>
    <row r="738" spans="1:10" x14ac:dyDescent="0.25">
      <c r="A738" t="s">
        <v>4265</v>
      </c>
      <c r="B738" s="293"/>
      <c r="C738" s="293"/>
      <c r="D738" s="293"/>
      <c r="E738" s="293"/>
      <c r="F738" s="293"/>
      <c r="G738" s="293"/>
      <c r="H738" s="293"/>
      <c r="I738" s="293"/>
      <c r="J738" s="293"/>
    </row>
    <row r="739" spans="1:10" x14ac:dyDescent="0.25">
      <c r="B739" s="293"/>
      <c r="C739" s="293"/>
      <c r="D739" s="293"/>
      <c r="E739" s="293"/>
      <c r="F739" s="293"/>
      <c r="G739" s="293"/>
      <c r="H739" s="293"/>
      <c r="I739" s="293"/>
      <c r="J739" s="293"/>
    </row>
    <row r="740" spans="1:10" x14ac:dyDescent="0.25">
      <c r="B740" s="293"/>
      <c r="C740" s="293"/>
      <c r="D740" s="293"/>
      <c r="E740" s="293"/>
      <c r="F740" s="293"/>
      <c r="G740" s="293"/>
      <c r="H740" s="293"/>
      <c r="I740" s="293"/>
      <c r="J740" s="293"/>
    </row>
    <row r="741" spans="1:10" x14ac:dyDescent="0.25">
      <c r="B741" s="293"/>
      <c r="C741" s="293"/>
      <c r="D741" s="293"/>
      <c r="E741" s="293"/>
      <c r="F741" s="293"/>
      <c r="G741" s="293"/>
      <c r="H741" s="293"/>
      <c r="I741" s="293"/>
      <c r="J741" s="293"/>
    </row>
    <row r="742" spans="1:10" x14ac:dyDescent="0.25">
      <c r="B742" s="293"/>
      <c r="C742" s="293"/>
      <c r="D742" s="293"/>
      <c r="E742" s="293"/>
      <c r="F742" s="293"/>
      <c r="G742" s="293"/>
      <c r="H742" s="293"/>
      <c r="I742" s="293"/>
      <c r="J742" s="293"/>
    </row>
    <row r="743" spans="1:10" x14ac:dyDescent="0.25">
      <c r="A743" t="s">
        <v>4266</v>
      </c>
      <c r="B743" s="293"/>
      <c r="C743" s="293"/>
      <c r="D743" s="293"/>
      <c r="E743" s="293"/>
      <c r="F743" s="293"/>
      <c r="G743" s="293"/>
      <c r="H743" s="293"/>
      <c r="I743" s="293"/>
      <c r="J743" s="293"/>
    </row>
    <row r="744" spans="1:10" x14ac:dyDescent="0.25">
      <c r="A744" t="s">
        <v>66</v>
      </c>
      <c r="B744" s="293"/>
      <c r="C744" s="293"/>
      <c r="D744" s="293"/>
      <c r="E744" s="293"/>
      <c r="F744" s="293"/>
      <c r="G744" s="293"/>
      <c r="H744" s="293"/>
      <c r="I744" s="293"/>
      <c r="J744" s="293"/>
    </row>
    <row r="745" spans="1:10" x14ac:dyDescent="0.25">
      <c r="B745" s="293"/>
      <c r="C745" s="293"/>
      <c r="D745" s="293"/>
      <c r="E745" s="293"/>
      <c r="F745" s="293"/>
      <c r="G745" s="293"/>
      <c r="H745" s="293"/>
      <c r="I745" s="293"/>
      <c r="J745" s="293"/>
    </row>
    <row r="746" spans="1:10" x14ac:dyDescent="0.25">
      <c r="B746" s="293"/>
      <c r="C746" s="293"/>
      <c r="D746" s="293"/>
      <c r="E746" s="293"/>
      <c r="F746" s="293"/>
      <c r="G746" s="293"/>
      <c r="H746" s="293"/>
      <c r="I746" s="293"/>
      <c r="J746" s="293"/>
    </row>
    <row r="747" spans="1:10" x14ac:dyDescent="0.25">
      <c r="B747" s="293"/>
      <c r="C747" s="293"/>
      <c r="D747" s="293"/>
      <c r="E747" s="293"/>
      <c r="F747" s="293"/>
      <c r="G747" s="293"/>
      <c r="H747" s="293"/>
      <c r="I747" s="293"/>
      <c r="J747" s="293"/>
    </row>
    <row r="748" spans="1:10" x14ac:dyDescent="0.25">
      <c r="B748" s="293"/>
      <c r="C748" s="293"/>
      <c r="D748" s="293"/>
      <c r="E748" s="293"/>
      <c r="F748" s="293"/>
      <c r="G748" s="293"/>
      <c r="H748" s="293"/>
      <c r="I748" s="293"/>
      <c r="J748" s="293"/>
    </row>
    <row r="749" spans="1:10" x14ac:dyDescent="0.25">
      <c r="A749" s="47" t="s">
        <v>4267</v>
      </c>
      <c r="B749" s="296">
        <f>SUM(B737:B748)</f>
        <v>0</v>
      </c>
      <c r="C749" s="296">
        <f t="shared" ref="C749" si="388">SUM(C737:C748)</f>
        <v>0</v>
      </c>
      <c r="D749" s="296">
        <f t="shared" ref="D749" si="389">SUM(D737:D748)</f>
        <v>0</v>
      </c>
      <c r="E749" s="296">
        <f t="shared" ref="E749" si="390">SUM(E737:E748)</f>
        <v>0</v>
      </c>
      <c r="F749" s="296">
        <f t="shared" ref="F749" si="391">SUM(F737:F748)</f>
        <v>0</v>
      </c>
      <c r="G749" s="296">
        <f t="shared" ref="G749" si="392">SUM(G737:G748)</f>
        <v>0</v>
      </c>
      <c r="H749" s="296">
        <f t="shared" ref="H749" si="393">SUM(H737:H748)</f>
        <v>0</v>
      </c>
      <c r="I749" s="296">
        <f t="shared" ref="I749" si="394">SUM(I737:I748)</f>
        <v>0</v>
      </c>
      <c r="J749" s="296">
        <f t="shared" ref="J749" si="395">SUM(J737:J748)</f>
        <v>0</v>
      </c>
    </row>
    <row r="750" spans="1:10" x14ac:dyDescent="0.25">
      <c r="B750" s="293"/>
      <c r="C750" s="293"/>
      <c r="D750" s="293"/>
      <c r="E750" s="293"/>
      <c r="F750" s="293"/>
      <c r="G750" s="293"/>
      <c r="H750" s="293"/>
      <c r="I750" s="293"/>
      <c r="J750" s="293"/>
    </row>
    <row r="751" spans="1:10" ht="15.75" thickBot="1" x14ac:dyDescent="0.3">
      <c r="A751" s="47" t="s">
        <v>4268</v>
      </c>
      <c r="B751" s="301">
        <f>B734-B749</f>
        <v>0</v>
      </c>
      <c r="C751" s="301">
        <f t="shared" ref="C751:J751" si="396">C734-C749</f>
        <v>0</v>
      </c>
      <c r="D751" s="301">
        <f t="shared" si="396"/>
        <v>0</v>
      </c>
      <c r="E751" s="301">
        <f t="shared" si="396"/>
        <v>0</v>
      </c>
      <c r="F751" s="301">
        <f t="shared" si="396"/>
        <v>0</v>
      </c>
      <c r="G751" s="301">
        <f t="shared" si="396"/>
        <v>0</v>
      </c>
      <c r="H751" s="301">
        <f t="shared" si="396"/>
        <v>0</v>
      </c>
      <c r="I751" s="301">
        <f t="shared" si="396"/>
        <v>0</v>
      </c>
      <c r="J751" s="301">
        <f t="shared" si="396"/>
        <v>0</v>
      </c>
    </row>
    <row r="752" spans="1:10" ht="15.75" thickTop="1" x14ac:dyDescent="0.25">
      <c r="B752" s="293"/>
      <c r="C752" s="293"/>
      <c r="D752" s="293"/>
      <c r="E752" s="293"/>
      <c r="F752" s="293"/>
      <c r="G752" s="293"/>
      <c r="H752" s="293"/>
      <c r="I752" s="293"/>
      <c r="J752" s="293"/>
    </row>
    <row r="753" spans="1:10" x14ac:dyDescent="0.25">
      <c r="A753" s="281"/>
      <c r="B753" s="316"/>
      <c r="C753" s="316"/>
      <c r="D753" s="316"/>
      <c r="E753" s="316"/>
      <c r="F753" s="316"/>
      <c r="G753" s="316"/>
      <c r="H753" s="316"/>
      <c r="I753" s="316"/>
      <c r="J753" s="316"/>
    </row>
    <row r="754" spans="1:10" x14ac:dyDescent="0.25">
      <c r="B754" s="293"/>
      <c r="C754" s="293"/>
      <c r="D754" s="293"/>
      <c r="E754" s="293"/>
      <c r="F754" s="293"/>
      <c r="G754" s="293"/>
      <c r="H754" s="293"/>
      <c r="I754" s="293"/>
      <c r="J754" s="293"/>
    </row>
    <row r="755" spans="1:10" x14ac:dyDescent="0.25">
      <c r="A755" s="280" t="s">
        <v>4292</v>
      </c>
      <c r="B755" s="293"/>
      <c r="C755" s="293"/>
      <c r="D755" s="293"/>
      <c r="E755" s="293"/>
      <c r="F755" s="293"/>
      <c r="G755" s="293"/>
      <c r="H755" s="293"/>
      <c r="I755" s="293"/>
      <c r="J755" s="293"/>
    </row>
    <row r="756" spans="1:10" x14ac:dyDescent="0.25">
      <c r="B756" s="293"/>
      <c r="C756" s="293"/>
      <c r="D756" s="293"/>
      <c r="E756" s="293"/>
      <c r="F756" s="293"/>
      <c r="G756" s="293"/>
      <c r="H756" s="293"/>
      <c r="I756" s="293"/>
      <c r="J756" s="293"/>
    </row>
    <row r="757" spans="1:10" x14ac:dyDescent="0.25">
      <c r="A757" s="47" t="s">
        <v>4260</v>
      </c>
      <c r="B757" s="293"/>
      <c r="C757" s="293"/>
      <c r="D757" s="293"/>
      <c r="E757" s="293"/>
      <c r="F757" s="293"/>
      <c r="G757" s="293"/>
      <c r="H757" s="293"/>
      <c r="I757" s="293"/>
      <c r="J757" s="293"/>
    </row>
    <row r="758" spans="1:10" x14ac:dyDescent="0.25">
      <c r="A758" t="s">
        <v>4262</v>
      </c>
      <c r="B758" s="293"/>
      <c r="C758" s="293"/>
      <c r="D758" s="293"/>
      <c r="E758" s="293"/>
      <c r="F758" s="293"/>
      <c r="G758" s="293"/>
      <c r="H758" s="293"/>
      <c r="I758" s="293"/>
      <c r="J758" s="293"/>
    </row>
    <row r="759" spans="1:10" x14ac:dyDescent="0.25">
      <c r="A759" t="s">
        <v>4261</v>
      </c>
      <c r="B759" s="293"/>
      <c r="C759" s="293"/>
      <c r="D759" s="293"/>
      <c r="E759" s="293"/>
      <c r="F759" s="293"/>
      <c r="G759" s="293"/>
      <c r="H759" s="293"/>
      <c r="I759" s="293"/>
      <c r="J759" s="293"/>
    </row>
    <row r="760" spans="1:10" x14ac:dyDescent="0.25">
      <c r="A760" t="s">
        <v>66</v>
      </c>
      <c r="B760" s="293"/>
      <c r="C760" s="293"/>
      <c r="D760" s="293"/>
      <c r="E760" s="293"/>
      <c r="F760" s="293"/>
      <c r="G760" s="293"/>
      <c r="H760" s="293"/>
      <c r="I760" s="293"/>
      <c r="J760" s="293"/>
    </row>
    <row r="761" spans="1:10" x14ac:dyDescent="0.25">
      <c r="B761" s="293"/>
      <c r="C761" s="293"/>
      <c r="D761" s="293"/>
      <c r="E761" s="293"/>
      <c r="F761" s="293"/>
      <c r="G761" s="293"/>
      <c r="H761" s="293"/>
      <c r="I761" s="293"/>
      <c r="J761" s="293"/>
    </row>
    <row r="762" spans="1:10" x14ac:dyDescent="0.25">
      <c r="B762" s="293"/>
      <c r="C762" s="293"/>
      <c r="D762" s="293"/>
      <c r="E762" s="293"/>
      <c r="F762" s="293"/>
      <c r="G762" s="293"/>
      <c r="H762" s="293"/>
      <c r="I762" s="293"/>
      <c r="J762" s="293"/>
    </row>
    <row r="763" spans="1:10" x14ac:dyDescent="0.25">
      <c r="B763" s="293"/>
      <c r="C763" s="293"/>
      <c r="D763" s="293"/>
      <c r="E763" s="293"/>
      <c r="F763" s="293"/>
      <c r="G763" s="293"/>
      <c r="H763" s="293"/>
      <c r="I763" s="293"/>
      <c r="J763" s="293"/>
    </row>
    <row r="764" spans="1:10" x14ac:dyDescent="0.25">
      <c r="B764" s="293"/>
      <c r="C764" s="293"/>
      <c r="D764" s="293"/>
      <c r="E764" s="293"/>
      <c r="F764" s="293"/>
      <c r="G764" s="293"/>
      <c r="H764" s="293"/>
      <c r="I764" s="293"/>
      <c r="J764" s="293"/>
    </row>
    <row r="765" spans="1:10" x14ac:dyDescent="0.25">
      <c r="A765" s="47" t="s">
        <v>4263</v>
      </c>
      <c r="B765" s="296">
        <f>SUM(B755:B764)</f>
        <v>0</v>
      </c>
      <c r="C765" s="296">
        <f t="shared" ref="C765" si="397">SUM(C755:C764)</f>
        <v>0</v>
      </c>
      <c r="D765" s="296">
        <f t="shared" ref="D765" si="398">SUM(D755:D764)</f>
        <v>0</v>
      </c>
      <c r="E765" s="296">
        <f t="shared" ref="E765" si="399">SUM(E755:E764)</f>
        <v>0</v>
      </c>
      <c r="F765" s="296">
        <f t="shared" ref="F765" si="400">SUM(F755:F764)</f>
        <v>0</v>
      </c>
      <c r="G765" s="296">
        <f t="shared" ref="G765" si="401">SUM(G755:G764)</f>
        <v>0</v>
      </c>
      <c r="H765" s="296">
        <f t="shared" ref="H765" si="402">SUM(H755:H764)</f>
        <v>0</v>
      </c>
      <c r="I765" s="296">
        <f t="shared" ref="I765" si="403">SUM(I755:I764)</f>
        <v>0</v>
      </c>
      <c r="J765" s="296">
        <f t="shared" ref="J765" si="404">SUM(J755:J764)</f>
        <v>0</v>
      </c>
    </row>
    <row r="766" spans="1:10" x14ac:dyDescent="0.25">
      <c r="B766" s="293"/>
      <c r="C766" s="293"/>
      <c r="D766" s="293"/>
      <c r="E766" s="293"/>
      <c r="F766" s="293"/>
      <c r="G766" s="293"/>
      <c r="H766" s="293"/>
      <c r="I766" s="293"/>
      <c r="J766" s="293"/>
    </row>
    <row r="767" spans="1:10" x14ac:dyDescent="0.25">
      <c r="A767" s="47" t="s">
        <v>4264</v>
      </c>
      <c r="B767" s="293"/>
      <c r="C767" s="293"/>
      <c r="D767" s="293"/>
      <c r="E767" s="293"/>
      <c r="F767" s="293"/>
      <c r="G767" s="293"/>
      <c r="H767" s="293"/>
      <c r="I767" s="293"/>
      <c r="J767" s="293"/>
    </row>
    <row r="768" spans="1:10" x14ac:dyDescent="0.25">
      <c r="A768" t="s">
        <v>87</v>
      </c>
      <c r="B768" s="293"/>
      <c r="C768" s="293"/>
      <c r="D768" s="293"/>
      <c r="E768" s="293"/>
      <c r="F768" s="293"/>
      <c r="G768" s="293"/>
      <c r="H768" s="293"/>
      <c r="I768" s="293"/>
      <c r="J768" s="293"/>
    </row>
    <row r="769" spans="1:10" x14ac:dyDescent="0.25">
      <c r="A769" t="s">
        <v>4265</v>
      </c>
      <c r="B769" s="293"/>
      <c r="C769" s="293"/>
      <c r="D769" s="293"/>
      <c r="E769" s="293"/>
      <c r="F769" s="293"/>
      <c r="G769" s="293"/>
      <c r="H769" s="293"/>
      <c r="I769" s="293"/>
      <c r="J769" s="293"/>
    </row>
    <row r="770" spans="1:10" x14ac:dyDescent="0.25">
      <c r="B770" s="293"/>
      <c r="C770" s="293"/>
      <c r="D770" s="293"/>
      <c r="E770" s="293"/>
      <c r="F770" s="293"/>
      <c r="G770" s="293"/>
      <c r="H770" s="293"/>
      <c r="I770" s="293"/>
      <c r="J770" s="293"/>
    </row>
    <row r="771" spans="1:10" x14ac:dyDescent="0.25">
      <c r="B771" s="293"/>
      <c r="C771" s="293"/>
      <c r="D771" s="293"/>
      <c r="E771" s="293"/>
      <c r="F771" s="293"/>
      <c r="G771" s="293"/>
      <c r="H771" s="293"/>
      <c r="I771" s="293"/>
      <c r="J771" s="293"/>
    </row>
    <row r="772" spans="1:10" x14ac:dyDescent="0.25">
      <c r="B772" s="293"/>
      <c r="C772" s="293"/>
      <c r="D772" s="293"/>
      <c r="E772" s="293"/>
      <c r="F772" s="293"/>
      <c r="G772" s="293"/>
      <c r="H772" s="293"/>
      <c r="I772" s="293"/>
      <c r="J772" s="293"/>
    </row>
    <row r="773" spans="1:10" x14ac:dyDescent="0.25">
      <c r="B773" s="293"/>
      <c r="C773" s="293"/>
      <c r="D773" s="293"/>
      <c r="E773" s="293"/>
      <c r="F773" s="293"/>
      <c r="G773" s="293"/>
      <c r="H773" s="293"/>
      <c r="I773" s="293"/>
      <c r="J773" s="293"/>
    </row>
    <row r="774" spans="1:10" x14ac:dyDescent="0.25">
      <c r="A774" t="s">
        <v>4266</v>
      </c>
      <c r="B774" s="293"/>
      <c r="C774" s="293"/>
      <c r="D774" s="293"/>
      <c r="E774" s="293"/>
      <c r="F774" s="293"/>
      <c r="G774" s="293"/>
      <c r="H774" s="293"/>
      <c r="I774" s="293"/>
      <c r="J774" s="293"/>
    </row>
    <row r="775" spans="1:10" x14ac:dyDescent="0.25">
      <c r="A775" t="s">
        <v>66</v>
      </c>
      <c r="B775" s="293"/>
      <c r="C775" s="293"/>
      <c r="D775" s="293"/>
      <c r="E775" s="293"/>
      <c r="F775" s="293"/>
      <c r="G775" s="293"/>
      <c r="H775" s="293"/>
      <c r="I775" s="293"/>
      <c r="J775" s="293"/>
    </row>
    <row r="776" spans="1:10" x14ac:dyDescent="0.25">
      <c r="B776" s="293"/>
      <c r="C776" s="293"/>
      <c r="D776" s="293"/>
      <c r="E776" s="293"/>
      <c r="F776" s="293"/>
      <c r="G776" s="293"/>
      <c r="H776" s="293"/>
      <c r="I776" s="293"/>
      <c r="J776" s="293"/>
    </row>
    <row r="777" spans="1:10" x14ac:dyDescent="0.25">
      <c r="B777" s="293"/>
      <c r="C777" s="293"/>
      <c r="D777" s="293"/>
      <c r="E777" s="293"/>
      <c r="F777" s="293"/>
      <c r="G777" s="293"/>
      <c r="H777" s="293"/>
      <c r="I777" s="293"/>
      <c r="J777" s="293"/>
    </row>
    <row r="778" spans="1:10" x14ac:dyDescent="0.25">
      <c r="B778" s="293"/>
      <c r="C778" s="293"/>
      <c r="D778" s="293"/>
      <c r="E778" s="293"/>
      <c r="F778" s="293"/>
      <c r="G778" s="293"/>
      <c r="H778" s="293"/>
      <c r="I778" s="293"/>
      <c r="J778" s="293"/>
    </row>
    <row r="779" spans="1:10" x14ac:dyDescent="0.25">
      <c r="B779" s="293"/>
      <c r="C779" s="293"/>
      <c r="D779" s="293"/>
      <c r="E779" s="293"/>
      <c r="F779" s="293"/>
      <c r="G779" s="293"/>
      <c r="H779" s="293"/>
      <c r="I779" s="293"/>
      <c r="J779" s="293"/>
    </row>
    <row r="780" spans="1:10" x14ac:dyDescent="0.25">
      <c r="A780" s="47" t="s">
        <v>4267</v>
      </c>
      <c r="B780" s="296">
        <f>SUM(B768:B779)</f>
        <v>0</v>
      </c>
      <c r="C780" s="296">
        <f t="shared" ref="C780" si="405">SUM(C768:C779)</f>
        <v>0</v>
      </c>
      <c r="D780" s="296">
        <f t="shared" ref="D780" si="406">SUM(D768:D779)</f>
        <v>0</v>
      </c>
      <c r="E780" s="296">
        <f t="shared" ref="E780" si="407">SUM(E768:E779)</f>
        <v>0</v>
      </c>
      <c r="F780" s="296">
        <f t="shared" ref="F780" si="408">SUM(F768:F779)</f>
        <v>0</v>
      </c>
      <c r="G780" s="296">
        <f t="shared" ref="G780" si="409">SUM(G768:G779)</f>
        <v>0</v>
      </c>
      <c r="H780" s="296">
        <f t="shared" ref="H780" si="410">SUM(H768:H779)</f>
        <v>0</v>
      </c>
      <c r="I780" s="296">
        <f t="shared" ref="I780" si="411">SUM(I768:I779)</f>
        <v>0</v>
      </c>
      <c r="J780" s="296">
        <f t="shared" ref="J780" si="412">SUM(J768:J779)</f>
        <v>0</v>
      </c>
    </row>
    <row r="781" spans="1:10" x14ac:dyDescent="0.25">
      <c r="B781" s="293"/>
      <c r="C781" s="293"/>
      <c r="D781" s="293"/>
      <c r="E781" s="293"/>
      <c r="F781" s="293"/>
      <c r="G781" s="293"/>
      <c r="H781" s="293"/>
      <c r="I781" s="293"/>
      <c r="J781" s="293"/>
    </row>
    <row r="782" spans="1:10" ht="15.75" thickBot="1" x14ac:dyDescent="0.3">
      <c r="A782" s="47" t="s">
        <v>4268</v>
      </c>
      <c r="B782" s="301">
        <f>B765-B780</f>
        <v>0</v>
      </c>
      <c r="C782" s="301">
        <f t="shared" ref="C782:J782" si="413">C765-C780</f>
        <v>0</v>
      </c>
      <c r="D782" s="301">
        <f t="shared" si="413"/>
        <v>0</v>
      </c>
      <c r="E782" s="301">
        <f t="shared" si="413"/>
        <v>0</v>
      </c>
      <c r="F782" s="301">
        <f t="shared" si="413"/>
        <v>0</v>
      </c>
      <c r="G782" s="301">
        <f t="shared" si="413"/>
        <v>0</v>
      </c>
      <c r="H782" s="301">
        <f t="shared" si="413"/>
        <v>0</v>
      </c>
      <c r="I782" s="301">
        <f t="shared" si="413"/>
        <v>0</v>
      </c>
      <c r="J782" s="301">
        <f t="shared" si="413"/>
        <v>0</v>
      </c>
    </row>
    <row r="783" spans="1:10" ht="15.75" thickTop="1" x14ac:dyDescent="0.25">
      <c r="B783" s="293"/>
      <c r="C783" s="293"/>
      <c r="D783" s="293"/>
      <c r="E783" s="293"/>
      <c r="F783" s="293"/>
      <c r="G783" s="293"/>
      <c r="H783" s="293"/>
      <c r="I783" s="293"/>
      <c r="J783" s="293"/>
    </row>
    <row r="784" spans="1:10" x14ac:dyDescent="0.25">
      <c r="A784" s="281"/>
      <c r="B784" s="316"/>
      <c r="C784" s="316"/>
      <c r="D784" s="316"/>
      <c r="E784" s="316"/>
      <c r="F784" s="316"/>
      <c r="G784" s="316"/>
      <c r="H784" s="316"/>
      <c r="I784" s="316"/>
      <c r="J784" s="316"/>
    </row>
    <row r="785" spans="1:10" x14ac:dyDescent="0.25">
      <c r="B785" s="293"/>
      <c r="C785" s="293"/>
      <c r="D785" s="293"/>
      <c r="E785" s="293"/>
      <c r="F785" s="293"/>
      <c r="G785" s="293"/>
      <c r="H785" s="293"/>
      <c r="I785" s="293"/>
      <c r="J785" s="293"/>
    </row>
    <row r="786" spans="1:10" x14ac:dyDescent="0.25">
      <c r="A786" s="280" t="s">
        <v>4293</v>
      </c>
      <c r="B786" s="293"/>
      <c r="C786" s="293"/>
      <c r="D786" s="293"/>
      <c r="E786" s="293"/>
      <c r="F786" s="293"/>
      <c r="G786" s="293"/>
      <c r="H786" s="293"/>
      <c r="I786" s="293"/>
      <c r="J786" s="293"/>
    </row>
    <row r="787" spans="1:10" x14ac:dyDescent="0.25">
      <c r="B787" s="293"/>
      <c r="C787" s="293"/>
      <c r="D787" s="293"/>
      <c r="E787" s="293"/>
      <c r="F787" s="293"/>
      <c r="G787" s="293"/>
      <c r="H787" s="293"/>
      <c r="I787" s="293"/>
      <c r="J787" s="293"/>
    </row>
    <row r="788" spans="1:10" x14ac:dyDescent="0.25">
      <c r="A788" s="47" t="s">
        <v>4260</v>
      </c>
      <c r="B788" s="293"/>
      <c r="C788" s="293"/>
      <c r="D788" s="293"/>
      <c r="E788" s="293"/>
      <c r="F788" s="293"/>
      <c r="G788" s="293"/>
      <c r="H788" s="293"/>
      <c r="I788" s="293"/>
      <c r="J788" s="293"/>
    </row>
    <row r="789" spans="1:10" x14ac:dyDescent="0.25">
      <c r="A789" t="s">
        <v>4262</v>
      </c>
      <c r="B789" s="293"/>
      <c r="C789" s="293"/>
      <c r="D789" s="293"/>
      <c r="E789" s="293"/>
      <c r="F789" s="293"/>
      <c r="G789" s="293"/>
      <c r="H789" s="293"/>
      <c r="I789" s="293"/>
      <c r="J789" s="293"/>
    </row>
    <row r="790" spans="1:10" x14ac:dyDescent="0.25">
      <c r="A790" t="s">
        <v>4261</v>
      </c>
      <c r="B790" s="293"/>
      <c r="C790" s="293"/>
      <c r="D790" s="293"/>
      <c r="E790" s="293"/>
      <c r="F790" s="293"/>
      <c r="G790" s="293"/>
      <c r="H790" s="293"/>
      <c r="I790" s="293"/>
      <c r="J790" s="293"/>
    </row>
    <row r="791" spans="1:10" x14ac:dyDescent="0.25">
      <c r="A791" t="s">
        <v>66</v>
      </c>
      <c r="B791" s="293"/>
      <c r="C791" s="293"/>
      <c r="D791" s="293"/>
      <c r="E791" s="293"/>
      <c r="F791" s="293"/>
      <c r="G791" s="293"/>
      <c r="H791" s="293"/>
      <c r="I791" s="293"/>
      <c r="J791" s="293"/>
    </row>
    <row r="792" spans="1:10" x14ac:dyDescent="0.25">
      <c r="B792" s="293"/>
      <c r="C792" s="293"/>
      <c r="D792" s="293"/>
      <c r="E792" s="293"/>
      <c r="F792" s="293"/>
      <c r="G792" s="293"/>
      <c r="H792" s="293"/>
      <c r="I792" s="293"/>
      <c r="J792" s="293"/>
    </row>
    <row r="793" spans="1:10" x14ac:dyDescent="0.25">
      <c r="B793" s="293"/>
      <c r="C793" s="293"/>
      <c r="D793" s="293"/>
      <c r="E793" s="293"/>
      <c r="F793" s="293"/>
      <c r="G793" s="293"/>
      <c r="H793" s="293"/>
      <c r="I793" s="293"/>
      <c r="J793" s="293"/>
    </row>
    <row r="794" spans="1:10" x14ac:dyDescent="0.25">
      <c r="B794" s="293"/>
      <c r="C794" s="293"/>
      <c r="D794" s="293"/>
      <c r="E794" s="293"/>
      <c r="F794" s="293"/>
      <c r="G794" s="293"/>
      <c r="H794" s="293"/>
      <c r="I794" s="293"/>
      <c r="J794" s="293"/>
    </row>
    <row r="795" spans="1:10" x14ac:dyDescent="0.25">
      <c r="B795" s="293"/>
      <c r="C795" s="293"/>
      <c r="D795" s="293"/>
      <c r="E795" s="293"/>
      <c r="F795" s="293"/>
      <c r="G795" s="293"/>
      <c r="H795" s="293"/>
      <c r="I795" s="293"/>
      <c r="J795" s="293"/>
    </row>
    <row r="796" spans="1:10" x14ac:dyDescent="0.25">
      <c r="A796" s="47" t="s">
        <v>4263</v>
      </c>
      <c r="B796" s="296">
        <f>SUM(B786:B795)</f>
        <v>0</v>
      </c>
      <c r="C796" s="296">
        <f t="shared" ref="C796" si="414">SUM(C786:C795)</f>
        <v>0</v>
      </c>
      <c r="D796" s="296">
        <f t="shared" ref="D796" si="415">SUM(D786:D795)</f>
        <v>0</v>
      </c>
      <c r="E796" s="296">
        <f t="shared" ref="E796" si="416">SUM(E786:E795)</f>
        <v>0</v>
      </c>
      <c r="F796" s="296">
        <f t="shared" ref="F796" si="417">SUM(F786:F795)</f>
        <v>0</v>
      </c>
      <c r="G796" s="296">
        <f t="shared" ref="G796" si="418">SUM(G786:G795)</f>
        <v>0</v>
      </c>
      <c r="H796" s="296">
        <f t="shared" ref="H796" si="419">SUM(H786:H795)</f>
        <v>0</v>
      </c>
      <c r="I796" s="296">
        <f t="shared" ref="I796" si="420">SUM(I786:I795)</f>
        <v>0</v>
      </c>
      <c r="J796" s="296">
        <f t="shared" ref="J796" si="421">SUM(J786:J795)</f>
        <v>0</v>
      </c>
    </row>
    <row r="797" spans="1:10" x14ac:dyDescent="0.25">
      <c r="B797" s="293"/>
      <c r="C797" s="293"/>
      <c r="D797" s="293"/>
      <c r="E797" s="293"/>
      <c r="F797" s="293"/>
      <c r="G797" s="293"/>
      <c r="H797" s="293"/>
      <c r="I797" s="293"/>
      <c r="J797" s="293"/>
    </row>
    <row r="798" spans="1:10" x14ac:dyDescent="0.25">
      <c r="A798" s="47" t="s">
        <v>4264</v>
      </c>
      <c r="B798" s="293"/>
      <c r="C798" s="293"/>
      <c r="D798" s="293"/>
      <c r="E798" s="293"/>
      <c r="F798" s="293"/>
      <c r="G798" s="293"/>
      <c r="H798" s="293"/>
      <c r="I798" s="293"/>
      <c r="J798" s="293"/>
    </row>
    <row r="799" spans="1:10" x14ac:dyDescent="0.25">
      <c r="A799" t="s">
        <v>87</v>
      </c>
      <c r="B799" s="293"/>
      <c r="C799" s="293"/>
      <c r="D799" s="293"/>
      <c r="E799" s="293"/>
      <c r="F799" s="293"/>
      <c r="G799" s="293"/>
      <c r="H799" s="293"/>
      <c r="I799" s="293"/>
      <c r="J799" s="293"/>
    </row>
    <row r="800" spans="1:10" x14ac:dyDescent="0.25">
      <c r="A800" t="s">
        <v>4265</v>
      </c>
      <c r="B800" s="293"/>
      <c r="C800" s="293"/>
      <c r="D800" s="293"/>
      <c r="E800" s="293"/>
      <c r="F800" s="293"/>
      <c r="G800" s="293"/>
      <c r="H800" s="293"/>
      <c r="I800" s="293"/>
      <c r="J800" s="293"/>
    </row>
    <row r="801" spans="1:10" x14ac:dyDescent="0.25">
      <c r="B801" s="293"/>
      <c r="C801" s="293"/>
      <c r="D801" s="293"/>
      <c r="E801" s="293"/>
      <c r="F801" s="293"/>
      <c r="G801" s="293"/>
      <c r="H801" s="293"/>
      <c r="I801" s="293"/>
      <c r="J801" s="293"/>
    </row>
    <row r="802" spans="1:10" x14ac:dyDescent="0.25">
      <c r="B802" s="293"/>
      <c r="C802" s="293"/>
      <c r="D802" s="293"/>
      <c r="E802" s="293"/>
      <c r="F802" s="293"/>
      <c r="G802" s="293"/>
      <c r="H802" s="293"/>
      <c r="I802" s="293"/>
      <c r="J802" s="293"/>
    </row>
    <row r="803" spans="1:10" x14ac:dyDescent="0.25">
      <c r="B803" s="293"/>
      <c r="C803" s="293"/>
      <c r="D803" s="293"/>
      <c r="E803" s="293"/>
      <c r="F803" s="293"/>
      <c r="G803" s="293"/>
      <c r="H803" s="293"/>
      <c r="I803" s="293"/>
      <c r="J803" s="293"/>
    </row>
    <row r="804" spans="1:10" x14ac:dyDescent="0.25">
      <c r="B804" s="293"/>
      <c r="C804" s="293"/>
      <c r="D804" s="293"/>
      <c r="E804" s="293"/>
      <c r="F804" s="293"/>
      <c r="G804" s="293"/>
      <c r="H804" s="293"/>
      <c r="I804" s="293"/>
      <c r="J804" s="293"/>
    </row>
    <row r="805" spans="1:10" x14ac:dyDescent="0.25">
      <c r="A805" t="s">
        <v>4266</v>
      </c>
      <c r="B805" s="293"/>
      <c r="C805" s="293"/>
      <c r="D805" s="293"/>
      <c r="E805" s="293"/>
      <c r="F805" s="293"/>
      <c r="G805" s="293"/>
      <c r="H805" s="293"/>
      <c r="I805" s="293"/>
      <c r="J805" s="293"/>
    </row>
    <row r="806" spans="1:10" x14ac:dyDescent="0.25">
      <c r="A806" t="s">
        <v>66</v>
      </c>
      <c r="B806" s="293"/>
      <c r="C806" s="293"/>
      <c r="D806" s="293"/>
      <c r="E806" s="293"/>
      <c r="F806" s="293"/>
      <c r="G806" s="293"/>
      <c r="H806" s="293"/>
      <c r="I806" s="293"/>
      <c r="J806" s="293"/>
    </row>
    <row r="807" spans="1:10" x14ac:dyDescent="0.25">
      <c r="B807" s="293"/>
      <c r="C807" s="293"/>
      <c r="D807" s="293"/>
      <c r="E807" s="293"/>
      <c r="F807" s="293"/>
      <c r="G807" s="293"/>
      <c r="H807" s="293"/>
      <c r="I807" s="293"/>
      <c r="J807" s="293"/>
    </row>
    <row r="808" spans="1:10" x14ac:dyDescent="0.25">
      <c r="B808" s="293"/>
      <c r="C808" s="293"/>
      <c r="D808" s="293"/>
      <c r="E808" s="293"/>
      <c r="F808" s="293"/>
      <c r="G808" s="293"/>
      <c r="H808" s="293"/>
      <c r="I808" s="293"/>
      <c r="J808" s="293"/>
    </row>
    <row r="809" spans="1:10" x14ac:dyDescent="0.25">
      <c r="B809" s="293"/>
      <c r="C809" s="293"/>
      <c r="D809" s="293"/>
      <c r="E809" s="293"/>
      <c r="F809" s="293"/>
      <c r="G809" s="293"/>
      <c r="H809" s="293"/>
      <c r="I809" s="293"/>
      <c r="J809" s="293"/>
    </row>
    <row r="810" spans="1:10" x14ac:dyDescent="0.25">
      <c r="B810" s="293"/>
      <c r="C810" s="293"/>
      <c r="D810" s="293"/>
      <c r="E810" s="293"/>
      <c r="F810" s="293"/>
      <c r="G810" s="293"/>
      <c r="H810" s="293"/>
      <c r="I810" s="293"/>
      <c r="J810" s="293"/>
    </row>
    <row r="811" spans="1:10" x14ac:dyDescent="0.25">
      <c r="A811" s="47" t="s">
        <v>4267</v>
      </c>
      <c r="B811" s="296">
        <f>SUM(B799:B810)</f>
        <v>0</v>
      </c>
      <c r="C811" s="296">
        <f t="shared" ref="C811" si="422">SUM(C799:C810)</f>
        <v>0</v>
      </c>
      <c r="D811" s="296">
        <f t="shared" ref="D811" si="423">SUM(D799:D810)</f>
        <v>0</v>
      </c>
      <c r="E811" s="296">
        <f t="shared" ref="E811" si="424">SUM(E799:E810)</f>
        <v>0</v>
      </c>
      <c r="F811" s="296">
        <f t="shared" ref="F811" si="425">SUM(F799:F810)</f>
        <v>0</v>
      </c>
      <c r="G811" s="296">
        <f t="shared" ref="G811" si="426">SUM(G799:G810)</f>
        <v>0</v>
      </c>
      <c r="H811" s="296">
        <f t="shared" ref="H811" si="427">SUM(H799:H810)</f>
        <v>0</v>
      </c>
      <c r="I811" s="296">
        <f t="shared" ref="I811" si="428">SUM(I799:I810)</f>
        <v>0</v>
      </c>
      <c r="J811" s="296">
        <f t="shared" ref="J811" si="429">SUM(J799:J810)</f>
        <v>0</v>
      </c>
    </row>
    <row r="812" spans="1:10" x14ac:dyDescent="0.25">
      <c r="B812" s="293"/>
      <c r="C812" s="293"/>
      <c r="D812" s="293"/>
      <c r="E812" s="293"/>
      <c r="F812" s="293"/>
      <c r="G812" s="293"/>
      <c r="H812" s="293"/>
      <c r="I812" s="293"/>
      <c r="J812" s="293"/>
    </row>
    <row r="813" spans="1:10" ht="15.75" thickBot="1" x14ac:dyDescent="0.3">
      <c r="A813" s="47" t="s">
        <v>4268</v>
      </c>
      <c r="B813" s="301">
        <f>B796-B811</f>
        <v>0</v>
      </c>
      <c r="C813" s="301">
        <f t="shared" ref="C813:J813" si="430">C796-C811</f>
        <v>0</v>
      </c>
      <c r="D813" s="301">
        <f t="shared" si="430"/>
        <v>0</v>
      </c>
      <c r="E813" s="301">
        <f t="shared" si="430"/>
        <v>0</v>
      </c>
      <c r="F813" s="301">
        <f t="shared" si="430"/>
        <v>0</v>
      </c>
      <c r="G813" s="301">
        <f t="shared" si="430"/>
        <v>0</v>
      </c>
      <c r="H813" s="301">
        <f t="shared" si="430"/>
        <v>0</v>
      </c>
      <c r="I813" s="301">
        <f t="shared" si="430"/>
        <v>0</v>
      </c>
      <c r="J813" s="301">
        <f t="shared" si="430"/>
        <v>0</v>
      </c>
    </row>
    <row r="814" spans="1:10" ht="15.75" thickTop="1" x14ac:dyDescent="0.25">
      <c r="B814" s="293"/>
      <c r="C814" s="293"/>
      <c r="D814" s="293"/>
      <c r="E814" s="293"/>
      <c r="F814" s="293"/>
      <c r="G814" s="293"/>
      <c r="H814" s="293"/>
      <c r="I814" s="293"/>
      <c r="J814" s="293"/>
    </row>
    <row r="815" spans="1:10" x14ac:dyDescent="0.25">
      <c r="A815" s="281"/>
      <c r="B815" s="316"/>
      <c r="C815" s="316"/>
      <c r="D815" s="316"/>
      <c r="E815" s="316"/>
      <c r="F815" s="316"/>
      <c r="G815" s="316"/>
      <c r="H815" s="316"/>
      <c r="I815" s="316"/>
      <c r="J815" s="316"/>
    </row>
    <row r="816" spans="1:10" x14ac:dyDescent="0.25">
      <c r="B816" s="293"/>
      <c r="C816" s="293"/>
      <c r="D816" s="293"/>
      <c r="E816" s="293"/>
      <c r="F816" s="293"/>
      <c r="G816" s="293"/>
      <c r="H816" s="293"/>
      <c r="I816" s="293"/>
      <c r="J816" s="293"/>
    </row>
    <row r="817" spans="1:10" x14ac:dyDescent="0.25">
      <c r="A817" s="280" t="s">
        <v>4294</v>
      </c>
      <c r="B817" s="293"/>
      <c r="C817" s="293"/>
      <c r="D817" s="293"/>
      <c r="E817" s="293"/>
      <c r="F817" s="293"/>
      <c r="G817" s="293"/>
      <c r="H817" s="293"/>
      <c r="I817" s="293"/>
      <c r="J817" s="293"/>
    </row>
    <row r="818" spans="1:10" x14ac:dyDescent="0.25">
      <c r="B818" s="293"/>
      <c r="C818" s="293"/>
      <c r="D818" s="293"/>
      <c r="E818" s="293"/>
      <c r="F818" s="293"/>
      <c r="G818" s="293"/>
      <c r="H818" s="293"/>
      <c r="I818" s="293"/>
      <c r="J818" s="293"/>
    </row>
    <row r="819" spans="1:10" x14ac:dyDescent="0.25">
      <c r="A819" s="47" t="s">
        <v>4260</v>
      </c>
      <c r="B819" s="293"/>
      <c r="C819" s="293"/>
      <c r="D819" s="293"/>
      <c r="E819" s="293"/>
      <c r="F819" s="293"/>
      <c r="G819" s="293"/>
      <c r="H819" s="293"/>
      <c r="I819" s="293"/>
      <c r="J819" s="293"/>
    </row>
    <row r="820" spans="1:10" x14ac:dyDescent="0.25">
      <c r="A820" t="s">
        <v>4262</v>
      </c>
      <c r="B820" s="293"/>
      <c r="C820" s="293"/>
      <c r="D820" s="293"/>
      <c r="E820" s="293"/>
      <c r="F820" s="293"/>
      <c r="G820" s="293"/>
      <c r="H820" s="293"/>
      <c r="I820" s="293"/>
      <c r="J820" s="293"/>
    </row>
    <row r="821" spans="1:10" x14ac:dyDescent="0.25">
      <c r="A821" t="s">
        <v>4261</v>
      </c>
      <c r="B821" s="293"/>
      <c r="C821" s="293"/>
      <c r="D821" s="293"/>
      <c r="E821" s="293"/>
      <c r="F821" s="293"/>
      <c r="G821" s="293"/>
      <c r="H821" s="293"/>
      <c r="I821" s="293"/>
      <c r="J821" s="293"/>
    </row>
    <row r="822" spans="1:10" x14ac:dyDescent="0.25">
      <c r="A822" t="s">
        <v>66</v>
      </c>
      <c r="B822" s="293"/>
      <c r="C822" s="293"/>
      <c r="D822" s="293"/>
      <c r="E822" s="293"/>
      <c r="F822" s="293"/>
      <c r="G822" s="293"/>
      <c r="H822" s="293"/>
      <c r="I822" s="293"/>
      <c r="J822" s="293"/>
    </row>
    <row r="823" spans="1:10" x14ac:dyDescent="0.25">
      <c r="B823" s="293"/>
      <c r="C823" s="293"/>
      <c r="D823" s="293"/>
      <c r="E823" s="293"/>
      <c r="F823" s="293"/>
      <c r="G823" s="293"/>
      <c r="H823" s="293"/>
      <c r="I823" s="293"/>
      <c r="J823" s="293"/>
    </row>
    <row r="824" spans="1:10" x14ac:dyDescent="0.25">
      <c r="B824" s="293"/>
      <c r="C824" s="293"/>
      <c r="D824" s="293"/>
      <c r="E824" s="293"/>
      <c r="F824" s="293"/>
      <c r="G824" s="293"/>
      <c r="H824" s="293"/>
      <c r="I824" s="293"/>
      <c r="J824" s="293"/>
    </row>
    <row r="825" spans="1:10" x14ac:dyDescent="0.25">
      <c r="B825" s="293"/>
      <c r="C825" s="293"/>
      <c r="D825" s="293"/>
      <c r="E825" s="293"/>
      <c r="F825" s="293"/>
      <c r="G825" s="293"/>
      <c r="H825" s="293"/>
      <c r="I825" s="293"/>
      <c r="J825" s="293"/>
    </row>
    <row r="826" spans="1:10" x14ac:dyDescent="0.25">
      <c r="B826" s="293"/>
      <c r="C826" s="293"/>
      <c r="D826" s="293"/>
      <c r="E826" s="293"/>
      <c r="F826" s="293"/>
      <c r="G826" s="293"/>
      <c r="H826" s="293"/>
      <c r="I826" s="293"/>
      <c r="J826" s="293"/>
    </row>
    <row r="827" spans="1:10" x14ac:dyDescent="0.25">
      <c r="A827" s="47" t="s">
        <v>4263</v>
      </c>
      <c r="B827" s="296">
        <f>SUM(B817:B826)</f>
        <v>0</v>
      </c>
      <c r="C827" s="296">
        <f t="shared" ref="C827" si="431">SUM(C817:C826)</f>
        <v>0</v>
      </c>
      <c r="D827" s="296">
        <f t="shared" ref="D827" si="432">SUM(D817:D826)</f>
        <v>0</v>
      </c>
      <c r="E827" s="296">
        <f t="shared" ref="E827" si="433">SUM(E817:E826)</f>
        <v>0</v>
      </c>
      <c r="F827" s="296">
        <f t="shared" ref="F827" si="434">SUM(F817:F826)</f>
        <v>0</v>
      </c>
      <c r="G827" s="296">
        <f t="shared" ref="G827" si="435">SUM(G817:G826)</f>
        <v>0</v>
      </c>
      <c r="H827" s="296">
        <f t="shared" ref="H827" si="436">SUM(H817:H826)</f>
        <v>0</v>
      </c>
      <c r="I827" s="296">
        <f t="shared" ref="I827" si="437">SUM(I817:I826)</f>
        <v>0</v>
      </c>
      <c r="J827" s="296">
        <f t="shared" ref="J827" si="438">SUM(J817:J826)</f>
        <v>0</v>
      </c>
    </row>
    <row r="828" spans="1:10" x14ac:dyDescent="0.25">
      <c r="B828" s="293"/>
      <c r="C828" s="293"/>
      <c r="D828" s="293"/>
      <c r="E828" s="293"/>
      <c r="F828" s="293"/>
      <c r="G828" s="293"/>
      <c r="H828" s="293"/>
      <c r="I828" s="293"/>
      <c r="J828" s="293"/>
    </row>
    <row r="829" spans="1:10" x14ac:dyDescent="0.25">
      <c r="A829" s="47" t="s">
        <v>4264</v>
      </c>
      <c r="B829" s="293"/>
      <c r="C829" s="293"/>
      <c r="D829" s="293"/>
      <c r="E829" s="293"/>
      <c r="F829" s="293"/>
      <c r="G829" s="293"/>
      <c r="H829" s="293"/>
      <c r="I829" s="293"/>
      <c r="J829" s="293"/>
    </row>
    <row r="830" spans="1:10" x14ac:dyDescent="0.25">
      <c r="A830" t="s">
        <v>87</v>
      </c>
      <c r="B830" s="293"/>
      <c r="C830" s="293"/>
      <c r="D830" s="293"/>
      <c r="E830" s="293"/>
      <c r="F830" s="293"/>
      <c r="G830" s="293"/>
      <c r="H830" s="293"/>
      <c r="I830" s="293"/>
      <c r="J830" s="293"/>
    </row>
    <row r="831" spans="1:10" x14ac:dyDescent="0.25">
      <c r="A831" t="s">
        <v>4265</v>
      </c>
      <c r="B831" s="293"/>
      <c r="C831" s="293"/>
      <c r="D831" s="293"/>
      <c r="E831" s="293"/>
      <c r="F831" s="293"/>
      <c r="G831" s="293"/>
      <c r="H831" s="293"/>
      <c r="I831" s="293"/>
      <c r="J831" s="293"/>
    </row>
    <row r="832" spans="1:10" x14ac:dyDescent="0.25">
      <c r="B832" s="293"/>
      <c r="C832" s="293"/>
      <c r="D832" s="293"/>
      <c r="E832" s="293"/>
      <c r="F832" s="293"/>
      <c r="G832" s="293"/>
      <c r="H832" s="293"/>
      <c r="I832" s="293"/>
      <c r="J832" s="293"/>
    </row>
    <row r="833" spans="1:10" x14ac:dyDescent="0.25">
      <c r="B833" s="293"/>
      <c r="C833" s="293"/>
      <c r="D833" s="293"/>
      <c r="E833" s="293"/>
      <c r="F833" s="293"/>
      <c r="G833" s="293"/>
      <c r="H833" s="293"/>
      <c r="I833" s="293"/>
      <c r="J833" s="293"/>
    </row>
    <row r="834" spans="1:10" x14ac:dyDescent="0.25">
      <c r="B834" s="293"/>
      <c r="C834" s="293"/>
      <c r="D834" s="293"/>
      <c r="E834" s="293"/>
      <c r="F834" s="293"/>
      <c r="G834" s="293"/>
      <c r="H834" s="293"/>
      <c r="I834" s="293"/>
      <c r="J834" s="293"/>
    </row>
    <row r="835" spans="1:10" x14ac:dyDescent="0.25">
      <c r="B835" s="293"/>
      <c r="C835" s="293"/>
      <c r="D835" s="293"/>
      <c r="E835" s="293"/>
      <c r="F835" s="293"/>
      <c r="G835" s="293"/>
      <c r="H835" s="293"/>
      <c r="I835" s="293"/>
      <c r="J835" s="293"/>
    </row>
    <row r="836" spans="1:10" x14ac:dyDescent="0.25">
      <c r="A836" t="s">
        <v>4266</v>
      </c>
      <c r="B836" s="293"/>
      <c r="C836" s="293"/>
      <c r="D836" s="293"/>
      <c r="E836" s="293"/>
      <c r="F836" s="293"/>
      <c r="G836" s="293"/>
      <c r="H836" s="293"/>
      <c r="I836" s="293"/>
      <c r="J836" s="293"/>
    </row>
    <row r="837" spans="1:10" x14ac:dyDescent="0.25">
      <c r="A837" t="s">
        <v>66</v>
      </c>
      <c r="B837" s="293"/>
      <c r="C837" s="293"/>
      <c r="D837" s="293"/>
      <c r="E837" s="293"/>
      <c r="F837" s="293"/>
      <c r="G837" s="293"/>
      <c r="H837" s="293"/>
      <c r="I837" s="293"/>
      <c r="J837" s="293"/>
    </row>
    <row r="838" spans="1:10" x14ac:dyDescent="0.25">
      <c r="B838" s="293"/>
      <c r="C838" s="293"/>
      <c r="D838" s="293"/>
      <c r="E838" s="293"/>
      <c r="F838" s="293"/>
      <c r="G838" s="293"/>
      <c r="H838" s="293"/>
      <c r="I838" s="293"/>
      <c r="J838" s="293"/>
    </row>
    <row r="839" spans="1:10" x14ac:dyDescent="0.25">
      <c r="B839" s="293"/>
      <c r="C839" s="293"/>
      <c r="D839" s="293"/>
      <c r="E839" s="293"/>
      <c r="F839" s="293"/>
      <c r="G839" s="293"/>
      <c r="H839" s="293"/>
      <c r="I839" s="293"/>
      <c r="J839" s="293"/>
    </row>
    <row r="840" spans="1:10" x14ac:dyDescent="0.25">
      <c r="B840" s="293"/>
      <c r="C840" s="293"/>
      <c r="D840" s="293"/>
      <c r="E840" s="293"/>
      <c r="F840" s="293"/>
      <c r="G840" s="293"/>
      <c r="H840" s="293"/>
      <c r="I840" s="293"/>
      <c r="J840" s="293"/>
    </row>
    <row r="841" spans="1:10" x14ac:dyDescent="0.25">
      <c r="B841" s="293"/>
      <c r="C841" s="293"/>
      <c r="D841" s="293"/>
      <c r="E841" s="293"/>
      <c r="F841" s="293"/>
      <c r="G841" s="293"/>
      <c r="H841" s="293"/>
      <c r="I841" s="293"/>
      <c r="J841" s="293"/>
    </row>
    <row r="842" spans="1:10" x14ac:dyDescent="0.25">
      <c r="A842" s="47" t="s">
        <v>4267</v>
      </c>
      <c r="B842" s="296">
        <f>SUM(B830:B841)</f>
        <v>0</v>
      </c>
      <c r="C842" s="296">
        <f t="shared" ref="C842" si="439">SUM(C830:C841)</f>
        <v>0</v>
      </c>
      <c r="D842" s="296">
        <f t="shared" ref="D842" si="440">SUM(D830:D841)</f>
        <v>0</v>
      </c>
      <c r="E842" s="296">
        <f t="shared" ref="E842" si="441">SUM(E830:E841)</f>
        <v>0</v>
      </c>
      <c r="F842" s="296">
        <f t="shared" ref="F842" si="442">SUM(F830:F841)</f>
        <v>0</v>
      </c>
      <c r="G842" s="296">
        <f t="shared" ref="G842" si="443">SUM(G830:G841)</f>
        <v>0</v>
      </c>
      <c r="H842" s="296">
        <f t="shared" ref="H842" si="444">SUM(H830:H841)</f>
        <v>0</v>
      </c>
      <c r="I842" s="296">
        <f t="shared" ref="I842" si="445">SUM(I830:I841)</f>
        <v>0</v>
      </c>
      <c r="J842" s="296">
        <f t="shared" ref="J842" si="446">SUM(J830:J841)</f>
        <v>0</v>
      </c>
    </row>
    <row r="843" spans="1:10" x14ac:dyDescent="0.25">
      <c r="B843" s="293"/>
      <c r="C843" s="293"/>
      <c r="D843" s="293"/>
      <c r="E843" s="293"/>
      <c r="F843" s="293"/>
      <c r="G843" s="293"/>
      <c r="H843" s="293"/>
      <c r="I843" s="293"/>
      <c r="J843" s="293"/>
    </row>
    <row r="844" spans="1:10" ht="15.75" thickBot="1" x14ac:dyDescent="0.3">
      <c r="A844" s="47" t="s">
        <v>4268</v>
      </c>
      <c r="B844" s="301">
        <f>B827-B842</f>
        <v>0</v>
      </c>
      <c r="C844" s="301">
        <f t="shared" ref="C844:J844" si="447">C827-C842</f>
        <v>0</v>
      </c>
      <c r="D844" s="301">
        <f t="shared" si="447"/>
        <v>0</v>
      </c>
      <c r="E844" s="301">
        <f t="shared" si="447"/>
        <v>0</v>
      </c>
      <c r="F844" s="301">
        <f t="shared" si="447"/>
        <v>0</v>
      </c>
      <c r="G844" s="301">
        <f t="shared" si="447"/>
        <v>0</v>
      </c>
      <c r="H844" s="301">
        <f t="shared" si="447"/>
        <v>0</v>
      </c>
      <c r="I844" s="301">
        <f t="shared" si="447"/>
        <v>0</v>
      </c>
      <c r="J844" s="301">
        <f t="shared" si="447"/>
        <v>0</v>
      </c>
    </row>
    <row r="845" spans="1:10" ht="15.75" thickTop="1" x14ac:dyDescent="0.25">
      <c r="B845" s="293"/>
      <c r="C845" s="293"/>
      <c r="D845" s="293"/>
      <c r="E845" s="293"/>
      <c r="F845" s="293"/>
      <c r="G845" s="293"/>
      <c r="H845" s="293"/>
      <c r="I845" s="293"/>
      <c r="J845" s="293"/>
    </row>
    <row r="846" spans="1:10" x14ac:dyDescent="0.25">
      <c r="A846" s="281"/>
      <c r="B846" s="316"/>
      <c r="C846" s="316"/>
      <c r="D846" s="316"/>
      <c r="E846" s="316"/>
      <c r="F846" s="316"/>
      <c r="G846" s="316"/>
      <c r="H846" s="316"/>
      <c r="I846" s="316"/>
      <c r="J846" s="316"/>
    </row>
    <row r="847" spans="1:10" x14ac:dyDescent="0.25">
      <c r="B847" s="293"/>
      <c r="C847" s="293"/>
      <c r="D847" s="293"/>
      <c r="E847" s="293"/>
      <c r="F847" s="293"/>
      <c r="G847" s="293"/>
      <c r="H847" s="293"/>
      <c r="I847" s="293"/>
      <c r="J847" s="293"/>
    </row>
    <row r="848" spans="1:10" x14ac:dyDescent="0.25">
      <c r="A848" s="280" t="s">
        <v>4295</v>
      </c>
      <c r="B848" s="293"/>
      <c r="C848" s="293"/>
      <c r="D848" s="293"/>
      <c r="E848" s="293"/>
      <c r="F848" s="293"/>
      <c r="G848" s="293"/>
      <c r="H848" s="293"/>
      <c r="I848" s="293"/>
      <c r="J848" s="293"/>
    </row>
    <row r="849" spans="1:10" x14ac:dyDescent="0.25">
      <c r="B849" s="293"/>
      <c r="C849" s="293"/>
      <c r="D849" s="293"/>
      <c r="E849" s="293"/>
      <c r="F849" s="293"/>
      <c r="G849" s="293"/>
      <c r="H849" s="293"/>
      <c r="I849" s="293"/>
      <c r="J849" s="293"/>
    </row>
    <row r="850" spans="1:10" x14ac:dyDescent="0.25">
      <c r="A850" s="47" t="s">
        <v>4260</v>
      </c>
      <c r="B850" s="293"/>
      <c r="C850" s="293"/>
      <c r="D850" s="293"/>
      <c r="E850" s="293"/>
      <c r="F850" s="293"/>
      <c r="G850" s="293"/>
      <c r="H850" s="293"/>
      <c r="I850" s="293"/>
      <c r="J850" s="293"/>
    </row>
    <row r="851" spans="1:10" x14ac:dyDescent="0.25">
      <c r="A851" t="s">
        <v>4262</v>
      </c>
      <c r="B851" s="293"/>
      <c r="C851" s="293"/>
      <c r="D851" s="293"/>
      <c r="E851" s="293"/>
      <c r="F851" s="293"/>
      <c r="G851" s="293"/>
      <c r="H851" s="293"/>
      <c r="I851" s="293"/>
      <c r="J851" s="293"/>
    </row>
    <row r="852" spans="1:10" x14ac:dyDescent="0.25">
      <c r="A852" t="s">
        <v>4261</v>
      </c>
      <c r="B852" s="293"/>
      <c r="C852" s="293"/>
      <c r="D852" s="293"/>
      <c r="E852" s="293"/>
      <c r="F852" s="293"/>
      <c r="G852" s="293"/>
      <c r="H852" s="293"/>
      <c r="I852" s="293"/>
      <c r="J852" s="293"/>
    </row>
    <row r="853" spans="1:10" x14ac:dyDescent="0.25">
      <c r="A853" t="s">
        <v>66</v>
      </c>
      <c r="B853" s="293"/>
      <c r="C853" s="293"/>
      <c r="D853" s="293"/>
      <c r="E853" s="293"/>
      <c r="F853" s="293"/>
      <c r="G853" s="293"/>
      <c r="H853" s="293"/>
      <c r="I853" s="293"/>
      <c r="J853" s="293"/>
    </row>
    <row r="854" spans="1:10" x14ac:dyDescent="0.25">
      <c r="B854" s="293"/>
      <c r="C854" s="293"/>
      <c r="D854" s="293"/>
      <c r="E854" s="293"/>
      <c r="F854" s="293"/>
      <c r="G854" s="293"/>
      <c r="H854" s="293"/>
      <c r="I854" s="293"/>
      <c r="J854" s="293"/>
    </row>
    <row r="855" spans="1:10" x14ac:dyDescent="0.25">
      <c r="B855" s="293"/>
      <c r="C855" s="293"/>
      <c r="D855" s="293"/>
      <c r="E855" s="293"/>
      <c r="F855" s="293"/>
      <c r="G855" s="293"/>
      <c r="H855" s="293"/>
      <c r="I855" s="293"/>
      <c r="J855" s="293"/>
    </row>
    <row r="856" spans="1:10" x14ac:dyDescent="0.25">
      <c r="B856" s="293"/>
      <c r="C856" s="293"/>
      <c r="D856" s="293"/>
      <c r="E856" s="293"/>
      <c r="F856" s="293"/>
      <c r="G856" s="293"/>
      <c r="H856" s="293"/>
      <c r="I856" s="293"/>
      <c r="J856" s="293"/>
    </row>
    <row r="857" spans="1:10" x14ac:dyDescent="0.25">
      <c r="B857" s="293"/>
      <c r="C857" s="293"/>
      <c r="D857" s="293"/>
      <c r="E857" s="293"/>
      <c r="F857" s="293"/>
      <c r="G857" s="293"/>
      <c r="H857" s="293"/>
      <c r="I857" s="293"/>
      <c r="J857" s="293"/>
    </row>
    <row r="858" spans="1:10" x14ac:dyDescent="0.25">
      <c r="A858" s="47" t="s">
        <v>4263</v>
      </c>
      <c r="B858" s="296">
        <f>SUM(B848:B857)</f>
        <v>0</v>
      </c>
      <c r="C858" s="296">
        <f t="shared" ref="C858" si="448">SUM(C848:C857)</f>
        <v>0</v>
      </c>
      <c r="D858" s="296">
        <f t="shared" ref="D858" si="449">SUM(D848:D857)</f>
        <v>0</v>
      </c>
      <c r="E858" s="296">
        <f t="shared" ref="E858" si="450">SUM(E848:E857)</f>
        <v>0</v>
      </c>
      <c r="F858" s="296">
        <f t="shared" ref="F858" si="451">SUM(F848:F857)</f>
        <v>0</v>
      </c>
      <c r="G858" s="296">
        <f t="shared" ref="G858" si="452">SUM(G848:G857)</f>
        <v>0</v>
      </c>
      <c r="H858" s="296">
        <f t="shared" ref="H858" si="453">SUM(H848:H857)</f>
        <v>0</v>
      </c>
      <c r="I858" s="296">
        <f t="shared" ref="I858" si="454">SUM(I848:I857)</f>
        <v>0</v>
      </c>
      <c r="J858" s="296">
        <f t="shared" ref="J858" si="455">SUM(J848:J857)</f>
        <v>0</v>
      </c>
    </row>
    <row r="859" spans="1:10" x14ac:dyDescent="0.25">
      <c r="B859" s="293"/>
      <c r="C859" s="293"/>
      <c r="D859" s="293"/>
      <c r="E859" s="293"/>
      <c r="F859" s="293"/>
      <c r="G859" s="293"/>
      <c r="H859" s="293"/>
      <c r="I859" s="293"/>
      <c r="J859" s="293"/>
    </row>
    <row r="860" spans="1:10" x14ac:dyDescent="0.25">
      <c r="A860" s="47" t="s">
        <v>4264</v>
      </c>
      <c r="B860" s="293"/>
      <c r="C860" s="293"/>
      <c r="D860" s="293"/>
      <c r="E860" s="293"/>
      <c r="F860" s="293"/>
      <c r="G860" s="293"/>
      <c r="H860" s="293"/>
      <c r="I860" s="293"/>
      <c r="J860" s="293"/>
    </row>
    <row r="861" spans="1:10" x14ac:dyDescent="0.25">
      <c r="A861" t="s">
        <v>87</v>
      </c>
      <c r="B861" s="293"/>
      <c r="C861" s="293"/>
      <c r="D861" s="293"/>
      <c r="E861" s="293"/>
      <c r="F861" s="293"/>
      <c r="G861" s="293"/>
      <c r="H861" s="293"/>
      <c r="I861" s="293"/>
      <c r="J861" s="293"/>
    </row>
    <row r="862" spans="1:10" x14ac:dyDescent="0.25">
      <c r="A862" t="s">
        <v>4265</v>
      </c>
      <c r="B862" s="293"/>
      <c r="C862" s="293"/>
      <c r="D862" s="293"/>
      <c r="E862" s="293"/>
      <c r="F862" s="293"/>
      <c r="G862" s="293"/>
      <c r="H862" s="293"/>
      <c r="I862" s="293"/>
      <c r="J862" s="293"/>
    </row>
    <row r="863" spans="1:10" x14ac:dyDescent="0.25">
      <c r="B863" s="293"/>
      <c r="C863" s="293"/>
      <c r="D863" s="293"/>
      <c r="E863" s="293"/>
      <c r="F863" s="293"/>
      <c r="G863" s="293"/>
      <c r="H863" s="293"/>
      <c r="I863" s="293"/>
      <c r="J863" s="293"/>
    </row>
    <row r="864" spans="1:10" x14ac:dyDescent="0.25">
      <c r="B864" s="293"/>
      <c r="C864" s="293"/>
      <c r="D864" s="293"/>
      <c r="E864" s="293"/>
      <c r="F864" s="293"/>
      <c r="G864" s="293"/>
      <c r="H864" s="293"/>
      <c r="I864" s="293"/>
      <c r="J864" s="293"/>
    </row>
    <row r="865" spans="1:10" x14ac:dyDescent="0.25">
      <c r="B865" s="293"/>
      <c r="C865" s="293"/>
      <c r="D865" s="293"/>
      <c r="E865" s="293"/>
      <c r="F865" s="293"/>
      <c r="G865" s="293"/>
      <c r="H865" s="293"/>
      <c r="I865" s="293"/>
      <c r="J865" s="293"/>
    </row>
    <row r="866" spans="1:10" x14ac:dyDescent="0.25">
      <c r="B866" s="293"/>
      <c r="C866" s="293"/>
      <c r="D866" s="293"/>
      <c r="E866" s="293"/>
      <c r="F866" s="293"/>
      <c r="G866" s="293"/>
      <c r="H866" s="293"/>
      <c r="I866" s="293"/>
      <c r="J866" s="293"/>
    </row>
    <row r="867" spans="1:10" x14ac:dyDescent="0.25">
      <c r="A867" t="s">
        <v>4266</v>
      </c>
      <c r="B867" s="293"/>
      <c r="C867" s="293"/>
      <c r="D867" s="293"/>
      <c r="E867" s="293"/>
      <c r="F867" s="293"/>
      <c r="G867" s="293"/>
      <c r="H867" s="293"/>
      <c r="I867" s="293"/>
      <c r="J867" s="293"/>
    </row>
    <row r="868" spans="1:10" x14ac:dyDescent="0.25">
      <c r="A868" t="s">
        <v>66</v>
      </c>
      <c r="B868" s="293"/>
      <c r="C868" s="293"/>
      <c r="D868" s="293"/>
      <c r="E868" s="293"/>
      <c r="F868" s="293"/>
      <c r="G868" s="293"/>
      <c r="H868" s="293"/>
      <c r="I868" s="293"/>
      <c r="J868" s="293"/>
    </row>
    <row r="869" spans="1:10" x14ac:dyDescent="0.25">
      <c r="B869" s="293"/>
      <c r="C869" s="293"/>
      <c r="D869" s="293"/>
      <c r="E869" s="293"/>
      <c r="F869" s="293"/>
      <c r="G869" s="293"/>
      <c r="H869" s="293"/>
      <c r="I869" s="293"/>
      <c r="J869" s="293"/>
    </row>
    <row r="870" spans="1:10" x14ac:dyDescent="0.25">
      <c r="B870" s="293"/>
      <c r="C870" s="293"/>
      <c r="D870" s="293"/>
      <c r="E870" s="293"/>
      <c r="F870" s="293"/>
      <c r="G870" s="293"/>
      <c r="H870" s="293"/>
      <c r="I870" s="293"/>
      <c r="J870" s="293"/>
    </row>
    <row r="871" spans="1:10" x14ac:dyDescent="0.25">
      <c r="B871" s="293"/>
      <c r="C871" s="293"/>
      <c r="D871" s="293"/>
      <c r="E871" s="293"/>
      <c r="F871" s="293"/>
      <c r="G871" s="293"/>
      <c r="H871" s="293"/>
      <c r="I871" s="293"/>
      <c r="J871" s="293"/>
    </row>
    <row r="872" spans="1:10" x14ac:dyDescent="0.25">
      <c r="B872" s="293"/>
      <c r="C872" s="293"/>
      <c r="D872" s="293"/>
      <c r="E872" s="293"/>
      <c r="F872" s="293"/>
      <c r="G872" s="293"/>
      <c r="H872" s="293"/>
      <c r="I872" s="293"/>
      <c r="J872" s="293"/>
    </row>
    <row r="873" spans="1:10" x14ac:dyDescent="0.25">
      <c r="A873" s="47" t="s">
        <v>4267</v>
      </c>
      <c r="B873" s="296">
        <f>SUM(B861:B872)</f>
        <v>0</v>
      </c>
      <c r="C873" s="296">
        <f t="shared" ref="C873" si="456">SUM(C861:C872)</f>
        <v>0</v>
      </c>
      <c r="D873" s="296">
        <f t="shared" ref="D873" si="457">SUM(D861:D872)</f>
        <v>0</v>
      </c>
      <c r="E873" s="296">
        <f t="shared" ref="E873" si="458">SUM(E861:E872)</f>
        <v>0</v>
      </c>
      <c r="F873" s="296">
        <f t="shared" ref="F873" si="459">SUM(F861:F872)</f>
        <v>0</v>
      </c>
      <c r="G873" s="296">
        <f t="shared" ref="G873" si="460">SUM(G861:G872)</f>
        <v>0</v>
      </c>
      <c r="H873" s="296">
        <f t="shared" ref="H873" si="461">SUM(H861:H872)</f>
        <v>0</v>
      </c>
      <c r="I873" s="296">
        <f t="shared" ref="I873" si="462">SUM(I861:I872)</f>
        <v>0</v>
      </c>
      <c r="J873" s="296">
        <f t="shared" ref="J873" si="463">SUM(J861:J872)</f>
        <v>0</v>
      </c>
    </row>
    <row r="874" spans="1:10" x14ac:dyDescent="0.25">
      <c r="B874" s="293"/>
      <c r="C874" s="293"/>
      <c r="D874" s="293"/>
      <c r="E874" s="293"/>
      <c r="F874" s="293"/>
      <c r="G874" s="293"/>
      <c r="H874" s="293"/>
      <c r="I874" s="293"/>
      <c r="J874" s="293"/>
    </row>
    <row r="875" spans="1:10" ht="15.75" thickBot="1" x14ac:dyDescent="0.3">
      <c r="A875" s="47" t="s">
        <v>4268</v>
      </c>
      <c r="B875" s="301">
        <f>B858-B873</f>
        <v>0</v>
      </c>
      <c r="C875" s="301">
        <f t="shared" ref="C875:J875" si="464">C858-C873</f>
        <v>0</v>
      </c>
      <c r="D875" s="301">
        <f t="shared" si="464"/>
        <v>0</v>
      </c>
      <c r="E875" s="301">
        <f t="shared" si="464"/>
        <v>0</v>
      </c>
      <c r="F875" s="301">
        <f t="shared" si="464"/>
        <v>0</v>
      </c>
      <c r="G875" s="301">
        <f t="shared" si="464"/>
        <v>0</v>
      </c>
      <c r="H875" s="301">
        <f t="shared" si="464"/>
        <v>0</v>
      </c>
      <c r="I875" s="301">
        <f t="shared" si="464"/>
        <v>0</v>
      </c>
      <c r="J875" s="301">
        <f t="shared" si="464"/>
        <v>0</v>
      </c>
    </row>
    <row r="876" spans="1:10" ht="15.75" thickTop="1" x14ac:dyDescent="0.25">
      <c r="B876" s="293"/>
      <c r="C876" s="293"/>
      <c r="D876" s="293"/>
      <c r="E876" s="293"/>
      <c r="F876" s="293"/>
      <c r="G876" s="293"/>
      <c r="H876" s="293"/>
      <c r="I876" s="293"/>
      <c r="J876" s="293"/>
    </row>
    <row r="877" spans="1:10" x14ac:dyDescent="0.25">
      <c r="A877" s="281"/>
      <c r="B877" s="316"/>
      <c r="C877" s="316"/>
      <c r="D877" s="316"/>
      <c r="E877" s="316"/>
      <c r="F877" s="316"/>
      <c r="G877" s="316"/>
      <c r="H877" s="316"/>
      <c r="I877" s="316"/>
      <c r="J877" s="316"/>
    </row>
    <row r="878" spans="1:10" x14ac:dyDescent="0.25">
      <c r="B878" s="293"/>
      <c r="C878" s="293"/>
      <c r="D878" s="293"/>
      <c r="E878" s="293"/>
      <c r="F878" s="293"/>
      <c r="G878" s="293"/>
      <c r="H878" s="293"/>
      <c r="I878" s="293"/>
      <c r="J878" s="293"/>
    </row>
    <row r="879" spans="1:10" x14ac:dyDescent="0.25">
      <c r="A879" s="280" t="s">
        <v>4296</v>
      </c>
      <c r="B879" s="293"/>
      <c r="C879" s="293"/>
      <c r="D879" s="293"/>
      <c r="E879" s="293"/>
      <c r="F879" s="293"/>
      <c r="G879" s="293"/>
      <c r="H879" s="293"/>
      <c r="I879" s="293"/>
      <c r="J879" s="293"/>
    </row>
    <row r="880" spans="1:10" x14ac:dyDescent="0.25">
      <c r="B880" s="293"/>
      <c r="C880" s="293"/>
      <c r="D880" s="293"/>
      <c r="E880" s="293"/>
      <c r="F880" s="293"/>
      <c r="G880" s="293"/>
      <c r="H880" s="293"/>
      <c r="I880" s="293"/>
      <c r="J880" s="293"/>
    </row>
    <row r="881" spans="1:10" x14ac:dyDescent="0.25">
      <c r="A881" s="47" t="s">
        <v>4260</v>
      </c>
      <c r="B881" s="293"/>
      <c r="C881" s="293"/>
      <c r="D881" s="293"/>
      <c r="E881" s="293"/>
      <c r="F881" s="293"/>
      <c r="G881" s="293"/>
      <c r="H881" s="293"/>
      <c r="I881" s="293"/>
      <c r="J881" s="293"/>
    </row>
    <row r="882" spans="1:10" x14ac:dyDescent="0.25">
      <c r="A882" t="s">
        <v>4262</v>
      </c>
      <c r="B882" s="293"/>
      <c r="C882" s="293"/>
      <c r="D882" s="293"/>
      <c r="E882" s="293"/>
      <c r="F882" s="293"/>
      <c r="G882" s="293"/>
      <c r="H882" s="293"/>
      <c r="I882" s="293"/>
      <c r="J882" s="293"/>
    </row>
    <row r="883" spans="1:10" x14ac:dyDescent="0.25">
      <c r="A883" t="s">
        <v>4261</v>
      </c>
      <c r="B883" s="293"/>
      <c r="C883" s="293"/>
      <c r="D883" s="293"/>
      <c r="E883" s="293"/>
      <c r="F883" s="293"/>
      <c r="G883" s="293"/>
      <c r="H883" s="293"/>
      <c r="I883" s="293"/>
      <c r="J883" s="293"/>
    </row>
    <row r="884" spans="1:10" x14ac:dyDescent="0.25">
      <c r="A884" t="s">
        <v>66</v>
      </c>
      <c r="B884" s="293"/>
      <c r="C884" s="293"/>
      <c r="D884" s="293"/>
      <c r="E884" s="293"/>
      <c r="F884" s="293"/>
      <c r="G884" s="293"/>
      <c r="H884" s="293"/>
      <c r="I884" s="293"/>
      <c r="J884" s="293"/>
    </row>
    <row r="885" spans="1:10" x14ac:dyDescent="0.25">
      <c r="B885" s="293"/>
      <c r="C885" s="293"/>
      <c r="D885" s="293"/>
      <c r="E885" s="293"/>
      <c r="F885" s="293"/>
      <c r="G885" s="293"/>
      <c r="H885" s="293"/>
      <c r="I885" s="293"/>
      <c r="J885" s="293"/>
    </row>
    <row r="886" spans="1:10" x14ac:dyDescent="0.25">
      <c r="B886" s="293"/>
      <c r="C886" s="293"/>
      <c r="D886" s="293"/>
      <c r="E886" s="293"/>
      <c r="F886" s="293"/>
      <c r="G886" s="293"/>
      <c r="H886" s="293"/>
      <c r="I886" s="293"/>
      <c r="J886" s="293"/>
    </row>
    <row r="887" spans="1:10" x14ac:dyDescent="0.25">
      <c r="B887" s="293"/>
      <c r="C887" s="293"/>
      <c r="D887" s="293"/>
      <c r="E887" s="293"/>
      <c r="F887" s="293"/>
      <c r="G887" s="293"/>
      <c r="H887" s="293"/>
      <c r="I887" s="293"/>
      <c r="J887" s="293"/>
    </row>
    <row r="888" spans="1:10" x14ac:dyDescent="0.25">
      <c r="B888" s="293"/>
      <c r="C888" s="293"/>
      <c r="D888" s="293"/>
      <c r="E888" s="293"/>
      <c r="F888" s="293"/>
      <c r="G888" s="293"/>
      <c r="H888" s="293"/>
      <c r="I888" s="293"/>
      <c r="J888" s="293"/>
    </row>
    <row r="889" spans="1:10" x14ac:dyDescent="0.25">
      <c r="A889" s="47" t="s">
        <v>4263</v>
      </c>
      <c r="B889" s="296">
        <f>SUM(B879:B888)</f>
        <v>0</v>
      </c>
      <c r="C889" s="296">
        <f t="shared" ref="C889" si="465">SUM(C879:C888)</f>
        <v>0</v>
      </c>
      <c r="D889" s="296">
        <f t="shared" ref="D889" si="466">SUM(D879:D888)</f>
        <v>0</v>
      </c>
      <c r="E889" s="296">
        <f t="shared" ref="E889" si="467">SUM(E879:E888)</f>
        <v>0</v>
      </c>
      <c r="F889" s="296">
        <f t="shared" ref="F889" si="468">SUM(F879:F888)</f>
        <v>0</v>
      </c>
      <c r="G889" s="296">
        <f t="shared" ref="G889" si="469">SUM(G879:G888)</f>
        <v>0</v>
      </c>
      <c r="H889" s="296">
        <f t="shared" ref="H889" si="470">SUM(H879:H888)</f>
        <v>0</v>
      </c>
      <c r="I889" s="296">
        <f t="shared" ref="I889" si="471">SUM(I879:I888)</f>
        <v>0</v>
      </c>
      <c r="J889" s="296">
        <f t="shared" ref="J889" si="472">SUM(J879:J888)</f>
        <v>0</v>
      </c>
    </row>
    <row r="890" spans="1:10" x14ac:dyDescent="0.25">
      <c r="B890" s="293"/>
      <c r="C890" s="293"/>
      <c r="D890" s="293"/>
      <c r="E890" s="293"/>
      <c r="F890" s="293"/>
      <c r="G890" s="293"/>
      <c r="H890" s="293"/>
      <c r="I890" s="293"/>
      <c r="J890" s="293"/>
    </row>
    <row r="891" spans="1:10" x14ac:dyDescent="0.25">
      <c r="A891" s="47" t="s">
        <v>4264</v>
      </c>
      <c r="B891" s="293"/>
      <c r="C891" s="293"/>
      <c r="D891" s="293"/>
      <c r="E891" s="293"/>
      <c r="F891" s="293"/>
      <c r="G891" s="293"/>
      <c r="H891" s="293"/>
      <c r="I891" s="293"/>
      <c r="J891" s="293"/>
    </row>
    <row r="892" spans="1:10" x14ac:dyDescent="0.25">
      <c r="A892" t="s">
        <v>87</v>
      </c>
      <c r="B892" s="293"/>
      <c r="C892" s="293"/>
      <c r="D892" s="293"/>
      <c r="E892" s="293"/>
      <c r="F892" s="293"/>
      <c r="G892" s="293"/>
      <c r="H892" s="293"/>
      <c r="I892" s="293"/>
      <c r="J892" s="293"/>
    </row>
    <row r="893" spans="1:10" x14ac:dyDescent="0.25">
      <c r="A893" t="s">
        <v>4265</v>
      </c>
      <c r="B893" s="293"/>
      <c r="C893" s="293"/>
      <c r="D893" s="293"/>
      <c r="E893" s="293"/>
      <c r="F893" s="293"/>
      <c r="G893" s="293"/>
      <c r="H893" s="293"/>
      <c r="I893" s="293"/>
      <c r="J893" s="293"/>
    </row>
    <row r="894" spans="1:10" x14ac:dyDescent="0.25">
      <c r="B894" s="293"/>
      <c r="C894" s="293"/>
      <c r="D894" s="293"/>
      <c r="E894" s="293"/>
      <c r="F894" s="293"/>
      <c r="G894" s="293"/>
      <c r="H894" s="293"/>
      <c r="I894" s="293"/>
      <c r="J894" s="293"/>
    </row>
    <row r="895" spans="1:10" x14ac:dyDescent="0.25">
      <c r="B895" s="293"/>
      <c r="C895" s="293"/>
      <c r="D895" s="293"/>
      <c r="E895" s="293"/>
      <c r="F895" s="293"/>
      <c r="G895" s="293"/>
      <c r="H895" s="293"/>
      <c r="I895" s="293"/>
      <c r="J895" s="293"/>
    </row>
    <row r="896" spans="1:10" x14ac:dyDescent="0.25">
      <c r="B896" s="293"/>
      <c r="C896" s="293"/>
      <c r="D896" s="293"/>
      <c r="E896" s="293"/>
      <c r="F896" s="293"/>
      <c r="G896" s="293"/>
      <c r="H896" s="293"/>
      <c r="I896" s="293"/>
      <c r="J896" s="293"/>
    </row>
    <row r="897" spans="1:10" x14ac:dyDescent="0.25">
      <c r="B897" s="293"/>
      <c r="C897" s="293"/>
      <c r="D897" s="293"/>
      <c r="E897" s="293"/>
      <c r="F897" s="293"/>
      <c r="G897" s="293"/>
      <c r="H897" s="293"/>
      <c r="I897" s="293"/>
      <c r="J897" s="293"/>
    </row>
    <row r="898" spans="1:10" x14ac:dyDescent="0.25">
      <c r="A898" t="s">
        <v>4266</v>
      </c>
      <c r="B898" s="293"/>
      <c r="C898" s="293"/>
      <c r="D898" s="293"/>
      <c r="E898" s="293"/>
      <c r="F898" s="293"/>
      <c r="G898" s="293"/>
      <c r="H898" s="293"/>
      <c r="I898" s="293"/>
      <c r="J898" s="293"/>
    </row>
    <row r="899" spans="1:10" x14ac:dyDescent="0.25">
      <c r="A899" t="s">
        <v>66</v>
      </c>
      <c r="B899" s="293"/>
      <c r="C899" s="293"/>
      <c r="D899" s="293"/>
      <c r="E899" s="293"/>
      <c r="F899" s="293"/>
      <c r="G899" s="293"/>
      <c r="H899" s="293"/>
      <c r="I899" s="293"/>
      <c r="J899" s="293"/>
    </row>
    <row r="900" spans="1:10" x14ac:dyDescent="0.25">
      <c r="B900" s="293"/>
      <c r="C900" s="293"/>
      <c r="D900" s="293"/>
      <c r="E900" s="293"/>
      <c r="F900" s="293"/>
      <c r="G900" s="293"/>
      <c r="H900" s="293"/>
      <c r="I900" s="293"/>
      <c r="J900" s="293"/>
    </row>
    <row r="901" spans="1:10" x14ac:dyDescent="0.25">
      <c r="B901" s="293"/>
      <c r="C901" s="293"/>
      <c r="D901" s="293"/>
      <c r="E901" s="293"/>
      <c r="F901" s="293"/>
      <c r="G901" s="293"/>
      <c r="H901" s="293"/>
      <c r="I901" s="293"/>
      <c r="J901" s="293"/>
    </row>
    <row r="902" spans="1:10" x14ac:dyDescent="0.25">
      <c r="B902" s="293"/>
      <c r="C902" s="293"/>
      <c r="D902" s="293"/>
      <c r="E902" s="293"/>
      <c r="F902" s="293"/>
      <c r="G902" s="293"/>
      <c r="H902" s="293"/>
      <c r="I902" s="293"/>
      <c r="J902" s="293"/>
    </row>
    <row r="903" spans="1:10" x14ac:dyDescent="0.25">
      <c r="B903" s="293"/>
      <c r="C903" s="293"/>
      <c r="D903" s="293"/>
      <c r="E903" s="293"/>
      <c r="F903" s="293"/>
      <c r="G903" s="293"/>
      <c r="H903" s="293"/>
      <c r="I903" s="293"/>
      <c r="J903" s="293"/>
    </row>
    <row r="904" spans="1:10" x14ac:dyDescent="0.25">
      <c r="A904" s="47" t="s">
        <v>4267</v>
      </c>
      <c r="B904" s="296">
        <f>SUM(B892:B903)</f>
        <v>0</v>
      </c>
      <c r="C904" s="296">
        <f t="shared" ref="C904" si="473">SUM(C892:C903)</f>
        <v>0</v>
      </c>
      <c r="D904" s="296">
        <f t="shared" ref="D904" si="474">SUM(D892:D903)</f>
        <v>0</v>
      </c>
      <c r="E904" s="296">
        <f t="shared" ref="E904" si="475">SUM(E892:E903)</f>
        <v>0</v>
      </c>
      <c r="F904" s="296">
        <f t="shared" ref="F904" si="476">SUM(F892:F903)</f>
        <v>0</v>
      </c>
      <c r="G904" s="296">
        <f t="shared" ref="G904" si="477">SUM(G892:G903)</f>
        <v>0</v>
      </c>
      <c r="H904" s="296">
        <f t="shared" ref="H904" si="478">SUM(H892:H903)</f>
        <v>0</v>
      </c>
      <c r="I904" s="296">
        <f t="shared" ref="I904" si="479">SUM(I892:I903)</f>
        <v>0</v>
      </c>
      <c r="J904" s="296">
        <f t="shared" ref="J904" si="480">SUM(J892:J903)</f>
        <v>0</v>
      </c>
    </row>
    <row r="905" spans="1:10" x14ac:dyDescent="0.25">
      <c r="B905" s="293"/>
      <c r="C905" s="293"/>
      <c r="D905" s="293"/>
      <c r="E905" s="293"/>
      <c r="F905" s="293"/>
      <c r="G905" s="293"/>
      <c r="H905" s="293"/>
      <c r="I905" s="293"/>
      <c r="J905" s="293"/>
    </row>
    <row r="906" spans="1:10" ht="15.75" thickBot="1" x14ac:dyDescent="0.3">
      <c r="A906" s="47" t="s">
        <v>4268</v>
      </c>
      <c r="B906" s="301">
        <f>B889-B904</f>
        <v>0</v>
      </c>
      <c r="C906" s="301">
        <f t="shared" ref="C906:J906" si="481">C889-C904</f>
        <v>0</v>
      </c>
      <c r="D906" s="301">
        <f t="shared" si="481"/>
        <v>0</v>
      </c>
      <c r="E906" s="301">
        <f t="shared" si="481"/>
        <v>0</v>
      </c>
      <c r="F906" s="301">
        <f t="shared" si="481"/>
        <v>0</v>
      </c>
      <c r="G906" s="301">
        <f t="shared" si="481"/>
        <v>0</v>
      </c>
      <c r="H906" s="301">
        <f t="shared" si="481"/>
        <v>0</v>
      </c>
      <c r="I906" s="301">
        <f t="shared" si="481"/>
        <v>0</v>
      </c>
      <c r="J906" s="301">
        <f t="shared" si="481"/>
        <v>0</v>
      </c>
    </row>
    <row r="907" spans="1:10" ht="15.75" thickTop="1" x14ac:dyDescent="0.25">
      <c r="B907" s="293"/>
      <c r="C907" s="293"/>
      <c r="D907" s="293"/>
      <c r="E907" s="293"/>
      <c r="F907" s="293"/>
      <c r="G907" s="293"/>
      <c r="H907" s="293"/>
      <c r="I907" s="293"/>
      <c r="J907" s="293"/>
    </row>
    <row r="908" spans="1:10" x14ac:dyDescent="0.25">
      <c r="A908" s="281"/>
      <c r="B908" s="316"/>
      <c r="C908" s="316"/>
      <c r="D908" s="316"/>
      <c r="E908" s="316"/>
      <c r="F908" s="316"/>
      <c r="G908" s="316"/>
      <c r="H908" s="316"/>
      <c r="I908" s="316"/>
      <c r="J908" s="316"/>
    </row>
    <row r="909" spans="1:10" x14ac:dyDescent="0.25">
      <c r="B909" s="293"/>
      <c r="C909" s="293"/>
      <c r="D909" s="293"/>
      <c r="E909" s="293"/>
      <c r="F909" s="293"/>
      <c r="G909" s="293"/>
      <c r="H909" s="293"/>
      <c r="I909" s="293"/>
      <c r="J909" s="293"/>
    </row>
    <row r="910" spans="1:10" x14ac:dyDescent="0.25">
      <c r="A910" s="280" t="s">
        <v>4297</v>
      </c>
      <c r="B910" s="293"/>
      <c r="C910" s="293"/>
      <c r="D910" s="293"/>
      <c r="E910" s="293"/>
      <c r="F910" s="293"/>
      <c r="G910" s="293"/>
      <c r="H910" s="293"/>
      <c r="I910" s="293"/>
      <c r="J910" s="293"/>
    </row>
    <row r="911" spans="1:10" x14ac:dyDescent="0.25">
      <c r="B911" s="293"/>
      <c r="C911" s="293"/>
      <c r="D911" s="293"/>
      <c r="E911" s="293"/>
      <c r="F911" s="293"/>
      <c r="G911" s="293"/>
      <c r="H911" s="293"/>
      <c r="I911" s="293"/>
      <c r="J911" s="293"/>
    </row>
    <row r="912" spans="1:10" x14ac:dyDescent="0.25">
      <c r="A912" s="47" t="s">
        <v>4260</v>
      </c>
      <c r="B912" s="293"/>
      <c r="C912" s="293"/>
      <c r="D912" s="293"/>
      <c r="E912" s="293"/>
      <c r="F912" s="293"/>
      <c r="G912" s="293"/>
      <c r="H912" s="293"/>
      <c r="I912" s="293"/>
      <c r="J912" s="293"/>
    </row>
    <row r="913" spans="1:10" x14ac:dyDescent="0.25">
      <c r="A913" t="s">
        <v>4262</v>
      </c>
      <c r="B913" s="293"/>
      <c r="C913" s="293"/>
      <c r="D913" s="293"/>
      <c r="E913" s="293"/>
      <c r="F913" s="293"/>
      <c r="G913" s="293"/>
      <c r="H913" s="293"/>
      <c r="I913" s="293"/>
      <c r="J913" s="293"/>
    </row>
    <row r="914" spans="1:10" x14ac:dyDescent="0.25">
      <c r="A914" t="s">
        <v>4261</v>
      </c>
      <c r="B914" s="293"/>
      <c r="C914" s="293"/>
      <c r="D914" s="293"/>
      <c r="E914" s="293"/>
      <c r="F914" s="293"/>
      <c r="G914" s="293"/>
      <c r="H914" s="293"/>
      <c r="I914" s="293"/>
      <c r="J914" s="293"/>
    </row>
    <row r="915" spans="1:10" x14ac:dyDescent="0.25">
      <c r="A915" t="s">
        <v>66</v>
      </c>
      <c r="B915" s="293"/>
      <c r="C915" s="293"/>
      <c r="D915" s="293"/>
      <c r="E915" s="293"/>
      <c r="F915" s="293"/>
      <c r="G915" s="293"/>
      <c r="H915" s="293"/>
      <c r="I915" s="293"/>
      <c r="J915" s="293"/>
    </row>
    <row r="916" spans="1:10" x14ac:dyDescent="0.25">
      <c r="B916" s="293"/>
      <c r="C916" s="293"/>
      <c r="D916" s="293"/>
      <c r="E916" s="293"/>
      <c r="F916" s="293"/>
      <c r="G916" s="293"/>
      <c r="H916" s="293"/>
      <c r="I916" s="293"/>
      <c r="J916" s="293"/>
    </row>
    <row r="917" spans="1:10" x14ac:dyDescent="0.25">
      <c r="B917" s="293"/>
      <c r="C917" s="293"/>
      <c r="D917" s="293"/>
      <c r="E917" s="293"/>
      <c r="F917" s="293"/>
      <c r="G917" s="293"/>
      <c r="H917" s="293"/>
      <c r="I917" s="293"/>
      <c r="J917" s="293"/>
    </row>
    <row r="918" spans="1:10" x14ac:dyDescent="0.25">
      <c r="B918" s="293"/>
      <c r="C918" s="293"/>
      <c r="D918" s="293"/>
      <c r="E918" s="293"/>
      <c r="F918" s="293"/>
      <c r="G918" s="293"/>
      <c r="H918" s="293"/>
      <c r="I918" s="293"/>
      <c r="J918" s="293"/>
    </row>
    <row r="919" spans="1:10" x14ac:dyDescent="0.25">
      <c r="B919" s="293"/>
      <c r="C919" s="293"/>
      <c r="D919" s="293"/>
      <c r="E919" s="293"/>
      <c r="F919" s="293"/>
      <c r="G919" s="293"/>
      <c r="H919" s="293"/>
      <c r="I919" s="293"/>
      <c r="J919" s="293"/>
    </row>
    <row r="920" spans="1:10" x14ac:dyDescent="0.25">
      <c r="A920" s="47" t="s">
        <v>4263</v>
      </c>
      <c r="B920" s="296">
        <f>SUM(B910:B919)</f>
        <v>0</v>
      </c>
      <c r="C920" s="296">
        <f t="shared" ref="C920" si="482">SUM(C910:C919)</f>
        <v>0</v>
      </c>
      <c r="D920" s="296">
        <f t="shared" ref="D920" si="483">SUM(D910:D919)</f>
        <v>0</v>
      </c>
      <c r="E920" s="296">
        <f t="shared" ref="E920" si="484">SUM(E910:E919)</f>
        <v>0</v>
      </c>
      <c r="F920" s="296">
        <f t="shared" ref="F920" si="485">SUM(F910:F919)</f>
        <v>0</v>
      </c>
      <c r="G920" s="296">
        <f t="shared" ref="G920" si="486">SUM(G910:G919)</f>
        <v>0</v>
      </c>
      <c r="H920" s="296">
        <f t="shared" ref="H920" si="487">SUM(H910:H919)</f>
        <v>0</v>
      </c>
      <c r="I920" s="296">
        <f t="shared" ref="I920" si="488">SUM(I910:I919)</f>
        <v>0</v>
      </c>
      <c r="J920" s="296">
        <f t="shared" ref="J920" si="489">SUM(J910:J919)</f>
        <v>0</v>
      </c>
    </row>
    <row r="921" spans="1:10" x14ac:dyDescent="0.25">
      <c r="B921" s="293"/>
      <c r="C921" s="293"/>
      <c r="D921" s="293"/>
      <c r="E921" s="293"/>
      <c r="F921" s="293"/>
      <c r="G921" s="293"/>
      <c r="H921" s="293"/>
      <c r="I921" s="293"/>
      <c r="J921" s="293"/>
    </row>
    <row r="922" spans="1:10" x14ac:dyDescent="0.25">
      <c r="A922" s="47" t="s">
        <v>4264</v>
      </c>
      <c r="B922" s="293"/>
      <c r="C922" s="293"/>
      <c r="D922" s="293"/>
      <c r="E922" s="293"/>
      <c r="F922" s="293"/>
      <c r="G922" s="293"/>
      <c r="H922" s="293"/>
      <c r="I922" s="293"/>
      <c r="J922" s="293"/>
    </row>
    <row r="923" spans="1:10" x14ac:dyDescent="0.25">
      <c r="A923" t="s">
        <v>87</v>
      </c>
      <c r="B923" s="293"/>
      <c r="C923" s="293"/>
      <c r="D923" s="293"/>
      <c r="E923" s="293"/>
      <c r="F923" s="293"/>
      <c r="G923" s="293"/>
      <c r="H923" s="293"/>
      <c r="I923" s="293"/>
      <c r="J923" s="293"/>
    </row>
    <row r="924" spans="1:10" x14ac:dyDescent="0.25">
      <c r="A924" t="s">
        <v>4265</v>
      </c>
      <c r="B924" s="293"/>
      <c r="C924" s="293"/>
      <c r="D924" s="293"/>
      <c r="E924" s="293"/>
      <c r="F924" s="293"/>
      <c r="G924" s="293"/>
      <c r="H924" s="293"/>
      <c r="I924" s="293"/>
      <c r="J924" s="293"/>
    </row>
    <row r="925" spans="1:10" x14ac:dyDescent="0.25">
      <c r="B925" s="293"/>
      <c r="C925" s="293"/>
      <c r="D925" s="293"/>
      <c r="E925" s="293"/>
      <c r="F925" s="293"/>
      <c r="G925" s="293"/>
      <c r="H925" s="293"/>
      <c r="I925" s="293"/>
      <c r="J925" s="293"/>
    </row>
    <row r="926" spans="1:10" x14ac:dyDescent="0.25">
      <c r="B926" s="293"/>
      <c r="C926" s="293"/>
      <c r="D926" s="293"/>
      <c r="E926" s="293"/>
      <c r="F926" s="293"/>
      <c r="G926" s="293"/>
      <c r="H926" s="293"/>
      <c r="I926" s="293"/>
      <c r="J926" s="293"/>
    </row>
    <row r="927" spans="1:10" x14ac:dyDescent="0.25">
      <c r="B927" s="293"/>
      <c r="C927" s="293"/>
      <c r="D927" s="293"/>
      <c r="E927" s="293"/>
      <c r="F927" s="293"/>
      <c r="G927" s="293"/>
      <c r="H927" s="293"/>
      <c r="I927" s="293"/>
      <c r="J927" s="293"/>
    </row>
    <row r="928" spans="1:10" x14ac:dyDescent="0.25">
      <c r="B928" s="293"/>
      <c r="C928" s="293"/>
      <c r="D928" s="293"/>
      <c r="E928" s="293"/>
      <c r="F928" s="293"/>
      <c r="G928" s="293"/>
      <c r="H928" s="293"/>
      <c r="I928" s="293"/>
      <c r="J928" s="293"/>
    </row>
    <row r="929" spans="1:10" x14ac:dyDescent="0.25">
      <c r="A929" t="s">
        <v>4266</v>
      </c>
      <c r="B929" s="293"/>
      <c r="C929" s="293"/>
      <c r="D929" s="293"/>
      <c r="E929" s="293"/>
      <c r="F929" s="293"/>
      <c r="G929" s="293"/>
      <c r="H929" s="293"/>
      <c r="I929" s="293"/>
      <c r="J929" s="293"/>
    </row>
    <row r="930" spans="1:10" x14ac:dyDescent="0.25">
      <c r="A930" t="s">
        <v>66</v>
      </c>
      <c r="B930" s="293"/>
      <c r="C930" s="293"/>
      <c r="D930" s="293"/>
      <c r="E930" s="293"/>
      <c r="F930" s="293"/>
      <c r="G930" s="293"/>
      <c r="H930" s="293"/>
      <c r="I930" s="293"/>
      <c r="J930" s="293"/>
    </row>
    <row r="931" spans="1:10" x14ac:dyDescent="0.25">
      <c r="B931" s="293"/>
      <c r="C931" s="293"/>
      <c r="D931" s="293"/>
      <c r="E931" s="293"/>
      <c r="F931" s="293"/>
      <c r="G931" s="293"/>
      <c r="H931" s="293"/>
      <c r="I931" s="293"/>
      <c r="J931" s="293"/>
    </row>
    <row r="932" spans="1:10" x14ac:dyDescent="0.25">
      <c r="B932" s="293"/>
      <c r="C932" s="293"/>
      <c r="D932" s="293"/>
      <c r="E932" s="293"/>
      <c r="F932" s="293"/>
      <c r="G932" s="293"/>
      <c r="H932" s="293"/>
      <c r="I932" s="293"/>
      <c r="J932" s="293"/>
    </row>
    <row r="933" spans="1:10" x14ac:dyDescent="0.25">
      <c r="B933" s="293"/>
      <c r="C933" s="293"/>
      <c r="D933" s="293"/>
      <c r="E933" s="293"/>
      <c r="F933" s="293"/>
      <c r="G933" s="293"/>
      <c r="H933" s="293"/>
      <c r="I933" s="293"/>
      <c r="J933" s="293"/>
    </row>
    <row r="934" spans="1:10" x14ac:dyDescent="0.25">
      <c r="B934" s="293"/>
      <c r="C934" s="293"/>
      <c r="D934" s="293"/>
      <c r="E934" s="293"/>
      <c r="F934" s="293"/>
      <c r="G934" s="293"/>
      <c r="H934" s="293"/>
      <c r="I934" s="293"/>
      <c r="J934" s="293"/>
    </row>
    <row r="935" spans="1:10" x14ac:dyDescent="0.25">
      <c r="A935" s="47" t="s">
        <v>4267</v>
      </c>
      <c r="B935" s="296">
        <f>SUM(B923:B934)</f>
        <v>0</v>
      </c>
      <c r="C935" s="296">
        <f t="shared" ref="C935" si="490">SUM(C923:C934)</f>
        <v>0</v>
      </c>
      <c r="D935" s="296">
        <f t="shared" ref="D935" si="491">SUM(D923:D934)</f>
        <v>0</v>
      </c>
      <c r="E935" s="296">
        <f t="shared" ref="E935" si="492">SUM(E923:E934)</f>
        <v>0</v>
      </c>
      <c r="F935" s="296">
        <f t="shared" ref="F935" si="493">SUM(F923:F934)</f>
        <v>0</v>
      </c>
      <c r="G935" s="296">
        <f t="shared" ref="G935" si="494">SUM(G923:G934)</f>
        <v>0</v>
      </c>
      <c r="H935" s="296">
        <f t="shared" ref="H935" si="495">SUM(H923:H934)</f>
        <v>0</v>
      </c>
      <c r="I935" s="296">
        <f t="shared" ref="I935" si="496">SUM(I923:I934)</f>
        <v>0</v>
      </c>
      <c r="J935" s="296">
        <f t="shared" ref="J935" si="497">SUM(J923:J934)</f>
        <v>0</v>
      </c>
    </row>
    <row r="936" spans="1:10" x14ac:dyDescent="0.25">
      <c r="B936" s="293"/>
      <c r="C936" s="293"/>
      <c r="D936" s="293"/>
      <c r="E936" s="293"/>
      <c r="F936" s="293"/>
      <c r="G936" s="293"/>
      <c r="H936" s="293"/>
      <c r="I936" s="293"/>
      <c r="J936" s="293"/>
    </row>
    <row r="937" spans="1:10" ht="15.75" thickBot="1" x14ac:dyDescent="0.3">
      <c r="A937" s="47" t="s">
        <v>4268</v>
      </c>
      <c r="B937" s="301">
        <f>B920-B935</f>
        <v>0</v>
      </c>
      <c r="C937" s="301">
        <f t="shared" ref="C937:J937" si="498">C920-C935</f>
        <v>0</v>
      </c>
      <c r="D937" s="301">
        <f t="shared" si="498"/>
        <v>0</v>
      </c>
      <c r="E937" s="301">
        <f t="shared" si="498"/>
        <v>0</v>
      </c>
      <c r="F937" s="301">
        <f t="shared" si="498"/>
        <v>0</v>
      </c>
      <c r="G937" s="301">
        <f t="shared" si="498"/>
        <v>0</v>
      </c>
      <c r="H937" s="301">
        <f t="shared" si="498"/>
        <v>0</v>
      </c>
      <c r="I937" s="301">
        <f t="shared" si="498"/>
        <v>0</v>
      </c>
      <c r="J937" s="301">
        <f t="shared" si="498"/>
        <v>0</v>
      </c>
    </row>
    <row r="938" spans="1:10" ht="15.75" thickTop="1" x14ac:dyDescent="0.25">
      <c r="B938" s="293"/>
      <c r="C938" s="293"/>
      <c r="D938" s="293"/>
      <c r="E938" s="293"/>
      <c r="F938" s="293"/>
      <c r="G938" s="293"/>
      <c r="H938" s="293"/>
      <c r="I938" s="293"/>
      <c r="J938" s="293"/>
    </row>
    <row r="939" spans="1:10" x14ac:dyDescent="0.25">
      <c r="A939" s="281"/>
      <c r="B939" s="316"/>
      <c r="C939" s="316"/>
      <c r="D939" s="316"/>
      <c r="E939" s="316"/>
      <c r="F939" s="316"/>
      <c r="G939" s="316"/>
      <c r="H939" s="316"/>
      <c r="I939" s="316"/>
      <c r="J939" s="316"/>
    </row>
    <row r="940" spans="1:10" x14ac:dyDescent="0.25">
      <c r="B940" s="293"/>
      <c r="C940" s="293"/>
      <c r="D940" s="293"/>
      <c r="E940" s="293"/>
      <c r="F940" s="293"/>
      <c r="G940" s="293"/>
      <c r="H940" s="293"/>
      <c r="I940" s="293"/>
      <c r="J940" s="293"/>
    </row>
    <row r="941" spans="1:10" x14ac:dyDescent="0.25">
      <c r="A941" s="280" t="s">
        <v>4298</v>
      </c>
      <c r="B941" s="293"/>
      <c r="C941" s="293"/>
      <c r="D941" s="293"/>
      <c r="E941" s="293"/>
      <c r="F941" s="293"/>
      <c r="G941" s="293"/>
      <c r="H941" s="293"/>
      <c r="I941" s="293"/>
      <c r="J941" s="293"/>
    </row>
    <row r="942" spans="1:10" x14ac:dyDescent="0.25">
      <c r="B942" s="293"/>
      <c r="C942" s="293"/>
      <c r="D942" s="293"/>
      <c r="E942" s="293"/>
      <c r="F942" s="293"/>
      <c r="G942" s="293"/>
      <c r="H942" s="293"/>
      <c r="I942" s="293"/>
      <c r="J942" s="293"/>
    </row>
    <row r="943" spans="1:10" x14ac:dyDescent="0.25">
      <c r="A943" s="47" t="s">
        <v>4260</v>
      </c>
      <c r="B943" s="293"/>
      <c r="C943" s="293"/>
      <c r="D943" s="293"/>
      <c r="E943" s="293"/>
      <c r="F943" s="293"/>
      <c r="G943" s="293"/>
      <c r="H943" s="293"/>
      <c r="I943" s="293"/>
      <c r="J943" s="293"/>
    </row>
    <row r="944" spans="1:10" x14ac:dyDescent="0.25">
      <c r="A944" t="s">
        <v>4262</v>
      </c>
      <c r="B944" s="293"/>
      <c r="C944" s="293"/>
      <c r="D944" s="293"/>
      <c r="E944" s="293"/>
      <c r="F944" s="293"/>
      <c r="G944" s="293"/>
      <c r="H944" s="293"/>
      <c r="I944" s="293"/>
      <c r="J944" s="293"/>
    </row>
    <row r="945" spans="1:10" x14ac:dyDescent="0.25">
      <c r="A945" t="s">
        <v>4261</v>
      </c>
      <c r="B945" s="293"/>
      <c r="C945" s="293"/>
      <c r="D945" s="293"/>
      <c r="E945" s="293"/>
      <c r="F945" s="293"/>
      <c r="G945" s="293"/>
      <c r="H945" s="293"/>
      <c r="I945" s="293"/>
      <c r="J945" s="293"/>
    </row>
    <row r="946" spans="1:10" x14ac:dyDescent="0.25">
      <c r="A946" t="s">
        <v>66</v>
      </c>
      <c r="B946" s="293"/>
      <c r="C946" s="293"/>
      <c r="D946" s="293"/>
      <c r="E946" s="293"/>
      <c r="F946" s="293"/>
      <c r="G946" s="293"/>
      <c r="H946" s="293"/>
      <c r="I946" s="293"/>
      <c r="J946" s="293"/>
    </row>
    <row r="947" spans="1:10" x14ac:dyDescent="0.25">
      <c r="B947" s="293"/>
      <c r="C947" s="293"/>
      <c r="D947" s="293"/>
      <c r="E947" s="293"/>
      <c r="F947" s="293"/>
      <c r="G947" s="293"/>
      <c r="H947" s="293"/>
      <c r="I947" s="293"/>
      <c r="J947" s="293"/>
    </row>
    <row r="948" spans="1:10" x14ac:dyDescent="0.25">
      <c r="B948" s="293"/>
      <c r="C948" s="293"/>
      <c r="D948" s="293"/>
      <c r="E948" s="293"/>
      <c r="F948" s="293"/>
      <c r="G948" s="293"/>
      <c r="H948" s="293"/>
      <c r="I948" s="293"/>
      <c r="J948" s="293"/>
    </row>
    <row r="949" spans="1:10" x14ac:dyDescent="0.25">
      <c r="B949" s="293"/>
      <c r="C949" s="293"/>
      <c r="D949" s="293"/>
      <c r="E949" s="293"/>
      <c r="F949" s="293"/>
      <c r="G949" s="293"/>
      <c r="H949" s="293"/>
      <c r="I949" s="293"/>
      <c r="J949" s="293"/>
    </row>
    <row r="950" spans="1:10" x14ac:dyDescent="0.25">
      <c r="B950" s="293"/>
      <c r="C950" s="293"/>
      <c r="D950" s="293"/>
      <c r="E950" s="293"/>
      <c r="F950" s="293"/>
      <c r="G950" s="293"/>
      <c r="H950" s="293"/>
      <c r="I950" s="293"/>
      <c r="J950" s="293"/>
    </row>
    <row r="951" spans="1:10" x14ac:dyDescent="0.25">
      <c r="A951" s="47" t="s">
        <v>4263</v>
      </c>
      <c r="B951" s="296">
        <f>SUM(B941:B950)</f>
        <v>0</v>
      </c>
      <c r="C951" s="296">
        <f t="shared" ref="C951" si="499">SUM(C941:C950)</f>
        <v>0</v>
      </c>
      <c r="D951" s="296">
        <f t="shared" ref="D951" si="500">SUM(D941:D950)</f>
        <v>0</v>
      </c>
      <c r="E951" s="296">
        <f t="shared" ref="E951" si="501">SUM(E941:E950)</f>
        <v>0</v>
      </c>
      <c r="F951" s="296">
        <f t="shared" ref="F951" si="502">SUM(F941:F950)</f>
        <v>0</v>
      </c>
      <c r="G951" s="296">
        <f t="shared" ref="G951" si="503">SUM(G941:G950)</f>
        <v>0</v>
      </c>
      <c r="H951" s="296">
        <f t="shared" ref="H951" si="504">SUM(H941:H950)</f>
        <v>0</v>
      </c>
      <c r="I951" s="296">
        <f t="shared" ref="I951" si="505">SUM(I941:I950)</f>
        <v>0</v>
      </c>
      <c r="J951" s="296">
        <f t="shared" ref="J951" si="506">SUM(J941:J950)</f>
        <v>0</v>
      </c>
    </row>
    <row r="952" spans="1:10" x14ac:dyDescent="0.25">
      <c r="B952" s="293"/>
      <c r="C952" s="293"/>
      <c r="D952" s="293"/>
      <c r="E952" s="293"/>
      <c r="F952" s="293"/>
      <c r="G952" s="293"/>
      <c r="H952" s="293"/>
      <c r="I952" s="293"/>
      <c r="J952" s="293"/>
    </row>
    <row r="953" spans="1:10" x14ac:dyDescent="0.25">
      <c r="A953" s="47" t="s">
        <v>4264</v>
      </c>
      <c r="B953" s="293"/>
      <c r="C953" s="293"/>
      <c r="D953" s="293"/>
      <c r="E953" s="293"/>
      <c r="F953" s="293"/>
      <c r="G953" s="293"/>
      <c r="H953" s="293"/>
      <c r="I953" s="293"/>
      <c r="J953" s="293"/>
    </row>
    <row r="954" spans="1:10" x14ac:dyDescent="0.25">
      <c r="A954" t="s">
        <v>87</v>
      </c>
      <c r="B954" s="293"/>
      <c r="C954" s="293"/>
      <c r="D954" s="293"/>
      <c r="E954" s="293"/>
      <c r="F954" s="293"/>
      <c r="G954" s="293"/>
      <c r="H954" s="293"/>
      <c r="I954" s="293"/>
      <c r="J954" s="293"/>
    </row>
    <row r="955" spans="1:10" x14ac:dyDescent="0.25">
      <c r="A955" t="s">
        <v>4265</v>
      </c>
      <c r="B955" s="293"/>
      <c r="C955" s="293"/>
      <c r="D955" s="293"/>
      <c r="E955" s="293"/>
      <c r="F955" s="293"/>
      <c r="G955" s="293"/>
      <c r="H955" s="293"/>
      <c r="I955" s="293"/>
      <c r="J955" s="293"/>
    </row>
    <row r="956" spans="1:10" x14ac:dyDescent="0.25">
      <c r="B956" s="293"/>
      <c r="C956" s="293"/>
      <c r="D956" s="293"/>
      <c r="E956" s="293"/>
      <c r="F956" s="293"/>
      <c r="G956" s="293"/>
      <c r="H956" s="293"/>
      <c r="I956" s="293"/>
      <c r="J956" s="293"/>
    </row>
    <row r="957" spans="1:10" x14ac:dyDescent="0.25">
      <c r="B957" s="293"/>
      <c r="C957" s="293"/>
      <c r="D957" s="293"/>
      <c r="E957" s="293"/>
      <c r="F957" s="293"/>
      <c r="G957" s="293"/>
      <c r="H957" s="293"/>
      <c r="I957" s="293"/>
      <c r="J957" s="293"/>
    </row>
    <row r="958" spans="1:10" x14ac:dyDescent="0.25">
      <c r="B958" s="293"/>
      <c r="C958" s="293"/>
      <c r="D958" s="293"/>
      <c r="E958" s="293"/>
      <c r="F958" s="293"/>
      <c r="G958" s="293"/>
      <c r="H958" s="293"/>
      <c r="I958" s="293"/>
      <c r="J958" s="293"/>
    </row>
    <row r="959" spans="1:10" x14ac:dyDescent="0.25">
      <c r="B959" s="293"/>
      <c r="C959" s="293"/>
      <c r="D959" s="293"/>
      <c r="E959" s="293"/>
      <c r="F959" s="293"/>
      <c r="G959" s="293"/>
      <c r="H959" s="293"/>
      <c r="I959" s="293"/>
      <c r="J959" s="293"/>
    </row>
    <row r="960" spans="1:10" x14ac:dyDescent="0.25">
      <c r="A960" t="s">
        <v>4266</v>
      </c>
      <c r="B960" s="293"/>
      <c r="C960" s="293"/>
      <c r="D960" s="293"/>
      <c r="E960" s="293"/>
      <c r="F960" s="293"/>
      <c r="G960" s="293"/>
      <c r="H960" s="293"/>
      <c r="I960" s="293"/>
      <c r="J960" s="293"/>
    </row>
    <row r="961" spans="1:10" x14ac:dyDescent="0.25">
      <c r="A961" t="s">
        <v>66</v>
      </c>
      <c r="B961" s="293"/>
      <c r="C961" s="293"/>
      <c r="D961" s="293"/>
      <c r="E961" s="293"/>
      <c r="F961" s="293"/>
      <c r="G961" s="293"/>
      <c r="H961" s="293"/>
      <c r="I961" s="293"/>
      <c r="J961" s="293"/>
    </row>
    <row r="962" spans="1:10" x14ac:dyDescent="0.25">
      <c r="B962" s="293"/>
      <c r="C962" s="293"/>
      <c r="D962" s="293"/>
      <c r="E962" s="293"/>
      <c r="F962" s="293"/>
      <c r="G962" s="293"/>
      <c r="H962" s="293"/>
      <c r="I962" s="293"/>
      <c r="J962" s="293"/>
    </row>
    <row r="963" spans="1:10" x14ac:dyDescent="0.25">
      <c r="B963" s="293"/>
      <c r="C963" s="293"/>
      <c r="D963" s="293"/>
      <c r="E963" s="293"/>
      <c r="F963" s="293"/>
      <c r="G963" s="293"/>
      <c r="H963" s="293"/>
      <c r="I963" s="293"/>
      <c r="J963" s="293"/>
    </row>
    <row r="964" spans="1:10" x14ac:dyDescent="0.25">
      <c r="B964" s="293"/>
      <c r="C964" s="293"/>
      <c r="D964" s="293"/>
      <c r="E964" s="293"/>
      <c r="F964" s="293"/>
      <c r="G964" s="293"/>
      <c r="H964" s="293"/>
      <c r="I964" s="293"/>
      <c r="J964" s="293"/>
    </row>
    <row r="965" spans="1:10" x14ac:dyDescent="0.25">
      <c r="B965" s="293"/>
      <c r="C965" s="293"/>
      <c r="D965" s="293"/>
      <c r="E965" s="293"/>
      <c r="F965" s="293"/>
      <c r="G965" s="293"/>
      <c r="H965" s="293"/>
      <c r="I965" s="293"/>
      <c r="J965" s="293"/>
    </row>
    <row r="966" spans="1:10" x14ac:dyDescent="0.25">
      <c r="A966" s="47" t="s">
        <v>4267</v>
      </c>
      <c r="B966" s="296">
        <f>SUM(B954:B965)</f>
        <v>0</v>
      </c>
      <c r="C966" s="296">
        <f t="shared" ref="C966" si="507">SUM(C954:C965)</f>
        <v>0</v>
      </c>
      <c r="D966" s="296">
        <f t="shared" ref="D966" si="508">SUM(D954:D965)</f>
        <v>0</v>
      </c>
      <c r="E966" s="296">
        <f t="shared" ref="E966" si="509">SUM(E954:E965)</f>
        <v>0</v>
      </c>
      <c r="F966" s="296">
        <f t="shared" ref="F966" si="510">SUM(F954:F965)</f>
        <v>0</v>
      </c>
      <c r="G966" s="296">
        <f t="shared" ref="G966" si="511">SUM(G954:G965)</f>
        <v>0</v>
      </c>
      <c r="H966" s="296">
        <f t="shared" ref="H966" si="512">SUM(H954:H965)</f>
        <v>0</v>
      </c>
      <c r="I966" s="296">
        <f t="shared" ref="I966" si="513">SUM(I954:I965)</f>
        <v>0</v>
      </c>
      <c r="J966" s="296">
        <f t="shared" ref="J966" si="514">SUM(J954:J965)</f>
        <v>0</v>
      </c>
    </row>
    <row r="967" spans="1:10" x14ac:dyDescent="0.25">
      <c r="B967" s="293"/>
      <c r="C967" s="293"/>
      <c r="D967" s="293"/>
      <c r="E967" s="293"/>
      <c r="F967" s="293"/>
      <c r="G967" s="293"/>
      <c r="H967" s="293"/>
      <c r="I967" s="293"/>
      <c r="J967" s="293"/>
    </row>
    <row r="968" spans="1:10" ht="15.75" thickBot="1" x14ac:dyDescent="0.3">
      <c r="A968" s="47" t="s">
        <v>4268</v>
      </c>
      <c r="B968" s="301">
        <f>B951-B966</f>
        <v>0</v>
      </c>
      <c r="C968" s="301">
        <f t="shared" ref="C968:J968" si="515">C951-C966</f>
        <v>0</v>
      </c>
      <c r="D968" s="301">
        <f t="shared" si="515"/>
        <v>0</v>
      </c>
      <c r="E968" s="301">
        <f t="shared" si="515"/>
        <v>0</v>
      </c>
      <c r="F968" s="301">
        <f t="shared" si="515"/>
        <v>0</v>
      </c>
      <c r="G968" s="301">
        <f t="shared" si="515"/>
        <v>0</v>
      </c>
      <c r="H968" s="301">
        <f t="shared" si="515"/>
        <v>0</v>
      </c>
      <c r="I968" s="301">
        <f t="shared" si="515"/>
        <v>0</v>
      </c>
      <c r="J968" s="301">
        <f t="shared" si="515"/>
        <v>0</v>
      </c>
    </row>
    <row r="969" spans="1:10" ht="15.75" thickTop="1" x14ac:dyDescent="0.25">
      <c r="B969" s="293"/>
      <c r="C969" s="293"/>
      <c r="D969" s="293"/>
      <c r="E969" s="293"/>
      <c r="F969" s="293"/>
      <c r="G969" s="293"/>
      <c r="H969" s="293"/>
      <c r="I969" s="293"/>
      <c r="J969" s="293"/>
    </row>
    <row r="970" spans="1:10" x14ac:dyDescent="0.25">
      <c r="A970" s="281"/>
      <c r="B970" s="316"/>
      <c r="C970" s="316"/>
      <c r="D970" s="316"/>
      <c r="E970" s="316"/>
      <c r="F970" s="316"/>
      <c r="G970" s="316"/>
      <c r="H970" s="316"/>
      <c r="I970" s="316"/>
      <c r="J970" s="316"/>
    </row>
    <row r="971" spans="1:10" x14ac:dyDescent="0.25">
      <c r="B971" s="293"/>
      <c r="C971" s="293"/>
      <c r="D971" s="293"/>
      <c r="E971" s="293"/>
      <c r="F971" s="293"/>
      <c r="G971" s="293"/>
      <c r="H971" s="293"/>
      <c r="I971" s="293"/>
      <c r="J971" s="293"/>
    </row>
    <row r="972" spans="1:10" x14ac:dyDescent="0.25">
      <c r="A972" s="280" t="s">
        <v>4300</v>
      </c>
      <c r="B972" s="293"/>
      <c r="C972" s="293"/>
      <c r="D972" s="293"/>
      <c r="E972" s="293"/>
      <c r="F972" s="293"/>
      <c r="G972" s="293"/>
      <c r="H972" s="293"/>
      <c r="I972" s="293"/>
      <c r="J972" s="293"/>
    </row>
    <row r="973" spans="1:10" x14ac:dyDescent="0.25">
      <c r="B973" s="293"/>
      <c r="C973" s="293"/>
      <c r="D973" s="293"/>
      <c r="E973" s="293"/>
      <c r="F973" s="293"/>
      <c r="G973" s="293"/>
      <c r="H973" s="293"/>
      <c r="I973" s="293"/>
      <c r="J973" s="293"/>
    </row>
    <row r="974" spans="1:10" x14ac:dyDescent="0.25">
      <c r="A974" s="47" t="s">
        <v>4260</v>
      </c>
      <c r="B974" s="293"/>
      <c r="C974" s="293"/>
      <c r="D974" s="293"/>
      <c r="E974" s="293"/>
      <c r="F974" s="293"/>
      <c r="G974" s="293"/>
      <c r="H974" s="293"/>
      <c r="I974" s="293"/>
      <c r="J974" s="293"/>
    </row>
    <row r="975" spans="1:10" x14ac:dyDescent="0.25">
      <c r="A975" t="s">
        <v>4262</v>
      </c>
      <c r="B975" s="293"/>
      <c r="C975" s="293"/>
      <c r="D975" s="293"/>
      <c r="E975" s="293"/>
      <c r="F975" s="293"/>
      <c r="G975" s="293"/>
      <c r="H975" s="293"/>
      <c r="I975" s="293"/>
      <c r="J975" s="293"/>
    </row>
    <row r="976" spans="1:10" x14ac:dyDescent="0.25">
      <c r="A976" t="s">
        <v>4261</v>
      </c>
      <c r="B976" s="293"/>
      <c r="C976" s="293"/>
      <c r="D976" s="293"/>
      <c r="E976" s="293"/>
      <c r="F976" s="293"/>
      <c r="G976" s="293"/>
      <c r="H976" s="293"/>
      <c r="I976" s="293"/>
      <c r="J976" s="293"/>
    </row>
    <row r="977" spans="1:10" x14ac:dyDescent="0.25">
      <c r="A977" t="s">
        <v>66</v>
      </c>
      <c r="B977" s="293"/>
      <c r="C977" s="293"/>
      <c r="D977" s="293"/>
      <c r="E977" s="293"/>
      <c r="F977" s="293"/>
      <c r="G977" s="293"/>
      <c r="H977" s="293"/>
      <c r="I977" s="293"/>
      <c r="J977" s="293"/>
    </row>
    <row r="978" spans="1:10" x14ac:dyDescent="0.25">
      <c r="B978" s="293"/>
      <c r="C978" s="293"/>
      <c r="D978" s="293"/>
      <c r="E978" s="293"/>
      <c r="F978" s="293"/>
      <c r="G978" s="293"/>
      <c r="H978" s="293"/>
      <c r="I978" s="293"/>
      <c r="J978" s="293"/>
    </row>
    <row r="979" spans="1:10" x14ac:dyDescent="0.25">
      <c r="B979" s="293"/>
      <c r="C979" s="293"/>
      <c r="D979" s="293"/>
      <c r="E979" s="293"/>
      <c r="F979" s="293"/>
      <c r="G979" s="293"/>
      <c r="H979" s="293"/>
      <c r="I979" s="293"/>
      <c r="J979" s="293"/>
    </row>
    <row r="980" spans="1:10" x14ac:dyDescent="0.25">
      <c r="B980" s="293"/>
      <c r="C980" s="293"/>
      <c r="D980" s="293"/>
      <c r="E980" s="293"/>
      <c r="F980" s="293"/>
      <c r="G980" s="293"/>
      <c r="H980" s="293"/>
      <c r="I980" s="293"/>
      <c r="J980" s="293"/>
    </row>
    <row r="981" spans="1:10" x14ac:dyDescent="0.25">
      <c r="B981" s="293"/>
      <c r="C981" s="293"/>
      <c r="D981" s="293"/>
      <c r="E981" s="293"/>
      <c r="F981" s="293"/>
      <c r="G981" s="293"/>
      <c r="H981" s="293"/>
      <c r="I981" s="293"/>
      <c r="J981" s="293"/>
    </row>
    <row r="982" spans="1:10" x14ac:dyDescent="0.25">
      <c r="A982" s="47" t="s">
        <v>4263</v>
      </c>
      <c r="B982" s="296">
        <f>SUM(B972:B981)</f>
        <v>0</v>
      </c>
      <c r="C982" s="296">
        <f t="shared" ref="C982" si="516">SUM(C972:C981)</f>
        <v>0</v>
      </c>
      <c r="D982" s="296">
        <f t="shared" ref="D982" si="517">SUM(D972:D981)</f>
        <v>0</v>
      </c>
      <c r="E982" s="296">
        <f t="shared" ref="E982" si="518">SUM(E972:E981)</f>
        <v>0</v>
      </c>
      <c r="F982" s="296">
        <f t="shared" ref="F982" si="519">SUM(F972:F981)</f>
        <v>0</v>
      </c>
      <c r="G982" s="296">
        <f t="shared" ref="G982" si="520">SUM(G972:G981)</f>
        <v>0</v>
      </c>
      <c r="H982" s="296">
        <f t="shared" ref="H982" si="521">SUM(H972:H981)</f>
        <v>0</v>
      </c>
      <c r="I982" s="296">
        <f t="shared" ref="I982" si="522">SUM(I972:I981)</f>
        <v>0</v>
      </c>
      <c r="J982" s="296">
        <f t="shared" ref="J982" si="523">SUM(J972:J981)</f>
        <v>0</v>
      </c>
    </row>
    <row r="983" spans="1:10" x14ac:dyDescent="0.25">
      <c r="B983" s="293"/>
      <c r="C983" s="293"/>
      <c r="D983" s="293"/>
      <c r="E983" s="293"/>
      <c r="F983" s="293"/>
      <c r="G983" s="293"/>
      <c r="H983" s="293"/>
      <c r="I983" s="293"/>
      <c r="J983" s="293"/>
    </row>
    <row r="984" spans="1:10" x14ac:dyDescent="0.25">
      <c r="A984" s="47" t="s">
        <v>4264</v>
      </c>
      <c r="B984" s="293"/>
      <c r="C984" s="293"/>
      <c r="D984" s="293"/>
      <c r="E984" s="293"/>
      <c r="F984" s="293"/>
      <c r="G984" s="293"/>
      <c r="H984" s="293"/>
      <c r="I984" s="293"/>
      <c r="J984" s="293"/>
    </row>
    <row r="985" spans="1:10" x14ac:dyDescent="0.25">
      <c r="A985" t="s">
        <v>87</v>
      </c>
      <c r="B985" s="293"/>
      <c r="C985" s="293"/>
      <c r="D985" s="293"/>
      <c r="E985" s="293"/>
      <c r="F985" s="293"/>
      <c r="G985" s="293"/>
      <c r="H985" s="293"/>
      <c r="I985" s="293"/>
      <c r="J985" s="293"/>
    </row>
    <row r="986" spans="1:10" x14ac:dyDescent="0.25">
      <c r="A986" t="s">
        <v>4265</v>
      </c>
      <c r="B986" s="293"/>
      <c r="C986" s="293"/>
      <c r="D986" s="293"/>
      <c r="E986" s="293"/>
      <c r="F986" s="293"/>
      <c r="G986" s="293"/>
      <c r="H986" s="293"/>
      <c r="I986" s="293"/>
      <c r="J986" s="293"/>
    </row>
    <row r="987" spans="1:10" x14ac:dyDescent="0.25">
      <c r="B987" s="293"/>
      <c r="C987" s="293"/>
      <c r="D987" s="293"/>
      <c r="E987" s="293"/>
      <c r="F987" s="293"/>
      <c r="G987" s="293"/>
      <c r="H987" s="293"/>
      <c r="I987" s="293"/>
      <c r="J987" s="293"/>
    </row>
    <row r="988" spans="1:10" x14ac:dyDescent="0.25">
      <c r="B988" s="293"/>
      <c r="C988" s="293"/>
      <c r="D988" s="293"/>
      <c r="E988" s="293"/>
      <c r="F988" s="293"/>
      <c r="G988" s="293"/>
      <c r="H988" s="293"/>
      <c r="I988" s="293"/>
      <c r="J988" s="293"/>
    </row>
    <row r="989" spans="1:10" x14ac:dyDescent="0.25">
      <c r="B989" s="293"/>
      <c r="C989" s="293"/>
      <c r="D989" s="293"/>
      <c r="E989" s="293"/>
      <c r="F989" s="293"/>
      <c r="G989" s="293"/>
      <c r="H989" s="293"/>
      <c r="I989" s="293"/>
      <c r="J989" s="293"/>
    </row>
    <row r="990" spans="1:10" x14ac:dyDescent="0.25">
      <c r="B990" s="293"/>
      <c r="C990" s="293"/>
      <c r="D990" s="293"/>
      <c r="E990" s="293"/>
      <c r="F990" s="293"/>
      <c r="G990" s="293"/>
      <c r="H990" s="293"/>
      <c r="I990" s="293"/>
      <c r="J990" s="293"/>
    </row>
    <row r="991" spans="1:10" x14ac:dyDescent="0.25">
      <c r="A991" t="s">
        <v>4266</v>
      </c>
      <c r="B991" s="293"/>
      <c r="C991" s="293"/>
      <c r="D991" s="293"/>
      <c r="E991" s="293"/>
      <c r="F991" s="293"/>
      <c r="G991" s="293"/>
      <c r="H991" s="293"/>
      <c r="I991" s="293"/>
      <c r="J991" s="293"/>
    </row>
    <row r="992" spans="1:10" x14ac:dyDescent="0.25">
      <c r="A992" t="s">
        <v>66</v>
      </c>
      <c r="B992" s="293"/>
      <c r="C992" s="293"/>
      <c r="D992" s="293"/>
      <c r="E992" s="293"/>
      <c r="F992" s="293"/>
      <c r="G992" s="293"/>
      <c r="H992" s="293"/>
      <c r="I992" s="293"/>
      <c r="J992" s="293"/>
    </row>
    <row r="993" spans="1:10" x14ac:dyDescent="0.25">
      <c r="B993" s="293"/>
      <c r="C993" s="293"/>
      <c r="D993" s="293"/>
      <c r="E993" s="293"/>
      <c r="F993" s="293"/>
      <c r="G993" s="293"/>
      <c r="H993" s="293"/>
      <c r="I993" s="293"/>
      <c r="J993" s="293"/>
    </row>
    <row r="994" spans="1:10" x14ac:dyDescent="0.25">
      <c r="B994" s="293"/>
      <c r="C994" s="293"/>
      <c r="D994" s="293"/>
      <c r="E994" s="293"/>
      <c r="F994" s="293"/>
      <c r="G994" s="293"/>
      <c r="H994" s="293"/>
      <c r="I994" s="293"/>
      <c r="J994" s="293"/>
    </row>
    <row r="995" spans="1:10" x14ac:dyDescent="0.25">
      <c r="B995" s="293"/>
      <c r="C995" s="293"/>
      <c r="D995" s="293"/>
      <c r="E995" s="293"/>
      <c r="F995" s="293"/>
      <c r="G995" s="293"/>
      <c r="H995" s="293"/>
      <c r="I995" s="293"/>
      <c r="J995" s="293"/>
    </row>
    <row r="996" spans="1:10" x14ac:dyDescent="0.25">
      <c r="B996" s="293"/>
      <c r="C996" s="293"/>
      <c r="D996" s="293"/>
      <c r="E996" s="293"/>
      <c r="F996" s="293"/>
      <c r="G996" s="293"/>
      <c r="H996" s="293"/>
      <c r="I996" s="293"/>
      <c r="J996" s="293"/>
    </row>
    <row r="997" spans="1:10" x14ac:dyDescent="0.25">
      <c r="A997" s="47" t="s">
        <v>4267</v>
      </c>
      <c r="B997" s="296">
        <f>SUM(B985:B996)</f>
        <v>0</v>
      </c>
      <c r="C997" s="296">
        <f t="shared" ref="C997" si="524">SUM(C985:C996)</f>
        <v>0</v>
      </c>
      <c r="D997" s="296">
        <f t="shared" ref="D997" si="525">SUM(D985:D996)</f>
        <v>0</v>
      </c>
      <c r="E997" s="296">
        <f t="shared" ref="E997" si="526">SUM(E985:E996)</f>
        <v>0</v>
      </c>
      <c r="F997" s="296">
        <f t="shared" ref="F997" si="527">SUM(F985:F996)</f>
        <v>0</v>
      </c>
      <c r="G997" s="296">
        <f t="shared" ref="G997" si="528">SUM(G985:G996)</f>
        <v>0</v>
      </c>
      <c r="H997" s="296">
        <f t="shared" ref="H997" si="529">SUM(H985:H996)</f>
        <v>0</v>
      </c>
      <c r="I997" s="296">
        <f t="shared" ref="I997" si="530">SUM(I985:I996)</f>
        <v>0</v>
      </c>
      <c r="J997" s="296">
        <f t="shared" ref="J997" si="531">SUM(J985:J996)</f>
        <v>0</v>
      </c>
    </row>
    <row r="998" spans="1:10" x14ac:dyDescent="0.25">
      <c r="B998" s="293"/>
      <c r="C998" s="293"/>
      <c r="D998" s="293"/>
      <c r="E998" s="293"/>
      <c r="F998" s="293"/>
      <c r="G998" s="293"/>
      <c r="H998" s="293"/>
      <c r="I998" s="293"/>
      <c r="J998" s="293"/>
    </row>
    <row r="999" spans="1:10" ht="15.75" thickBot="1" x14ac:dyDescent="0.3">
      <c r="A999" s="47" t="s">
        <v>4268</v>
      </c>
      <c r="B999" s="301">
        <f>B982-B997</f>
        <v>0</v>
      </c>
      <c r="C999" s="301">
        <f t="shared" ref="C999:J999" si="532">C982-C997</f>
        <v>0</v>
      </c>
      <c r="D999" s="301">
        <f t="shared" si="532"/>
        <v>0</v>
      </c>
      <c r="E999" s="301">
        <f t="shared" si="532"/>
        <v>0</v>
      </c>
      <c r="F999" s="301">
        <f t="shared" si="532"/>
        <v>0</v>
      </c>
      <c r="G999" s="301">
        <f t="shared" si="532"/>
        <v>0</v>
      </c>
      <c r="H999" s="301">
        <f t="shared" si="532"/>
        <v>0</v>
      </c>
      <c r="I999" s="301">
        <f t="shared" si="532"/>
        <v>0</v>
      </c>
      <c r="J999" s="301">
        <f t="shared" si="532"/>
        <v>0</v>
      </c>
    </row>
    <row r="1000" spans="1:10" ht="15.75" thickTop="1" x14ac:dyDescent="0.25">
      <c r="B1000" s="293"/>
      <c r="C1000" s="293"/>
      <c r="D1000" s="293"/>
      <c r="E1000" s="293"/>
      <c r="F1000" s="293"/>
      <c r="G1000" s="293"/>
      <c r="H1000" s="293"/>
      <c r="I1000" s="293"/>
      <c r="J1000" s="293"/>
    </row>
    <row r="1001" spans="1:10" x14ac:dyDescent="0.25">
      <c r="A1001" s="281"/>
      <c r="B1001" s="316"/>
      <c r="C1001" s="316"/>
      <c r="D1001" s="316"/>
      <c r="E1001" s="316"/>
      <c r="F1001" s="316"/>
      <c r="G1001" s="316"/>
      <c r="H1001" s="316"/>
      <c r="I1001" s="316"/>
      <c r="J1001" s="316"/>
    </row>
    <row r="1002" spans="1:10" x14ac:dyDescent="0.25">
      <c r="B1002" s="293"/>
      <c r="C1002" s="293"/>
      <c r="D1002" s="293"/>
      <c r="E1002" s="293"/>
      <c r="F1002" s="293"/>
      <c r="G1002" s="293"/>
      <c r="H1002" s="293"/>
      <c r="I1002" s="293"/>
      <c r="J1002" s="293"/>
    </row>
    <row r="1003" spans="1:10" x14ac:dyDescent="0.25">
      <c r="A1003" s="280" t="s">
        <v>4299</v>
      </c>
      <c r="B1003" s="293"/>
      <c r="C1003" s="293"/>
      <c r="D1003" s="293"/>
      <c r="E1003" s="293"/>
      <c r="F1003" s="293"/>
      <c r="G1003" s="293"/>
      <c r="H1003" s="293"/>
      <c r="I1003" s="293"/>
      <c r="J1003" s="293"/>
    </row>
    <row r="1004" spans="1:10" x14ac:dyDescent="0.25">
      <c r="B1004" s="293"/>
      <c r="C1004" s="293"/>
      <c r="D1004" s="293"/>
      <c r="E1004" s="293"/>
      <c r="F1004" s="293"/>
      <c r="G1004" s="293"/>
      <c r="H1004" s="293"/>
      <c r="I1004" s="293"/>
      <c r="J1004" s="293"/>
    </row>
    <row r="1005" spans="1:10" x14ac:dyDescent="0.25">
      <c r="A1005" s="47" t="s">
        <v>4260</v>
      </c>
      <c r="B1005" s="293"/>
      <c r="C1005" s="293"/>
      <c r="D1005" s="293"/>
      <c r="E1005" s="293"/>
      <c r="F1005" s="293"/>
      <c r="G1005" s="293"/>
      <c r="H1005" s="293"/>
      <c r="I1005" s="293"/>
      <c r="J1005" s="293"/>
    </row>
    <row r="1006" spans="1:10" x14ac:dyDescent="0.25">
      <c r="A1006" t="s">
        <v>4262</v>
      </c>
      <c r="B1006" s="293"/>
      <c r="C1006" s="293"/>
      <c r="D1006" s="293"/>
      <c r="E1006" s="293"/>
      <c r="F1006" s="293"/>
      <c r="G1006" s="293"/>
      <c r="H1006" s="293"/>
      <c r="I1006" s="293"/>
      <c r="J1006" s="293"/>
    </row>
    <row r="1007" spans="1:10" x14ac:dyDescent="0.25">
      <c r="A1007" t="s">
        <v>4261</v>
      </c>
      <c r="B1007" s="293"/>
      <c r="C1007" s="293"/>
      <c r="D1007" s="293"/>
      <c r="E1007" s="293"/>
      <c r="F1007" s="293"/>
      <c r="G1007" s="293"/>
      <c r="H1007" s="293"/>
      <c r="I1007" s="293"/>
      <c r="J1007" s="293"/>
    </row>
    <row r="1008" spans="1:10" x14ac:dyDescent="0.25">
      <c r="A1008" t="s">
        <v>66</v>
      </c>
      <c r="B1008" s="293"/>
      <c r="C1008" s="293"/>
      <c r="D1008" s="293"/>
      <c r="E1008" s="293"/>
      <c r="F1008" s="293"/>
      <c r="G1008" s="293"/>
      <c r="H1008" s="293"/>
      <c r="I1008" s="293"/>
      <c r="J1008" s="293"/>
    </row>
    <row r="1009" spans="1:10" x14ac:dyDescent="0.25">
      <c r="B1009" s="293"/>
      <c r="C1009" s="293"/>
      <c r="D1009" s="293"/>
      <c r="E1009" s="293"/>
      <c r="F1009" s="293"/>
      <c r="G1009" s="293"/>
      <c r="H1009" s="293"/>
      <c r="I1009" s="293"/>
      <c r="J1009" s="293"/>
    </row>
    <row r="1010" spans="1:10" x14ac:dyDescent="0.25">
      <c r="B1010" s="293"/>
      <c r="C1010" s="293"/>
      <c r="D1010" s="293"/>
      <c r="E1010" s="293"/>
      <c r="F1010" s="293"/>
      <c r="G1010" s="293"/>
      <c r="H1010" s="293"/>
      <c r="I1010" s="293"/>
      <c r="J1010" s="293"/>
    </row>
    <row r="1011" spans="1:10" x14ac:dyDescent="0.25">
      <c r="B1011" s="293"/>
      <c r="C1011" s="293"/>
      <c r="D1011" s="293"/>
      <c r="E1011" s="293"/>
      <c r="F1011" s="293"/>
      <c r="G1011" s="293"/>
      <c r="H1011" s="293"/>
      <c r="I1011" s="293"/>
      <c r="J1011" s="293"/>
    </row>
    <row r="1012" spans="1:10" x14ac:dyDescent="0.25">
      <c r="B1012" s="293"/>
      <c r="C1012" s="293"/>
      <c r="D1012" s="293"/>
      <c r="E1012" s="293"/>
      <c r="F1012" s="293"/>
      <c r="G1012" s="293"/>
      <c r="H1012" s="293"/>
      <c r="I1012" s="293"/>
      <c r="J1012" s="293"/>
    </row>
    <row r="1013" spans="1:10" x14ac:dyDescent="0.25">
      <c r="A1013" s="47" t="s">
        <v>4263</v>
      </c>
      <c r="B1013" s="296">
        <f>SUM(B1003:B1012)</f>
        <v>0</v>
      </c>
      <c r="C1013" s="296">
        <f t="shared" ref="C1013" si="533">SUM(C1003:C1012)</f>
        <v>0</v>
      </c>
      <c r="D1013" s="296">
        <f t="shared" ref="D1013" si="534">SUM(D1003:D1012)</f>
        <v>0</v>
      </c>
      <c r="E1013" s="296">
        <f t="shared" ref="E1013" si="535">SUM(E1003:E1012)</f>
        <v>0</v>
      </c>
      <c r="F1013" s="296">
        <f t="shared" ref="F1013" si="536">SUM(F1003:F1012)</f>
        <v>0</v>
      </c>
      <c r="G1013" s="296">
        <f t="shared" ref="G1013" si="537">SUM(G1003:G1012)</f>
        <v>0</v>
      </c>
      <c r="H1013" s="296">
        <f t="shared" ref="H1013" si="538">SUM(H1003:H1012)</f>
        <v>0</v>
      </c>
      <c r="I1013" s="296">
        <f t="shared" ref="I1013" si="539">SUM(I1003:I1012)</f>
        <v>0</v>
      </c>
      <c r="J1013" s="296">
        <f t="shared" ref="J1013" si="540">SUM(J1003:J1012)</f>
        <v>0</v>
      </c>
    </row>
    <row r="1014" spans="1:10" x14ac:dyDescent="0.25">
      <c r="B1014" s="293"/>
      <c r="C1014" s="293"/>
      <c r="D1014" s="293"/>
      <c r="E1014" s="293"/>
      <c r="F1014" s="293"/>
      <c r="G1014" s="293"/>
      <c r="H1014" s="293"/>
      <c r="I1014" s="293"/>
      <c r="J1014" s="293"/>
    </row>
    <row r="1015" spans="1:10" x14ac:dyDescent="0.25">
      <c r="A1015" s="47" t="s">
        <v>4264</v>
      </c>
      <c r="B1015" s="293"/>
      <c r="C1015" s="293"/>
      <c r="D1015" s="293"/>
      <c r="E1015" s="293"/>
      <c r="F1015" s="293"/>
      <c r="G1015" s="293"/>
      <c r="H1015" s="293"/>
      <c r="I1015" s="293"/>
      <c r="J1015" s="293"/>
    </row>
    <row r="1016" spans="1:10" x14ac:dyDescent="0.25">
      <c r="A1016" t="s">
        <v>87</v>
      </c>
      <c r="B1016" s="293"/>
      <c r="C1016" s="293"/>
      <c r="D1016" s="293"/>
      <c r="E1016" s="293"/>
      <c r="F1016" s="293"/>
      <c r="G1016" s="293"/>
      <c r="H1016" s="293"/>
      <c r="I1016" s="293"/>
      <c r="J1016" s="293"/>
    </row>
    <row r="1017" spans="1:10" x14ac:dyDescent="0.25">
      <c r="A1017" t="s">
        <v>4265</v>
      </c>
      <c r="B1017" s="293"/>
      <c r="C1017" s="293"/>
      <c r="D1017" s="293"/>
      <c r="E1017" s="293"/>
      <c r="F1017" s="293"/>
      <c r="G1017" s="293"/>
      <c r="H1017" s="293"/>
      <c r="I1017" s="293"/>
      <c r="J1017" s="293"/>
    </row>
    <row r="1018" spans="1:10" x14ac:dyDescent="0.25">
      <c r="B1018" s="293"/>
      <c r="C1018" s="293"/>
      <c r="D1018" s="293"/>
      <c r="E1018" s="293"/>
      <c r="F1018" s="293"/>
      <c r="G1018" s="293"/>
      <c r="H1018" s="293"/>
      <c r="I1018" s="293"/>
      <c r="J1018" s="293"/>
    </row>
    <row r="1019" spans="1:10" x14ac:dyDescent="0.25">
      <c r="B1019" s="293"/>
      <c r="C1019" s="293"/>
      <c r="D1019" s="293"/>
      <c r="E1019" s="293"/>
      <c r="F1019" s="293"/>
      <c r="G1019" s="293"/>
      <c r="H1019" s="293"/>
      <c r="I1019" s="293"/>
      <c r="J1019" s="293"/>
    </row>
    <row r="1020" spans="1:10" x14ac:dyDescent="0.25">
      <c r="B1020" s="293"/>
      <c r="C1020" s="293"/>
      <c r="D1020" s="293"/>
      <c r="E1020" s="293"/>
      <c r="F1020" s="293"/>
      <c r="G1020" s="293"/>
      <c r="H1020" s="293"/>
      <c r="I1020" s="293"/>
      <c r="J1020" s="293"/>
    </row>
    <row r="1021" spans="1:10" x14ac:dyDescent="0.25">
      <c r="B1021" s="293"/>
      <c r="C1021" s="293"/>
      <c r="D1021" s="293"/>
      <c r="E1021" s="293"/>
      <c r="F1021" s="293"/>
      <c r="G1021" s="293"/>
      <c r="H1021" s="293"/>
      <c r="I1021" s="293"/>
      <c r="J1021" s="293"/>
    </row>
    <row r="1022" spans="1:10" x14ac:dyDescent="0.25">
      <c r="A1022" t="s">
        <v>4266</v>
      </c>
      <c r="B1022" s="293"/>
      <c r="C1022" s="293"/>
      <c r="D1022" s="293"/>
      <c r="E1022" s="293"/>
      <c r="F1022" s="293"/>
      <c r="G1022" s="293"/>
      <c r="H1022" s="293"/>
      <c r="I1022" s="293"/>
      <c r="J1022" s="293"/>
    </row>
    <row r="1023" spans="1:10" x14ac:dyDescent="0.25">
      <c r="A1023" t="s">
        <v>66</v>
      </c>
      <c r="B1023" s="293"/>
      <c r="C1023" s="293"/>
      <c r="D1023" s="293"/>
      <c r="E1023" s="293"/>
      <c r="F1023" s="293"/>
      <c r="G1023" s="293"/>
      <c r="H1023" s="293"/>
      <c r="I1023" s="293"/>
      <c r="J1023" s="293"/>
    </row>
    <row r="1024" spans="1:10" x14ac:dyDescent="0.25">
      <c r="B1024" s="293"/>
      <c r="C1024" s="293"/>
      <c r="D1024" s="293"/>
      <c r="E1024" s="293"/>
      <c r="F1024" s="293"/>
      <c r="G1024" s="293"/>
      <c r="H1024" s="293"/>
      <c r="I1024" s="293"/>
      <c r="J1024" s="293"/>
    </row>
    <row r="1025" spans="1:10" x14ac:dyDescent="0.25">
      <c r="B1025" s="293"/>
      <c r="C1025" s="293"/>
      <c r="D1025" s="293"/>
      <c r="E1025" s="293"/>
      <c r="F1025" s="293"/>
      <c r="G1025" s="293"/>
      <c r="H1025" s="293"/>
      <c r="I1025" s="293"/>
      <c r="J1025" s="293"/>
    </row>
    <row r="1026" spans="1:10" x14ac:dyDescent="0.25">
      <c r="B1026" s="293"/>
      <c r="C1026" s="293"/>
      <c r="D1026" s="293"/>
      <c r="E1026" s="293"/>
      <c r="F1026" s="293"/>
      <c r="G1026" s="293"/>
      <c r="H1026" s="293"/>
      <c r="I1026" s="293"/>
      <c r="J1026" s="293"/>
    </row>
    <row r="1027" spans="1:10" x14ac:dyDescent="0.25">
      <c r="B1027" s="293"/>
      <c r="C1027" s="293"/>
      <c r="D1027" s="293"/>
      <c r="E1027" s="293"/>
      <c r="F1027" s="293"/>
      <c r="G1027" s="293"/>
      <c r="H1027" s="293"/>
      <c r="I1027" s="293"/>
      <c r="J1027" s="293"/>
    </row>
    <row r="1028" spans="1:10" x14ac:dyDescent="0.25">
      <c r="A1028" s="47" t="s">
        <v>4267</v>
      </c>
      <c r="B1028" s="296">
        <f>SUM(B1016:B1027)</f>
        <v>0</v>
      </c>
      <c r="C1028" s="296">
        <f t="shared" ref="C1028" si="541">SUM(C1016:C1027)</f>
        <v>0</v>
      </c>
      <c r="D1028" s="296">
        <f t="shared" ref="D1028" si="542">SUM(D1016:D1027)</f>
        <v>0</v>
      </c>
      <c r="E1028" s="296">
        <f t="shared" ref="E1028" si="543">SUM(E1016:E1027)</f>
        <v>0</v>
      </c>
      <c r="F1028" s="296">
        <f t="shared" ref="F1028" si="544">SUM(F1016:F1027)</f>
        <v>0</v>
      </c>
      <c r="G1028" s="296">
        <f t="shared" ref="G1028" si="545">SUM(G1016:G1027)</f>
        <v>0</v>
      </c>
      <c r="H1028" s="296">
        <f t="shared" ref="H1028" si="546">SUM(H1016:H1027)</f>
        <v>0</v>
      </c>
      <c r="I1028" s="296">
        <f t="shared" ref="I1028" si="547">SUM(I1016:I1027)</f>
        <v>0</v>
      </c>
      <c r="J1028" s="296">
        <f t="shared" ref="J1028" si="548">SUM(J1016:J1027)</f>
        <v>0</v>
      </c>
    </row>
    <row r="1029" spans="1:10" x14ac:dyDescent="0.25">
      <c r="B1029" s="293"/>
      <c r="C1029" s="293"/>
      <c r="D1029" s="293"/>
      <c r="E1029" s="293"/>
      <c r="F1029" s="293"/>
      <c r="G1029" s="293"/>
      <c r="H1029" s="293"/>
      <c r="I1029" s="293"/>
      <c r="J1029" s="293"/>
    </row>
    <row r="1030" spans="1:10" ht="15.75" thickBot="1" x14ac:dyDescent="0.3">
      <c r="A1030" s="47" t="s">
        <v>4268</v>
      </c>
      <c r="B1030" s="301">
        <f>B1013-B1028</f>
        <v>0</v>
      </c>
      <c r="C1030" s="301">
        <f t="shared" ref="C1030:J1030" si="549">C1013-C1028</f>
        <v>0</v>
      </c>
      <c r="D1030" s="301">
        <f t="shared" si="549"/>
        <v>0</v>
      </c>
      <c r="E1030" s="301">
        <f t="shared" si="549"/>
        <v>0</v>
      </c>
      <c r="F1030" s="301">
        <f t="shared" si="549"/>
        <v>0</v>
      </c>
      <c r="G1030" s="301">
        <f t="shared" si="549"/>
        <v>0</v>
      </c>
      <c r="H1030" s="301">
        <f t="shared" si="549"/>
        <v>0</v>
      </c>
      <c r="I1030" s="301">
        <f t="shared" si="549"/>
        <v>0</v>
      </c>
      <c r="J1030" s="301">
        <f t="shared" si="549"/>
        <v>0</v>
      </c>
    </row>
    <row r="1031" spans="1:10" ht="15.75" thickTop="1" x14ac:dyDescent="0.25">
      <c r="B1031" s="293"/>
      <c r="C1031" s="293"/>
      <c r="D1031" s="293"/>
      <c r="E1031" s="293"/>
      <c r="F1031" s="293"/>
      <c r="G1031" s="293"/>
      <c r="H1031" s="293"/>
      <c r="I1031" s="293"/>
      <c r="J1031" s="293"/>
    </row>
    <row r="1032" spans="1:10" x14ac:dyDescent="0.25">
      <c r="A1032" s="281"/>
      <c r="B1032" s="316"/>
      <c r="C1032" s="316"/>
      <c r="D1032" s="316"/>
      <c r="E1032" s="316"/>
      <c r="F1032" s="316"/>
      <c r="G1032" s="316"/>
      <c r="H1032" s="316"/>
      <c r="I1032" s="316"/>
      <c r="J1032" s="316"/>
    </row>
    <row r="1033" spans="1:10" x14ac:dyDescent="0.25">
      <c r="B1033" s="293"/>
      <c r="C1033" s="293"/>
      <c r="D1033" s="293"/>
      <c r="E1033" s="293"/>
      <c r="F1033" s="293"/>
      <c r="G1033" s="293"/>
      <c r="H1033" s="293"/>
      <c r="I1033" s="293"/>
      <c r="J1033" s="293"/>
    </row>
    <row r="1034" spans="1:10" x14ac:dyDescent="0.25">
      <c r="A1034" s="280" t="s">
        <v>4301</v>
      </c>
      <c r="B1034" s="293"/>
      <c r="C1034" s="293"/>
      <c r="D1034" s="293"/>
      <c r="E1034" s="293"/>
      <c r="F1034" s="293"/>
      <c r="G1034" s="293"/>
      <c r="H1034" s="293"/>
      <c r="I1034" s="293"/>
      <c r="J1034" s="293"/>
    </row>
    <row r="1035" spans="1:10" x14ac:dyDescent="0.25">
      <c r="B1035" s="293"/>
      <c r="C1035" s="293"/>
      <c r="D1035" s="293"/>
      <c r="E1035" s="293"/>
      <c r="F1035" s="293"/>
      <c r="G1035" s="293"/>
      <c r="H1035" s="293"/>
      <c r="I1035" s="293"/>
      <c r="J1035" s="293"/>
    </row>
    <row r="1036" spans="1:10" x14ac:dyDescent="0.25">
      <c r="A1036" s="47" t="s">
        <v>4260</v>
      </c>
      <c r="B1036" s="293"/>
      <c r="C1036" s="293"/>
      <c r="D1036" s="293"/>
      <c r="E1036" s="293"/>
      <c r="F1036" s="293"/>
      <c r="G1036" s="293"/>
      <c r="H1036" s="293"/>
      <c r="I1036" s="293"/>
      <c r="J1036" s="293"/>
    </row>
    <row r="1037" spans="1:10" x14ac:dyDescent="0.25">
      <c r="A1037" t="s">
        <v>4262</v>
      </c>
      <c r="B1037" s="293"/>
      <c r="C1037" s="293"/>
      <c r="D1037" s="293"/>
      <c r="E1037" s="293"/>
      <c r="F1037" s="293"/>
      <c r="G1037" s="293"/>
      <c r="H1037" s="293"/>
      <c r="I1037" s="293"/>
      <c r="J1037" s="293"/>
    </row>
    <row r="1038" spans="1:10" x14ac:dyDescent="0.25">
      <c r="A1038" t="s">
        <v>4261</v>
      </c>
      <c r="B1038" s="293"/>
      <c r="C1038" s="293"/>
      <c r="D1038" s="293"/>
      <c r="E1038" s="293"/>
      <c r="F1038" s="293"/>
      <c r="G1038" s="293"/>
      <c r="H1038" s="293"/>
      <c r="I1038" s="293"/>
      <c r="J1038" s="293"/>
    </row>
    <row r="1039" spans="1:10" x14ac:dyDescent="0.25">
      <c r="A1039" t="s">
        <v>66</v>
      </c>
      <c r="B1039" s="293"/>
      <c r="C1039" s="293"/>
      <c r="D1039" s="293"/>
      <c r="E1039" s="293"/>
      <c r="F1039" s="293"/>
      <c r="G1039" s="293"/>
      <c r="H1039" s="293"/>
      <c r="I1039" s="293"/>
      <c r="J1039" s="293"/>
    </row>
    <row r="1040" spans="1:10" x14ac:dyDescent="0.25">
      <c r="A1040" t="s">
        <v>4397</v>
      </c>
      <c r="B1040" s="293">
        <f>B403+B404</f>
        <v>2938000</v>
      </c>
      <c r="C1040" s="293">
        <f t="shared" ref="C1040:J1040" si="550">C403</f>
        <v>1929100</v>
      </c>
      <c r="D1040" s="293">
        <f t="shared" si="550"/>
        <v>1927000</v>
      </c>
      <c r="E1040" s="293">
        <f t="shared" si="550"/>
        <v>1996800</v>
      </c>
      <c r="F1040" s="293">
        <f t="shared" si="550"/>
        <v>1994700</v>
      </c>
      <c r="G1040" s="293">
        <f t="shared" si="550"/>
        <v>1992700</v>
      </c>
      <c r="H1040" s="293">
        <f t="shared" si="550"/>
        <v>1988500</v>
      </c>
      <c r="I1040" s="293">
        <f t="shared" si="550"/>
        <v>1984300</v>
      </c>
      <c r="J1040" s="293">
        <f t="shared" si="550"/>
        <v>1979800</v>
      </c>
    </row>
    <row r="1041" spans="1:10" x14ac:dyDescent="0.25">
      <c r="B1041" s="293"/>
      <c r="C1041" s="293"/>
      <c r="D1041" s="293"/>
      <c r="E1041" s="293"/>
      <c r="F1041" s="293"/>
      <c r="G1041" s="293"/>
      <c r="H1041" s="293"/>
      <c r="I1041" s="293"/>
      <c r="J1041" s="293"/>
    </row>
    <row r="1042" spans="1:10" x14ac:dyDescent="0.25">
      <c r="B1042" s="293"/>
      <c r="C1042" s="293"/>
      <c r="D1042" s="293"/>
      <c r="E1042" s="293"/>
      <c r="F1042" s="293"/>
      <c r="G1042" s="293"/>
      <c r="H1042" s="293"/>
      <c r="I1042" s="293"/>
      <c r="J1042" s="293"/>
    </row>
    <row r="1043" spans="1:10" x14ac:dyDescent="0.25">
      <c r="B1043" s="293"/>
      <c r="C1043" s="293"/>
      <c r="D1043" s="293"/>
      <c r="E1043" s="293"/>
      <c r="F1043" s="293"/>
      <c r="G1043" s="293"/>
      <c r="H1043" s="293"/>
      <c r="I1043" s="293"/>
      <c r="J1043" s="293"/>
    </row>
    <row r="1044" spans="1:10" x14ac:dyDescent="0.25">
      <c r="A1044" s="47" t="s">
        <v>4263</v>
      </c>
      <c r="B1044" s="296">
        <f>SUM(B1034:B1043)</f>
        <v>2938000</v>
      </c>
      <c r="C1044" s="296">
        <f t="shared" ref="C1044" si="551">SUM(C1034:C1043)</f>
        <v>1929100</v>
      </c>
      <c r="D1044" s="296">
        <f t="shared" ref="D1044" si="552">SUM(D1034:D1043)</f>
        <v>1927000</v>
      </c>
      <c r="E1044" s="296">
        <f t="shared" ref="E1044" si="553">SUM(E1034:E1043)</f>
        <v>1996800</v>
      </c>
      <c r="F1044" s="296">
        <f t="shared" ref="F1044" si="554">SUM(F1034:F1043)</f>
        <v>1994700</v>
      </c>
      <c r="G1044" s="296">
        <f t="shared" ref="G1044" si="555">SUM(G1034:G1043)</f>
        <v>1992700</v>
      </c>
      <c r="H1044" s="296">
        <f t="shared" ref="H1044" si="556">SUM(H1034:H1043)</f>
        <v>1988500</v>
      </c>
      <c r="I1044" s="296">
        <f t="shared" ref="I1044" si="557">SUM(I1034:I1043)</f>
        <v>1984300</v>
      </c>
      <c r="J1044" s="296">
        <f t="shared" ref="J1044" si="558">SUM(J1034:J1043)</f>
        <v>1979800</v>
      </c>
    </row>
    <row r="1045" spans="1:10" x14ac:dyDescent="0.25">
      <c r="B1045" s="293"/>
      <c r="C1045" s="293"/>
      <c r="D1045" s="293"/>
      <c r="E1045" s="293"/>
      <c r="F1045" s="293"/>
      <c r="G1045" s="293"/>
      <c r="H1045" s="293"/>
      <c r="I1045" s="293"/>
      <c r="J1045" s="293"/>
    </row>
    <row r="1046" spans="1:10" x14ac:dyDescent="0.25">
      <c r="A1046" s="47" t="s">
        <v>4264</v>
      </c>
      <c r="B1046" s="293"/>
      <c r="C1046" s="293"/>
      <c r="D1046" s="293"/>
      <c r="E1046" s="293"/>
      <c r="F1046" s="293"/>
      <c r="G1046" s="293"/>
      <c r="H1046" s="293"/>
      <c r="I1046" s="293"/>
      <c r="J1046" s="293"/>
    </row>
    <row r="1047" spans="1:10" x14ac:dyDescent="0.25">
      <c r="A1047" t="s">
        <v>87</v>
      </c>
      <c r="B1047" s="293"/>
      <c r="C1047" s="293"/>
      <c r="D1047" s="293"/>
      <c r="E1047" s="293"/>
      <c r="F1047" s="293"/>
      <c r="G1047" s="293"/>
      <c r="H1047" s="293"/>
      <c r="I1047" s="293"/>
      <c r="J1047" s="293"/>
    </row>
    <row r="1048" spans="1:10" x14ac:dyDescent="0.25">
      <c r="A1048" t="s">
        <v>4265</v>
      </c>
      <c r="B1048" s="293"/>
      <c r="C1048" s="293"/>
      <c r="D1048" s="293"/>
      <c r="E1048" s="293"/>
      <c r="F1048" s="293"/>
      <c r="G1048" s="293"/>
      <c r="H1048" s="293"/>
      <c r="I1048" s="293"/>
      <c r="J1048" s="293"/>
    </row>
    <row r="1049" spans="1:10" x14ac:dyDescent="0.25">
      <c r="B1049" s="293"/>
      <c r="C1049" s="293"/>
      <c r="D1049" s="293"/>
      <c r="E1049" s="293"/>
      <c r="F1049" s="293"/>
      <c r="G1049" s="293"/>
      <c r="H1049" s="293"/>
      <c r="I1049" s="293"/>
      <c r="J1049" s="293"/>
    </row>
    <row r="1050" spans="1:10" x14ac:dyDescent="0.25">
      <c r="A1050" t="s">
        <v>4512</v>
      </c>
      <c r="B1050" s="293">
        <f>capitalexpdata!G155</f>
        <v>220000</v>
      </c>
      <c r="C1050" s="293"/>
      <c r="D1050" s="293"/>
      <c r="E1050" s="293"/>
      <c r="F1050" s="293"/>
      <c r="G1050" s="293"/>
      <c r="H1050" s="293"/>
      <c r="I1050" s="293"/>
      <c r="J1050" s="293"/>
    </row>
    <row r="1051" spans="1:10" x14ac:dyDescent="0.25">
      <c r="A1051" s="57" t="s">
        <v>3459</v>
      </c>
      <c r="B1051" s="293">
        <v>130000</v>
      </c>
      <c r="C1051" s="293"/>
      <c r="D1051" s="293"/>
      <c r="E1051" s="293"/>
      <c r="F1051" s="293"/>
      <c r="G1051" s="293"/>
      <c r="H1051" s="293"/>
      <c r="I1051" s="293"/>
      <c r="J1051" s="293"/>
    </row>
    <row r="1052" spans="1:10" x14ac:dyDescent="0.25">
      <c r="A1052" s="63" t="s">
        <v>3654</v>
      </c>
      <c r="B1052" s="293">
        <f>capitalexpdata!G182</f>
        <v>965000</v>
      </c>
      <c r="C1052" s="293"/>
      <c r="D1052" s="293"/>
      <c r="E1052" s="293"/>
      <c r="F1052" s="293"/>
      <c r="G1052" s="293"/>
      <c r="H1052" s="293"/>
      <c r="I1052" s="293"/>
      <c r="J1052" s="293"/>
    </row>
    <row r="1053" spans="1:10" x14ac:dyDescent="0.25">
      <c r="A1053" t="s">
        <v>4513</v>
      </c>
      <c r="B1053" s="293">
        <f>capitalexpdata!G183</f>
        <v>100000</v>
      </c>
      <c r="C1053" s="293">
        <f>capitalexpdata!H183</f>
        <v>500000</v>
      </c>
      <c r="D1053" s="293">
        <f>capitalexpdata!I183</f>
        <v>500000</v>
      </c>
      <c r="E1053" s="293"/>
      <c r="F1053" s="293"/>
      <c r="G1053" s="293"/>
      <c r="H1053" s="293"/>
      <c r="I1053" s="293"/>
      <c r="J1053" s="293"/>
    </row>
    <row r="1054" spans="1:10" x14ac:dyDescent="0.25">
      <c r="A1054" t="s">
        <v>4514</v>
      </c>
      <c r="B1054" s="293">
        <f>capitalexpdata!G184</f>
        <v>500000</v>
      </c>
      <c r="C1054" s="293"/>
      <c r="D1054" s="293"/>
      <c r="E1054" s="293"/>
      <c r="F1054" s="293"/>
      <c r="G1054" s="293"/>
      <c r="H1054" s="293"/>
      <c r="I1054" s="293"/>
      <c r="J1054" s="293"/>
    </row>
    <row r="1055" spans="1:10" x14ac:dyDescent="0.25">
      <c r="A1055" s="63" t="s">
        <v>3770</v>
      </c>
      <c r="B1055" s="293">
        <f>capitalexpdata!G360</f>
        <v>600000</v>
      </c>
      <c r="C1055" s="293"/>
      <c r="D1055" s="293"/>
      <c r="E1055" s="293"/>
      <c r="F1055" s="293"/>
      <c r="G1055" s="293"/>
      <c r="H1055" s="293"/>
      <c r="I1055" s="293"/>
      <c r="J1055" s="293"/>
    </row>
    <row r="1056" spans="1:10" x14ac:dyDescent="0.25">
      <c r="A1056" t="s">
        <v>4517</v>
      </c>
      <c r="B1056" s="293">
        <f>capitalexpdata!G367</f>
        <v>0</v>
      </c>
      <c r="C1056" s="293">
        <f>capitalexpdata!H367</f>
        <v>700000</v>
      </c>
      <c r="D1056" s="293">
        <f>capitalexpdata!I367</f>
        <v>650000</v>
      </c>
      <c r="E1056" s="293">
        <f>capitalexpdata!J367</f>
        <v>700000</v>
      </c>
      <c r="F1056" s="293">
        <f>capitalexpdata!K367</f>
        <v>1550000</v>
      </c>
      <c r="G1056" s="293">
        <f>capitalexpdata!L367</f>
        <v>1600000</v>
      </c>
      <c r="H1056" s="293">
        <f>capitalexpdata!M367</f>
        <v>1650000</v>
      </c>
      <c r="I1056" s="293">
        <f>capitalexpdata!N367</f>
        <v>1700000</v>
      </c>
      <c r="J1056" s="293">
        <f>capitalexpdata!O367</f>
        <v>1750000</v>
      </c>
    </row>
    <row r="1057" spans="1:10" x14ac:dyDescent="0.25">
      <c r="A1057" t="s">
        <v>4518</v>
      </c>
      <c r="B1057" s="293">
        <f>capitalexpdata!G368</f>
        <v>750000</v>
      </c>
      <c r="C1057" s="293"/>
      <c r="D1057" s="293"/>
      <c r="E1057" s="293"/>
      <c r="F1057" s="293"/>
      <c r="G1057" s="293"/>
      <c r="H1057" s="293"/>
      <c r="I1057" s="293"/>
      <c r="J1057" s="293"/>
    </row>
    <row r="1058" spans="1:10" x14ac:dyDescent="0.25">
      <c r="A1058" s="63" t="s">
        <v>3783</v>
      </c>
      <c r="B1058" s="293"/>
      <c r="C1058" s="293">
        <f>capitalexpdata!H381</f>
        <v>535000</v>
      </c>
      <c r="D1058" s="293"/>
      <c r="E1058" s="293"/>
      <c r="F1058" s="293"/>
      <c r="G1058" s="293"/>
      <c r="H1058" s="293"/>
      <c r="I1058" s="293"/>
      <c r="J1058" s="293"/>
    </row>
    <row r="1059" spans="1:10" x14ac:dyDescent="0.25">
      <c r="A1059" t="s">
        <v>4519</v>
      </c>
      <c r="B1059" s="293"/>
      <c r="C1059" s="293">
        <f>capitalexpdata!H383</f>
        <v>330000</v>
      </c>
      <c r="D1059" s="293"/>
      <c r="E1059" s="293"/>
      <c r="F1059" s="293"/>
      <c r="G1059" s="293"/>
      <c r="H1059" s="293"/>
      <c r="I1059" s="293"/>
      <c r="J1059" s="293"/>
    </row>
    <row r="1060" spans="1:10" x14ac:dyDescent="0.25">
      <c r="A1060" t="s">
        <v>4520</v>
      </c>
      <c r="B1060" s="293"/>
      <c r="C1060" s="293">
        <f>capitalexpdata!H392</f>
        <v>0</v>
      </c>
      <c r="D1060" s="293">
        <f>capitalexpdata!I392</f>
        <v>750000</v>
      </c>
      <c r="E1060" s="293">
        <f>capitalexpdata!J392</f>
        <v>1200000</v>
      </c>
      <c r="F1060" s="293">
        <f>capitalexpdata!K392</f>
        <v>300000</v>
      </c>
      <c r="G1060" s="293">
        <f>capitalexpdata!L392</f>
        <v>400000</v>
      </c>
      <c r="H1060" s="293">
        <f>capitalexpdata!M392</f>
        <v>250000</v>
      </c>
      <c r="I1060" s="293">
        <f>capitalexpdata!N392</f>
        <v>200000</v>
      </c>
      <c r="J1060" s="293">
        <f>capitalexpdata!O392</f>
        <v>450000</v>
      </c>
    </row>
    <row r="1061" spans="1:10" x14ac:dyDescent="0.25">
      <c r="B1061" s="293"/>
      <c r="C1061" s="293"/>
      <c r="D1061" s="293"/>
      <c r="E1061" s="293"/>
      <c r="F1061" s="293"/>
      <c r="G1061" s="293"/>
      <c r="H1061" s="293"/>
      <c r="I1061" s="293"/>
      <c r="J1061" s="293"/>
    </row>
    <row r="1062" spans="1:10" x14ac:dyDescent="0.25">
      <c r="B1062" s="293"/>
      <c r="C1062" s="293"/>
      <c r="D1062" s="293"/>
      <c r="E1062" s="293"/>
      <c r="F1062" s="293"/>
      <c r="G1062" s="293"/>
      <c r="H1062" s="293"/>
      <c r="I1062" s="293"/>
      <c r="J1062" s="293"/>
    </row>
    <row r="1063" spans="1:10" x14ac:dyDescent="0.25">
      <c r="B1063" s="293"/>
      <c r="C1063" s="293"/>
      <c r="D1063" s="293"/>
      <c r="E1063" s="293"/>
      <c r="F1063" s="293"/>
      <c r="G1063" s="293"/>
      <c r="H1063" s="293"/>
      <c r="I1063" s="293"/>
      <c r="J1063" s="293"/>
    </row>
    <row r="1064" spans="1:10" x14ac:dyDescent="0.25">
      <c r="B1064" s="293"/>
      <c r="C1064" s="293"/>
      <c r="D1064" s="293"/>
      <c r="E1064" s="293"/>
      <c r="F1064" s="293"/>
      <c r="G1064" s="293"/>
      <c r="H1064" s="293"/>
      <c r="I1064" s="293"/>
      <c r="J1064" s="293"/>
    </row>
    <row r="1065" spans="1:10" x14ac:dyDescent="0.25">
      <c r="B1065" s="293"/>
      <c r="C1065" s="293"/>
      <c r="D1065" s="293"/>
      <c r="E1065" s="293"/>
      <c r="F1065" s="293"/>
      <c r="G1065" s="293"/>
      <c r="H1065" s="293"/>
      <c r="I1065" s="293"/>
      <c r="J1065" s="293"/>
    </row>
    <row r="1066" spans="1:10" x14ac:dyDescent="0.25">
      <c r="B1066" s="293"/>
      <c r="C1066" s="293"/>
      <c r="D1066" s="293"/>
      <c r="E1066" s="293"/>
      <c r="F1066" s="293"/>
      <c r="G1066" s="293"/>
      <c r="H1066" s="293"/>
      <c r="I1066" s="293"/>
      <c r="J1066" s="293"/>
    </row>
    <row r="1067" spans="1:10" x14ac:dyDescent="0.25">
      <c r="B1067" s="293"/>
      <c r="C1067" s="293"/>
      <c r="D1067" s="293"/>
      <c r="E1067" s="293"/>
      <c r="F1067" s="293"/>
      <c r="G1067" s="293"/>
      <c r="H1067" s="293"/>
      <c r="I1067" s="293"/>
      <c r="J1067" s="293"/>
    </row>
    <row r="1068" spans="1:10" x14ac:dyDescent="0.25">
      <c r="B1068" s="293"/>
      <c r="C1068" s="293"/>
      <c r="D1068" s="293"/>
      <c r="E1068" s="293"/>
      <c r="F1068" s="293"/>
      <c r="G1068" s="293"/>
      <c r="H1068" s="293"/>
      <c r="I1068" s="293"/>
      <c r="J1068" s="293"/>
    </row>
    <row r="1069" spans="1:10" x14ac:dyDescent="0.25">
      <c r="A1069" t="s">
        <v>4266</v>
      </c>
      <c r="B1069" s="293"/>
      <c r="C1069" s="293"/>
      <c r="D1069" s="293"/>
      <c r="E1069" s="293"/>
      <c r="F1069" s="293"/>
      <c r="G1069" s="293"/>
      <c r="H1069" s="293"/>
      <c r="I1069" s="293"/>
      <c r="J1069" s="293"/>
    </row>
    <row r="1070" spans="1:10" x14ac:dyDescent="0.25">
      <c r="A1070" t="s">
        <v>66</v>
      </c>
      <c r="B1070" s="293"/>
      <c r="C1070" s="293"/>
      <c r="D1070" s="293"/>
      <c r="E1070" s="293"/>
      <c r="F1070" s="293"/>
      <c r="G1070" s="293"/>
      <c r="H1070" s="293"/>
      <c r="I1070" s="293"/>
      <c r="J1070" s="293"/>
    </row>
    <row r="1071" spans="1:10" x14ac:dyDescent="0.25">
      <c r="B1071" s="293"/>
      <c r="C1071" s="293"/>
      <c r="D1071" s="293"/>
      <c r="E1071" s="293"/>
      <c r="F1071" s="293"/>
      <c r="G1071" s="293"/>
      <c r="H1071" s="293"/>
      <c r="I1071" s="293"/>
      <c r="J1071" s="293"/>
    </row>
    <row r="1072" spans="1:10" x14ac:dyDescent="0.25">
      <c r="B1072" s="293"/>
      <c r="C1072" s="293"/>
      <c r="D1072" s="293"/>
      <c r="E1072" s="293"/>
      <c r="F1072" s="293"/>
      <c r="G1072" s="293"/>
      <c r="H1072" s="293"/>
      <c r="I1072" s="293"/>
      <c r="J1072" s="293"/>
    </row>
    <row r="1073" spans="1:10" x14ac:dyDescent="0.25">
      <c r="B1073" s="293"/>
      <c r="C1073" s="293"/>
      <c r="D1073" s="293"/>
      <c r="E1073" s="293"/>
      <c r="F1073" s="293"/>
      <c r="G1073" s="293"/>
      <c r="H1073" s="293"/>
      <c r="I1073" s="293"/>
      <c r="J1073" s="293"/>
    </row>
    <row r="1074" spans="1:10" x14ac:dyDescent="0.25">
      <c r="B1074" s="293"/>
      <c r="C1074" s="293"/>
      <c r="D1074" s="293"/>
      <c r="E1074" s="293"/>
      <c r="F1074" s="293"/>
      <c r="G1074" s="293"/>
      <c r="H1074" s="293"/>
      <c r="I1074" s="293"/>
      <c r="J1074" s="293"/>
    </row>
    <row r="1075" spans="1:10" x14ac:dyDescent="0.25">
      <c r="A1075" s="47" t="s">
        <v>4267</v>
      </c>
      <c r="B1075" s="296">
        <f>SUM(B1047:B1074)</f>
        <v>3265000</v>
      </c>
      <c r="C1075" s="296">
        <f t="shared" ref="C1075" si="559">SUM(C1047:C1074)</f>
        <v>2065000</v>
      </c>
      <c r="D1075" s="296">
        <f t="shared" ref="D1075" si="560">SUM(D1047:D1074)</f>
        <v>1900000</v>
      </c>
      <c r="E1075" s="296">
        <f t="shared" ref="E1075" si="561">SUM(E1047:E1074)</f>
        <v>1900000</v>
      </c>
      <c r="F1075" s="296">
        <f t="shared" ref="F1075" si="562">SUM(F1047:F1074)</f>
        <v>1850000</v>
      </c>
      <c r="G1075" s="296">
        <f t="shared" ref="G1075" si="563">SUM(G1047:G1074)</f>
        <v>2000000</v>
      </c>
      <c r="H1075" s="296">
        <f t="shared" ref="H1075" si="564">SUM(H1047:H1074)</f>
        <v>1900000</v>
      </c>
      <c r="I1075" s="296">
        <f t="shared" ref="I1075" si="565">SUM(I1047:I1074)</f>
        <v>1900000</v>
      </c>
      <c r="J1075" s="296">
        <f t="shared" ref="J1075" si="566">SUM(J1047:J1074)</f>
        <v>2200000</v>
      </c>
    </row>
    <row r="1076" spans="1:10" x14ac:dyDescent="0.25">
      <c r="B1076" s="293"/>
      <c r="C1076" s="293"/>
      <c r="D1076" s="293"/>
      <c r="E1076" s="293"/>
      <c r="F1076" s="293"/>
      <c r="G1076" s="293"/>
      <c r="H1076" s="293"/>
      <c r="I1076" s="293"/>
      <c r="J1076" s="293"/>
    </row>
    <row r="1077" spans="1:10" ht="15.75" thickBot="1" x14ac:dyDescent="0.3">
      <c r="A1077" s="47" t="s">
        <v>4268</v>
      </c>
      <c r="B1077" s="301">
        <f>B1044-B1075</f>
        <v>-327000</v>
      </c>
      <c r="C1077" s="301">
        <f t="shared" ref="C1077:J1077" si="567">C1044-C1075</f>
        <v>-135900</v>
      </c>
      <c r="D1077" s="301">
        <f t="shared" si="567"/>
        <v>27000</v>
      </c>
      <c r="E1077" s="301">
        <f t="shared" si="567"/>
        <v>96800</v>
      </c>
      <c r="F1077" s="301">
        <f t="shared" si="567"/>
        <v>144700</v>
      </c>
      <c r="G1077" s="301">
        <f t="shared" si="567"/>
        <v>-7300</v>
      </c>
      <c r="H1077" s="301">
        <f t="shared" si="567"/>
        <v>88500</v>
      </c>
      <c r="I1077" s="301">
        <f t="shared" si="567"/>
        <v>84300</v>
      </c>
      <c r="J1077" s="301">
        <f t="shared" si="567"/>
        <v>-220200</v>
      </c>
    </row>
    <row r="1078" spans="1:10" ht="15.75" thickTop="1" x14ac:dyDescent="0.25">
      <c r="B1078" s="293"/>
      <c r="C1078" s="293"/>
      <c r="D1078" s="293"/>
      <c r="E1078" s="293"/>
      <c r="F1078" s="293"/>
      <c r="G1078" s="293"/>
      <c r="H1078" s="293"/>
      <c r="I1078" s="293"/>
      <c r="J1078" s="293"/>
    </row>
    <row r="1079" spans="1:10" x14ac:dyDescent="0.25">
      <c r="A1079" s="281"/>
      <c r="B1079" s="316"/>
      <c r="C1079" s="316"/>
      <c r="D1079" s="316"/>
      <c r="E1079" s="316"/>
      <c r="F1079" s="316"/>
      <c r="G1079" s="316"/>
      <c r="H1079" s="316"/>
      <c r="I1079" s="316"/>
      <c r="J1079" s="316"/>
    </row>
    <row r="1080" spans="1:10" x14ac:dyDescent="0.25">
      <c r="B1080" s="293"/>
      <c r="C1080" s="293"/>
      <c r="D1080" s="293"/>
      <c r="E1080" s="293"/>
      <c r="F1080" s="293"/>
      <c r="G1080" s="293"/>
      <c r="H1080" s="293"/>
      <c r="I1080" s="293"/>
      <c r="J1080" s="293"/>
    </row>
    <row r="1081" spans="1:10" x14ac:dyDescent="0.25">
      <c r="A1081" s="280" t="s">
        <v>4302</v>
      </c>
      <c r="B1081" s="293"/>
      <c r="C1081" s="293"/>
      <c r="D1081" s="293"/>
      <c r="E1081" s="293"/>
      <c r="F1081" s="293"/>
      <c r="G1081" s="293"/>
      <c r="H1081" s="293"/>
      <c r="I1081" s="293"/>
      <c r="J1081" s="293"/>
    </row>
    <row r="1082" spans="1:10" x14ac:dyDescent="0.25">
      <c r="B1082" s="293"/>
      <c r="C1082" s="293"/>
      <c r="D1082" s="293"/>
      <c r="E1082" s="293"/>
      <c r="F1082" s="293"/>
      <c r="G1082" s="293"/>
      <c r="H1082" s="293"/>
      <c r="I1082" s="293"/>
      <c r="J1082" s="293"/>
    </row>
    <row r="1083" spans="1:10" x14ac:dyDescent="0.25">
      <c r="A1083" s="47" t="s">
        <v>4260</v>
      </c>
      <c r="B1083" s="293"/>
      <c r="C1083" s="293"/>
      <c r="D1083" s="293"/>
      <c r="E1083" s="293"/>
      <c r="F1083" s="293"/>
      <c r="G1083" s="293"/>
      <c r="H1083" s="293"/>
      <c r="I1083" s="293"/>
      <c r="J1083" s="293"/>
    </row>
    <row r="1084" spans="1:10" x14ac:dyDescent="0.25">
      <c r="A1084" t="s">
        <v>4262</v>
      </c>
      <c r="B1084" s="293"/>
      <c r="C1084" s="293"/>
      <c r="D1084" s="293"/>
      <c r="E1084" s="293"/>
      <c r="F1084" s="293"/>
      <c r="G1084" s="293"/>
      <c r="H1084" s="293"/>
      <c r="I1084" s="293"/>
      <c r="J1084" s="293"/>
    </row>
    <row r="1085" spans="1:10" x14ac:dyDescent="0.25">
      <c r="A1085" t="s">
        <v>4261</v>
      </c>
      <c r="B1085" s="293"/>
      <c r="C1085" s="293"/>
      <c r="D1085" s="293"/>
      <c r="E1085" s="293"/>
      <c r="F1085" s="293"/>
      <c r="G1085" s="293"/>
      <c r="H1085" s="293"/>
      <c r="I1085" s="293"/>
      <c r="J1085" s="293"/>
    </row>
    <row r="1086" spans="1:10" x14ac:dyDescent="0.25">
      <c r="A1086" t="s">
        <v>66</v>
      </c>
      <c r="B1086" s="293"/>
      <c r="C1086" s="293"/>
      <c r="D1086" s="293"/>
      <c r="E1086" s="293"/>
      <c r="F1086" s="293"/>
      <c r="G1086" s="293"/>
      <c r="H1086" s="293"/>
      <c r="I1086" s="293"/>
      <c r="J1086" s="293"/>
    </row>
    <row r="1087" spans="1:10" x14ac:dyDescent="0.25">
      <c r="B1087" s="293"/>
      <c r="C1087" s="293"/>
      <c r="D1087" s="293"/>
      <c r="E1087" s="293"/>
      <c r="F1087" s="293"/>
      <c r="G1087" s="293"/>
      <c r="H1087" s="293"/>
      <c r="I1087" s="293"/>
      <c r="J1087" s="293"/>
    </row>
    <row r="1088" spans="1:10" x14ac:dyDescent="0.25">
      <c r="B1088" s="293"/>
      <c r="C1088" s="293"/>
      <c r="D1088" s="293"/>
      <c r="E1088" s="293"/>
      <c r="F1088" s="293"/>
      <c r="G1088" s="293"/>
      <c r="H1088" s="293"/>
      <c r="I1088" s="293"/>
      <c r="J1088" s="293"/>
    </row>
    <row r="1089" spans="1:10" x14ac:dyDescent="0.25">
      <c r="B1089" s="293"/>
      <c r="C1089" s="293"/>
      <c r="D1089" s="293"/>
      <c r="E1089" s="293"/>
      <c r="F1089" s="293"/>
      <c r="G1089" s="293"/>
      <c r="H1089" s="293"/>
      <c r="I1089" s="293"/>
      <c r="J1089" s="293"/>
    </row>
    <row r="1090" spans="1:10" x14ac:dyDescent="0.25">
      <c r="B1090" s="293"/>
      <c r="C1090" s="293"/>
      <c r="D1090" s="293"/>
      <c r="E1090" s="293"/>
      <c r="F1090" s="293"/>
      <c r="G1090" s="293"/>
      <c r="H1090" s="293"/>
      <c r="I1090" s="293"/>
      <c r="J1090" s="293"/>
    </row>
    <row r="1091" spans="1:10" x14ac:dyDescent="0.25">
      <c r="A1091" s="47" t="s">
        <v>4263</v>
      </c>
      <c r="B1091" s="296">
        <f>SUM(B1081:B1090)</f>
        <v>0</v>
      </c>
      <c r="C1091" s="296">
        <f t="shared" ref="C1091" si="568">SUM(C1081:C1090)</f>
        <v>0</v>
      </c>
      <c r="D1091" s="296">
        <f t="shared" ref="D1091" si="569">SUM(D1081:D1090)</f>
        <v>0</v>
      </c>
      <c r="E1091" s="296">
        <f t="shared" ref="E1091" si="570">SUM(E1081:E1090)</f>
        <v>0</v>
      </c>
      <c r="F1091" s="296">
        <f t="shared" ref="F1091" si="571">SUM(F1081:F1090)</f>
        <v>0</v>
      </c>
      <c r="G1091" s="296">
        <f t="shared" ref="G1091" si="572">SUM(G1081:G1090)</f>
        <v>0</v>
      </c>
      <c r="H1091" s="296">
        <f t="shared" ref="H1091" si="573">SUM(H1081:H1090)</f>
        <v>0</v>
      </c>
      <c r="I1091" s="296">
        <f t="shared" ref="I1091" si="574">SUM(I1081:I1090)</f>
        <v>0</v>
      </c>
      <c r="J1091" s="296">
        <f t="shared" ref="J1091" si="575">SUM(J1081:J1090)</f>
        <v>0</v>
      </c>
    </row>
    <row r="1092" spans="1:10" x14ac:dyDescent="0.25">
      <c r="B1092" s="293"/>
      <c r="C1092" s="293"/>
      <c r="D1092" s="293"/>
      <c r="E1092" s="293"/>
      <c r="F1092" s="293"/>
      <c r="G1092" s="293"/>
      <c r="H1092" s="293"/>
      <c r="I1092" s="293"/>
      <c r="J1092" s="293"/>
    </row>
    <row r="1093" spans="1:10" x14ac:dyDescent="0.25">
      <c r="A1093" s="47" t="s">
        <v>4264</v>
      </c>
      <c r="B1093" s="293"/>
      <c r="C1093" s="293"/>
      <c r="D1093" s="293"/>
      <c r="E1093" s="293"/>
      <c r="F1093" s="293"/>
      <c r="G1093" s="293"/>
      <c r="H1093" s="293"/>
      <c r="I1093" s="293"/>
      <c r="J1093" s="293"/>
    </row>
    <row r="1094" spans="1:10" x14ac:dyDescent="0.25">
      <c r="A1094" t="s">
        <v>87</v>
      </c>
      <c r="B1094" s="293"/>
      <c r="C1094" s="293"/>
      <c r="D1094" s="293"/>
      <c r="E1094" s="293"/>
      <c r="F1094" s="293"/>
      <c r="G1094" s="293"/>
      <c r="H1094" s="293"/>
      <c r="I1094" s="293"/>
      <c r="J1094" s="293"/>
    </row>
    <row r="1095" spans="1:10" x14ac:dyDescent="0.25">
      <c r="A1095" t="s">
        <v>4265</v>
      </c>
      <c r="B1095" s="293"/>
      <c r="C1095" s="293"/>
      <c r="D1095" s="293"/>
      <c r="E1095" s="293"/>
      <c r="F1095" s="293"/>
      <c r="G1095" s="293"/>
      <c r="H1095" s="293"/>
      <c r="I1095" s="293"/>
      <c r="J1095" s="293"/>
    </row>
    <row r="1096" spans="1:10" x14ac:dyDescent="0.25">
      <c r="B1096" s="293"/>
      <c r="C1096" s="293"/>
      <c r="D1096" s="293"/>
      <c r="E1096" s="293"/>
      <c r="F1096" s="293"/>
      <c r="G1096" s="293"/>
      <c r="H1096" s="293"/>
      <c r="I1096" s="293"/>
      <c r="J1096" s="293"/>
    </row>
    <row r="1097" spans="1:10" x14ac:dyDescent="0.25">
      <c r="B1097" s="293"/>
      <c r="C1097" s="293"/>
      <c r="D1097" s="293"/>
      <c r="E1097" s="293"/>
      <c r="F1097" s="293"/>
      <c r="G1097" s="293"/>
      <c r="H1097" s="293"/>
      <c r="I1097" s="293"/>
      <c r="J1097" s="293"/>
    </row>
    <row r="1098" spans="1:10" x14ac:dyDescent="0.25">
      <c r="B1098" s="293"/>
      <c r="C1098" s="293"/>
      <c r="D1098" s="293"/>
      <c r="E1098" s="293"/>
      <c r="F1098" s="293"/>
      <c r="G1098" s="293"/>
      <c r="H1098" s="293"/>
      <c r="I1098" s="293"/>
      <c r="J1098" s="293"/>
    </row>
    <row r="1099" spans="1:10" x14ac:dyDescent="0.25">
      <c r="B1099" s="293"/>
      <c r="C1099" s="293"/>
      <c r="D1099" s="293"/>
      <c r="E1099" s="293"/>
      <c r="F1099" s="293"/>
      <c r="G1099" s="293"/>
      <c r="H1099" s="293"/>
      <c r="I1099" s="293"/>
      <c r="J1099" s="293"/>
    </row>
    <row r="1100" spans="1:10" x14ac:dyDescent="0.25">
      <c r="A1100" t="s">
        <v>4266</v>
      </c>
      <c r="B1100" s="293"/>
      <c r="C1100" s="293"/>
      <c r="D1100" s="293"/>
      <c r="E1100" s="293"/>
      <c r="F1100" s="293"/>
      <c r="G1100" s="293"/>
      <c r="H1100" s="293"/>
      <c r="I1100" s="293"/>
      <c r="J1100" s="293"/>
    </row>
    <row r="1101" spans="1:10" x14ac:dyDescent="0.25">
      <c r="A1101" t="s">
        <v>66</v>
      </c>
      <c r="B1101" s="293"/>
      <c r="C1101" s="293"/>
      <c r="D1101" s="293"/>
      <c r="E1101" s="293"/>
      <c r="F1101" s="293"/>
      <c r="G1101" s="293"/>
      <c r="H1101" s="293"/>
      <c r="I1101" s="293"/>
      <c r="J1101" s="293"/>
    </row>
    <row r="1102" spans="1:10" x14ac:dyDescent="0.25">
      <c r="B1102" s="293"/>
      <c r="C1102" s="293"/>
      <c r="D1102" s="293"/>
      <c r="E1102" s="293"/>
      <c r="F1102" s="293"/>
      <c r="G1102" s="293"/>
      <c r="H1102" s="293"/>
      <c r="I1102" s="293"/>
      <c r="J1102" s="293"/>
    </row>
    <row r="1103" spans="1:10" x14ac:dyDescent="0.25">
      <c r="B1103" s="293"/>
      <c r="C1103" s="293"/>
      <c r="D1103" s="293"/>
      <c r="E1103" s="293"/>
      <c r="F1103" s="293"/>
      <c r="G1103" s="293"/>
      <c r="H1103" s="293"/>
      <c r="I1103" s="293"/>
      <c r="J1103" s="293"/>
    </row>
    <row r="1104" spans="1:10" x14ac:dyDescent="0.25">
      <c r="B1104" s="293"/>
      <c r="C1104" s="293"/>
      <c r="D1104" s="293"/>
      <c r="E1104" s="293"/>
      <c r="F1104" s="293"/>
      <c r="G1104" s="293"/>
      <c r="H1104" s="293"/>
      <c r="I1104" s="293"/>
      <c r="J1104" s="293"/>
    </row>
    <row r="1105" spans="1:10" x14ac:dyDescent="0.25">
      <c r="B1105" s="293"/>
      <c r="C1105" s="293"/>
      <c r="D1105" s="293"/>
      <c r="E1105" s="293"/>
      <c r="F1105" s="293"/>
      <c r="G1105" s="293"/>
      <c r="H1105" s="293"/>
      <c r="I1105" s="293"/>
      <c r="J1105" s="293"/>
    </row>
    <row r="1106" spans="1:10" x14ac:dyDescent="0.25">
      <c r="A1106" s="47" t="s">
        <v>4267</v>
      </c>
      <c r="B1106" s="296">
        <f>SUM(B1094:B1105)</f>
        <v>0</v>
      </c>
      <c r="C1106" s="296">
        <f t="shared" ref="C1106" si="576">SUM(C1094:C1105)</f>
        <v>0</v>
      </c>
      <c r="D1106" s="296">
        <f t="shared" ref="D1106" si="577">SUM(D1094:D1105)</f>
        <v>0</v>
      </c>
      <c r="E1106" s="296">
        <f t="shared" ref="E1106" si="578">SUM(E1094:E1105)</f>
        <v>0</v>
      </c>
      <c r="F1106" s="296">
        <f t="shared" ref="F1106" si="579">SUM(F1094:F1105)</f>
        <v>0</v>
      </c>
      <c r="G1106" s="296">
        <f t="shared" ref="G1106" si="580">SUM(G1094:G1105)</f>
        <v>0</v>
      </c>
      <c r="H1106" s="296">
        <f t="shared" ref="H1106" si="581">SUM(H1094:H1105)</f>
        <v>0</v>
      </c>
      <c r="I1106" s="296">
        <f t="shared" ref="I1106" si="582">SUM(I1094:I1105)</f>
        <v>0</v>
      </c>
      <c r="J1106" s="296">
        <f t="shared" ref="J1106" si="583">SUM(J1094:J1105)</f>
        <v>0</v>
      </c>
    </row>
    <row r="1107" spans="1:10" x14ac:dyDescent="0.25">
      <c r="B1107" s="293"/>
      <c r="C1107" s="293"/>
      <c r="D1107" s="293"/>
      <c r="E1107" s="293"/>
      <c r="F1107" s="293"/>
      <c r="G1107" s="293"/>
      <c r="H1107" s="293"/>
      <c r="I1107" s="293"/>
      <c r="J1107" s="293"/>
    </row>
    <row r="1108" spans="1:10" ht="15.75" thickBot="1" x14ac:dyDescent="0.3">
      <c r="A1108" s="47" t="s">
        <v>4268</v>
      </c>
      <c r="B1108" s="301">
        <f>B1091-B1106</f>
        <v>0</v>
      </c>
      <c r="C1108" s="301">
        <f t="shared" ref="C1108:J1108" si="584">C1091-C1106</f>
        <v>0</v>
      </c>
      <c r="D1108" s="301">
        <f t="shared" si="584"/>
        <v>0</v>
      </c>
      <c r="E1108" s="301">
        <f t="shared" si="584"/>
        <v>0</v>
      </c>
      <c r="F1108" s="301">
        <f t="shared" si="584"/>
        <v>0</v>
      </c>
      <c r="G1108" s="301">
        <f t="shared" si="584"/>
        <v>0</v>
      </c>
      <c r="H1108" s="301">
        <f t="shared" si="584"/>
        <v>0</v>
      </c>
      <c r="I1108" s="301">
        <f t="shared" si="584"/>
        <v>0</v>
      </c>
      <c r="J1108" s="301">
        <f t="shared" si="584"/>
        <v>0</v>
      </c>
    </row>
    <row r="1109" spans="1:10" ht="15.75" thickTop="1" x14ac:dyDescent="0.25">
      <c r="B1109" s="293"/>
      <c r="C1109" s="293"/>
      <c r="D1109" s="293"/>
      <c r="E1109" s="293"/>
      <c r="F1109" s="293"/>
      <c r="G1109" s="293"/>
      <c r="H1109" s="293"/>
      <c r="I1109" s="293"/>
      <c r="J1109" s="293"/>
    </row>
    <row r="1110" spans="1:10" x14ac:dyDescent="0.25">
      <c r="A1110" s="281"/>
      <c r="B1110" s="316"/>
      <c r="C1110" s="316"/>
      <c r="D1110" s="316"/>
      <c r="E1110" s="316"/>
      <c r="F1110" s="316"/>
      <c r="G1110" s="316"/>
      <c r="H1110" s="316"/>
      <c r="I1110" s="316"/>
      <c r="J1110" s="316"/>
    </row>
    <row r="1111" spans="1:10" x14ac:dyDescent="0.25">
      <c r="B1111" s="293"/>
      <c r="C1111" s="293"/>
      <c r="D1111" s="293"/>
      <c r="E1111" s="293"/>
      <c r="F1111" s="293"/>
      <c r="G1111" s="293"/>
      <c r="H1111" s="293"/>
      <c r="I1111" s="293"/>
      <c r="J1111" s="293"/>
    </row>
    <row r="1112" spans="1:10" x14ac:dyDescent="0.25">
      <c r="A1112" s="280" t="s">
        <v>4303</v>
      </c>
      <c r="B1112" s="293"/>
      <c r="C1112" s="293"/>
      <c r="D1112" s="293"/>
      <c r="E1112" s="293"/>
      <c r="F1112" s="293"/>
      <c r="G1112" s="293"/>
      <c r="H1112" s="293"/>
      <c r="I1112" s="293"/>
      <c r="J1112" s="293"/>
    </row>
    <row r="1113" spans="1:10" x14ac:dyDescent="0.25">
      <c r="B1113" s="293"/>
      <c r="C1113" s="293"/>
      <c r="D1113" s="293"/>
      <c r="E1113" s="293"/>
      <c r="F1113" s="293"/>
      <c r="G1113" s="293"/>
      <c r="H1113" s="293"/>
      <c r="I1113" s="293"/>
      <c r="J1113" s="293"/>
    </row>
    <row r="1114" spans="1:10" x14ac:dyDescent="0.25">
      <c r="A1114" s="47" t="s">
        <v>4260</v>
      </c>
      <c r="B1114" s="293"/>
      <c r="C1114" s="293"/>
      <c r="D1114" s="293"/>
      <c r="E1114" s="293"/>
      <c r="F1114" s="293"/>
      <c r="G1114" s="293"/>
      <c r="H1114" s="293"/>
      <c r="I1114" s="293"/>
      <c r="J1114" s="293"/>
    </row>
    <row r="1115" spans="1:10" x14ac:dyDescent="0.25">
      <c r="A1115" t="s">
        <v>4262</v>
      </c>
      <c r="B1115" s="293"/>
      <c r="C1115" s="293"/>
      <c r="D1115" s="293"/>
      <c r="E1115" s="293"/>
      <c r="F1115" s="293"/>
      <c r="G1115" s="293"/>
      <c r="H1115" s="293"/>
      <c r="I1115" s="293"/>
      <c r="J1115" s="293"/>
    </row>
    <row r="1116" spans="1:10" x14ac:dyDescent="0.25">
      <c r="A1116" t="s">
        <v>4261</v>
      </c>
      <c r="B1116" s="293"/>
      <c r="C1116" s="293"/>
      <c r="D1116" s="293"/>
      <c r="E1116" s="293"/>
      <c r="F1116" s="293"/>
      <c r="G1116" s="293"/>
      <c r="H1116" s="293"/>
      <c r="I1116" s="293"/>
      <c r="J1116" s="293"/>
    </row>
    <row r="1117" spans="1:10" x14ac:dyDescent="0.25">
      <c r="A1117" t="s">
        <v>66</v>
      </c>
      <c r="B1117" s="293"/>
      <c r="C1117" s="293"/>
      <c r="D1117" s="293"/>
      <c r="E1117" s="293"/>
      <c r="F1117" s="293"/>
      <c r="G1117" s="293"/>
      <c r="H1117" s="293"/>
      <c r="I1117" s="293"/>
      <c r="J1117" s="293"/>
    </row>
    <row r="1118" spans="1:10" x14ac:dyDescent="0.25">
      <c r="B1118" s="293"/>
      <c r="C1118" s="293"/>
      <c r="D1118" s="293"/>
      <c r="E1118" s="293"/>
      <c r="F1118" s="293"/>
      <c r="G1118" s="293"/>
      <c r="H1118" s="293"/>
      <c r="I1118" s="293"/>
      <c r="J1118" s="293"/>
    </row>
    <row r="1119" spans="1:10" x14ac:dyDescent="0.25">
      <c r="B1119" s="293"/>
      <c r="C1119" s="293"/>
      <c r="D1119" s="293"/>
      <c r="E1119" s="293"/>
      <c r="F1119" s="293"/>
      <c r="G1119" s="293"/>
      <c r="H1119" s="293"/>
      <c r="I1119" s="293"/>
      <c r="J1119" s="293"/>
    </row>
    <row r="1120" spans="1:10" x14ac:dyDescent="0.25">
      <c r="B1120" s="293"/>
      <c r="C1120" s="293"/>
      <c r="D1120" s="293"/>
      <c r="E1120" s="293"/>
      <c r="F1120" s="293"/>
      <c r="G1120" s="293"/>
      <c r="H1120" s="293"/>
      <c r="I1120" s="293"/>
      <c r="J1120" s="293"/>
    </row>
    <row r="1121" spans="1:10" x14ac:dyDescent="0.25">
      <c r="B1121" s="293"/>
      <c r="C1121" s="293"/>
      <c r="D1121" s="293"/>
      <c r="E1121" s="293"/>
      <c r="F1121" s="293"/>
      <c r="G1121" s="293"/>
      <c r="H1121" s="293"/>
      <c r="I1121" s="293"/>
      <c r="J1121" s="293"/>
    </row>
    <row r="1122" spans="1:10" x14ac:dyDescent="0.25">
      <c r="A1122" s="47" t="s">
        <v>4263</v>
      </c>
      <c r="B1122" s="296">
        <f>SUM(B1112:B1121)</f>
        <v>0</v>
      </c>
      <c r="C1122" s="296">
        <f t="shared" ref="C1122" si="585">SUM(C1112:C1121)</f>
        <v>0</v>
      </c>
      <c r="D1122" s="296">
        <f t="shared" ref="D1122" si="586">SUM(D1112:D1121)</f>
        <v>0</v>
      </c>
      <c r="E1122" s="296">
        <f t="shared" ref="E1122" si="587">SUM(E1112:E1121)</f>
        <v>0</v>
      </c>
      <c r="F1122" s="296">
        <f t="shared" ref="F1122" si="588">SUM(F1112:F1121)</f>
        <v>0</v>
      </c>
      <c r="G1122" s="296">
        <f t="shared" ref="G1122" si="589">SUM(G1112:G1121)</f>
        <v>0</v>
      </c>
      <c r="H1122" s="296">
        <f t="shared" ref="H1122" si="590">SUM(H1112:H1121)</f>
        <v>0</v>
      </c>
      <c r="I1122" s="296">
        <f t="shared" ref="I1122" si="591">SUM(I1112:I1121)</f>
        <v>0</v>
      </c>
      <c r="J1122" s="296">
        <f t="shared" ref="J1122" si="592">SUM(J1112:J1121)</f>
        <v>0</v>
      </c>
    </row>
    <row r="1123" spans="1:10" x14ac:dyDescent="0.25">
      <c r="B1123" s="293"/>
      <c r="C1123" s="293"/>
      <c r="D1123" s="293"/>
      <c r="E1123" s="293"/>
      <c r="F1123" s="293"/>
      <c r="G1123" s="293"/>
      <c r="H1123" s="293"/>
      <c r="I1123" s="293"/>
      <c r="J1123" s="293"/>
    </row>
    <row r="1124" spans="1:10" x14ac:dyDescent="0.25">
      <c r="A1124" s="47" t="s">
        <v>4264</v>
      </c>
      <c r="B1124" s="293"/>
      <c r="C1124" s="293"/>
      <c r="D1124" s="293"/>
      <c r="E1124" s="293"/>
      <c r="F1124" s="293"/>
      <c r="G1124" s="293"/>
      <c r="H1124" s="293"/>
      <c r="I1124" s="293"/>
      <c r="J1124" s="293"/>
    </row>
    <row r="1125" spans="1:10" x14ac:dyDescent="0.25">
      <c r="A1125" t="s">
        <v>87</v>
      </c>
      <c r="B1125" s="293"/>
      <c r="C1125" s="293"/>
      <c r="D1125" s="293"/>
      <c r="E1125" s="293"/>
      <c r="F1125" s="293"/>
      <c r="G1125" s="293"/>
      <c r="H1125" s="293"/>
      <c r="I1125" s="293"/>
      <c r="J1125" s="293"/>
    </row>
    <row r="1126" spans="1:10" x14ac:dyDescent="0.25">
      <c r="A1126" t="s">
        <v>4265</v>
      </c>
      <c r="B1126" s="293"/>
      <c r="C1126" s="293"/>
      <c r="D1126" s="293"/>
      <c r="E1126" s="293"/>
      <c r="F1126" s="293"/>
      <c r="G1126" s="293"/>
      <c r="H1126" s="293"/>
      <c r="I1126" s="293"/>
      <c r="J1126" s="293"/>
    </row>
    <row r="1127" spans="1:10" x14ac:dyDescent="0.25">
      <c r="B1127" s="293"/>
      <c r="C1127" s="293"/>
      <c r="D1127" s="293"/>
      <c r="E1127" s="293"/>
      <c r="F1127" s="293"/>
      <c r="G1127" s="293"/>
      <c r="H1127" s="293"/>
      <c r="I1127" s="293"/>
      <c r="J1127" s="293"/>
    </row>
    <row r="1128" spans="1:10" x14ac:dyDescent="0.25">
      <c r="B1128" s="293"/>
      <c r="C1128" s="293"/>
      <c r="D1128" s="293"/>
      <c r="E1128" s="293"/>
      <c r="F1128" s="293"/>
      <c r="G1128" s="293"/>
      <c r="H1128" s="293"/>
      <c r="I1128" s="293"/>
      <c r="J1128" s="293"/>
    </row>
    <row r="1129" spans="1:10" x14ac:dyDescent="0.25">
      <c r="B1129" s="293"/>
      <c r="C1129" s="293"/>
      <c r="D1129" s="293"/>
      <c r="E1129" s="293"/>
      <c r="F1129" s="293"/>
      <c r="G1129" s="293"/>
      <c r="H1129" s="293"/>
      <c r="I1129" s="293"/>
      <c r="J1129" s="293"/>
    </row>
    <row r="1130" spans="1:10" x14ac:dyDescent="0.25">
      <c r="B1130" s="293"/>
      <c r="C1130" s="293"/>
      <c r="D1130" s="293"/>
      <c r="E1130" s="293"/>
      <c r="F1130" s="293"/>
      <c r="G1130" s="293"/>
      <c r="H1130" s="293"/>
      <c r="I1130" s="293"/>
      <c r="J1130" s="293"/>
    </row>
    <row r="1131" spans="1:10" x14ac:dyDescent="0.25">
      <c r="A1131" t="s">
        <v>4266</v>
      </c>
      <c r="B1131" s="293"/>
      <c r="C1131" s="293"/>
      <c r="D1131" s="293"/>
      <c r="E1131" s="293"/>
      <c r="F1131" s="293"/>
      <c r="G1131" s="293"/>
      <c r="H1131" s="293"/>
      <c r="I1131" s="293"/>
      <c r="J1131" s="293"/>
    </row>
    <row r="1132" spans="1:10" x14ac:dyDescent="0.25">
      <c r="A1132" t="s">
        <v>66</v>
      </c>
      <c r="B1132" s="293"/>
      <c r="C1132" s="293"/>
      <c r="D1132" s="293"/>
      <c r="E1132" s="293"/>
      <c r="F1132" s="293"/>
      <c r="G1132" s="293"/>
      <c r="H1132" s="293"/>
      <c r="I1132" s="293"/>
      <c r="J1132" s="293"/>
    </row>
    <row r="1133" spans="1:10" x14ac:dyDescent="0.25">
      <c r="B1133" s="293"/>
      <c r="C1133" s="293"/>
      <c r="D1133" s="293"/>
      <c r="E1133" s="293"/>
      <c r="F1133" s="293"/>
      <c r="G1133" s="293"/>
      <c r="H1133" s="293"/>
      <c r="I1133" s="293"/>
      <c r="J1133" s="293"/>
    </row>
    <row r="1134" spans="1:10" x14ac:dyDescent="0.25">
      <c r="B1134" s="293"/>
      <c r="C1134" s="293"/>
      <c r="D1134" s="293"/>
      <c r="E1134" s="293"/>
      <c r="F1134" s="293"/>
      <c r="G1134" s="293"/>
      <c r="H1134" s="293"/>
      <c r="I1134" s="293"/>
      <c r="J1134" s="293"/>
    </row>
    <row r="1135" spans="1:10" x14ac:dyDescent="0.25">
      <c r="B1135" s="293"/>
      <c r="C1135" s="293"/>
      <c r="D1135" s="293"/>
      <c r="E1135" s="293"/>
      <c r="F1135" s="293"/>
      <c r="G1135" s="293"/>
      <c r="H1135" s="293"/>
      <c r="I1135" s="293"/>
      <c r="J1135" s="293"/>
    </row>
    <row r="1136" spans="1:10" x14ac:dyDescent="0.25">
      <c r="B1136" s="293"/>
      <c r="C1136" s="293"/>
      <c r="D1136" s="293"/>
      <c r="E1136" s="293"/>
      <c r="F1136" s="293"/>
      <c r="G1136" s="293"/>
      <c r="H1136" s="293"/>
      <c r="I1136" s="293"/>
      <c r="J1136" s="293"/>
    </row>
    <row r="1137" spans="1:10" x14ac:dyDescent="0.25">
      <c r="A1137" s="47" t="s">
        <v>4267</v>
      </c>
      <c r="B1137" s="296">
        <f>SUM(B1125:B1136)</f>
        <v>0</v>
      </c>
      <c r="C1137" s="296">
        <f t="shared" ref="C1137" si="593">SUM(C1125:C1136)</f>
        <v>0</v>
      </c>
      <c r="D1137" s="296">
        <f t="shared" ref="D1137" si="594">SUM(D1125:D1136)</f>
        <v>0</v>
      </c>
      <c r="E1137" s="296">
        <f t="shared" ref="E1137" si="595">SUM(E1125:E1136)</f>
        <v>0</v>
      </c>
      <c r="F1137" s="296">
        <f t="shared" ref="F1137" si="596">SUM(F1125:F1136)</f>
        <v>0</v>
      </c>
      <c r="G1137" s="296">
        <f t="shared" ref="G1137" si="597">SUM(G1125:G1136)</f>
        <v>0</v>
      </c>
      <c r="H1137" s="296">
        <f t="shared" ref="H1137" si="598">SUM(H1125:H1136)</f>
        <v>0</v>
      </c>
      <c r="I1137" s="296">
        <f t="shared" ref="I1137" si="599">SUM(I1125:I1136)</f>
        <v>0</v>
      </c>
      <c r="J1137" s="296">
        <f t="shared" ref="J1137" si="600">SUM(J1125:J1136)</f>
        <v>0</v>
      </c>
    </row>
    <row r="1138" spans="1:10" x14ac:dyDescent="0.25">
      <c r="B1138" s="293"/>
      <c r="C1138" s="293"/>
      <c r="D1138" s="293"/>
      <c r="E1138" s="293"/>
      <c r="F1138" s="293"/>
      <c r="G1138" s="293"/>
      <c r="H1138" s="293"/>
      <c r="I1138" s="293"/>
      <c r="J1138" s="293"/>
    </row>
    <row r="1139" spans="1:10" ht="15.75" thickBot="1" x14ac:dyDescent="0.3">
      <c r="A1139" s="47" t="s">
        <v>4268</v>
      </c>
      <c r="B1139" s="301">
        <f>B1122-B1137</f>
        <v>0</v>
      </c>
      <c r="C1139" s="301">
        <f t="shared" ref="C1139:J1139" si="601">C1122-C1137</f>
        <v>0</v>
      </c>
      <c r="D1139" s="301">
        <f t="shared" si="601"/>
        <v>0</v>
      </c>
      <c r="E1139" s="301">
        <f t="shared" si="601"/>
        <v>0</v>
      </c>
      <c r="F1139" s="301">
        <f t="shared" si="601"/>
        <v>0</v>
      </c>
      <c r="G1139" s="301">
        <f t="shared" si="601"/>
        <v>0</v>
      </c>
      <c r="H1139" s="301">
        <f t="shared" si="601"/>
        <v>0</v>
      </c>
      <c r="I1139" s="301">
        <f t="shared" si="601"/>
        <v>0</v>
      </c>
      <c r="J1139" s="301">
        <f t="shared" si="601"/>
        <v>0</v>
      </c>
    </row>
    <row r="1140" spans="1:10" ht="15.75" thickTop="1" x14ac:dyDescent="0.25">
      <c r="B1140" s="293"/>
      <c r="C1140" s="293"/>
      <c r="D1140" s="293"/>
      <c r="E1140" s="293"/>
      <c r="F1140" s="293"/>
      <c r="G1140" s="293"/>
      <c r="H1140" s="293"/>
      <c r="I1140" s="293"/>
      <c r="J1140" s="293"/>
    </row>
    <row r="1141" spans="1:10" x14ac:dyDescent="0.25">
      <c r="A1141" s="281"/>
      <c r="B1141" s="316"/>
      <c r="C1141" s="316"/>
      <c r="D1141" s="316"/>
      <c r="E1141" s="316"/>
      <c r="F1141" s="316"/>
      <c r="G1141" s="316"/>
      <c r="H1141" s="316"/>
      <c r="I1141" s="316"/>
      <c r="J1141" s="316"/>
    </row>
    <row r="1142" spans="1:10" x14ac:dyDescent="0.25">
      <c r="B1142" s="293"/>
      <c r="C1142" s="293"/>
      <c r="D1142" s="293"/>
      <c r="E1142" s="293"/>
      <c r="F1142" s="293"/>
      <c r="G1142" s="293"/>
      <c r="H1142" s="293"/>
      <c r="I1142" s="293"/>
      <c r="J1142" s="293"/>
    </row>
    <row r="1143" spans="1:10" x14ac:dyDescent="0.25">
      <c r="A1143" s="280" t="s">
        <v>4304</v>
      </c>
      <c r="B1143" s="293"/>
      <c r="C1143" s="293"/>
      <c r="D1143" s="293"/>
      <c r="E1143" s="293"/>
      <c r="F1143" s="293"/>
      <c r="G1143" s="293"/>
      <c r="H1143" s="293"/>
      <c r="I1143" s="293"/>
      <c r="J1143" s="293"/>
    </row>
    <row r="1144" spans="1:10" x14ac:dyDescent="0.25">
      <c r="B1144" s="293"/>
      <c r="C1144" s="293"/>
      <c r="D1144" s="293"/>
      <c r="E1144" s="293"/>
      <c r="F1144" s="293"/>
      <c r="G1144" s="293"/>
      <c r="H1144" s="293"/>
      <c r="I1144" s="293"/>
      <c r="J1144" s="293"/>
    </row>
    <row r="1145" spans="1:10" x14ac:dyDescent="0.25">
      <c r="A1145" s="47" t="s">
        <v>4260</v>
      </c>
      <c r="B1145" s="293"/>
      <c r="C1145" s="293"/>
      <c r="D1145" s="293"/>
      <c r="E1145" s="293"/>
      <c r="F1145" s="293"/>
      <c r="G1145" s="293"/>
      <c r="H1145" s="293"/>
      <c r="I1145" s="293"/>
      <c r="J1145" s="293"/>
    </row>
    <row r="1146" spans="1:10" x14ac:dyDescent="0.25">
      <c r="A1146" t="s">
        <v>4262</v>
      </c>
      <c r="B1146" s="293"/>
      <c r="C1146" s="293"/>
      <c r="D1146" s="293"/>
      <c r="E1146" s="293"/>
      <c r="F1146" s="293"/>
      <c r="G1146" s="293"/>
      <c r="H1146" s="293"/>
      <c r="I1146" s="293"/>
      <c r="J1146" s="293"/>
    </row>
    <row r="1147" spans="1:10" x14ac:dyDescent="0.25">
      <c r="A1147" t="s">
        <v>4261</v>
      </c>
      <c r="B1147" s="293"/>
      <c r="C1147" s="293"/>
      <c r="D1147" s="293"/>
      <c r="E1147" s="293"/>
      <c r="F1147" s="293"/>
      <c r="G1147" s="293"/>
      <c r="H1147" s="293"/>
      <c r="I1147" s="293"/>
      <c r="J1147" s="293"/>
    </row>
    <row r="1148" spans="1:10" x14ac:dyDescent="0.25">
      <c r="A1148" t="s">
        <v>66</v>
      </c>
      <c r="B1148" s="293"/>
      <c r="C1148" s="293"/>
      <c r="D1148" s="293"/>
      <c r="E1148" s="293"/>
      <c r="F1148" s="293"/>
      <c r="G1148" s="293"/>
      <c r="H1148" s="293"/>
      <c r="I1148" s="293"/>
      <c r="J1148" s="293"/>
    </row>
    <row r="1149" spans="1:10" x14ac:dyDescent="0.25">
      <c r="B1149" s="293"/>
      <c r="C1149" s="293"/>
      <c r="D1149" s="293"/>
      <c r="E1149" s="293"/>
      <c r="F1149" s="293"/>
      <c r="G1149" s="293"/>
      <c r="H1149" s="293"/>
      <c r="I1149" s="293"/>
      <c r="J1149" s="293"/>
    </row>
    <row r="1150" spans="1:10" x14ac:dyDescent="0.25">
      <c r="B1150" s="293"/>
      <c r="C1150" s="293"/>
      <c r="D1150" s="293"/>
      <c r="E1150" s="293"/>
      <c r="F1150" s="293"/>
      <c r="G1150" s="293"/>
      <c r="H1150" s="293"/>
      <c r="I1150" s="293"/>
      <c r="J1150" s="293"/>
    </row>
    <row r="1151" spans="1:10" x14ac:dyDescent="0.25">
      <c r="B1151" s="293"/>
      <c r="C1151" s="293"/>
      <c r="D1151" s="293"/>
      <c r="E1151" s="293"/>
      <c r="F1151" s="293"/>
      <c r="G1151" s="293"/>
      <c r="H1151" s="293"/>
      <c r="I1151" s="293"/>
      <c r="J1151" s="293"/>
    </row>
    <row r="1152" spans="1:10" x14ac:dyDescent="0.25">
      <c r="B1152" s="293"/>
      <c r="C1152" s="293"/>
      <c r="D1152" s="293"/>
      <c r="E1152" s="293"/>
      <c r="F1152" s="293"/>
      <c r="G1152" s="293"/>
      <c r="H1152" s="293"/>
      <c r="I1152" s="293"/>
      <c r="J1152" s="293"/>
    </row>
    <row r="1153" spans="1:10" x14ac:dyDescent="0.25">
      <c r="A1153" s="47" t="s">
        <v>4263</v>
      </c>
      <c r="B1153" s="296">
        <f>SUM(B1143:B1152)</f>
        <v>0</v>
      </c>
      <c r="C1153" s="296">
        <f t="shared" ref="C1153" si="602">SUM(C1143:C1152)</f>
        <v>0</v>
      </c>
      <c r="D1153" s="296">
        <f t="shared" ref="D1153" si="603">SUM(D1143:D1152)</f>
        <v>0</v>
      </c>
      <c r="E1153" s="296">
        <f t="shared" ref="E1153" si="604">SUM(E1143:E1152)</f>
        <v>0</v>
      </c>
      <c r="F1153" s="296">
        <f t="shared" ref="F1153" si="605">SUM(F1143:F1152)</f>
        <v>0</v>
      </c>
      <c r="G1153" s="296">
        <f t="shared" ref="G1153" si="606">SUM(G1143:G1152)</f>
        <v>0</v>
      </c>
      <c r="H1153" s="296">
        <f t="shared" ref="H1153" si="607">SUM(H1143:H1152)</f>
        <v>0</v>
      </c>
      <c r="I1153" s="296">
        <f t="shared" ref="I1153" si="608">SUM(I1143:I1152)</f>
        <v>0</v>
      </c>
      <c r="J1153" s="296">
        <f t="shared" ref="J1153" si="609">SUM(J1143:J1152)</f>
        <v>0</v>
      </c>
    </row>
    <row r="1154" spans="1:10" x14ac:dyDescent="0.25">
      <c r="B1154" s="293"/>
      <c r="C1154" s="293"/>
      <c r="D1154" s="293"/>
      <c r="E1154" s="293"/>
      <c r="F1154" s="293"/>
      <c r="G1154" s="293"/>
      <c r="H1154" s="293"/>
      <c r="I1154" s="293"/>
      <c r="J1154" s="293"/>
    </row>
    <row r="1155" spans="1:10" x14ac:dyDescent="0.25">
      <c r="A1155" s="47" t="s">
        <v>4264</v>
      </c>
      <c r="B1155" s="293"/>
      <c r="C1155" s="293"/>
      <c r="D1155" s="293"/>
      <c r="E1155" s="293"/>
      <c r="F1155" s="293"/>
      <c r="G1155" s="293"/>
      <c r="H1155" s="293"/>
      <c r="I1155" s="293"/>
      <c r="J1155" s="293"/>
    </row>
    <row r="1156" spans="1:10" x14ac:dyDescent="0.25">
      <c r="A1156" t="s">
        <v>87</v>
      </c>
      <c r="B1156" s="293"/>
      <c r="C1156" s="293"/>
      <c r="D1156" s="293"/>
      <c r="E1156" s="293"/>
      <c r="F1156" s="293"/>
      <c r="G1156" s="293"/>
      <c r="H1156" s="293"/>
      <c r="I1156" s="293"/>
      <c r="J1156" s="293"/>
    </row>
    <row r="1157" spans="1:10" x14ac:dyDescent="0.25">
      <c r="A1157" t="s">
        <v>4265</v>
      </c>
      <c r="B1157" s="293"/>
      <c r="C1157" s="293"/>
      <c r="D1157" s="293"/>
      <c r="E1157" s="293"/>
      <c r="F1157" s="293"/>
      <c r="G1157" s="293"/>
      <c r="H1157" s="293"/>
      <c r="I1157" s="293"/>
      <c r="J1157" s="293"/>
    </row>
    <row r="1158" spans="1:10" x14ac:dyDescent="0.25">
      <c r="B1158" s="293"/>
      <c r="C1158" s="293"/>
      <c r="D1158" s="293"/>
      <c r="E1158" s="293"/>
      <c r="F1158" s="293"/>
      <c r="G1158" s="293"/>
      <c r="H1158" s="293"/>
      <c r="I1158" s="293"/>
      <c r="J1158" s="293"/>
    </row>
    <row r="1159" spans="1:10" x14ac:dyDescent="0.25">
      <c r="B1159" s="293"/>
      <c r="C1159" s="293"/>
      <c r="D1159" s="293"/>
      <c r="E1159" s="293"/>
      <c r="F1159" s="293"/>
      <c r="G1159" s="293"/>
      <c r="H1159" s="293"/>
      <c r="I1159" s="293"/>
      <c r="J1159" s="293"/>
    </row>
    <row r="1160" spans="1:10" x14ac:dyDescent="0.25">
      <c r="B1160" s="293"/>
      <c r="C1160" s="293"/>
      <c r="D1160" s="293"/>
      <c r="E1160" s="293"/>
      <c r="F1160" s="293"/>
      <c r="G1160" s="293"/>
      <c r="H1160" s="293"/>
      <c r="I1160" s="293"/>
      <c r="J1160" s="293"/>
    </row>
    <row r="1161" spans="1:10" x14ac:dyDescent="0.25">
      <c r="B1161" s="293"/>
      <c r="C1161" s="293"/>
      <c r="D1161" s="293"/>
      <c r="E1161" s="293"/>
      <c r="F1161" s="293"/>
      <c r="G1161" s="293"/>
      <c r="H1161" s="293"/>
      <c r="I1161" s="293"/>
      <c r="J1161" s="293"/>
    </row>
    <row r="1162" spans="1:10" x14ac:dyDescent="0.25">
      <c r="A1162" t="s">
        <v>4266</v>
      </c>
      <c r="B1162" s="293"/>
      <c r="C1162" s="293"/>
      <c r="D1162" s="293"/>
      <c r="E1162" s="293"/>
      <c r="F1162" s="293"/>
      <c r="G1162" s="293"/>
      <c r="H1162" s="293"/>
      <c r="I1162" s="293"/>
      <c r="J1162" s="293"/>
    </row>
    <row r="1163" spans="1:10" x14ac:dyDescent="0.25">
      <c r="A1163" t="s">
        <v>66</v>
      </c>
      <c r="B1163" s="293"/>
      <c r="C1163" s="293"/>
      <c r="D1163" s="293"/>
      <c r="E1163" s="293"/>
      <c r="F1163" s="293"/>
      <c r="G1163" s="293"/>
      <c r="H1163" s="293"/>
      <c r="I1163" s="293"/>
      <c r="J1163" s="293"/>
    </row>
    <row r="1164" spans="1:10" x14ac:dyDescent="0.25">
      <c r="B1164" s="293"/>
      <c r="C1164" s="293"/>
      <c r="D1164" s="293"/>
      <c r="E1164" s="293"/>
      <c r="F1164" s="293"/>
      <c r="G1164" s="293"/>
      <c r="H1164" s="293"/>
      <c r="I1164" s="293"/>
      <c r="J1164" s="293"/>
    </row>
    <row r="1165" spans="1:10" x14ac:dyDescent="0.25">
      <c r="B1165" s="293"/>
      <c r="C1165" s="293"/>
      <c r="D1165" s="293"/>
      <c r="E1165" s="293"/>
      <c r="F1165" s="293"/>
      <c r="G1165" s="293"/>
      <c r="H1165" s="293"/>
      <c r="I1165" s="293"/>
      <c r="J1165" s="293"/>
    </row>
    <row r="1166" spans="1:10" x14ac:dyDescent="0.25">
      <c r="B1166" s="293"/>
      <c r="C1166" s="293"/>
      <c r="D1166" s="293"/>
      <c r="E1166" s="293"/>
      <c r="F1166" s="293"/>
      <c r="G1166" s="293"/>
      <c r="H1166" s="293"/>
      <c r="I1166" s="293"/>
      <c r="J1166" s="293"/>
    </row>
    <row r="1167" spans="1:10" x14ac:dyDescent="0.25">
      <c r="B1167" s="293"/>
      <c r="C1167" s="293"/>
      <c r="D1167" s="293"/>
      <c r="E1167" s="293"/>
      <c r="F1167" s="293"/>
      <c r="G1167" s="293"/>
      <c r="H1167" s="293"/>
      <c r="I1167" s="293"/>
      <c r="J1167" s="293"/>
    </row>
    <row r="1168" spans="1:10" x14ac:dyDescent="0.25">
      <c r="A1168" s="47" t="s">
        <v>4267</v>
      </c>
      <c r="B1168" s="296">
        <f>SUM(B1156:B1167)</f>
        <v>0</v>
      </c>
      <c r="C1168" s="296">
        <f t="shared" ref="C1168" si="610">SUM(C1156:C1167)</f>
        <v>0</v>
      </c>
      <c r="D1168" s="296">
        <f t="shared" ref="D1168" si="611">SUM(D1156:D1167)</f>
        <v>0</v>
      </c>
      <c r="E1168" s="296">
        <f t="shared" ref="E1168" si="612">SUM(E1156:E1167)</f>
        <v>0</v>
      </c>
      <c r="F1168" s="296">
        <f t="shared" ref="F1168" si="613">SUM(F1156:F1167)</f>
        <v>0</v>
      </c>
      <c r="G1168" s="296">
        <f t="shared" ref="G1168" si="614">SUM(G1156:G1167)</f>
        <v>0</v>
      </c>
      <c r="H1168" s="296">
        <f t="shared" ref="H1168" si="615">SUM(H1156:H1167)</f>
        <v>0</v>
      </c>
      <c r="I1168" s="296">
        <f t="shared" ref="I1168" si="616">SUM(I1156:I1167)</f>
        <v>0</v>
      </c>
      <c r="J1168" s="296">
        <f t="shared" ref="J1168" si="617">SUM(J1156:J1167)</f>
        <v>0</v>
      </c>
    </row>
    <row r="1169" spans="1:10" x14ac:dyDescent="0.25">
      <c r="B1169" s="293"/>
      <c r="C1169" s="293"/>
      <c r="D1169" s="293"/>
      <c r="E1169" s="293"/>
      <c r="F1169" s="293"/>
      <c r="G1169" s="293"/>
      <c r="H1169" s="293"/>
      <c r="I1169" s="293"/>
      <c r="J1169" s="293"/>
    </row>
    <row r="1170" spans="1:10" ht="15.75" thickBot="1" x14ac:dyDescent="0.3">
      <c r="A1170" s="47" t="s">
        <v>4268</v>
      </c>
      <c r="B1170" s="301">
        <f>B1153-B1168</f>
        <v>0</v>
      </c>
      <c r="C1170" s="301">
        <f t="shared" ref="C1170:J1170" si="618">C1153-C1168</f>
        <v>0</v>
      </c>
      <c r="D1170" s="301">
        <f t="shared" si="618"/>
        <v>0</v>
      </c>
      <c r="E1170" s="301">
        <f t="shared" si="618"/>
        <v>0</v>
      </c>
      <c r="F1170" s="301">
        <f t="shared" si="618"/>
        <v>0</v>
      </c>
      <c r="G1170" s="301">
        <f t="shared" si="618"/>
        <v>0</v>
      </c>
      <c r="H1170" s="301">
        <f t="shared" si="618"/>
        <v>0</v>
      </c>
      <c r="I1170" s="301">
        <f t="shared" si="618"/>
        <v>0</v>
      </c>
      <c r="J1170" s="301">
        <f t="shared" si="618"/>
        <v>0</v>
      </c>
    </row>
    <row r="1171" spans="1:10" ht="15.75" thickTop="1" x14ac:dyDescent="0.25">
      <c r="B1171" s="293"/>
      <c r="C1171" s="293"/>
      <c r="D1171" s="293"/>
      <c r="E1171" s="293"/>
      <c r="F1171" s="293"/>
      <c r="G1171" s="293"/>
      <c r="H1171" s="293"/>
      <c r="I1171" s="293"/>
      <c r="J1171" s="293"/>
    </row>
    <row r="1172" spans="1:10" x14ac:dyDescent="0.25">
      <c r="A1172" s="281"/>
      <c r="B1172" s="316"/>
      <c r="C1172" s="316"/>
      <c r="D1172" s="316"/>
      <c r="E1172" s="316"/>
      <c r="F1172" s="316"/>
      <c r="G1172" s="316"/>
      <c r="H1172" s="316"/>
      <c r="I1172" s="316"/>
      <c r="J1172" s="316"/>
    </row>
    <row r="1173" spans="1:10" x14ac:dyDescent="0.25">
      <c r="B1173" s="293"/>
      <c r="C1173" s="293"/>
      <c r="D1173" s="293"/>
      <c r="E1173" s="293"/>
      <c r="F1173" s="293"/>
      <c r="G1173" s="293"/>
      <c r="H1173" s="293"/>
      <c r="I1173" s="293"/>
      <c r="J1173" s="293"/>
    </row>
    <row r="1174" spans="1:10" x14ac:dyDescent="0.25">
      <c r="A1174" s="280" t="s">
        <v>4305</v>
      </c>
      <c r="B1174" s="293"/>
      <c r="C1174" s="293"/>
      <c r="D1174" s="293"/>
      <c r="E1174" s="293"/>
      <c r="F1174" s="293"/>
      <c r="G1174" s="293"/>
      <c r="H1174" s="293"/>
      <c r="I1174" s="293"/>
      <c r="J1174" s="293"/>
    </row>
    <row r="1175" spans="1:10" x14ac:dyDescent="0.25">
      <c r="B1175" s="293"/>
      <c r="C1175" s="293"/>
      <c r="D1175" s="293"/>
      <c r="E1175" s="293"/>
      <c r="F1175" s="293"/>
      <c r="G1175" s="293"/>
      <c r="H1175" s="293"/>
      <c r="I1175" s="293"/>
      <c r="J1175" s="293"/>
    </row>
    <row r="1176" spans="1:10" x14ac:dyDescent="0.25">
      <c r="A1176" s="47" t="s">
        <v>4260</v>
      </c>
      <c r="B1176" s="293"/>
      <c r="C1176" s="293"/>
      <c r="D1176" s="293"/>
      <c r="E1176" s="293"/>
      <c r="F1176" s="293"/>
      <c r="G1176" s="293"/>
      <c r="H1176" s="293"/>
      <c r="I1176" s="293"/>
      <c r="J1176" s="293"/>
    </row>
    <row r="1177" spans="1:10" x14ac:dyDescent="0.25">
      <c r="A1177" t="s">
        <v>4262</v>
      </c>
      <c r="B1177" s="293"/>
      <c r="C1177" s="293"/>
      <c r="D1177" s="293"/>
      <c r="E1177" s="293"/>
      <c r="F1177" s="293"/>
      <c r="G1177" s="293"/>
      <c r="H1177" s="293"/>
      <c r="I1177" s="293"/>
      <c r="J1177" s="293"/>
    </row>
    <row r="1178" spans="1:10" x14ac:dyDescent="0.25">
      <c r="A1178" t="s">
        <v>4261</v>
      </c>
      <c r="B1178" s="293"/>
      <c r="C1178" s="293"/>
      <c r="D1178" s="293"/>
      <c r="E1178" s="293"/>
      <c r="F1178" s="293"/>
      <c r="G1178" s="293"/>
      <c r="H1178" s="293"/>
      <c r="I1178" s="293"/>
      <c r="J1178" s="293"/>
    </row>
    <row r="1179" spans="1:10" x14ac:dyDescent="0.25">
      <c r="A1179" t="s">
        <v>66</v>
      </c>
      <c r="B1179" s="293"/>
      <c r="C1179" s="293"/>
      <c r="D1179" s="293"/>
      <c r="E1179" s="293"/>
      <c r="F1179" s="293"/>
      <c r="G1179" s="293"/>
      <c r="H1179" s="293"/>
      <c r="I1179" s="293"/>
      <c r="J1179" s="293"/>
    </row>
    <row r="1180" spans="1:10" x14ac:dyDescent="0.25">
      <c r="B1180" s="293"/>
      <c r="C1180" s="293"/>
      <c r="D1180" s="293"/>
      <c r="E1180" s="293"/>
      <c r="F1180" s="293"/>
      <c r="G1180" s="293"/>
      <c r="H1180" s="293"/>
      <c r="I1180" s="293"/>
      <c r="J1180" s="293"/>
    </row>
    <row r="1181" spans="1:10" x14ac:dyDescent="0.25">
      <c r="B1181" s="293"/>
      <c r="C1181" s="293"/>
      <c r="D1181" s="293"/>
      <c r="E1181" s="293"/>
      <c r="F1181" s="293"/>
      <c r="G1181" s="293"/>
      <c r="H1181" s="293"/>
      <c r="I1181" s="293"/>
      <c r="J1181" s="293"/>
    </row>
    <row r="1182" spans="1:10" x14ac:dyDescent="0.25">
      <c r="B1182" s="293"/>
      <c r="C1182" s="293"/>
      <c r="D1182" s="293"/>
      <c r="E1182" s="293"/>
      <c r="F1182" s="293"/>
      <c r="G1182" s="293"/>
      <c r="H1182" s="293"/>
      <c r="I1182" s="293"/>
      <c r="J1182" s="293"/>
    </row>
    <row r="1183" spans="1:10" x14ac:dyDescent="0.25">
      <c r="B1183" s="293"/>
      <c r="C1183" s="293"/>
      <c r="D1183" s="293"/>
      <c r="E1183" s="293"/>
      <c r="F1183" s="293"/>
      <c r="G1183" s="293"/>
      <c r="H1183" s="293"/>
      <c r="I1183" s="293"/>
      <c r="J1183" s="293"/>
    </row>
    <row r="1184" spans="1:10" x14ac:dyDescent="0.25">
      <c r="A1184" s="47" t="s">
        <v>4263</v>
      </c>
      <c r="B1184" s="296">
        <f>SUM(B1174:B1183)</f>
        <v>0</v>
      </c>
      <c r="C1184" s="296">
        <f t="shared" ref="C1184" si="619">SUM(C1174:C1183)</f>
        <v>0</v>
      </c>
      <c r="D1184" s="296">
        <f t="shared" ref="D1184" si="620">SUM(D1174:D1183)</f>
        <v>0</v>
      </c>
      <c r="E1184" s="296">
        <f t="shared" ref="E1184" si="621">SUM(E1174:E1183)</f>
        <v>0</v>
      </c>
      <c r="F1184" s="296">
        <f t="shared" ref="F1184" si="622">SUM(F1174:F1183)</f>
        <v>0</v>
      </c>
      <c r="G1184" s="296">
        <f t="shared" ref="G1184" si="623">SUM(G1174:G1183)</f>
        <v>0</v>
      </c>
      <c r="H1184" s="296">
        <f t="shared" ref="H1184" si="624">SUM(H1174:H1183)</f>
        <v>0</v>
      </c>
      <c r="I1184" s="296">
        <f t="shared" ref="I1184" si="625">SUM(I1174:I1183)</f>
        <v>0</v>
      </c>
      <c r="J1184" s="296">
        <f t="shared" ref="J1184" si="626">SUM(J1174:J1183)</f>
        <v>0</v>
      </c>
    </row>
    <row r="1185" spans="1:10" x14ac:dyDescent="0.25">
      <c r="B1185" s="293"/>
      <c r="C1185" s="293"/>
      <c r="D1185" s="293"/>
      <c r="E1185" s="293"/>
      <c r="F1185" s="293"/>
      <c r="G1185" s="293"/>
      <c r="H1185" s="293"/>
      <c r="I1185" s="293"/>
      <c r="J1185" s="293"/>
    </row>
    <row r="1186" spans="1:10" x14ac:dyDescent="0.25">
      <c r="A1186" s="47" t="s">
        <v>4264</v>
      </c>
      <c r="B1186" s="293"/>
      <c r="C1186" s="293"/>
      <c r="D1186" s="293"/>
      <c r="E1186" s="293"/>
      <c r="F1186" s="293"/>
      <c r="G1186" s="293"/>
      <c r="H1186" s="293"/>
      <c r="I1186" s="293"/>
      <c r="J1186" s="293"/>
    </row>
    <row r="1187" spans="1:10" x14ac:dyDescent="0.25">
      <c r="A1187" t="s">
        <v>87</v>
      </c>
      <c r="B1187" s="293"/>
      <c r="C1187" s="293"/>
      <c r="D1187" s="293"/>
      <c r="E1187" s="293"/>
      <c r="F1187" s="293"/>
      <c r="G1187" s="293"/>
      <c r="H1187" s="293"/>
      <c r="I1187" s="293"/>
      <c r="J1187" s="293"/>
    </row>
    <row r="1188" spans="1:10" x14ac:dyDescent="0.25">
      <c r="A1188" t="s">
        <v>4265</v>
      </c>
      <c r="B1188" s="293"/>
      <c r="C1188" s="293"/>
      <c r="D1188" s="293"/>
      <c r="E1188" s="293"/>
      <c r="F1188" s="293"/>
      <c r="G1188" s="293"/>
      <c r="H1188" s="293"/>
      <c r="I1188" s="293"/>
      <c r="J1188" s="293"/>
    </row>
    <row r="1189" spans="1:10" x14ac:dyDescent="0.25">
      <c r="B1189" s="293"/>
      <c r="C1189" s="293"/>
      <c r="D1189" s="293"/>
      <c r="E1189" s="293"/>
      <c r="F1189" s="293"/>
      <c r="G1189" s="293"/>
      <c r="H1189" s="293"/>
      <c r="I1189" s="293"/>
      <c r="J1189" s="293"/>
    </row>
    <row r="1190" spans="1:10" x14ac:dyDescent="0.25">
      <c r="B1190" s="293"/>
      <c r="C1190" s="293"/>
      <c r="D1190" s="293"/>
      <c r="E1190" s="293"/>
      <c r="F1190" s="293"/>
      <c r="G1190" s="293"/>
      <c r="H1190" s="293"/>
      <c r="I1190" s="293"/>
      <c r="J1190" s="293"/>
    </row>
    <row r="1191" spans="1:10" x14ac:dyDescent="0.25">
      <c r="B1191" s="293"/>
      <c r="C1191" s="293"/>
      <c r="D1191" s="293"/>
      <c r="E1191" s="293"/>
      <c r="F1191" s="293"/>
      <c r="G1191" s="293"/>
      <c r="H1191" s="293"/>
      <c r="I1191" s="293"/>
      <c r="J1191" s="293"/>
    </row>
    <row r="1192" spans="1:10" x14ac:dyDescent="0.25">
      <c r="B1192" s="293"/>
      <c r="C1192" s="293"/>
      <c r="D1192" s="293"/>
      <c r="E1192" s="293"/>
      <c r="F1192" s="293"/>
      <c r="G1192" s="293"/>
      <c r="H1192" s="293"/>
      <c r="I1192" s="293"/>
      <c r="J1192" s="293"/>
    </row>
    <row r="1193" spans="1:10" x14ac:dyDescent="0.25">
      <c r="A1193" t="s">
        <v>4266</v>
      </c>
      <c r="B1193" s="293"/>
      <c r="C1193" s="293"/>
      <c r="D1193" s="293"/>
      <c r="E1193" s="293"/>
      <c r="F1193" s="293"/>
      <c r="G1193" s="293"/>
      <c r="H1193" s="293"/>
      <c r="I1193" s="293"/>
      <c r="J1193" s="293"/>
    </row>
    <row r="1194" spans="1:10" x14ac:dyDescent="0.25">
      <c r="A1194" t="s">
        <v>66</v>
      </c>
      <c r="B1194" s="293"/>
      <c r="C1194" s="293"/>
      <c r="D1194" s="293"/>
      <c r="E1194" s="293"/>
      <c r="F1194" s="293"/>
      <c r="G1194" s="293"/>
      <c r="H1194" s="293"/>
      <c r="I1194" s="293"/>
      <c r="J1194" s="293"/>
    </row>
    <row r="1195" spans="1:10" x14ac:dyDescent="0.25">
      <c r="B1195" s="293"/>
      <c r="C1195" s="293"/>
      <c r="D1195" s="293"/>
      <c r="E1195" s="293"/>
      <c r="F1195" s="293"/>
      <c r="G1195" s="293"/>
      <c r="H1195" s="293"/>
      <c r="I1195" s="293"/>
      <c r="J1195" s="293"/>
    </row>
    <row r="1196" spans="1:10" x14ac:dyDescent="0.25">
      <c r="B1196" s="293"/>
      <c r="C1196" s="293"/>
      <c r="D1196" s="293"/>
      <c r="E1196" s="293"/>
      <c r="F1196" s="293"/>
      <c r="G1196" s="293"/>
      <c r="H1196" s="293"/>
      <c r="I1196" s="293"/>
      <c r="J1196" s="293"/>
    </row>
    <row r="1197" spans="1:10" x14ac:dyDescent="0.25">
      <c r="B1197" s="293"/>
      <c r="C1197" s="293"/>
      <c r="D1197" s="293"/>
      <c r="E1197" s="293"/>
      <c r="F1197" s="293"/>
      <c r="G1197" s="293"/>
      <c r="H1197" s="293"/>
      <c r="I1197" s="293"/>
      <c r="J1197" s="293"/>
    </row>
    <row r="1198" spans="1:10" x14ac:dyDescent="0.25">
      <c r="B1198" s="293"/>
      <c r="C1198" s="293"/>
      <c r="D1198" s="293"/>
      <c r="E1198" s="293"/>
      <c r="F1198" s="293"/>
      <c r="G1198" s="293"/>
      <c r="H1198" s="293"/>
      <c r="I1198" s="293"/>
      <c r="J1198" s="293"/>
    </row>
    <row r="1199" spans="1:10" x14ac:dyDescent="0.25">
      <c r="A1199" s="47" t="s">
        <v>4267</v>
      </c>
      <c r="B1199" s="296">
        <f>SUM(B1187:B1198)</f>
        <v>0</v>
      </c>
      <c r="C1199" s="296">
        <f t="shared" ref="C1199" si="627">SUM(C1187:C1198)</f>
        <v>0</v>
      </c>
      <c r="D1199" s="296">
        <f t="shared" ref="D1199" si="628">SUM(D1187:D1198)</f>
        <v>0</v>
      </c>
      <c r="E1199" s="296">
        <f t="shared" ref="E1199" si="629">SUM(E1187:E1198)</f>
        <v>0</v>
      </c>
      <c r="F1199" s="296">
        <f t="shared" ref="F1199" si="630">SUM(F1187:F1198)</f>
        <v>0</v>
      </c>
      <c r="G1199" s="296">
        <f t="shared" ref="G1199" si="631">SUM(G1187:G1198)</f>
        <v>0</v>
      </c>
      <c r="H1199" s="296">
        <f t="shared" ref="H1199" si="632">SUM(H1187:H1198)</f>
        <v>0</v>
      </c>
      <c r="I1199" s="296">
        <f t="shared" ref="I1199" si="633">SUM(I1187:I1198)</f>
        <v>0</v>
      </c>
      <c r="J1199" s="296">
        <f t="shared" ref="J1199" si="634">SUM(J1187:J1198)</f>
        <v>0</v>
      </c>
    </row>
    <row r="1200" spans="1:10" x14ac:dyDescent="0.25">
      <c r="B1200" s="293"/>
      <c r="C1200" s="293"/>
      <c r="D1200" s="293"/>
      <c r="E1200" s="293"/>
      <c r="F1200" s="293"/>
      <c r="G1200" s="293"/>
      <c r="H1200" s="293"/>
      <c r="I1200" s="293"/>
      <c r="J1200" s="293"/>
    </row>
    <row r="1201" spans="1:10" ht="15.75" thickBot="1" x14ac:dyDescent="0.3">
      <c r="A1201" s="47" t="s">
        <v>4268</v>
      </c>
      <c r="B1201" s="301">
        <f>B1184-B1199</f>
        <v>0</v>
      </c>
      <c r="C1201" s="301">
        <f t="shared" ref="C1201:J1201" si="635">C1184-C1199</f>
        <v>0</v>
      </c>
      <c r="D1201" s="301">
        <f t="shared" si="635"/>
        <v>0</v>
      </c>
      <c r="E1201" s="301">
        <f t="shared" si="635"/>
        <v>0</v>
      </c>
      <c r="F1201" s="301">
        <f t="shared" si="635"/>
        <v>0</v>
      </c>
      <c r="G1201" s="301">
        <f t="shared" si="635"/>
        <v>0</v>
      </c>
      <c r="H1201" s="301">
        <f t="shared" si="635"/>
        <v>0</v>
      </c>
      <c r="I1201" s="301">
        <f t="shared" si="635"/>
        <v>0</v>
      </c>
      <c r="J1201" s="301">
        <f t="shared" si="635"/>
        <v>0</v>
      </c>
    </row>
    <row r="1202" spans="1:10" ht="15.75" thickTop="1" x14ac:dyDescent="0.25">
      <c r="B1202" s="293"/>
      <c r="C1202" s="293"/>
      <c r="D1202" s="293"/>
      <c r="E1202" s="293"/>
      <c r="F1202" s="293"/>
      <c r="G1202" s="293"/>
      <c r="H1202" s="293"/>
      <c r="I1202" s="293"/>
      <c r="J1202" s="293"/>
    </row>
    <row r="1203" spans="1:10" x14ac:dyDescent="0.25">
      <c r="A1203" s="281"/>
      <c r="B1203" s="316"/>
      <c r="C1203" s="316"/>
      <c r="D1203" s="316"/>
      <c r="E1203" s="316"/>
      <c r="F1203" s="316"/>
      <c r="G1203" s="316"/>
      <c r="H1203" s="316"/>
      <c r="I1203" s="316"/>
      <c r="J1203" s="316"/>
    </row>
    <row r="1204" spans="1:10" x14ac:dyDescent="0.25">
      <c r="B1204" s="293"/>
      <c r="C1204" s="293"/>
      <c r="D1204" s="293"/>
      <c r="E1204" s="293"/>
      <c r="F1204" s="293"/>
      <c r="G1204" s="293"/>
      <c r="H1204" s="293"/>
      <c r="I1204" s="293"/>
      <c r="J1204" s="293"/>
    </row>
    <row r="1205" spans="1:10" x14ac:dyDescent="0.25">
      <c r="A1205" s="282"/>
      <c r="B1205" s="299"/>
      <c r="C1205" s="299"/>
      <c r="D1205" s="299"/>
      <c r="E1205" s="299"/>
      <c r="F1205" s="299"/>
      <c r="G1205" s="299"/>
      <c r="H1205" s="299"/>
      <c r="I1205" s="299"/>
      <c r="J1205" s="299"/>
    </row>
    <row r="1206" spans="1:10" x14ac:dyDescent="0.25">
      <c r="A1206" s="280" t="s">
        <v>4306</v>
      </c>
      <c r="B1206" s="293"/>
      <c r="C1206" s="293"/>
      <c r="D1206" s="293"/>
      <c r="E1206" s="293"/>
      <c r="F1206" s="293"/>
      <c r="G1206" s="293"/>
      <c r="H1206" s="293"/>
      <c r="I1206" s="293"/>
      <c r="J1206" s="293"/>
    </row>
    <row r="1207" spans="1:10" x14ac:dyDescent="0.25">
      <c r="B1207" s="293"/>
      <c r="C1207" s="293"/>
      <c r="D1207" s="293"/>
      <c r="E1207" s="293"/>
      <c r="F1207" s="293"/>
      <c r="G1207" s="293"/>
      <c r="H1207" s="293"/>
      <c r="I1207" s="293"/>
      <c r="J1207" s="293"/>
    </row>
    <row r="1208" spans="1:10" x14ac:dyDescent="0.25">
      <c r="A1208" s="47" t="s">
        <v>4260</v>
      </c>
      <c r="B1208" s="293"/>
      <c r="C1208" s="293"/>
      <c r="D1208" s="293"/>
      <c r="E1208" s="293"/>
      <c r="F1208" s="293"/>
      <c r="G1208" s="293"/>
      <c r="H1208" s="293"/>
      <c r="I1208" s="293"/>
      <c r="J1208" s="293"/>
    </row>
    <row r="1209" spans="1:10" x14ac:dyDescent="0.25">
      <c r="A1209" t="s">
        <v>4262</v>
      </c>
      <c r="B1209" s="293"/>
      <c r="C1209" s="293"/>
      <c r="D1209" s="293"/>
      <c r="E1209" s="293"/>
      <c r="F1209" s="293"/>
      <c r="G1209" s="293"/>
      <c r="H1209" s="293"/>
      <c r="I1209" s="293"/>
      <c r="J1209" s="293"/>
    </row>
    <row r="1210" spans="1:10" x14ac:dyDescent="0.25">
      <c r="A1210" t="s">
        <v>4261</v>
      </c>
      <c r="B1210" s="293"/>
      <c r="C1210" s="293"/>
      <c r="D1210" s="293"/>
      <c r="E1210" s="293"/>
      <c r="F1210" s="293"/>
      <c r="G1210" s="293"/>
      <c r="H1210" s="293"/>
      <c r="I1210" s="293"/>
      <c r="J1210" s="293"/>
    </row>
    <row r="1211" spans="1:10" x14ac:dyDescent="0.25">
      <c r="A1211" t="s">
        <v>66</v>
      </c>
      <c r="B1211" s="293"/>
      <c r="C1211" s="293"/>
      <c r="D1211" s="293"/>
      <c r="E1211" s="293"/>
      <c r="F1211" s="293"/>
      <c r="G1211" s="293"/>
      <c r="H1211" s="293"/>
      <c r="I1211" s="293"/>
      <c r="J1211" s="293"/>
    </row>
    <row r="1212" spans="1:10" x14ac:dyDescent="0.25">
      <c r="B1212" s="293"/>
      <c r="C1212" s="293"/>
      <c r="D1212" s="293"/>
      <c r="E1212" s="293"/>
      <c r="F1212" s="293"/>
      <c r="G1212" s="293"/>
      <c r="H1212" s="293"/>
      <c r="I1212" s="293"/>
      <c r="J1212" s="293"/>
    </row>
    <row r="1213" spans="1:10" x14ac:dyDescent="0.25">
      <c r="B1213" s="293"/>
      <c r="C1213" s="293"/>
      <c r="D1213" s="293"/>
      <c r="E1213" s="293"/>
      <c r="F1213" s="293"/>
      <c r="G1213" s="293"/>
      <c r="H1213" s="293"/>
      <c r="I1213" s="293"/>
      <c r="J1213" s="293"/>
    </row>
    <row r="1214" spans="1:10" x14ac:dyDescent="0.25">
      <c r="B1214" s="293"/>
      <c r="C1214" s="293"/>
      <c r="D1214" s="293"/>
      <c r="E1214" s="293"/>
      <c r="F1214" s="293"/>
      <c r="G1214" s="293"/>
      <c r="H1214" s="293"/>
      <c r="I1214" s="293"/>
      <c r="J1214" s="293"/>
    </row>
    <row r="1215" spans="1:10" x14ac:dyDescent="0.25">
      <c r="B1215" s="293"/>
      <c r="C1215" s="293"/>
      <c r="D1215" s="293"/>
      <c r="E1215" s="293"/>
      <c r="F1215" s="293"/>
      <c r="G1215" s="293"/>
      <c r="H1215" s="293"/>
      <c r="I1215" s="293"/>
      <c r="J1215" s="293"/>
    </row>
    <row r="1216" spans="1:10" x14ac:dyDescent="0.25">
      <c r="A1216" s="47" t="s">
        <v>4263</v>
      </c>
      <c r="B1216" s="296">
        <f>SUM(B1206:B1215)</f>
        <v>0</v>
      </c>
      <c r="C1216" s="296">
        <f t="shared" ref="C1216" si="636">SUM(C1206:C1215)</f>
        <v>0</v>
      </c>
      <c r="D1216" s="296">
        <f t="shared" ref="D1216" si="637">SUM(D1206:D1215)</f>
        <v>0</v>
      </c>
      <c r="E1216" s="296">
        <f t="shared" ref="E1216" si="638">SUM(E1206:E1215)</f>
        <v>0</v>
      </c>
      <c r="F1216" s="296">
        <f t="shared" ref="F1216" si="639">SUM(F1206:F1215)</f>
        <v>0</v>
      </c>
      <c r="G1216" s="296">
        <f t="shared" ref="G1216" si="640">SUM(G1206:G1215)</f>
        <v>0</v>
      </c>
      <c r="H1216" s="296">
        <f t="shared" ref="H1216" si="641">SUM(H1206:H1215)</f>
        <v>0</v>
      </c>
      <c r="I1216" s="296">
        <f t="shared" ref="I1216" si="642">SUM(I1206:I1215)</f>
        <v>0</v>
      </c>
      <c r="J1216" s="296">
        <f t="shared" ref="J1216" si="643">SUM(J1206:J1215)</f>
        <v>0</v>
      </c>
    </row>
    <row r="1217" spans="1:10" x14ac:dyDescent="0.25">
      <c r="B1217" s="293"/>
      <c r="C1217" s="293"/>
      <c r="D1217" s="293"/>
      <c r="E1217" s="293"/>
      <c r="F1217" s="293"/>
      <c r="G1217" s="293"/>
      <c r="H1217" s="293"/>
      <c r="I1217" s="293"/>
      <c r="J1217" s="293"/>
    </row>
    <row r="1218" spans="1:10" x14ac:dyDescent="0.25">
      <c r="A1218" s="47" t="s">
        <v>4264</v>
      </c>
      <c r="B1218" s="293"/>
      <c r="C1218" s="293"/>
      <c r="D1218" s="293"/>
      <c r="E1218" s="293"/>
      <c r="F1218" s="293"/>
      <c r="G1218" s="293"/>
      <c r="H1218" s="293"/>
      <c r="I1218" s="293"/>
      <c r="J1218" s="293"/>
    </row>
    <row r="1219" spans="1:10" x14ac:dyDescent="0.25">
      <c r="A1219" t="s">
        <v>87</v>
      </c>
      <c r="B1219" s="293"/>
      <c r="C1219" s="293"/>
      <c r="D1219" s="293"/>
      <c r="E1219" s="293"/>
      <c r="F1219" s="293"/>
      <c r="G1219" s="293"/>
      <c r="H1219" s="293"/>
      <c r="I1219" s="293"/>
      <c r="J1219" s="293"/>
    </row>
    <row r="1220" spans="1:10" x14ac:dyDescent="0.25">
      <c r="A1220" t="s">
        <v>4265</v>
      </c>
      <c r="B1220" s="293"/>
      <c r="C1220" s="293"/>
      <c r="D1220" s="293"/>
      <c r="E1220" s="293"/>
      <c r="F1220" s="293"/>
      <c r="G1220" s="293"/>
      <c r="H1220" s="293"/>
      <c r="I1220" s="293"/>
      <c r="J1220" s="293"/>
    </row>
    <row r="1221" spans="1:10" x14ac:dyDescent="0.25">
      <c r="B1221" s="293"/>
      <c r="C1221" s="293"/>
      <c r="D1221" s="293"/>
      <c r="E1221" s="293"/>
      <c r="F1221" s="293"/>
      <c r="G1221" s="293"/>
      <c r="H1221" s="293"/>
      <c r="I1221" s="293"/>
      <c r="J1221" s="293"/>
    </row>
    <row r="1222" spans="1:10" x14ac:dyDescent="0.25">
      <c r="B1222" s="293"/>
      <c r="C1222" s="293"/>
      <c r="D1222" s="293"/>
      <c r="E1222" s="293"/>
      <c r="F1222" s="293"/>
      <c r="G1222" s="293"/>
      <c r="H1222" s="293"/>
      <c r="I1222" s="293"/>
      <c r="J1222" s="293"/>
    </row>
    <row r="1223" spans="1:10" x14ac:dyDescent="0.25">
      <c r="B1223" s="293"/>
      <c r="C1223" s="293"/>
      <c r="D1223" s="293"/>
      <c r="E1223" s="293"/>
      <c r="F1223" s="293"/>
      <c r="G1223" s="293"/>
      <c r="H1223" s="293"/>
      <c r="I1223" s="293"/>
      <c r="J1223" s="293"/>
    </row>
    <row r="1224" spans="1:10" x14ac:dyDescent="0.25">
      <c r="B1224" s="293"/>
      <c r="C1224" s="293"/>
      <c r="D1224" s="293"/>
      <c r="E1224" s="293"/>
      <c r="F1224" s="293"/>
      <c r="G1224" s="293"/>
      <c r="H1224" s="293"/>
      <c r="I1224" s="293"/>
      <c r="J1224" s="293"/>
    </row>
    <row r="1225" spans="1:10" x14ac:dyDescent="0.25">
      <c r="A1225" t="s">
        <v>4266</v>
      </c>
      <c r="B1225" s="293"/>
      <c r="C1225" s="293"/>
      <c r="D1225" s="293"/>
      <c r="E1225" s="293"/>
      <c r="F1225" s="293"/>
      <c r="G1225" s="293"/>
      <c r="H1225" s="293"/>
      <c r="I1225" s="293"/>
      <c r="J1225" s="293"/>
    </row>
    <row r="1226" spans="1:10" x14ac:dyDescent="0.25">
      <c r="A1226" t="s">
        <v>66</v>
      </c>
      <c r="B1226" s="293"/>
      <c r="C1226" s="293"/>
      <c r="D1226" s="293"/>
      <c r="E1226" s="293"/>
      <c r="F1226" s="293"/>
      <c r="G1226" s="293"/>
      <c r="H1226" s="293"/>
      <c r="I1226" s="293"/>
      <c r="J1226" s="293"/>
    </row>
    <row r="1227" spans="1:10" x14ac:dyDescent="0.25">
      <c r="B1227" s="293"/>
      <c r="C1227" s="293"/>
      <c r="D1227" s="293"/>
      <c r="E1227" s="293"/>
      <c r="F1227" s="293"/>
      <c r="G1227" s="293"/>
      <c r="H1227" s="293"/>
      <c r="I1227" s="293"/>
      <c r="J1227" s="293"/>
    </row>
    <row r="1228" spans="1:10" x14ac:dyDescent="0.25">
      <c r="B1228" s="293"/>
      <c r="C1228" s="293"/>
      <c r="D1228" s="293"/>
      <c r="E1228" s="293"/>
      <c r="F1228" s="293"/>
      <c r="G1228" s="293"/>
      <c r="H1228" s="293"/>
      <c r="I1228" s="293"/>
      <c r="J1228" s="293"/>
    </row>
    <row r="1229" spans="1:10" x14ac:dyDescent="0.25">
      <c r="B1229" s="293"/>
      <c r="C1229" s="293"/>
      <c r="D1229" s="293"/>
      <c r="E1229" s="293"/>
      <c r="F1229" s="293"/>
      <c r="G1229" s="293"/>
      <c r="H1229" s="293"/>
      <c r="I1229" s="293"/>
      <c r="J1229" s="293"/>
    </row>
    <row r="1230" spans="1:10" x14ac:dyDescent="0.25">
      <c r="B1230" s="293"/>
      <c r="C1230" s="293"/>
      <c r="D1230" s="293"/>
      <c r="E1230" s="293"/>
      <c r="F1230" s="293"/>
      <c r="G1230" s="293"/>
      <c r="H1230" s="293"/>
      <c r="I1230" s="293"/>
      <c r="J1230" s="293"/>
    </row>
    <row r="1231" spans="1:10" x14ac:dyDescent="0.25">
      <c r="A1231" s="47" t="s">
        <v>4267</v>
      </c>
      <c r="B1231" s="296">
        <f>SUM(B1219:B1230)</f>
        <v>0</v>
      </c>
      <c r="C1231" s="296">
        <f t="shared" ref="C1231" si="644">SUM(C1219:C1230)</f>
        <v>0</v>
      </c>
      <c r="D1231" s="296">
        <f t="shared" ref="D1231" si="645">SUM(D1219:D1230)</f>
        <v>0</v>
      </c>
      <c r="E1231" s="296">
        <f t="shared" ref="E1231" si="646">SUM(E1219:E1230)</f>
        <v>0</v>
      </c>
      <c r="F1231" s="296">
        <f t="shared" ref="F1231" si="647">SUM(F1219:F1230)</f>
        <v>0</v>
      </c>
      <c r="G1231" s="296">
        <f t="shared" ref="G1231" si="648">SUM(G1219:G1230)</f>
        <v>0</v>
      </c>
      <c r="H1231" s="296">
        <f t="shared" ref="H1231" si="649">SUM(H1219:H1230)</f>
        <v>0</v>
      </c>
      <c r="I1231" s="296">
        <f t="shared" ref="I1231" si="650">SUM(I1219:I1230)</f>
        <v>0</v>
      </c>
      <c r="J1231" s="296">
        <f t="shared" ref="J1231" si="651">SUM(J1219:J1230)</f>
        <v>0</v>
      </c>
    </row>
    <row r="1232" spans="1:10" x14ac:dyDescent="0.25">
      <c r="B1232" s="293"/>
      <c r="C1232" s="293"/>
      <c r="D1232" s="293"/>
      <c r="E1232" s="293"/>
      <c r="F1232" s="293"/>
      <c r="G1232" s="293"/>
      <c r="H1232" s="293"/>
      <c r="I1232" s="293"/>
      <c r="J1232" s="293"/>
    </row>
    <row r="1233" spans="1:10" ht="15.75" thickBot="1" x14ac:dyDescent="0.3">
      <c r="A1233" s="47" t="s">
        <v>4268</v>
      </c>
      <c r="B1233" s="301">
        <f>B1216-B1231</f>
        <v>0</v>
      </c>
      <c r="C1233" s="301">
        <f t="shared" ref="C1233:J1233" si="652">C1216-C1231</f>
        <v>0</v>
      </c>
      <c r="D1233" s="301">
        <f t="shared" si="652"/>
        <v>0</v>
      </c>
      <c r="E1233" s="301">
        <f t="shared" si="652"/>
        <v>0</v>
      </c>
      <c r="F1233" s="301">
        <f t="shared" si="652"/>
        <v>0</v>
      </c>
      <c r="G1233" s="301">
        <f t="shared" si="652"/>
        <v>0</v>
      </c>
      <c r="H1233" s="301">
        <f t="shared" si="652"/>
        <v>0</v>
      </c>
      <c r="I1233" s="301">
        <f t="shared" si="652"/>
        <v>0</v>
      </c>
      <c r="J1233" s="301">
        <f t="shared" si="652"/>
        <v>0</v>
      </c>
    </row>
    <row r="1234" spans="1:10" ht="15.75" thickTop="1" x14ac:dyDescent="0.25">
      <c r="B1234" s="293"/>
      <c r="C1234" s="293"/>
      <c r="D1234" s="293"/>
      <c r="E1234" s="293"/>
      <c r="F1234" s="293"/>
      <c r="G1234" s="293"/>
      <c r="H1234" s="293"/>
      <c r="I1234" s="293"/>
      <c r="J1234" s="293"/>
    </row>
    <row r="1235" spans="1:10" x14ac:dyDescent="0.25">
      <c r="A1235" s="281"/>
      <c r="B1235" s="316"/>
      <c r="C1235" s="316"/>
      <c r="D1235" s="316"/>
      <c r="E1235" s="316"/>
      <c r="F1235" s="316"/>
      <c r="G1235" s="316"/>
      <c r="H1235" s="316"/>
      <c r="I1235" s="316"/>
      <c r="J1235" s="316"/>
    </row>
    <row r="1236" spans="1:10" x14ac:dyDescent="0.25">
      <c r="B1236" s="293"/>
      <c r="C1236" s="293"/>
      <c r="D1236" s="293"/>
      <c r="E1236" s="293"/>
      <c r="F1236" s="293"/>
      <c r="G1236" s="293"/>
      <c r="H1236" s="293"/>
      <c r="I1236" s="293"/>
      <c r="J1236" s="293"/>
    </row>
    <row r="1237" spans="1:10" x14ac:dyDescent="0.25">
      <c r="A1237" s="280" t="s">
        <v>4307</v>
      </c>
      <c r="B1237" s="293"/>
      <c r="C1237" s="293"/>
      <c r="D1237" s="293"/>
      <c r="E1237" s="293"/>
      <c r="F1237" s="293"/>
      <c r="G1237" s="293"/>
      <c r="H1237" s="293"/>
      <c r="I1237" s="293"/>
      <c r="J1237" s="293"/>
    </row>
    <row r="1238" spans="1:10" x14ac:dyDescent="0.25">
      <c r="B1238" s="293"/>
      <c r="C1238" s="293"/>
      <c r="D1238" s="293"/>
      <c r="E1238" s="293"/>
      <c r="F1238" s="293"/>
      <c r="G1238" s="293"/>
      <c r="H1238" s="293"/>
      <c r="I1238" s="293"/>
      <c r="J1238" s="293"/>
    </row>
    <row r="1239" spans="1:10" x14ac:dyDescent="0.25">
      <c r="A1239" s="47" t="s">
        <v>4260</v>
      </c>
      <c r="B1239" s="293"/>
      <c r="C1239" s="293"/>
      <c r="D1239" s="293"/>
      <c r="E1239" s="293"/>
      <c r="F1239" s="293"/>
      <c r="G1239" s="293"/>
      <c r="H1239" s="293"/>
      <c r="I1239" s="293"/>
      <c r="J1239" s="293"/>
    </row>
    <row r="1240" spans="1:10" x14ac:dyDescent="0.25">
      <c r="A1240" t="s">
        <v>4262</v>
      </c>
      <c r="B1240" s="293"/>
      <c r="C1240" s="293"/>
      <c r="D1240" s="293"/>
      <c r="E1240" s="293"/>
      <c r="F1240" s="293"/>
      <c r="G1240" s="293"/>
      <c r="H1240" s="293"/>
      <c r="I1240" s="293"/>
      <c r="J1240" s="293"/>
    </row>
    <row r="1241" spans="1:10" x14ac:dyDescent="0.25">
      <c r="A1241" t="s">
        <v>4261</v>
      </c>
      <c r="B1241" s="293"/>
      <c r="C1241" s="293"/>
      <c r="D1241" s="293"/>
      <c r="E1241" s="293"/>
      <c r="F1241" s="293"/>
      <c r="G1241" s="293"/>
      <c r="H1241" s="293"/>
      <c r="I1241" s="293"/>
      <c r="J1241" s="293"/>
    </row>
    <row r="1242" spans="1:10" x14ac:dyDescent="0.25">
      <c r="A1242" t="s">
        <v>66</v>
      </c>
      <c r="B1242" s="293"/>
      <c r="C1242" s="293"/>
      <c r="D1242" s="293"/>
      <c r="E1242" s="293"/>
      <c r="F1242" s="293"/>
      <c r="G1242" s="293"/>
      <c r="H1242" s="293"/>
      <c r="I1242" s="293"/>
      <c r="J1242" s="293"/>
    </row>
    <row r="1243" spans="1:10" x14ac:dyDescent="0.25">
      <c r="B1243" s="293"/>
      <c r="C1243" s="293"/>
      <c r="D1243" s="293"/>
      <c r="E1243" s="293"/>
      <c r="F1243" s="293"/>
      <c r="G1243" s="293"/>
      <c r="H1243" s="293"/>
      <c r="I1243" s="293"/>
      <c r="J1243" s="293"/>
    </row>
    <row r="1244" spans="1:10" x14ac:dyDescent="0.25">
      <c r="B1244" s="293"/>
      <c r="C1244" s="293"/>
      <c r="D1244" s="293"/>
      <c r="E1244" s="293"/>
      <c r="F1244" s="293"/>
      <c r="G1244" s="293"/>
      <c r="H1244" s="293"/>
      <c r="I1244" s="293"/>
      <c r="J1244" s="293"/>
    </row>
    <row r="1245" spans="1:10" x14ac:dyDescent="0.25">
      <c r="B1245" s="293"/>
      <c r="C1245" s="293"/>
      <c r="D1245" s="293"/>
      <c r="E1245" s="293"/>
      <c r="F1245" s="293"/>
      <c r="G1245" s="293"/>
      <c r="H1245" s="293"/>
      <c r="I1245" s="293"/>
      <c r="J1245" s="293"/>
    </row>
    <row r="1246" spans="1:10" x14ac:dyDescent="0.25">
      <c r="B1246" s="293"/>
      <c r="C1246" s="293"/>
      <c r="D1246" s="293"/>
      <c r="E1246" s="293"/>
      <c r="F1246" s="293"/>
      <c r="G1246" s="293"/>
      <c r="H1246" s="293"/>
      <c r="I1246" s="293"/>
      <c r="J1246" s="293"/>
    </row>
    <row r="1247" spans="1:10" x14ac:dyDescent="0.25">
      <c r="A1247" s="47" t="s">
        <v>4263</v>
      </c>
      <c r="B1247" s="296">
        <f>SUM(B1237:B1246)</f>
        <v>0</v>
      </c>
      <c r="C1247" s="296">
        <f t="shared" ref="C1247" si="653">SUM(C1237:C1246)</f>
        <v>0</v>
      </c>
      <c r="D1247" s="296">
        <f t="shared" ref="D1247" si="654">SUM(D1237:D1246)</f>
        <v>0</v>
      </c>
      <c r="E1247" s="296">
        <f t="shared" ref="E1247" si="655">SUM(E1237:E1246)</f>
        <v>0</v>
      </c>
      <c r="F1247" s="296">
        <f t="shared" ref="F1247" si="656">SUM(F1237:F1246)</f>
        <v>0</v>
      </c>
      <c r="G1247" s="296">
        <f t="shared" ref="G1247" si="657">SUM(G1237:G1246)</f>
        <v>0</v>
      </c>
      <c r="H1247" s="296">
        <f t="shared" ref="H1247" si="658">SUM(H1237:H1246)</f>
        <v>0</v>
      </c>
      <c r="I1247" s="296">
        <f t="shared" ref="I1247" si="659">SUM(I1237:I1246)</f>
        <v>0</v>
      </c>
      <c r="J1247" s="296">
        <f t="shared" ref="J1247" si="660">SUM(J1237:J1246)</f>
        <v>0</v>
      </c>
    </row>
    <row r="1248" spans="1:10" x14ac:dyDescent="0.25">
      <c r="B1248" s="293"/>
      <c r="C1248" s="293"/>
      <c r="D1248" s="293"/>
      <c r="E1248" s="293"/>
      <c r="F1248" s="293"/>
      <c r="G1248" s="293"/>
      <c r="H1248" s="293"/>
      <c r="I1248" s="293"/>
      <c r="J1248" s="293"/>
    </row>
    <row r="1249" spans="1:10" x14ac:dyDescent="0.25">
      <c r="A1249" s="47" t="s">
        <v>4264</v>
      </c>
      <c r="B1249" s="293"/>
      <c r="C1249" s="293"/>
      <c r="D1249" s="293"/>
      <c r="E1249" s="293"/>
      <c r="F1249" s="293"/>
      <c r="G1249" s="293"/>
      <c r="H1249" s="293"/>
      <c r="I1249" s="293"/>
      <c r="J1249" s="293"/>
    </row>
    <row r="1250" spans="1:10" x14ac:dyDescent="0.25">
      <c r="A1250" t="s">
        <v>87</v>
      </c>
      <c r="B1250" s="293"/>
      <c r="C1250" s="293"/>
      <c r="D1250" s="293"/>
      <c r="E1250" s="293"/>
      <c r="F1250" s="293"/>
      <c r="G1250" s="293"/>
      <c r="H1250" s="293"/>
      <c r="I1250" s="293"/>
      <c r="J1250" s="293"/>
    </row>
    <row r="1251" spans="1:10" x14ac:dyDescent="0.25">
      <c r="A1251" t="s">
        <v>4265</v>
      </c>
      <c r="B1251" s="293"/>
      <c r="C1251" s="293"/>
      <c r="D1251" s="293"/>
      <c r="E1251" s="293"/>
      <c r="F1251" s="293"/>
      <c r="G1251" s="293"/>
      <c r="H1251" s="293"/>
      <c r="I1251" s="293"/>
      <c r="J1251" s="293"/>
    </row>
    <row r="1252" spans="1:10" x14ac:dyDescent="0.25">
      <c r="B1252" s="293"/>
      <c r="C1252" s="293"/>
      <c r="D1252" s="293"/>
      <c r="E1252" s="293"/>
      <c r="F1252" s="293"/>
      <c r="G1252" s="293"/>
      <c r="H1252" s="293"/>
      <c r="I1252" s="293"/>
      <c r="J1252" s="293"/>
    </row>
    <row r="1253" spans="1:10" x14ac:dyDescent="0.25">
      <c r="B1253" s="293"/>
      <c r="C1253" s="293"/>
      <c r="D1253" s="293"/>
      <c r="E1253" s="293"/>
      <c r="F1253" s="293"/>
      <c r="G1253" s="293"/>
      <c r="H1253" s="293"/>
      <c r="I1253" s="293"/>
      <c r="J1253" s="293"/>
    </row>
    <row r="1254" spans="1:10" x14ac:dyDescent="0.25">
      <c r="B1254" s="293"/>
      <c r="C1254" s="293"/>
      <c r="D1254" s="293"/>
      <c r="E1254" s="293"/>
      <c r="F1254" s="293"/>
      <c r="G1254" s="293"/>
      <c r="H1254" s="293"/>
      <c r="I1254" s="293"/>
      <c r="J1254" s="293"/>
    </row>
    <row r="1255" spans="1:10" x14ac:dyDescent="0.25">
      <c r="B1255" s="293"/>
      <c r="C1255" s="293"/>
      <c r="D1255" s="293"/>
      <c r="E1255" s="293"/>
      <c r="F1255" s="293"/>
      <c r="G1255" s="293"/>
      <c r="H1255" s="293"/>
      <c r="I1255" s="293"/>
      <c r="J1255" s="293"/>
    </row>
    <row r="1256" spans="1:10" x14ac:dyDescent="0.25">
      <c r="A1256" t="s">
        <v>4266</v>
      </c>
      <c r="B1256" s="293"/>
      <c r="C1256" s="293"/>
      <c r="D1256" s="293"/>
      <c r="E1256" s="293"/>
      <c r="F1256" s="293"/>
      <c r="G1256" s="293"/>
      <c r="H1256" s="293"/>
      <c r="I1256" s="293"/>
      <c r="J1256" s="293"/>
    </row>
    <row r="1257" spans="1:10" x14ac:dyDescent="0.25">
      <c r="A1257" t="s">
        <v>66</v>
      </c>
      <c r="B1257" s="293"/>
      <c r="C1257" s="293"/>
      <c r="D1257" s="293"/>
      <c r="E1257" s="293"/>
      <c r="F1257" s="293"/>
      <c r="G1257" s="293"/>
      <c r="H1257" s="293"/>
      <c r="I1257" s="293"/>
      <c r="J1257" s="293"/>
    </row>
    <row r="1258" spans="1:10" x14ac:dyDescent="0.25">
      <c r="B1258" s="293"/>
      <c r="C1258" s="293"/>
      <c r="D1258" s="293"/>
      <c r="E1258" s="293"/>
      <c r="F1258" s="293"/>
      <c r="G1258" s="293"/>
      <c r="H1258" s="293"/>
      <c r="I1258" s="293"/>
      <c r="J1258" s="293"/>
    </row>
    <row r="1259" spans="1:10" x14ac:dyDescent="0.25">
      <c r="B1259" s="293"/>
      <c r="C1259" s="293"/>
      <c r="D1259" s="293"/>
      <c r="E1259" s="293"/>
      <c r="F1259" s="293"/>
      <c r="G1259" s="293"/>
      <c r="H1259" s="293"/>
      <c r="I1259" s="293"/>
      <c r="J1259" s="293"/>
    </row>
    <row r="1260" spans="1:10" x14ac:dyDescent="0.25">
      <c r="B1260" s="293"/>
      <c r="C1260" s="293"/>
      <c r="D1260" s="293"/>
      <c r="E1260" s="293"/>
      <c r="F1260" s="293"/>
      <c r="G1260" s="293"/>
      <c r="H1260" s="293"/>
      <c r="I1260" s="293"/>
      <c r="J1260" s="293"/>
    </row>
    <row r="1261" spans="1:10" x14ac:dyDescent="0.25">
      <c r="B1261" s="293"/>
      <c r="C1261" s="293"/>
      <c r="D1261" s="293"/>
      <c r="E1261" s="293"/>
      <c r="F1261" s="293"/>
      <c r="G1261" s="293"/>
      <c r="H1261" s="293"/>
      <c r="I1261" s="293"/>
      <c r="J1261" s="293"/>
    </row>
    <row r="1262" spans="1:10" x14ac:dyDescent="0.25">
      <c r="A1262" s="47" t="s">
        <v>4267</v>
      </c>
      <c r="B1262" s="296">
        <f>SUM(B1250:B1261)</f>
        <v>0</v>
      </c>
      <c r="C1262" s="296">
        <f t="shared" ref="C1262" si="661">SUM(C1250:C1261)</f>
        <v>0</v>
      </c>
      <c r="D1262" s="296">
        <f t="shared" ref="D1262" si="662">SUM(D1250:D1261)</f>
        <v>0</v>
      </c>
      <c r="E1262" s="296">
        <f t="shared" ref="E1262" si="663">SUM(E1250:E1261)</f>
        <v>0</v>
      </c>
      <c r="F1262" s="296">
        <f t="shared" ref="F1262" si="664">SUM(F1250:F1261)</f>
        <v>0</v>
      </c>
      <c r="G1262" s="296">
        <f t="shared" ref="G1262" si="665">SUM(G1250:G1261)</f>
        <v>0</v>
      </c>
      <c r="H1262" s="296">
        <f t="shared" ref="H1262" si="666">SUM(H1250:H1261)</f>
        <v>0</v>
      </c>
      <c r="I1262" s="296">
        <f t="shared" ref="I1262" si="667">SUM(I1250:I1261)</f>
        <v>0</v>
      </c>
      <c r="J1262" s="296">
        <f t="shared" ref="J1262" si="668">SUM(J1250:J1261)</f>
        <v>0</v>
      </c>
    </row>
    <row r="1263" spans="1:10" x14ac:dyDescent="0.25">
      <c r="B1263" s="293"/>
      <c r="C1263" s="293"/>
      <c r="D1263" s="293"/>
      <c r="E1263" s="293"/>
      <c r="F1263" s="293"/>
      <c r="G1263" s="293"/>
      <c r="H1263" s="293"/>
      <c r="I1263" s="293"/>
      <c r="J1263" s="293"/>
    </row>
    <row r="1264" spans="1:10" ht="15.75" thickBot="1" x14ac:dyDescent="0.3">
      <c r="A1264" s="47" t="s">
        <v>4268</v>
      </c>
      <c r="B1264" s="301">
        <f>B1247-B1262</f>
        <v>0</v>
      </c>
      <c r="C1264" s="301">
        <f t="shared" ref="C1264:J1264" si="669">C1247-C1262</f>
        <v>0</v>
      </c>
      <c r="D1264" s="301">
        <f t="shared" si="669"/>
        <v>0</v>
      </c>
      <c r="E1264" s="301">
        <f t="shared" si="669"/>
        <v>0</v>
      </c>
      <c r="F1264" s="301">
        <f t="shared" si="669"/>
        <v>0</v>
      </c>
      <c r="G1264" s="301">
        <f t="shared" si="669"/>
        <v>0</v>
      </c>
      <c r="H1264" s="301">
        <f t="shared" si="669"/>
        <v>0</v>
      </c>
      <c r="I1264" s="301">
        <f t="shared" si="669"/>
        <v>0</v>
      </c>
      <c r="J1264" s="301">
        <f t="shared" si="669"/>
        <v>0</v>
      </c>
    </row>
    <row r="1265" spans="1:10" ht="15.75" thickTop="1" x14ac:dyDescent="0.25">
      <c r="B1265" s="293"/>
      <c r="C1265" s="293"/>
      <c r="D1265" s="293"/>
      <c r="E1265" s="293"/>
      <c r="F1265" s="293"/>
      <c r="G1265" s="293"/>
      <c r="H1265" s="293"/>
      <c r="I1265" s="293"/>
      <c r="J1265" s="293"/>
    </row>
    <row r="1266" spans="1:10" x14ac:dyDescent="0.25">
      <c r="A1266" s="281"/>
      <c r="B1266" s="316"/>
      <c r="C1266" s="316"/>
      <c r="D1266" s="316"/>
      <c r="E1266" s="316"/>
      <c r="F1266" s="316"/>
      <c r="G1266" s="316"/>
      <c r="H1266" s="316"/>
      <c r="I1266" s="316"/>
      <c r="J1266" s="316"/>
    </row>
    <row r="1267" spans="1:10" x14ac:dyDescent="0.25">
      <c r="B1267" s="293"/>
      <c r="C1267" s="293"/>
      <c r="D1267" s="293"/>
      <c r="E1267" s="293"/>
      <c r="F1267" s="293"/>
      <c r="G1267" s="293"/>
      <c r="H1267" s="293"/>
      <c r="I1267" s="293"/>
      <c r="J1267" s="293"/>
    </row>
    <row r="1268" spans="1:10" x14ac:dyDescent="0.25">
      <c r="A1268" s="280" t="s">
        <v>4308</v>
      </c>
      <c r="B1268" s="293"/>
      <c r="C1268" s="293"/>
      <c r="D1268" s="293"/>
      <c r="E1268" s="293"/>
      <c r="F1268" s="293"/>
      <c r="G1268" s="293"/>
      <c r="H1268" s="293"/>
      <c r="I1268" s="293"/>
      <c r="J1268" s="293"/>
    </row>
    <row r="1269" spans="1:10" x14ac:dyDescent="0.25">
      <c r="B1269" s="293"/>
      <c r="C1269" s="293"/>
      <c r="D1269" s="293"/>
      <c r="E1269" s="293"/>
      <c r="F1269" s="293"/>
      <c r="G1269" s="293"/>
      <c r="H1269" s="293"/>
      <c r="I1269" s="293"/>
      <c r="J1269" s="293"/>
    </row>
    <row r="1270" spans="1:10" x14ac:dyDescent="0.25">
      <c r="A1270" s="47" t="s">
        <v>4260</v>
      </c>
      <c r="B1270" s="293"/>
      <c r="C1270" s="293"/>
      <c r="D1270" s="293"/>
      <c r="E1270" s="293"/>
      <c r="F1270" s="293"/>
      <c r="G1270" s="293"/>
      <c r="H1270" s="293"/>
      <c r="I1270" s="293"/>
      <c r="J1270" s="293"/>
    </row>
    <row r="1271" spans="1:10" x14ac:dyDescent="0.25">
      <c r="A1271" t="s">
        <v>4262</v>
      </c>
      <c r="B1271" s="293"/>
      <c r="C1271" s="293"/>
      <c r="D1271" s="293"/>
      <c r="E1271" s="293"/>
      <c r="F1271" s="293"/>
      <c r="G1271" s="293"/>
      <c r="H1271" s="293"/>
      <c r="I1271" s="293"/>
      <c r="J1271" s="293"/>
    </row>
    <row r="1272" spans="1:10" x14ac:dyDescent="0.25">
      <c r="A1272" t="s">
        <v>4261</v>
      </c>
      <c r="B1272" s="293"/>
      <c r="C1272" s="293"/>
      <c r="D1272" s="293"/>
      <c r="E1272" s="293"/>
      <c r="F1272" s="293"/>
      <c r="G1272" s="293"/>
      <c r="H1272" s="293"/>
      <c r="I1272" s="293"/>
      <c r="J1272" s="293"/>
    </row>
    <row r="1273" spans="1:10" x14ac:dyDescent="0.25">
      <c r="A1273" t="s">
        <v>66</v>
      </c>
      <c r="B1273" s="293"/>
      <c r="C1273" s="293"/>
      <c r="D1273" s="293"/>
      <c r="E1273" s="293"/>
      <c r="F1273" s="293"/>
      <c r="G1273" s="293"/>
      <c r="H1273" s="293"/>
      <c r="I1273" s="293"/>
      <c r="J1273" s="293"/>
    </row>
    <row r="1274" spans="1:10" x14ac:dyDescent="0.25">
      <c r="B1274" s="293"/>
      <c r="C1274" s="293"/>
      <c r="D1274" s="293"/>
      <c r="E1274" s="293"/>
      <c r="F1274" s="293"/>
      <c r="G1274" s="293"/>
      <c r="H1274" s="293"/>
      <c r="I1274" s="293"/>
      <c r="J1274" s="293"/>
    </row>
    <row r="1275" spans="1:10" x14ac:dyDescent="0.25">
      <c r="B1275" s="293"/>
      <c r="C1275" s="293"/>
      <c r="D1275" s="293"/>
      <c r="E1275" s="293"/>
      <c r="F1275" s="293"/>
      <c r="G1275" s="293"/>
      <c r="H1275" s="293"/>
      <c r="I1275" s="293"/>
      <c r="J1275" s="293"/>
    </row>
    <row r="1276" spans="1:10" x14ac:dyDescent="0.25">
      <c r="B1276" s="293"/>
      <c r="C1276" s="293"/>
      <c r="D1276" s="293"/>
      <c r="E1276" s="293"/>
      <c r="F1276" s="293"/>
      <c r="G1276" s="293"/>
      <c r="H1276" s="293"/>
      <c r="I1276" s="293"/>
      <c r="J1276" s="293"/>
    </row>
    <row r="1277" spans="1:10" x14ac:dyDescent="0.25">
      <c r="B1277" s="293"/>
      <c r="C1277" s="293"/>
      <c r="D1277" s="293"/>
      <c r="E1277" s="293"/>
      <c r="F1277" s="293"/>
      <c r="G1277" s="293"/>
      <c r="H1277" s="293"/>
      <c r="I1277" s="293"/>
      <c r="J1277" s="293"/>
    </row>
    <row r="1278" spans="1:10" x14ac:dyDescent="0.25">
      <c r="A1278" s="47" t="s">
        <v>4263</v>
      </c>
      <c r="B1278" s="296">
        <f>SUM(B1268:B1277)</f>
        <v>0</v>
      </c>
      <c r="C1278" s="296">
        <f t="shared" ref="C1278" si="670">SUM(C1268:C1277)</f>
        <v>0</v>
      </c>
      <c r="D1278" s="296">
        <f t="shared" ref="D1278" si="671">SUM(D1268:D1277)</f>
        <v>0</v>
      </c>
      <c r="E1278" s="296">
        <f t="shared" ref="E1278" si="672">SUM(E1268:E1277)</f>
        <v>0</v>
      </c>
      <c r="F1278" s="296">
        <f t="shared" ref="F1278" si="673">SUM(F1268:F1277)</f>
        <v>0</v>
      </c>
      <c r="G1278" s="296">
        <f t="shared" ref="G1278" si="674">SUM(G1268:G1277)</f>
        <v>0</v>
      </c>
      <c r="H1278" s="296">
        <f t="shared" ref="H1278" si="675">SUM(H1268:H1277)</f>
        <v>0</v>
      </c>
      <c r="I1278" s="296">
        <f t="shared" ref="I1278" si="676">SUM(I1268:I1277)</f>
        <v>0</v>
      </c>
      <c r="J1278" s="296">
        <f t="shared" ref="J1278" si="677">SUM(J1268:J1277)</f>
        <v>0</v>
      </c>
    </row>
    <row r="1279" spans="1:10" x14ac:dyDescent="0.25">
      <c r="B1279" s="293"/>
      <c r="C1279" s="293"/>
      <c r="D1279" s="293"/>
      <c r="E1279" s="293"/>
      <c r="F1279" s="293"/>
      <c r="G1279" s="293"/>
      <c r="H1279" s="293"/>
      <c r="I1279" s="293"/>
      <c r="J1279" s="293"/>
    </row>
    <row r="1280" spans="1:10" x14ac:dyDescent="0.25">
      <c r="A1280" s="47" t="s">
        <v>4264</v>
      </c>
      <c r="B1280" s="293"/>
      <c r="C1280" s="293"/>
      <c r="D1280" s="293"/>
      <c r="E1280" s="293"/>
      <c r="F1280" s="293"/>
      <c r="G1280" s="293"/>
      <c r="H1280" s="293"/>
      <c r="I1280" s="293"/>
      <c r="J1280" s="293"/>
    </row>
    <row r="1281" spans="1:10" x14ac:dyDescent="0.25">
      <c r="A1281" t="s">
        <v>87</v>
      </c>
      <c r="B1281" s="293"/>
      <c r="C1281" s="293"/>
      <c r="D1281" s="293"/>
      <c r="E1281" s="293"/>
      <c r="F1281" s="293"/>
      <c r="G1281" s="293"/>
      <c r="H1281" s="293"/>
      <c r="I1281" s="293"/>
      <c r="J1281" s="293"/>
    </row>
    <row r="1282" spans="1:10" x14ac:dyDescent="0.25">
      <c r="A1282" t="s">
        <v>4265</v>
      </c>
      <c r="B1282" s="293"/>
      <c r="C1282" s="293"/>
      <c r="D1282" s="293"/>
      <c r="E1282" s="293"/>
      <c r="F1282" s="293"/>
      <c r="G1282" s="293"/>
      <c r="H1282" s="293"/>
      <c r="I1282" s="293"/>
      <c r="J1282" s="293"/>
    </row>
    <row r="1283" spans="1:10" x14ac:dyDescent="0.25">
      <c r="B1283" s="293"/>
      <c r="C1283" s="293"/>
      <c r="D1283" s="293"/>
      <c r="E1283" s="293"/>
      <c r="F1283" s="293"/>
      <c r="G1283" s="293"/>
      <c r="H1283" s="293"/>
      <c r="I1283" s="293"/>
      <c r="J1283" s="293"/>
    </row>
    <row r="1284" spans="1:10" x14ac:dyDescent="0.25">
      <c r="B1284" s="293"/>
      <c r="C1284" s="293"/>
      <c r="D1284" s="293"/>
      <c r="E1284" s="293"/>
      <c r="F1284" s="293"/>
      <c r="G1284" s="293"/>
      <c r="H1284" s="293"/>
      <c r="I1284" s="293"/>
      <c r="J1284" s="293"/>
    </row>
    <row r="1285" spans="1:10" x14ac:dyDescent="0.25">
      <c r="B1285" s="293"/>
      <c r="C1285" s="293"/>
      <c r="D1285" s="293"/>
      <c r="E1285" s="293"/>
      <c r="F1285" s="293"/>
      <c r="G1285" s="293"/>
      <c r="H1285" s="293"/>
      <c r="I1285" s="293"/>
      <c r="J1285" s="293"/>
    </row>
    <row r="1286" spans="1:10" x14ac:dyDescent="0.25">
      <c r="B1286" s="293"/>
      <c r="C1286" s="293"/>
      <c r="D1286" s="293"/>
      <c r="E1286" s="293"/>
      <c r="F1286" s="293"/>
      <c r="G1286" s="293"/>
      <c r="H1286" s="293"/>
      <c r="I1286" s="293"/>
      <c r="J1286" s="293"/>
    </row>
    <row r="1287" spans="1:10" x14ac:dyDescent="0.25">
      <c r="A1287" t="s">
        <v>4266</v>
      </c>
      <c r="B1287" s="293"/>
      <c r="C1287" s="293"/>
      <c r="D1287" s="293"/>
      <c r="E1287" s="293"/>
      <c r="F1287" s="293"/>
      <c r="G1287" s="293"/>
      <c r="H1287" s="293"/>
      <c r="I1287" s="293"/>
      <c r="J1287" s="293"/>
    </row>
    <row r="1288" spans="1:10" x14ac:dyDescent="0.25">
      <c r="A1288" t="s">
        <v>66</v>
      </c>
      <c r="B1288" s="293"/>
      <c r="C1288" s="293"/>
      <c r="D1288" s="293"/>
      <c r="E1288" s="293"/>
      <c r="F1288" s="293"/>
      <c r="G1288" s="293"/>
      <c r="H1288" s="293"/>
      <c r="I1288" s="293"/>
      <c r="J1288" s="293"/>
    </row>
    <row r="1289" spans="1:10" x14ac:dyDescent="0.25">
      <c r="B1289" s="293"/>
      <c r="C1289" s="293"/>
      <c r="D1289" s="293"/>
      <c r="E1289" s="293"/>
      <c r="F1289" s="293"/>
      <c r="G1289" s="293"/>
      <c r="H1289" s="293"/>
      <c r="I1289" s="293"/>
      <c r="J1289" s="293"/>
    </row>
    <row r="1290" spans="1:10" x14ac:dyDescent="0.25">
      <c r="B1290" s="293"/>
      <c r="C1290" s="293"/>
      <c r="D1290" s="293"/>
      <c r="E1290" s="293"/>
      <c r="F1290" s="293"/>
      <c r="G1290" s="293"/>
      <c r="H1290" s="293"/>
      <c r="I1290" s="293"/>
      <c r="J1290" s="293"/>
    </row>
    <row r="1291" spans="1:10" x14ac:dyDescent="0.25">
      <c r="B1291" s="293"/>
      <c r="C1291" s="293"/>
      <c r="D1291" s="293"/>
      <c r="E1291" s="293"/>
      <c r="F1291" s="293"/>
      <c r="G1291" s="293"/>
      <c r="H1291" s="293"/>
      <c r="I1291" s="293"/>
      <c r="J1291" s="293"/>
    </row>
    <row r="1292" spans="1:10" x14ac:dyDescent="0.25">
      <c r="B1292" s="293"/>
      <c r="C1292" s="293"/>
      <c r="D1292" s="293"/>
      <c r="E1292" s="293"/>
      <c r="F1292" s="293"/>
      <c r="G1292" s="293"/>
      <c r="H1292" s="293"/>
      <c r="I1292" s="293"/>
      <c r="J1292" s="293"/>
    </row>
    <row r="1293" spans="1:10" x14ac:dyDescent="0.25">
      <c r="A1293" s="47" t="s">
        <v>4267</v>
      </c>
      <c r="B1293" s="296">
        <f>SUM(B1281:B1292)</f>
        <v>0</v>
      </c>
      <c r="C1293" s="296">
        <f t="shared" ref="C1293" si="678">SUM(C1281:C1292)</f>
        <v>0</v>
      </c>
      <c r="D1293" s="296">
        <f t="shared" ref="D1293" si="679">SUM(D1281:D1292)</f>
        <v>0</v>
      </c>
      <c r="E1293" s="296">
        <f t="shared" ref="E1293" si="680">SUM(E1281:E1292)</f>
        <v>0</v>
      </c>
      <c r="F1293" s="296">
        <f t="shared" ref="F1293" si="681">SUM(F1281:F1292)</f>
        <v>0</v>
      </c>
      <c r="G1293" s="296">
        <f t="shared" ref="G1293" si="682">SUM(G1281:G1292)</f>
        <v>0</v>
      </c>
      <c r="H1293" s="296">
        <f t="shared" ref="H1293" si="683">SUM(H1281:H1292)</f>
        <v>0</v>
      </c>
      <c r="I1293" s="296">
        <f t="shared" ref="I1293" si="684">SUM(I1281:I1292)</f>
        <v>0</v>
      </c>
      <c r="J1293" s="296">
        <f t="shared" ref="J1293" si="685">SUM(J1281:J1292)</f>
        <v>0</v>
      </c>
    </row>
    <row r="1294" spans="1:10" x14ac:dyDescent="0.25">
      <c r="B1294" s="293"/>
      <c r="C1294" s="293"/>
      <c r="D1294" s="293"/>
      <c r="E1294" s="293"/>
      <c r="F1294" s="293"/>
      <c r="G1294" s="293"/>
      <c r="H1294" s="293"/>
      <c r="I1294" s="293"/>
      <c r="J1294" s="293"/>
    </row>
    <row r="1295" spans="1:10" ht="15.75" thickBot="1" x14ac:dyDescent="0.3">
      <c r="A1295" s="47" t="s">
        <v>4268</v>
      </c>
      <c r="B1295" s="301">
        <f>B1278-B1293</f>
        <v>0</v>
      </c>
      <c r="C1295" s="301">
        <f t="shared" ref="C1295:J1295" si="686">C1278-C1293</f>
        <v>0</v>
      </c>
      <c r="D1295" s="301">
        <f t="shared" si="686"/>
        <v>0</v>
      </c>
      <c r="E1295" s="301">
        <f t="shared" si="686"/>
        <v>0</v>
      </c>
      <c r="F1295" s="301">
        <f t="shared" si="686"/>
        <v>0</v>
      </c>
      <c r="G1295" s="301">
        <f t="shared" si="686"/>
        <v>0</v>
      </c>
      <c r="H1295" s="301">
        <f t="shared" si="686"/>
        <v>0</v>
      </c>
      <c r="I1295" s="301">
        <f t="shared" si="686"/>
        <v>0</v>
      </c>
      <c r="J1295" s="301">
        <f t="shared" si="686"/>
        <v>0</v>
      </c>
    </row>
    <row r="1296" spans="1:10" ht="15.75" thickTop="1" x14ac:dyDescent="0.25">
      <c r="B1296" s="293"/>
      <c r="C1296" s="293"/>
      <c r="D1296" s="293"/>
      <c r="E1296" s="293"/>
      <c r="F1296" s="293"/>
      <c r="G1296" s="293"/>
      <c r="H1296" s="293"/>
      <c r="I1296" s="293"/>
      <c r="J1296" s="293"/>
    </row>
    <row r="1297" spans="1:10" x14ac:dyDescent="0.25">
      <c r="A1297" s="281"/>
      <c r="B1297" s="316"/>
      <c r="C1297" s="316"/>
      <c r="D1297" s="316"/>
      <c r="E1297" s="316"/>
      <c r="F1297" s="316"/>
      <c r="G1297" s="316"/>
      <c r="H1297" s="316"/>
      <c r="I1297" s="316"/>
      <c r="J1297" s="316"/>
    </row>
    <row r="1298" spans="1:10" x14ac:dyDescent="0.25">
      <c r="B1298" s="293"/>
      <c r="C1298" s="293"/>
      <c r="D1298" s="293"/>
      <c r="E1298" s="293"/>
      <c r="F1298" s="293"/>
      <c r="G1298" s="293"/>
      <c r="H1298" s="293"/>
      <c r="I1298" s="293"/>
      <c r="J1298" s="293"/>
    </row>
    <row r="1299" spans="1:10" x14ac:dyDescent="0.25">
      <c r="A1299" s="280" t="s">
        <v>4309</v>
      </c>
      <c r="B1299" s="293"/>
      <c r="C1299" s="293"/>
      <c r="D1299" s="293"/>
      <c r="E1299" s="293"/>
      <c r="F1299" s="293"/>
      <c r="G1299" s="293"/>
      <c r="H1299" s="293"/>
      <c r="I1299" s="293"/>
      <c r="J1299" s="293"/>
    </row>
    <row r="1300" spans="1:10" x14ac:dyDescent="0.25">
      <c r="B1300" s="293"/>
      <c r="C1300" s="293"/>
      <c r="D1300" s="293"/>
      <c r="E1300" s="293"/>
      <c r="F1300" s="293"/>
      <c r="G1300" s="293"/>
      <c r="H1300" s="293"/>
      <c r="I1300" s="293"/>
      <c r="J1300" s="293"/>
    </row>
    <row r="1301" spans="1:10" x14ac:dyDescent="0.25">
      <c r="A1301" s="47" t="s">
        <v>4260</v>
      </c>
      <c r="B1301" s="293"/>
      <c r="C1301" s="293"/>
      <c r="D1301" s="293"/>
      <c r="E1301" s="293"/>
      <c r="F1301" s="293"/>
      <c r="G1301" s="293"/>
      <c r="H1301" s="293"/>
      <c r="I1301" s="293"/>
      <c r="J1301" s="293"/>
    </row>
    <row r="1302" spans="1:10" x14ac:dyDescent="0.25">
      <c r="A1302" t="s">
        <v>4262</v>
      </c>
      <c r="B1302" s="293"/>
      <c r="C1302" s="293"/>
      <c r="D1302" s="293"/>
      <c r="E1302" s="293"/>
      <c r="F1302" s="293"/>
      <c r="G1302" s="293"/>
      <c r="H1302" s="293"/>
      <c r="I1302" s="293"/>
      <c r="J1302" s="293"/>
    </row>
    <row r="1303" spans="1:10" x14ac:dyDescent="0.25">
      <c r="A1303" t="s">
        <v>4261</v>
      </c>
      <c r="B1303" s="293"/>
      <c r="C1303" s="293"/>
      <c r="D1303" s="293"/>
      <c r="E1303" s="293"/>
      <c r="F1303" s="293"/>
      <c r="G1303" s="293"/>
      <c r="H1303" s="293"/>
      <c r="I1303" s="293"/>
      <c r="J1303" s="293"/>
    </row>
    <row r="1304" spans="1:10" x14ac:dyDescent="0.25">
      <c r="A1304" t="s">
        <v>66</v>
      </c>
      <c r="B1304" s="293"/>
      <c r="C1304" s="293"/>
      <c r="D1304" s="293"/>
      <c r="E1304" s="293"/>
      <c r="F1304" s="293"/>
      <c r="G1304" s="293"/>
      <c r="H1304" s="293"/>
      <c r="I1304" s="293"/>
      <c r="J1304" s="293"/>
    </row>
    <row r="1305" spans="1:10" x14ac:dyDescent="0.25">
      <c r="B1305" s="293"/>
      <c r="C1305" s="293"/>
      <c r="D1305" s="293"/>
      <c r="E1305" s="293"/>
      <c r="F1305" s="293"/>
      <c r="G1305" s="293"/>
      <c r="H1305" s="293"/>
      <c r="I1305" s="293"/>
      <c r="J1305" s="293"/>
    </row>
    <row r="1306" spans="1:10" x14ac:dyDescent="0.25">
      <c r="B1306" s="293"/>
      <c r="C1306" s="293"/>
      <c r="D1306" s="293"/>
      <c r="E1306" s="293"/>
      <c r="F1306" s="293"/>
      <c r="G1306" s="293"/>
      <c r="H1306" s="293"/>
      <c r="I1306" s="293"/>
      <c r="J1306" s="293"/>
    </row>
    <row r="1307" spans="1:10" x14ac:dyDescent="0.25">
      <c r="B1307" s="293"/>
      <c r="C1307" s="293"/>
      <c r="D1307" s="293"/>
      <c r="E1307" s="293"/>
      <c r="F1307" s="293"/>
      <c r="G1307" s="293"/>
      <c r="H1307" s="293"/>
      <c r="I1307" s="293"/>
      <c r="J1307" s="293"/>
    </row>
    <row r="1308" spans="1:10" x14ac:dyDescent="0.25">
      <c r="B1308" s="293"/>
      <c r="C1308" s="293"/>
      <c r="D1308" s="293"/>
      <c r="E1308" s="293"/>
      <c r="F1308" s="293"/>
      <c r="G1308" s="293"/>
      <c r="H1308" s="293"/>
      <c r="I1308" s="293"/>
      <c r="J1308" s="293"/>
    </row>
    <row r="1309" spans="1:10" x14ac:dyDescent="0.25">
      <c r="A1309" s="47" t="s">
        <v>4263</v>
      </c>
      <c r="B1309" s="296">
        <f>SUM(B1299:B1308)</f>
        <v>0</v>
      </c>
      <c r="C1309" s="296">
        <f t="shared" ref="C1309" si="687">SUM(C1299:C1308)</f>
        <v>0</v>
      </c>
      <c r="D1309" s="296">
        <f t="shared" ref="D1309" si="688">SUM(D1299:D1308)</f>
        <v>0</v>
      </c>
      <c r="E1309" s="296">
        <f t="shared" ref="E1309" si="689">SUM(E1299:E1308)</f>
        <v>0</v>
      </c>
      <c r="F1309" s="296">
        <f t="shared" ref="F1309" si="690">SUM(F1299:F1308)</f>
        <v>0</v>
      </c>
      <c r="G1309" s="296">
        <f t="shared" ref="G1309" si="691">SUM(G1299:G1308)</f>
        <v>0</v>
      </c>
      <c r="H1309" s="296">
        <f t="shared" ref="H1309" si="692">SUM(H1299:H1308)</f>
        <v>0</v>
      </c>
      <c r="I1309" s="296">
        <f t="shared" ref="I1309" si="693">SUM(I1299:I1308)</f>
        <v>0</v>
      </c>
      <c r="J1309" s="296">
        <f t="shared" ref="J1309" si="694">SUM(J1299:J1308)</f>
        <v>0</v>
      </c>
    </row>
    <row r="1310" spans="1:10" x14ac:dyDescent="0.25">
      <c r="B1310" s="293"/>
      <c r="C1310" s="293"/>
      <c r="D1310" s="293"/>
      <c r="E1310" s="293"/>
      <c r="F1310" s="293"/>
      <c r="G1310" s="293"/>
      <c r="H1310" s="293"/>
      <c r="I1310" s="293"/>
      <c r="J1310" s="293"/>
    </row>
    <row r="1311" spans="1:10" x14ac:dyDescent="0.25">
      <c r="A1311" s="47" t="s">
        <v>4264</v>
      </c>
      <c r="B1311" s="293"/>
      <c r="C1311" s="293"/>
      <c r="D1311" s="293"/>
      <c r="E1311" s="293"/>
      <c r="F1311" s="293"/>
      <c r="G1311" s="293"/>
      <c r="H1311" s="293"/>
      <c r="I1311" s="293"/>
      <c r="J1311" s="293"/>
    </row>
    <row r="1312" spans="1:10" x14ac:dyDescent="0.25">
      <c r="A1312" t="s">
        <v>87</v>
      </c>
      <c r="B1312" s="293"/>
      <c r="C1312" s="293"/>
      <c r="D1312" s="293"/>
      <c r="E1312" s="293"/>
      <c r="F1312" s="293"/>
      <c r="G1312" s="293"/>
      <c r="H1312" s="293"/>
      <c r="I1312" s="293"/>
      <c r="J1312" s="293"/>
    </row>
    <row r="1313" spans="1:10" x14ac:dyDescent="0.25">
      <c r="A1313" t="s">
        <v>4265</v>
      </c>
      <c r="B1313" s="293"/>
      <c r="C1313" s="293"/>
      <c r="D1313" s="293"/>
      <c r="E1313" s="293"/>
      <c r="F1313" s="293"/>
      <c r="G1313" s="293"/>
      <c r="H1313" s="293"/>
      <c r="I1313" s="293"/>
      <c r="J1313" s="293"/>
    </row>
    <row r="1314" spans="1:10" x14ac:dyDescent="0.25">
      <c r="B1314" s="293"/>
      <c r="C1314" s="293"/>
      <c r="D1314" s="293"/>
      <c r="E1314" s="293"/>
      <c r="F1314" s="293"/>
      <c r="G1314" s="293"/>
      <c r="H1314" s="293"/>
      <c r="I1314" s="293"/>
      <c r="J1314" s="293"/>
    </row>
    <row r="1315" spans="1:10" x14ac:dyDescent="0.25">
      <c r="B1315" s="293"/>
      <c r="C1315" s="293"/>
      <c r="D1315" s="293"/>
      <c r="E1315" s="293"/>
      <c r="F1315" s="293"/>
      <c r="G1315" s="293"/>
      <c r="H1315" s="293"/>
      <c r="I1315" s="293"/>
      <c r="J1315" s="293"/>
    </row>
    <row r="1316" spans="1:10" x14ac:dyDescent="0.25">
      <c r="B1316" s="293"/>
      <c r="C1316" s="293"/>
      <c r="D1316" s="293"/>
      <c r="E1316" s="293"/>
      <c r="F1316" s="293"/>
      <c r="G1316" s="293"/>
      <c r="H1316" s="293"/>
      <c r="I1316" s="293"/>
      <c r="J1316" s="293"/>
    </row>
    <row r="1317" spans="1:10" x14ac:dyDescent="0.25">
      <c r="B1317" s="293"/>
      <c r="C1317" s="293"/>
      <c r="D1317" s="293"/>
      <c r="E1317" s="293"/>
      <c r="F1317" s="293"/>
      <c r="G1317" s="293"/>
      <c r="H1317" s="293"/>
      <c r="I1317" s="293"/>
      <c r="J1317" s="293"/>
    </row>
    <row r="1318" spans="1:10" x14ac:dyDescent="0.25">
      <c r="A1318" t="s">
        <v>4266</v>
      </c>
      <c r="B1318" s="293"/>
      <c r="C1318" s="293"/>
      <c r="D1318" s="293"/>
      <c r="E1318" s="293"/>
      <c r="F1318" s="293"/>
      <c r="G1318" s="293"/>
      <c r="H1318" s="293"/>
      <c r="I1318" s="293"/>
      <c r="J1318" s="293"/>
    </row>
    <row r="1319" spans="1:10" x14ac:dyDescent="0.25">
      <c r="A1319" t="s">
        <v>66</v>
      </c>
      <c r="B1319" s="293"/>
      <c r="C1319" s="293"/>
      <c r="D1319" s="293"/>
      <c r="E1319" s="293"/>
      <c r="F1319" s="293"/>
      <c r="G1319" s="293"/>
      <c r="H1319" s="293"/>
      <c r="I1319" s="293"/>
      <c r="J1319" s="293"/>
    </row>
    <row r="1320" spans="1:10" x14ac:dyDescent="0.25">
      <c r="B1320" s="293"/>
      <c r="C1320" s="293"/>
      <c r="D1320" s="293"/>
      <c r="E1320" s="293"/>
      <c r="F1320" s="293"/>
      <c r="G1320" s="293"/>
      <c r="H1320" s="293"/>
      <c r="I1320" s="293"/>
      <c r="J1320" s="293"/>
    </row>
    <row r="1321" spans="1:10" x14ac:dyDescent="0.25">
      <c r="B1321" s="293"/>
      <c r="C1321" s="293"/>
      <c r="D1321" s="293"/>
      <c r="E1321" s="293"/>
      <c r="F1321" s="293"/>
      <c r="G1321" s="293"/>
      <c r="H1321" s="293"/>
      <c r="I1321" s="293"/>
      <c r="J1321" s="293"/>
    </row>
    <row r="1322" spans="1:10" x14ac:dyDescent="0.25">
      <c r="B1322" s="293"/>
      <c r="C1322" s="293"/>
      <c r="D1322" s="293"/>
      <c r="E1322" s="293"/>
      <c r="F1322" s="293"/>
      <c r="G1322" s="293"/>
      <c r="H1322" s="293"/>
      <c r="I1322" s="293"/>
      <c r="J1322" s="293"/>
    </row>
    <row r="1323" spans="1:10" x14ac:dyDescent="0.25">
      <c r="B1323" s="293"/>
      <c r="C1323" s="293"/>
      <c r="D1323" s="293"/>
      <c r="E1323" s="293"/>
      <c r="F1323" s="293"/>
      <c r="G1323" s="293"/>
      <c r="H1323" s="293"/>
      <c r="I1323" s="293"/>
      <c r="J1323" s="293"/>
    </row>
    <row r="1324" spans="1:10" x14ac:dyDescent="0.25">
      <c r="A1324" s="47" t="s">
        <v>4267</v>
      </c>
      <c r="B1324" s="296">
        <f>SUM(B1312:B1323)</f>
        <v>0</v>
      </c>
      <c r="C1324" s="296">
        <f t="shared" ref="C1324" si="695">SUM(C1312:C1323)</f>
        <v>0</v>
      </c>
      <c r="D1324" s="296">
        <f t="shared" ref="D1324" si="696">SUM(D1312:D1323)</f>
        <v>0</v>
      </c>
      <c r="E1324" s="296">
        <f t="shared" ref="E1324" si="697">SUM(E1312:E1323)</f>
        <v>0</v>
      </c>
      <c r="F1324" s="296">
        <f t="shared" ref="F1324" si="698">SUM(F1312:F1323)</f>
        <v>0</v>
      </c>
      <c r="G1324" s="296">
        <f t="shared" ref="G1324" si="699">SUM(G1312:G1323)</f>
        <v>0</v>
      </c>
      <c r="H1324" s="296">
        <f t="shared" ref="H1324" si="700">SUM(H1312:H1323)</f>
        <v>0</v>
      </c>
      <c r="I1324" s="296">
        <f t="shared" ref="I1324" si="701">SUM(I1312:I1323)</f>
        <v>0</v>
      </c>
      <c r="J1324" s="296">
        <f t="shared" ref="J1324" si="702">SUM(J1312:J1323)</f>
        <v>0</v>
      </c>
    </row>
    <row r="1325" spans="1:10" x14ac:dyDescent="0.25">
      <c r="B1325" s="293"/>
      <c r="C1325" s="293"/>
      <c r="D1325" s="293"/>
      <c r="E1325" s="293"/>
      <c r="F1325" s="293"/>
      <c r="G1325" s="293"/>
      <c r="H1325" s="293"/>
      <c r="I1325" s="293"/>
      <c r="J1325" s="293"/>
    </row>
    <row r="1326" spans="1:10" ht="15.75" thickBot="1" x14ac:dyDescent="0.3">
      <c r="A1326" s="47" t="s">
        <v>4268</v>
      </c>
      <c r="B1326" s="301">
        <f>B1309-B1324</f>
        <v>0</v>
      </c>
      <c r="C1326" s="301">
        <f t="shared" ref="C1326:J1326" si="703">C1309-C1324</f>
        <v>0</v>
      </c>
      <c r="D1326" s="301">
        <f t="shared" si="703"/>
        <v>0</v>
      </c>
      <c r="E1326" s="301">
        <f t="shared" si="703"/>
        <v>0</v>
      </c>
      <c r="F1326" s="301">
        <f t="shared" si="703"/>
        <v>0</v>
      </c>
      <c r="G1326" s="301">
        <f t="shared" si="703"/>
        <v>0</v>
      </c>
      <c r="H1326" s="301">
        <f t="shared" si="703"/>
        <v>0</v>
      </c>
      <c r="I1326" s="301">
        <f t="shared" si="703"/>
        <v>0</v>
      </c>
      <c r="J1326" s="301">
        <f t="shared" si="703"/>
        <v>0</v>
      </c>
    </row>
    <row r="1327" spans="1:10" ht="15.75" thickTop="1" x14ac:dyDescent="0.25">
      <c r="B1327" s="293"/>
      <c r="C1327" s="293"/>
      <c r="D1327" s="293"/>
      <c r="E1327" s="293"/>
      <c r="F1327" s="293"/>
      <c r="G1327" s="293"/>
      <c r="H1327" s="293"/>
      <c r="I1327" s="293"/>
      <c r="J1327" s="293"/>
    </row>
    <row r="1328" spans="1:10" x14ac:dyDescent="0.25">
      <c r="A1328" s="281"/>
      <c r="B1328" s="316"/>
      <c r="C1328" s="316"/>
      <c r="D1328" s="316"/>
      <c r="E1328" s="316"/>
      <c r="F1328" s="316"/>
      <c r="G1328" s="316"/>
      <c r="H1328" s="316"/>
      <c r="I1328" s="316"/>
      <c r="J1328" s="316"/>
    </row>
    <row r="1329" spans="1:10" x14ac:dyDescent="0.25">
      <c r="B1329" s="293"/>
      <c r="C1329" s="293"/>
      <c r="D1329" s="293"/>
      <c r="E1329" s="293"/>
      <c r="F1329" s="293"/>
      <c r="G1329" s="293"/>
      <c r="H1329" s="293"/>
      <c r="I1329" s="293"/>
      <c r="J1329" s="293"/>
    </row>
    <row r="1330" spans="1:10" x14ac:dyDescent="0.25">
      <c r="A1330" s="280" t="s">
        <v>4310</v>
      </c>
      <c r="B1330" s="293"/>
      <c r="C1330" s="293"/>
      <c r="D1330" s="293"/>
      <c r="E1330" s="293"/>
      <c r="F1330" s="293"/>
      <c r="G1330" s="293"/>
      <c r="H1330" s="293"/>
      <c r="I1330" s="293"/>
      <c r="J1330" s="293"/>
    </row>
    <row r="1331" spans="1:10" x14ac:dyDescent="0.25">
      <c r="B1331" s="293"/>
      <c r="C1331" s="293"/>
      <c r="D1331" s="293"/>
      <c r="E1331" s="293"/>
      <c r="F1331" s="293"/>
      <c r="G1331" s="293"/>
      <c r="H1331" s="293"/>
      <c r="I1331" s="293"/>
      <c r="J1331" s="293"/>
    </row>
    <row r="1332" spans="1:10" x14ac:dyDescent="0.25">
      <c r="A1332" s="47" t="s">
        <v>4260</v>
      </c>
      <c r="B1332" s="293"/>
      <c r="C1332" s="293"/>
      <c r="D1332" s="293"/>
      <c r="E1332" s="293"/>
      <c r="F1332" s="293"/>
      <c r="G1332" s="293"/>
      <c r="H1332" s="293"/>
      <c r="I1332" s="293"/>
      <c r="J1332" s="293"/>
    </row>
    <row r="1333" spans="1:10" x14ac:dyDescent="0.25">
      <c r="A1333" t="s">
        <v>4262</v>
      </c>
      <c r="B1333" s="293"/>
      <c r="C1333" s="293"/>
      <c r="D1333" s="293"/>
      <c r="E1333" s="293"/>
      <c r="F1333" s="293"/>
      <c r="G1333" s="293"/>
      <c r="H1333" s="293"/>
      <c r="I1333" s="293"/>
      <c r="J1333" s="293"/>
    </row>
    <row r="1334" spans="1:10" x14ac:dyDescent="0.25">
      <c r="A1334" t="s">
        <v>4261</v>
      </c>
      <c r="B1334" s="293"/>
      <c r="C1334" s="293"/>
      <c r="D1334" s="293"/>
      <c r="E1334" s="293"/>
      <c r="F1334" s="293"/>
      <c r="G1334" s="293"/>
      <c r="H1334" s="293"/>
      <c r="I1334" s="293"/>
      <c r="J1334" s="293"/>
    </row>
    <row r="1335" spans="1:10" x14ac:dyDescent="0.25">
      <c r="A1335" t="s">
        <v>66</v>
      </c>
      <c r="B1335" s="293"/>
      <c r="C1335" s="293"/>
      <c r="D1335" s="293"/>
      <c r="E1335" s="293"/>
      <c r="F1335" s="293"/>
      <c r="G1335" s="293"/>
      <c r="H1335" s="293"/>
      <c r="I1335" s="293"/>
      <c r="J1335" s="293"/>
    </row>
    <row r="1336" spans="1:10" x14ac:dyDescent="0.25">
      <c r="B1336" s="293"/>
      <c r="C1336" s="293"/>
      <c r="D1336" s="293"/>
      <c r="E1336" s="293"/>
      <c r="F1336" s="293"/>
      <c r="G1336" s="293"/>
      <c r="H1336" s="293"/>
      <c r="I1336" s="293"/>
      <c r="J1336" s="293"/>
    </row>
    <row r="1337" spans="1:10" x14ac:dyDescent="0.25">
      <c r="B1337" s="293"/>
      <c r="C1337" s="293"/>
      <c r="D1337" s="293"/>
      <c r="E1337" s="293"/>
      <c r="F1337" s="293"/>
      <c r="G1337" s="293"/>
      <c r="H1337" s="293"/>
      <c r="I1337" s="293"/>
      <c r="J1337" s="293"/>
    </row>
    <row r="1338" spans="1:10" x14ac:dyDescent="0.25">
      <c r="B1338" s="293"/>
      <c r="C1338" s="293"/>
      <c r="D1338" s="293"/>
      <c r="E1338" s="293"/>
      <c r="F1338" s="293"/>
      <c r="G1338" s="293"/>
      <c r="H1338" s="293"/>
      <c r="I1338" s="293"/>
      <c r="J1338" s="293"/>
    </row>
    <row r="1339" spans="1:10" x14ac:dyDescent="0.25">
      <c r="B1339" s="293"/>
      <c r="C1339" s="293"/>
      <c r="D1339" s="293"/>
      <c r="E1339" s="293"/>
      <c r="F1339" s="293"/>
      <c r="G1339" s="293"/>
      <c r="H1339" s="293"/>
      <c r="I1339" s="293"/>
      <c r="J1339" s="293"/>
    </row>
    <row r="1340" spans="1:10" x14ac:dyDescent="0.25">
      <c r="A1340" s="47" t="s">
        <v>4263</v>
      </c>
      <c r="B1340" s="296">
        <f>SUM(B1330:B1339)</f>
        <v>0</v>
      </c>
      <c r="C1340" s="296">
        <f t="shared" ref="C1340" si="704">SUM(C1330:C1339)</f>
        <v>0</v>
      </c>
      <c r="D1340" s="296">
        <f t="shared" ref="D1340" si="705">SUM(D1330:D1339)</f>
        <v>0</v>
      </c>
      <c r="E1340" s="296">
        <f t="shared" ref="E1340" si="706">SUM(E1330:E1339)</f>
        <v>0</v>
      </c>
      <c r="F1340" s="296">
        <f t="shared" ref="F1340" si="707">SUM(F1330:F1339)</f>
        <v>0</v>
      </c>
      <c r="G1340" s="296">
        <f t="shared" ref="G1340" si="708">SUM(G1330:G1339)</f>
        <v>0</v>
      </c>
      <c r="H1340" s="296">
        <f t="shared" ref="H1340" si="709">SUM(H1330:H1339)</f>
        <v>0</v>
      </c>
      <c r="I1340" s="296">
        <f t="shared" ref="I1340" si="710">SUM(I1330:I1339)</f>
        <v>0</v>
      </c>
      <c r="J1340" s="296">
        <f t="shared" ref="J1340" si="711">SUM(J1330:J1339)</f>
        <v>0</v>
      </c>
    </row>
    <row r="1341" spans="1:10" x14ac:dyDescent="0.25">
      <c r="B1341" s="293"/>
      <c r="C1341" s="293"/>
      <c r="D1341" s="293"/>
      <c r="E1341" s="293"/>
      <c r="F1341" s="293"/>
      <c r="G1341" s="293"/>
      <c r="H1341" s="293"/>
      <c r="I1341" s="293"/>
      <c r="J1341" s="293"/>
    </row>
    <row r="1342" spans="1:10" x14ac:dyDescent="0.25">
      <c r="A1342" s="47" t="s">
        <v>4264</v>
      </c>
      <c r="B1342" s="293"/>
      <c r="C1342" s="293"/>
      <c r="D1342" s="293"/>
      <c r="E1342" s="293"/>
      <c r="F1342" s="293"/>
      <c r="G1342" s="293"/>
      <c r="H1342" s="293"/>
      <c r="I1342" s="293"/>
      <c r="J1342" s="293"/>
    </row>
    <row r="1343" spans="1:10" x14ac:dyDescent="0.25">
      <c r="A1343" t="s">
        <v>87</v>
      </c>
      <c r="B1343" s="293"/>
      <c r="C1343" s="293"/>
      <c r="D1343" s="293"/>
      <c r="E1343" s="293"/>
      <c r="F1343" s="293"/>
      <c r="G1343" s="293"/>
      <c r="H1343" s="293"/>
      <c r="I1343" s="293"/>
      <c r="J1343" s="293"/>
    </row>
    <row r="1344" spans="1:10" x14ac:dyDescent="0.25">
      <c r="A1344" t="s">
        <v>4265</v>
      </c>
      <c r="B1344" s="293"/>
      <c r="C1344" s="293"/>
      <c r="D1344" s="293"/>
      <c r="E1344" s="293"/>
      <c r="F1344" s="293"/>
      <c r="G1344" s="293"/>
      <c r="H1344" s="293"/>
      <c r="I1344" s="293"/>
      <c r="J1344" s="293"/>
    </row>
    <row r="1345" spans="1:10" x14ac:dyDescent="0.25">
      <c r="B1345" s="293"/>
      <c r="C1345" s="293"/>
      <c r="D1345" s="293"/>
      <c r="E1345" s="293"/>
      <c r="F1345" s="293"/>
      <c r="G1345" s="293"/>
      <c r="H1345" s="293"/>
      <c r="I1345" s="293"/>
      <c r="J1345" s="293"/>
    </row>
    <row r="1346" spans="1:10" x14ac:dyDescent="0.25">
      <c r="B1346" s="293"/>
      <c r="C1346" s="293"/>
      <c r="D1346" s="293"/>
      <c r="E1346" s="293"/>
      <c r="F1346" s="293"/>
      <c r="G1346" s="293"/>
      <c r="H1346" s="293"/>
      <c r="I1346" s="293"/>
      <c r="J1346" s="293"/>
    </row>
    <row r="1347" spans="1:10" x14ac:dyDescent="0.25">
      <c r="B1347" s="293"/>
      <c r="C1347" s="293"/>
      <c r="D1347" s="293"/>
      <c r="E1347" s="293"/>
      <c r="F1347" s="293"/>
      <c r="G1347" s="293"/>
      <c r="H1347" s="293"/>
      <c r="I1347" s="293"/>
      <c r="J1347" s="293"/>
    </row>
    <row r="1348" spans="1:10" x14ac:dyDescent="0.25">
      <c r="B1348" s="293"/>
      <c r="C1348" s="293"/>
      <c r="D1348" s="293"/>
      <c r="E1348" s="293"/>
      <c r="F1348" s="293"/>
      <c r="G1348" s="293"/>
      <c r="H1348" s="293"/>
      <c r="I1348" s="293"/>
      <c r="J1348" s="293"/>
    </row>
    <row r="1349" spans="1:10" x14ac:dyDescent="0.25">
      <c r="A1349" t="s">
        <v>4266</v>
      </c>
      <c r="B1349" s="293"/>
      <c r="C1349" s="293"/>
      <c r="D1349" s="293"/>
      <c r="E1349" s="293"/>
      <c r="F1349" s="293"/>
      <c r="G1349" s="293"/>
      <c r="H1349" s="293"/>
      <c r="I1349" s="293"/>
      <c r="J1349" s="293"/>
    </row>
    <row r="1350" spans="1:10" x14ac:dyDescent="0.25">
      <c r="A1350" t="s">
        <v>66</v>
      </c>
      <c r="B1350" s="293"/>
      <c r="C1350" s="293"/>
      <c r="D1350" s="293"/>
      <c r="E1350" s="293"/>
      <c r="F1350" s="293"/>
      <c r="G1350" s="293"/>
      <c r="H1350" s="293"/>
      <c r="I1350" s="293"/>
      <c r="J1350" s="293"/>
    </row>
    <row r="1351" spans="1:10" x14ac:dyDescent="0.25">
      <c r="B1351" s="293"/>
      <c r="C1351" s="293"/>
      <c r="D1351" s="293"/>
      <c r="E1351" s="293"/>
      <c r="F1351" s="293"/>
      <c r="G1351" s="293"/>
      <c r="H1351" s="293"/>
      <c r="I1351" s="293"/>
      <c r="J1351" s="293"/>
    </row>
    <row r="1352" spans="1:10" x14ac:dyDescent="0.25">
      <c r="B1352" s="293"/>
      <c r="C1352" s="293"/>
      <c r="D1352" s="293"/>
      <c r="E1352" s="293"/>
      <c r="F1352" s="293"/>
      <c r="G1352" s="293"/>
      <c r="H1352" s="293"/>
      <c r="I1352" s="293"/>
      <c r="J1352" s="293"/>
    </row>
    <row r="1353" spans="1:10" x14ac:dyDescent="0.25">
      <c r="B1353" s="293"/>
      <c r="C1353" s="293"/>
      <c r="D1353" s="293"/>
      <c r="E1353" s="293"/>
      <c r="F1353" s="293"/>
      <c r="G1353" s="293"/>
      <c r="H1353" s="293"/>
      <c r="I1353" s="293"/>
      <c r="J1353" s="293"/>
    </row>
    <row r="1354" spans="1:10" x14ac:dyDescent="0.25">
      <c r="B1354" s="293"/>
      <c r="C1354" s="293"/>
      <c r="D1354" s="293"/>
      <c r="E1354" s="293"/>
      <c r="F1354" s="293"/>
      <c r="G1354" s="293"/>
      <c r="H1354" s="293"/>
      <c r="I1354" s="293"/>
      <c r="J1354" s="293"/>
    </row>
    <row r="1355" spans="1:10" x14ac:dyDescent="0.25">
      <c r="A1355" s="47" t="s">
        <v>4267</v>
      </c>
      <c r="B1355" s="296">
        <f>SUM(B1343:B1354)</f>
        <v>0</v>
      </c>
      <c r="C1355" s="296">
        <f t="shared" ref="C1355" si="712">SUM(C1343:C1354)</f>
        <v>0</v>
      </c>
      <c r="D1355" s="296">
        <f t="shared" ref="D1355" si="713">SUM(D1343:D1354)</f>
        <v>0</v>
      </c>
      <c r="E1355" s="296">
        <f t="shared" ref="E1355" si="714">SUM(E1343:E1354)</f>
        <v>0</v>
      </c>
      <c r="F1355" s="296">
        <f t="shared" ref="F1355" si="715">SUM(F1343:F1354)</f>
        <v>0</v>
      </c>
      <c r="G1355" s="296">
        <f t="shared" ref="G1355" si="716">SUM(G1343:G1354)</f>
        <v>0</v>
      </c>
      <c r="H1355" s="296">
        <f t="shared" ref="H1355" si="717">SUM(H1343:H1354)</f>
        <v>0</v>
      </c>
      <c r="I1355" s="296">
        <f t="shared" ref="I1355" si="718">SUM(I1343:I1354)</f>
        <v>0</v>
      </c>
      <c r="J1355" s="296">
        <f t="shared" ref="J1355" si="719">SUM(J1343:J1354)</f>
        <v>0</v>
      </c>
    </row>
    <row r="1356" spans="1:10" x14ac:dyDescent="0.25">
      <c r="B1356" s="293"/>
      <c r="C1356" s="293"/>
      <c r="D1356" s="293"/>
      <c r="E1356" s="293"/>
      <c r="F1356" s="293"/>
      <c r="G1356" s="293"/>
      <c r="H1356" s="293"/>
      <c r="I1356" s="293"/>
      <c r="J1356" s="293"/>
    </row>
    <row r="1357" spans="1:10" ht="15.75" thickBot="1" x14ac:dyDescent="0.3">
      <c r="A1357" s="47" t="s">
        <v>4268</v>
      </c>
      <c r="B1357" s="301">
        <f>B1340-B1355</f>
        <v>0</v>
      </c>
      <c r="C1357" s="301">
        <f t="shared" ref="C1357:J1357" si="720">C1340-C1355</f>
        <v>0</v>
      </c>
      <c r="D1357" s="301">
        <f t="shared" si="720"/>
        <v>0</v>
      </c>
      <c r="E1357" s="301">
        <f t="shared" si="720"/>
        <v>0</v>
      </c>
      <c r="F1357" s="301">
        <f t="shared" si="720"/>
        <v>0</v>
      </c>
      <c r="G1357" s="301">
        <f t="shared" si="720"/>
        <v>0</v>
      </c>
      <c r="H1357" s="301">
        <f t="shared" si="720"/>
        <v>0</v>
      </c>
      <c r="I1357" s="301">
        <f t="shared" si="720"/>
        <v>0</v>
      </c>
      <c r="J1357" s="301">
        <f t="shared" si="720"/>
        <v>0</v>
      </c>
    </row>
    <row r="1358" spans="1:10" ht="15.75" thickTop="1" x14ac:dyDescent="0.25">
      <c r="B1358" s="293"/>
      <c r="C1358" s="293"/>
      <c r="D1358" s="293"/>
      <c r="E1358" s="293"/>
      <c r="F1358" s="293"/>
      <c r="G1358" s="293"/>
      <c r="H1358" s="293"/>
      <c r="I1358" s="293"/>
      <c r="J1358" s="293"/>
    </row>
    <row r="1359" spans="1:10" x14ac:dyDescent="0.25">
      <c r="A1359" s="281"/>
      <c r="B1359" s="316"/>
      <c r="C1359" s="316"/>
      <c r="D1359" s="316"/>
      <c r="E1359" s="316"/>
      <c r="F1359" s="316"/>
      <c r="G1359" s="316"/>
      <c r="H1359" s="316"/>
      <c r="I1359" s="316"/>
      <c r="J1359" s="316"/>
    </row>
    <row r="1360" spans="1:10" x14ac:dyDescent="0.25">
      <c r="B1360" s="293"/>
      <c r="C1360" s="293"/>
      <c r="D1360" s="293"/>
      <c r="E1360" s="293"/>
      <c r="F1360" s="293"/>
      <c r="G1360" s="293"/>
      <c r="H1360" s="293"/>
      <c r="I1360" s="293"/>
      <c r="J1360" s="293"/>
    </row>
    <row r="1361" spans="1:10" x14ac:dyDescent="0.25">
      <c r="A1361" s="280" t="s">
        <v>4311</v>
      </c>
      <c r="B1361" s="293"/>
      <c r="C1361" s="293"/>
      <c r="D1361" s="293"/>
      <c r="E1361" s="293"/>
      <c r="F1361" s="293"/>
      <c r="G1361" s="293"/>
      <c r="H1361" s="293"/>
      <c r="I1361" s="293"/>
      <c r="J1361" s="293"/>
    </row>
    <row r="1362" spans="1:10" x14ac:dyDescent="0.25">
      <c r="B1362" s="293"/>
      <c r="C1362" s="293"/>
      <c r="D1362" s="293"/>
      <c r="E1362" s="293"/>
      <c r="F1362" s="293"/>
      <c r="G1362" s="293"/>
      <c r="H1362" s="293"/>
      <c r="I1362" s="293"/>
      <c r="J1362" s="293"/>
    </row>
    <row r="1363" spans="1:10" x14ac:dyDescent="0.25">
      <c r="A1363" s="47" t="s">
        <v>4260</v>
      </c>
      <c r="B1363" s="293"/>
      <c r="C1363" s="293"/>
      <c r="D1363" s="293"/>
      <c r="E1363" s="293"/>
      <c r="F1363" s="293"/>
      <c r="G1363" s="293"/>
      <c r="H1363" s="293"/>
      <c r="I1363" s="293"/>
      <c r="J1363" s="293"/>
    </row>
    <row r="1364" spans="1:10" x14ac:dyDescent="0.25">
      <c r="A1364" t="s">
        <v>4262</v>
      </c>
      <c r="B1364" s="293"/>
      <c r="C1364" s="293"/>
      <c r="D1364" s="293"/>
      <c r="E1364" s="293"/>
      <c r="F1364" s="293"/>
      <c r="G1364" s="293"/>
      <c r="H1364" s="293"/>
      <c r="I1364" s="293"/>
      <c r="J1364" s="293"/>
    </row>
    <row r="1365" spans="1:10" x14ac:dyDescent="0.25">
      <c r="A1365" t="s">
        <v>4261</v>
      </c>
      <c r="B1365" s="293"/>
      <c r="C1365" s="293"/>
      <c r="D1365" s="293"/>
      <c r="E1365" s="293"/>
      <c r="F1365" s="293"/>
      <c r="G1365" s="293"/>
      <c r="H1365" s="293"/>
      <c r="I1365" s="293"/>
      <c r="J1365" s="293"/>
    </row>
    <row r="1366" spans="1:10" x14ac:dyDescent="0.25">
      <c r="A1366" t="s">
        <v>66</v>
      </c>
      <c r="B1366" s="293"/>
      <c r="C1366" s="293"/>
      <c r="D1366" s="293"/>
      <c r="E1366" s="293"/>
      <c r="F1366" s="293"/>
      <c r="G1366" s="293"/>
      <c r="H1366" s="293"/>
      <c r="I1366" s="293"/>
      <c r="J1366" s="293"/>
    </row>
    <row r="1367" spans="1:10" x14ac:dyDescent="0.25">
      <c r="B1367" s="293"/>
      <c r="C1367" s="293"/>
      <c r="D1367" s="293"/>
      <c r="E1367" s="293"/>
      <c r="F1367" s="293"/>
      <c r="G1367" s="293"/>
      <c r="H1367" s="293"/>
      <c r="I1367" s="293"/>
      <c r="J1367" s="293"/>
    </row>
    <row r="1368" spans="1:10" x14ac:dyDescent="0.25">
      <c r="B1368" s="293"/>
      <c r="C1368" s="293"/>
      <c r="D1368" s="293"/>
      <c r="E1368" s="293"/>
      <c r="F1368" s="293"/>
      <c r="G1368" s="293"/>
      <c r="H1368" s="293"/>
      <c r="I1368" s="293"/>
      <c r="J1368" s="293"/>
    </row>
    <row r="1369" spans="1:10" x14ac:dyDescent="0.25">
      <c r="B1369" s="293"/>
      <c r="C1369" s="293"/>
      <c r="D1369" s="293"/>
      <c r="E1369" s="293"/>
      <c r="F1369" s="293"/>
      <c r="G1369" s="293"/>
      <c r="H1369" s="293"/>
      <c r="I1369" s="293"/>
      <c r="J1369" s="293"/>
    </row>
    <row r="1370" spans="1:10" x14ac:dyDescent="0.25">
      <c r="B1370" s="293"/>
      <c r="C1370" s="293"/>
      <c r="D1370" s="293"/>
      <c r="E1370" s="293"/>
      <c r="F1370" s="293"/>
      <c r="G1370" s="293"/>
      <c r="H1370" s="293"/>
      <c r="I1370" s="293"/>
      <c r="J1370" s="293"/>
    </row>
    <row r="1371" spans="1:10" x14ac:dyDescent="0.25">
      <c r="A1371" s="47" t="s">
        <v>4263</v>
      </c>
      <c r="B1371" s="296">
        <f>SUM(B1361:B1370)</f>
        <v>0</v>
      </c>
      <c r="C1371" s="296">
        <f t="shared" ref="C1371" si="721">SUM(C1361:C1370)</f>
        <v>0</v>
      </c>
      <c r="D1371" s="296">
        <f t="shared" ref="D1371" si="722">SUM(D1361:D1370)</f>
        <v>0</v>
      </c>
      <c r="E1371" s="296">
        <f t="shared" ref="E1371" si="723">SUM(E1361:E1370)</f>
        <v>0</v>
      </c>
      <c r="F1371" s="296">
        <f t="shared" ref="F1371" si="724">SUM(F1361:F1370)</f>
        <v>0</v>
      </c>
      <c r="G1371" s="296">
        <f t="shared" ref="G1371" si="725">SUM(G1361:G1370)</f>
        <v>0</v>
      </c>
      <c r="H1371" s="296">
        <f t="shared" ref="H1371" si="726">SUM(H1361:H1370)</f>
        <v>0</v>
      </c>
      <c r="I1371" s="296">
        <f t="shared" ref="I1371" si="727">SUM(I1361:I1370)</f>
        <v>0</v>
      </c>
      <c r="J1371" s="296">
        <f t="shared" ref="J1371" si="728">SUM(J1361:J1370)</f>
        <v>0</v>
      </c>
    </row>
    <row r="1372" spans="1:10" x14ac:dyDescent="0.25">
      <c r="B1372" s="293"/>
      <c r="C1372" s="293"/>
      <c r="D1372" s="293"/>
      <c r="E1372" s="293"/>
      <c r="F1372" s="293"/>
      <c r="G1372" s="293"/>
      <c r="H1372" s="293"/>
      <c r="I1372" s="293"/>
      <c r="J1372" s="293"/>
    </row>
    <row r="1373" spans="1:10" x14ac:dyDescent="0.25">
      <c r="A1373" s="47" t="s">
        <v>4264</v>
      </c>
      <c r="B1373" s="293"/>
      <c r="C1373" s="293"/>
      <c r="D1373" s="293"/>
      <c r="E1373" s="293"/>
      <c r="F1373" s="293"/>
      <c r="G1373" s="293"/>
      <c r="H1373" s="293"/>
      <c r="I1373" s="293"/>
      <c r="J1373" s="293"/>
    </row>
    <row r="1374" spans="1:10" x14ac:dyDescent="0.25">
      <c r="A1374" t="s">
        <v>87</v>
      </c>
      <c r="B1374" s="293"/>
      <c r="C1374" s="293"/>
      <c r="D1374" s="293"/>
      <c r="E1374" s="293"/>
      <c r="F1374" s="293"/>
      <c r="G1374" s="293"/>
      <c r="H1374" s="293"/>
      <c r="I1374" s="293"/>
      <c r="J1374" s="293"/>
    </row>
    <row r="1375" spans="1:10" x14ac:dyDescent="0.25">
      <c r="A1375" t="s">
        <v>4265</v>
      </c>
      <c r="B1375" s="293"/>
      <c r="C1375" s="293"/>
      <c r="D1375" s="293"/>
      <c r="E1375" s="293"/>
      <c r="F1375" s="293"/>
      <c r="G1375" s="293"/>
      <c r="H1375" s="293"/>
      <c r="I1375" s="293"/>
      <c r="J1375" s="293"/>
    </row>
    <row r="1376" spans="1:10" x14ac:dyDescent="0.25">
      <c r="B1376" s="293"/>
      <c r="C1376" s="293"/>
      <c r="D1376" s="293"/>
      <c r="E1376" s="293"/>
      <c r="F1376" s="293"/>
      <c r="G1376" s="293"/>
      <c r="H1376" s="293"/>
      <c r="I1376" s="293"/>
      <c r="J1376" s="293"/>
    </row>
    <row r="1377" spans="1:10" x14ac:dyDescent="0.25">
      <c r="B1377" s="293"/>
      <c r="C1377" s="293"/>
      <c r="D1377" s="293"/>
      <c r="E1377" s="293"/>
      <c r="F1377" s="293"/>
      <c r="G1377" s="293"/>
      <c r="H1377" s="293"/>
      <c r="I1377" s="293"/>
      <c r="J1377" s="293"/>
    </row>
    <row r="1378" spans="1:10" x14ac:dyDescent="0.25">
      <c r="B1378" s="293"/>
      <c r="C1378" s="293"/>
      <c r="D1378" s="293"/>
      <c r="E1378" s="293"/>
      <c r="F1378" s="293"/>
      <c r="G1378" s="293"/>
      <c r="H1378" s="293"/>
      <c r="I1378" s="293"/>
      <c r="J1378" s="293"/>
    </row>
    <row r="1379" spans="1:10" x14ac:dyDescent="0.25">
      <c r="B1379" s="293"/>
      <c r="C1379" s="293"/>
      <c r="D1379" s="293"/>
      <c r="E1379" s="293"/>
      <c r="F1379" s="293"/>
      <c r="G1379" s="293"/>
      <c r="H1379" s="293"/>
      <c r="I1379" s="293"/>
      <c r="J1379" s="293"/>
    </row>
    <row r="1380" spans="1:10" x14ac:dyDescent="0.25">
      <c r="A1380" t="s">
        <v>4266</v>
      </c>
      <c r="B1380" s="293"/>
      <c r="C1380" s="293"/>
      <c r="D1380" s="293"/>
      <c r="E1380" s="293"/>
      <c r="F1380" s="293"/>
      <c r="G1380" s="293"/>
      <c r="H1380" s="293"/>
      <c r="I1380" s="293"/>
      <c r="J1380" s="293"/>
    </row>
    <row r="1381" spans="1:10" x14ac:dyDescent="0.25">
      <c r="A1381" t="s">
        <v>66</v>
      </c>
      <c r="B1381" s="293"/>
      <c r="C1381" s="293"/>
      <c r="D1381" s="293"/>
      <c r="E1381" s="293"/>
      <c r="F1381" s="293"/>
      <c r="G1381" s="293"/>
      <c r="H1381" s="293"/>
      <c r="I1381" s="293"/>
      <c r="J1381" s="293"/>
    </row>
    <row r="1382" spans="1:10" x14ac:dyDescent="0.25">
      <c r="B1382" s="293"/>
      <c r="C1382" s="293"/>
      <c r="D1382" s="293"/>
      <c r="E1382" s="293"/>
      <c r="F1382" s="293"/>
      <c r="G1382" s="293"/>
      <c r="H1382" s="293"/>
      <c r="I1382" s="293"/>
      <c r="J1382" s="293"/>
    </row>
    <row r="1383" spans="1:10" x14ac:dyDescent="0.25">
      <c r="B1383" s="293"/>
      <c r="C1383" s="293"/>
      <c r="D1383" s="293"/>
      <c r="E1383" s="293"/>
      <c r="F1383" s="293"/>
      <c r="G1383" s="293"/>
      <c r="H1383" s="293"/>
      <c r="I1383" s="293"/>
      <c r="J1383" s="293"/>
    </row>
    <row r="1384" spans="1:10" x14ac:dyDescent="0.25">
      <c r="B1384" s="293"/>
      <c r="C1384" s="293"/>
      <c r="D1384" s="293"/>
      <c r="E1384" s="293"/>
      <c r="F1384" s="293"/>
      <c r="G1384" s="293"/>
      <c r="H1384" s="293"/>
      <c r="I1384" s="293"/>
      <c r="J1384" s="293"/>
    </row>
    <row r="1385" spans="1:10" x14ac:dyDescent="0.25">
      <c r="B1385" s="293"/>
      <c r="C1385" s="293"/>
      <c r="D1385" s="293"/>
      <c r="E1385" s="293"/>
      <c r="F1385" s="293"/>
      <c r="G1385" s="293"/>
      <c r="H1385" s="293"/>
      <c r="I1385" s="293"/>
      <c r="J1385" s="293"/>
    </row>
    <row r="1386" spans="1:10" x14ac:dyDescent="0.25">
      <c r="A1386" s="47" t="s">
        <v>4267</v>
      </c>
      <c r="B1386" s="296">
        <f>SUM(B1374:B1385)</f>
        <v>0</v>
      </c>
      <c r="C1386" s="296">
        <f t="shared" ref="C1386" si="729">SUM(C1374:C1385)</f>
        <v>0</v>
      </c>
      <c r="D1386" s="296">
        <f t="shared" ref="D1386" si="730">SUM(D1374:D1385)</f>
        <v>0</v>
      </c>
      <c r="E1386" s="296">
        <f t="shared" ref="E1386" si="731">SUM(E1374:E1385)</f>
        <v>0</v>
      </c>
      <c r="F1386" s="296">
        <f t="shared" ref="F1386" si="732">SUM(F1374:F1385)</f>
        <v>0</v>
      </c>
      <c r="G1386" s="296">
        <f t="shared" ref="G1386" si="733">SUM(G1374:G1385)</f>
        <v>0</v>
      </c>
      <c r="H1386" s="296">
        <f t="shared" ref="H1386" si="734">SUM(H1374:H1385)</f>
        <v>0</v>
      </c>
      <c r="I1386" s="296">
        <f t="shared" ref="I1386" si="735">SUM(I1374:I1385)</f>
        <v>0</v>
      </c>
      <c r="J1386" s="296">
        <f t="shared" ref="J1386" si="736">SUM(J1374:J1385)</f>
        <v>0</v>
      </c>
    </row>
    <row r="1387" spans="1:10" x14ac:dyDescent="0.25">
      <c r="B1387" s="293"/>
      <c r="C1387" s="293"/>
      <c r="D1387" s="293"/>
      <c r="E1387" s="293"/>
      <c r="F1387" s="293"/>
      <c r="G1387" s="293"/>
      <c r="H1387" s="293"/>
      <c r="I1387" s="293"/>
      <c r="J1387" s="293"/>
    </row>
    <row r="1388" spans="1:10" ht="15.75" thickBot="1" x14ac:dyDescent="0.3">
      <c r="A1388" s="47" t="s">
        <v>4268</v>
      </c>
      <c r="B1388" s="301">
        <f>B1371-B1386</f>
        <v>0</v>
      </c>
      <c r="C1388" s="301">
        <f t="shared" ref="C1388:J1388" si="737">C1371-C1386</f>
        <v>0</v>
      </c>
      <c r="D1388" s="301">
        <f t="shared" si="737"/>
        <v>0</v>
      </c>
      <c r="E1388" s="301">
        <f t="shared" si="737"/>
        <v>0</v>
      </c>
      <c r="F1388" s="301">
        <f t="shared" si="737"/>
        <v>0</v>
      </c>
      <c r="G1388" s="301">
        <f t="shared" si="737"/>
        <v>0</v>
      </c>
      <c r="H1388" s="301">
        <f t="shared" si="737"/>
        <v>0</v>
      </c>
      <c r="I1388" s="301">
        <f t="shared" si="737"/>
        <v>0</v>
      </c>
      <c r="J1388" s="301">
        <f t="shared" si="737"/>
        <v>0</v>
      </c>
    </row>
    <row r="1389" spans="1:10" ht="15.75" thickTop="1" x14ac:dyDescent="0.25">
      <c r="B1389" s="293"/>
      <c r="C1389" s="293"/>
      <c r="D1389" s="293"/>
      <c r="E1389" s="293"/>
      <c r="F1389" s="293"/>
      <c r="G1389" s="293"/>
      <c r="H1389" s="293"/>
      <c r="I1389" s="293"/>
      <c r="J1389" s="293"/>
    </row>
    <row r="1390" spans="1:10" x14ac:dyDescent="0.25">
      <c r="A1390" s="281"/>
      <c r="B1390" s="316"/>
      <c r="C1390" s="316"/>
      <c r="D1390" s="316"/>
      <c r="E1390" s="316"/>
      <c r="F1390" s="316"/>
      <c r="G1390" s="316"/>
      <c r="H1390" s="316"/>
      <c r="I1390" s="316"/>
      <c r="J1390" s="316"/>
    </row>
    <row r="1391" spans="1:10" x14ac:dyDescent="0.25">
      <c r="B1391" s="293"/>
      <c r="C1391" s="293"/>
      <c r="D1391" s="293"/>
      <c r="E1391" s="293"/>
      <c r="F1391" s="293"/>
      <c r="G1391" s="293"/>
      <c r="H1391" s="293"/>
      <c r="I1391" s="293"/>
      <c r="J1391" s="293"/>
    </row>
    <row r="1392" spans="1:10" x14ac:dyDescent="0.25">
      <c r="A1392" s="280" t="s">
        <v>4312</v>
      </c>
      <c r="B1392" s="293"/>
      <c r="C1392" s="293"/>
      <c r="D1392" s="293"/>
      <c r="E1392" s="293"/>
      <c r="F1392" s="293"/>
      <c r="G1392" s="293"/>
      <c r="H1392" s="293"/>
      <c r="I1392" s="293"/>
      <c r="J1392" s="293"/>
    </row>
    <row r="1393" spans="1:10" x14ac:dyDescent="0.25">
      <c r="B1393" s="293"/>
      <c r="C1393" s="293"/>
      <c r="D1393" s="293"/>
      <c r="E1393" s="293"/>
      <c r="F1393" s="293"/>
      <c r="G1393" s="293"/>
      <c r="H1393" s="293"/>
      <c r="I1393" s="293"/>
      <c r="J1393" s="293"/>
    </row>
    <row r="1394" spans="1:10" x14ac:dyDescent="0.25">
      <c r="A1394" s="47" t="s">
        <v>4260</v>
      </c>
      <c r="B1394" s="293"/>
      <c r="C1394" s="293"/>
      <c r="D1394" s="293"/>
      <c r="E1394" s="293"/>
      <c r="F1394" s="293"/>
      <c r="G1394" s="293"/>
      <c r="H1394" s="293"/>
      <c r="I1394" s="293"/>
      <c r="J1394" s="293"/>
    </row>
    <row r="1395" spans="1:10" x14ac:dyDescent="0.25">
      <c r="A1395" t="s">
        <v>4262</v>
      </c>
      <c r="B1395" s="293"/>
      <c r="C1395" s="293"/>
      <c r="D1395" s="293"/>
      <c r="E1395" s="293"/>
      <c r="F1395" s="293"/>
      <c r="G1395" s="293"/>
      <c r="H1395" s="293"/>
      <c r="I1395" s="293"/>
      <c r="J1395" s="293"/>
    </row>
    <row r="1396" spans="1:10" x14ac:dyDescent="0.25">
      <c r="A1396" t="s">
        <v>4261</v>
      </c>
      <c r="B1396" s="293"/>
      <c r="C1396" s="293"/>
      <c r="D1396" s="293"/>
      <c r="E1396" s="293"/>
      <c r="F1396" s="293"/>
      <c r="G1396" s="293"/>
      <c r="H1396" s="293"/>
      <c r="I1396" s="293"/>
      <c r="J1396" s="293"/>
    </row>
    <row r="1397" spans="1:10" x14ac:dyDescent="0.25">
      <c r="A1397" t="s">
        <v>66</v>
      </c>
      <c r="B1397" s="293"/>
      <c r="C1397" s="293"/>
      <c r="D1397" s="293"/>
      <c r="E1397" s="293"/>
      <c r="F1397" s="293"/>
      <c r="G1397" s="293"/>
      <c r="H1397" s="293"/>
      <c r="I1397" s="293"/>
      <c r="J1397" s="293"/>
    </row>
    <row r="1398" spans="1:10" x14ac:dyDescent="0.25">
      <c r="B1398" s="293"/>
      <c r="C1398" s="293"/>
      <c r="D1398" s="293"/>
      <c r="E1398" s="293"/>
      <c r="F1398" s="293"/>
      <c r="G1398" s="293"/>
      <c r="H1398" s="293"/>
      <c r="I1398" s="293"/>
      <c r="J1398" s="293"/>
    </row>
    <row r="1399" spans="1:10" x14ac:dyDescent="0.25">
      <c r="B1399" s="293"/>
      <c r="C1399" s="293"/>
      <c r="D1399" s="293"/>
      <c r="E1399" s="293"/>
      <c r="F1399" s="293"/>
      <c r="G1399" s="293"/>
      <c r="H1399" s="293"/>
      <c r="I1399" s="293"/>
      <c r="J1399" s="293"/>
    </row>
    <row r="1400" spans="1:10" x14ac:dyDescent="0.25">
      <c r="B1400" s="293"/>
      <c r="C1400" s="293"/>
      <c r="D1400" s="293"/>
      <c r="E1400" s="293"/>
      <c r="F1400" s="293"/>
      <c r="G1400" s="293"/>
      <c r="H1400" s="293"/>
      <c r="I1400" s="293"/>
      <c r="J1400" s="293"/>
    </row>
    <row r="1401" spans="1:10" x14ac:dyDescent="0.25">
      <c r="B1401" s="293"/>
      <c r="C1401" s="293"/>
      <c r="D1401" s="293"/>
      <c r="E1401" s="293"/>
      <c r="F1401" s="293"/>
      <c r="G1401" s="293"/>
      <c r="H1401" s="293"/>
      <c r="I1401" s="293"/>
      <c r="J1401" s="293"/>
    </row>
    <row r="1402" spans="1:10" x14ac:dyDescent="0.25">
      <c r="A1402" s="47" t="s">
        <v>4263</v>
      </c>
      <c r="B1402" s="296">
        <f>SUM(B1392:B1401)</f>
        <v>0</v>
      </c>
      <c r="C1402" s="296">
        <f t="shared" ref="C1402" si="738">SUM(C1392:C1401)</f>
        <v>0</v>
      </c>
      <c r="D1402" s="296">
        <f t="shared" ref="D1402" si="739">SUM(D1392:D1401)</f>
        <v>0</v>
      </c>
      <c r="E1402" s="296">
        <f t="shared" ref="E1402" si="740">SUM(E1392:E1401)</f>
        <v>0</v>
      </c>
      <c r="F1402" s="296">
        <f t="shared" ref="F1402" si="741">SUM(F1392:F1401)</f>
        <v>0</v>
      </c>
      <c r="G1402" s="296">
        <f t="shared" ref="G1402" si="742">SUM(G1392:G1401)</f>
        <v>0</v>
      </c>
      <c r="H1402" s="296">
        <f t="shared" ref="H1402" si="743">SUM(H1392:H1401)</f>
        <v>0</v>
      </c>
      <c r="I1402" s="296">
        <f t="shared" ref="I1402" si="744">SUM(I1392:I1401)</f>
        <v>0</v>
      </c>
      <c r="J1402" s="296">
        <f t="shared" ref="J1402" si="745">SUM(J1392:J1401)</f>
        <v>0</v>
      </c>
    </row>
    <row r="1403" spans="1:10" x14ac:dyDescent="0.25">
      <c r="B1403" s="293"/>
      <c r="C1403" s="293"/>
      <c r="D1403" s="293"/>
      <c r="E1403" s="293"/>
      <c r="F1403" s="293"/>
      <c r="G1403" s="293"/>
      <c r="H1403" s="293"/>
      <c r="I1403" s="293"/>
      <c r="J1403" s="293"/>
    </row>
    <row r="1404" spans="1:10" x14ac:dyDescent="0.25">
      <c r="A1404" s="47" t="s">
        <v>4264</v>
      </c>
      <c r="B1404" s="293"/>
      <c r="C1404" s="293"/>
      <c r="D1404" s="293"/>
      <c r="E1404" s="293"/>
      <c r="F1404" s="293"/>
      <c r="G1404" s="293"/>
      <c r="H1404" s="293"/>
      <c r="I1404" s="293"/>
      <c r="J1404" s="293"/>
    </row>
    <row r="1405" spans="1:10" x14ac:dyDescent="0.25">
      <c r="A1405" t="s">
        <v>87</v>
      </c>
      <c r="B1405" s="293"/>
      <c r="C1405" s="293"/>
      <c r="D1405" s="293"/>
      <c r="E1405" s="293"/>
      <c r="F1405" s="293"/>
      <c r="G1405" s="293"/>
      <c r="H1405" s="293"/>
      <c r="I1405" s="293"/>
      <c r="J1405" s="293"/>
    </row>
    <row r="1406" spans="1:10" x14ac:dyDescent="0.25">
      <c r="A1406" t="s">
        <v>4265</v>
      </c>
      <c r="B1406" s="293"/>
      <c r="C1406" s="293"/>
      <c r="D1406" s="293"/>
      <c r="E1406" s="293"/>
      <c r="F1406" s="293"/>
      <c r="G1406" s="293"/>
      <c r="H1406" s="293"/>
      <c r="I1406" s="293"/>
      <c r="J1406" s="293"/>
    </row>
    <row r="1407" spans="1:10" x14ac:dyDescent="0.25">
      <c r="B1407" s="293"/>
      <c r="C1407" s="293"/>
      <c r="D1407" s="293"/>
      <c r="E1407" s="293"/>
      <c r="F1407" s="293"/>
      <c r="G1407" s="293"/>
      <c r="H1407" s="293"/>
      <c r="I1407" s="293"/>
      <c r="J1407" s="293"/>
    </row>
    <row r="1408" spans="1:10" x14ac:dyDescent="0.25">
      <c r="B1408" s="293"/>
      <c r="C1408" s="293"/>
      <c r="D1408" s="293"/>
      <c r="E1408" s="293"/>
      <c r="F1408" s="293"/>
      <c r="G1408" s="293"/>
      <c r="H1408" s="293"/>
      <c r="I1408" s="293"/>
      <c r="J1408" s="293"/>
    </row>
    <row r="1409" spans="1:10" x14ac:dyDescent="0.25">
      <c r="B1409" s="293"/>
      <c r="C1409" s="293"/>
      <c r="D1409" s="293"/>
      <c r="E1409" s="293"/>
      <c r="F1409" s="293"/>
      <c r="G1409" s="293"/>
      <c r="H1409" s="293"/>
      <c r="I1409" s="293"/>
      <c r="J1409" s="293"/>
    </row>
    <row r="1410" spans="1:10" x14ac:dyDescent="0.25">
      <c r="B1410" s="293"/>
      <c r="C1410" s="293"/>
      <c r="D1410" s="293"/>
      <c r="E1410" s="293"/>
      <c r="F1410" s="293"/>
      <c r="G1410" s="293"/>
      <c r="H1410" s="293"/>
      <c r="I1410" s="293"/>
      <c r="J1410" s="293"/>
    </row>
    <row r="1411" spans="1:10" x14ac:dyDescent="0.25">
      <c r="A1411" t="s">
        <v>4266</v>
      </c>
      <c r="B1411" s="293"/>
      <c r="C1411" s="293"/>
      <c r="D1411" s="293"/>
      <c r="E1411" s="293"/>
      <c r="F1411" s="293"/>
      <c r="G1411" s="293"/>
      <c r="H1411" s="293"/>
      <c r="I1411" s="293"/>
      <c r="J1411" s="293"/>
    </row>
    <row r="1412" spans="1:10" x14ac:dyDescent="0.25">
      <c r="A1412" t="s">
        <v>66</v>
      </c>
      <c r="B1412" s="293"/>
      <c r="C1412" s="293"/>
      <c r="D1412" s="293"/>
      <c r="E1412" s="293"/>
      <c r="F1412" s="293"/>
      <c r="G1412" s="293"/>
      <c r="H1412" s="293"/>
      <c r="I1412" s="293"/>
      <c r="J1412" s="293"/>
    </row>
    <row r="1413" spans="1:10" x14ac:dyDescent="0.25">
      <c r="B1413" s="293"/>
      <c r="C1413" s="293"/>
      <c r="D1413" s="293"/>
      <c r="E1413" s="293"/>
      <c r="F1413" s="293"/>
      <c r="G1413" s="293"/>
      <c r="H1413" s="293"/>
      <c r="I1413" s="293"/>
      <c r="J1413" s="293"/>
    </row>
    <row r="1414" spans="1:10" x14ac:dyDescent="0.25">
      <c r="B1414" s="293"/>
      <c r="C1414" s="293"/>
      <c r="D1414" s="293"/>
      <c r="E1414" s="293"/>
      <c r="F1414" s="293"/>
      <c r="G1414" s="293"/>
      <c r="H1414" s="293"/>
      <c r="I1414" s="293"/>
      <c r="J1414" s="293"/>
    </row>
    <row r="1415" spans="1:10" x14ac:dyDescent="0.25">
      <c r="B1415" s="293"/>
      <c r="C1415" s="293"/>
      <c r="D1415" s="293"/>
      <c r="E1415" s="293"/>
      <c r="F1415" s="293"/>
      <c r="G1415" s="293"/>
      <c r="H1415" s="293"/>
      <c r="I1415" s="293"/>
      <c r="J1415" s="293"/>
    </row>
    <row r="1416" spans="1:10" x14ac:dyDescent="0.25">
      <c r="B1416" s="293"/>
      <c r="C1416" s="293"/>
      <c r="D1416" s="293"/>
      <c r="E1416" s="293"/>
      <c r="F1416" s="293"/>
      <c r="G1416" s="293"/>
      <c r="H1416" s="293"/>
      <c r="I1416" s="293"/>
      <c r="J1416" s="293"/>
    </row>
    <row r="1417" spans="1:10" x14ac:dyDescent="0.25">
      <c r="A1417" s="47" t="s">
        <v>4267</v>
      </c>
      <c r="B1417" s="296">
        <f>SUM(B1405:B1416)</f>
        <v>0</v>
      </c>
      <c r="C1417" s="296">
        <f t="shared" ref="C1417" si="746">SUM(C1405:C1416)</f>
        <v>0</v>
      </c>
      <c r="D1417" s="296">
        <f t="shared" ref="D1417" si="747">SUM(D1405:D1416)</f>
        <v>0</v>
      </c>
      <c r="E1417" s="296">
        <f t="shared" ref="E1417" si="748">SUM(E1405:E1416)</f>
        <v>0</v>
      </c>
      <c r="F1417" s="296">
        <f t="shared" ref="F1417" si="749">SUM(F1405:F1416)</f>
        <v>0</v>
      </c>
      <c r="G1417" s="296">
        <f t="shared" ref="G1417" si="750">SUM(G1405:G1416)</f>
        <v>0</v>
      </c>
      <c r="H1417" s="296">
        <f t="shared" ref="H1417" si="751">SUM(H1405:H1416)</f>
        <v>0</v>
      </c>
      <c r="I1417" s="296">
        <f t="shared" ref="I1417" si="752">SUM(I1405:I1416)</f>
        <v>0</v>
      </c>
      <c r="J1417" s="296">
        <f t="shared" ref="J1417" si="753">SUM(J1405:J1416)</f>
        <v>0</v>
      </c>
    </row>
    <row r="1418" spans="1:10" x14ac:dyDescent="0.25">
      <c r="B1418" s="293"/>
      <c r="C1418" s="293"/>
      <c r="D1418" s="293"/>
      <c r="E1418" s="293"/>
      <c r="F1418" s="293"/>
      <c r="G1418" s="293"/>
      <c r="H1418" s="293"/>
      <c r="I1418" s="293"/>
      <c r="J1418" s="293"/>
    </row>
    <row r="1419" spans="1:10" ht="15.75" thickBot="1" x14ac:dyDescent="0.3">
      <c r="A1419" s="47" t="s">
        <v>4268</v>
      </c>
      <c r="B1419" s="301">
        <f>B1402-B1417</f>
        <v>0</v>
      </c>
      <c r="C1419" s="301">
        <f t="shared" ref="C1419:J1419" si="754">C1402-C1417</f>
        <v>0</v>
      </c>
      <c r="D1419" s="301">
        <f t="shared" si="754"/>
        <v>0</v>
      </c>
      <c r="E1419" s="301">
        <f t="shared" si="754"/>
        <v>0</v>
      </c>
      <c r="F1419" s="301">
        <f t="shared" si="754"/>
        <v>0</v>
      </c>
      <c r="G1419" s="301">
        <f t="shared" si="754"/>
        <v>0</v>
      </c>
      <c r="H1419" s="301">
        <f t="shared" si="754"/>
        <v>0</v>
      </c>
      <c r="I1419" s="301">
        <f t="shared" si="754"/>
        <v>0</v>
      </c>
      <c r="J1419" s="301">
        <f t="shared" si="754"/>
        <v>0</v>
      </c>
    </row>
    <row r="1420" spans="1:10" ht="15.75" thickTop="1" x14ac:dyDescent="0.25">
      <c r="B1420" s="293"/>
      <c r="C1420" s="293"/>
      <c r="D1420" s="293"/>
      <c r="E1420" s="293"/>
      <c r="F1420" s="293"/>
      <c r="G1420" s="293"/>
      <c r="H1420" s="293"/>
      <c r="I1420" s="293"/>
      <c r="J1420" s="293"/>
    </row>
    <row r="1421" spans="1:10" x14ac:dyDescent="0.25">
      <c r="A1421" s="281"/>
      <c r="B1421" s="316"/>
      <c r="C1421" s="316"/>
      <c r="D1421" s="316"/>
      <c r="E1421" s="316"/>
      <c r="F1421" s="316"/>
      <c r="G1421" s="316"/>
      <c r="H1421" s="316"/>
      <c r="I1421" s="316"/>
      <c r="J1421" s="316"/>
    </row>
    <row r="1422" spans="1:10" x14ac:dyDescent="0.25">
      <c r="B1422" s="293"/>
      <c r="C1422" s="293"/>
      <c r="D1422" s="293"/>
      <c r="E1422" s="293"/>
      <c r="F1422" s="293"/>
      <c r="G1422" s="293"/>
      <c r="H1422" s="293"/>
      <c r="I1422" s="293"/>
      <c r="J1422" s="293"/>
    </row>
    <row r="1423" spans="1:10" x14ac:dyDescent="0.25">
      <c r="A1423" s="280" t="s">
        <v>4313</v>
      </c>
      <c r="B1423" s="293"/>
      <c r="C1423" s="293"/>
      <c r="D1423" s="293"/>
      <c r="E1423" s="293"/>
      <c r="F1423" s="293"/>
      <c r="G1423" s="293"/>
      <c r="H1423" s="293"/>
      <c r="I1423" s="293"/>
      <c r="J1423" s="293"/>
    </row>
    <row r="1424" spans="1:10" x14ac:dyDescent="0.25">
      <c r="B1424" s="293"/>
      <c r="C1424" s="293"/>
      <c r="D1424" s="293"/>
      <c r="E1424" s="293"/>
      <c r="F1424" s="293"/>
      <c r="G1424" s="293"/>
      <c r="H1424" s="293"/>
      <c r="I1424" s="293"/>
      <c r="J1424" s="293"/>
    </row>
    <row r="1425" spans="1:10" x14ac:dyDescent="0.25">
      <c r="A1425" s="47" t="s">
        <v>4260</v>
      </c>
      <c r="B1425" s="293"/>
      <c r="C1425" s="293"/>
      <c r="D1425" s="293"/>
      <c r="E1425" s="293"/>
      <c r="F1425" s="293"/>
      <c r="G1425" s="293"/>
      <c r="H1425" s="293"/>
      <c r="I1425" s="293"/>
      <c r="J1425" s="293"/>
    </row>
    <row r="1426" spans="1:10" x14ac:dyDescent="0.25">
      <c r="A1426" t="s">
        <v>4262</v>
      </c>
      <c r="B1426" s="293"/>
      <c r="C1426" s="293"/>
      <c r="D1426" s="293"/>
      <c r="E1426" s="293"/>
      <c r="F1426" s="293"/>
      <c r="G1426" s="293"/>
      <c r="H1426" s="293"/>
      <c r="I1426" s="293"/>
      <c r="J1426" s="293"/>
    </row>
    <row r="1427" spans="1:10" x14ac:dyDescent="0.25">
      <c r="A1427" t="s">
        <v>4261</v>
      </c>
      <c r="B1427" s="293"/>
      <c r="C1427" s="293"/>
      <c r="D1427" s="293"/>
      <c r="E1427" s="293"/>
      <c r="F1427" s="293"/>
      <c r="G1427" s="293"/>
      <c r="H1427" s="293"/>
      <c r="I1427" s="293"/>
      <c r="J1427" s="293"/>
    </row>
    <row r="1428" spans="1:10" x14ac:dyDescent="0.25">
      <c r="A1428" t="s">
        <v>66</v>
      </c>
      <c r="B1428" s="293">
        <v>60000</v>
      </c>
      <c r="C1428" s="293">
        <v>60000</v>
      </c>
      <c r="D1428" s="293">
        <v>60000</v>
      </c>
      <c r="E1428" s="293">
        <v>60000</v>
      </c>
      <c r="F1428" s="293">
        <v>60000</v>
      </c>
      <c r="G1428" s="293">
        <v>60000</v>
      </c>
      <c r="H1428" s="293">
        <v>60000</v>
      </c>
      <c r="I1428" s="293">
        <v>60000</v>
      </c>
      <c r="J1428" s="293">
        <v>60000</v>
      </c>
    </row>
    <row r="1429" spans="1:10" x14ac:dyDescent="0.25">
      <c r="B1429" s="293"/>
      <c r="C1429" s="293"/>
      <c r="D1429" s="293"/>
      <c r="E1429" s="293"/>
      <c r="F1429" s="293"/>
      <c r="G1429" s="293"/>
      <c r="H1429" s="293"/>
      <c r="I1429" s="293"/>
      <c r="J1429" s="293"/>
    </row>
    <row r="1430" spans="1:10" x14ac:dyDescent="0.25">
      <c r="B1430" s="293"/>
      <c r="C1430" s="293"/>
      <c r="D1430" s="293"/>
      <c r="E1430" s="293"/>
      <c r="F1430" s="293"/>
      <c r="G1430" s="293"/>
      <c r="H1430" s="293"/>
      <c r="I1430" s="293"/>
      <c r="J1430" s="293"/>
    </row>
    <row r="1431" spans="1:10" x14ac:dyDescent="0.25">
      <c r="B1431" s="293"/>
      <c r="C1431" s="293"/>
      <c r="D1431" s="293"/>
      <c r="E1431" s="293"/>
      <c r="F1431" s="293"/>
      <c r="G1431" s="293"/>
      <c r="H1431" s="293"/>
      <c r="I1431" s="293"/>
      <c r="J1431" s="293"/>
    </row>
    <row r="1432" spans="1:10" x14ac:dyDescent="0.25">
      <c r="B1432" s="293"/>
      <c r="C1432" s="293"/>
      <c r="D1432" s="293"/>
      <c r="E1432" s="293"/>
      <c r="F1432" s="293"/>
      <c r="G1432" s="293"/>
      <c r="H1432" s="293"/>
      <c r="I1432" s="293"/>
      <c r="J1432" s="293"/>
    </row>
    <row r="1433" spans="1:10" x14ac:dyDescent="0.25">
      <c r="A1433" s="47" t="s">
        <v>4263</v>
      </c>
      <c r="B1433" s="296">
        <f>SUM(B1423:B1432)</f>
        <v>60000</v>
      </c>
      <c r="C1433" s="296">
        <f t="shared" ref="C1433" si="755">SUM(C1423:C1432)</f>
        <v>60000</v>
      </c>
      <c r="D1433" s="296">
        <f t="shared" ref="D1433" si="756">SUM(D1423:D1432)</f>
        <v>60000</v>
      </c>
      <c r="E1433" s="296">
        <f t="shared" ref="E1433" si="757">SUM(E1423:E1432)</f>
        <v>60000</v>
      </c>
      <c r="F1433" s="296">
        <f t="shared" ref="F1433" si="758">SUM(F1423:F1432)</f>
        <v>60000</v>
      </c>
      <c r="G1433" s="296">
        <f t="shared" ref="G1433" si="759">SUM(G1423:G1432)</f>
        <v>60000</v>
      </c>
      <c r="H1433" s="296">
        <f t="shared" ref="H1433" si="760">SUM(H1423:H1432)</f>
        <v>60000</v>
      </c>
      <c r="I1433" s="296">
        <f t="shared" ref="I1433" si="761">SUM(I1423:I1432)</f>
        <v>60000</v>
      </c>
      <c r="J1433" s="296">
        <f t="shared" ref="J1433" si="762">SUM(J1423:J1432)</f>
        <v>60000</v>
      </c>
    </row>
    <row r="1434" spans="1:10" x14ac:dyDescent="0.25">
      <c r="B1434" s="293"/>
      <c r="C1434" s="293"/>
      <c r="D1434" s="293"/>
      <c r="E1434" s="293"/>
      <c r="F1434" s="293"/>
      <c r="G1434" s="293"/>
      <c r="H1434" s="293"/>
      <c r="I1434" s="293"/>
      <c r="J1434" s="293"/>
    </row>
    <row r="1435" spans="1:10" x14ac:dyDescent="0.25">
      <c r="A1435" s="47" t="s">
        <v>4264</v>
      </c>
      <c r="B1435" s="293"/>
      <c r="C1435" s="293"/>
      <c r="D1435" s="293"/>
      <c r="E1435" s="293"/>
      <c r="F1435" s="293"/>
      <c r="G1435" s="293"/>
      <c r="H1435" s="293"/>
      <c r="I1435" s="293"/>
      <c r="J1435" s="293"/>
    </row>
    <row r="1436" spans="1:10" x14ac:dyDescent="0.25">
      <c r="A1436" t="s">
        <v>87</v>
      </c>
      <c r="B1436" s="293"/>
      <c r="C1436" s="293"/>
      <c r="D1436" s="293">
        <f>operatingdata!H113</f>
        <v>250000</v>
      </c>
      <c r="E1436" s="293"/>
      <c r="F1436" s="293"/>
      <c r="G1436" s="293"/>
      <c r="H1436" s="293">
        <f>operatingdata!L113</f>
        <v>300000</v>
      </c>
      <c r="I1436" s="293"/>
      <c r="J1436" s="293"/>
    </row>
    <row r="1437" spans="1:10" x14ac:dyDescent="0.25">
      <c r="A1437" t="s">
        <v>4265</v>
      </c>
      <c r="B1437" s="293"/>
      <c r="C1437" s="293"/>
      <c r="D1437" s="293"/>
      <c r="E1437" s="293"/>
      <c r="F1437" s="293"/>
      <c r="G1437" s="293"/>
      <c r="H1437" s="293"/>
      <c r="I1437" s="293"/>
      <c r="J1437" s="293"/>
    </row>
    <row r="1438" spans="1:10" x14ac:dyDescent="0.25">
      <c r="B1438" s="293"/>
      <c r="C1438" s="293"/>
      <c r="D1438" s="293"/>
      <c r="E1438" s="293"/>
      <c r="F1438" s="293"/>
      <c r="G1438" s="293"/>
      <c r="H1438" s="293"/>
      <c r="I1438" s="293"/>
      <c r="J1438" s="293"/>
    </row>
    <row r="1439" spans="1:10" x14ac:dyDescent="0.25">
      <c r="B1439" s="293"/>
      <c r="C1439" s="293"/>
      <c r="D1439" s="293"/>
      <c r="E1439" s="293"/>
      <c r="F1439" s="293"/>
      <c r="G1439" s="293"/>
      <c r="H1439" s="293"/>
      <c r="I1439" s="293"/>
      <c r="J1439" s="293"/>
    </row>
    <row r="1440" spans="1:10" x14ac:dyDescent="0.25">
      <c r="B1440" s="293"/>
      <c r="C1440" s="293"/>
      <c r="D1440" s="293"/>
      <c r="E1440" s="293"/>
      <c r="F1440" s="293"/>
      <c r="G1440" s="293"/>
      <c r="H1440" s="293"/>
      <c r="I1440" s="293"/>
      <c r="J1440" s="293"/>
    </row>
    <row r="1441" spans="1:10" x14ac:dyDescent="0.25">
      <c r="B1441" s="293"/>
      <c r="C1441" s="293"/>
      <c r="D1441" s="293"/>
      <c r="E1441" s="293"/>
      <c r="F1441" s="293"/>
      <c r="G1441" s="293"/>
      <c r="H1441" s="293"/>
      <c r="I1441" s="293"/>
      <c r="J1441" s="293"/>
    </row>
    <row r="1442" spans="1:10" x14ac:dyDescent="0.25">
      <c r="A1442" t="s">
        <v>4266</v>
      </c>
      <c r="B1442" s="293"/>
      <c r="C1442" s="293"/>
      <c r="D1442" s="293"/>
      <c r="E1442" s="293"/>
      <c r="F1442" s="293"/>
      <c r="G1442" s="293"/>
      <c r="H1442" s="293"/>
      <c r="I1442" s="293"/>
      <c r="J1442" s="293"/>
    </row>
    <row r="1443" spans="1:10" x14ac:dyDescent="0.25">
      <c r="A1443" t="s">
        <v>66</v>
      </c>
      <c r="B1443" s="293"/>
      <c r="C1443" s="293"/>
      <c r="D1443" s="293"/>
      <c r="E1443" s="293"/>
      <c r="F1443" s="293"/>
      <c r="G1443" s="293"/>
      <c r="H1443" s="293"/>
      <c r="I1443" s="293"/>
      <c r="J1443" s="293"/>
    </row>
    <row r="1444" spans="1:10" x14ac:dyDescent="0.25">
      <c r="B1444" s="293"/>
      <c r="C1444" s="293"/>
      <c r="D1444" s="293"/>
      <c r="E1444" s="293"/>
      <c r="F1444" s="293"/>
      <c r="G1444" s="293"/>
      <c r="H1444" s="293"/>
      <c r="I1444" s="293"/>
      <c r="J1444" s="293"/>
    </row>
    <row r="1445" spans="1:10" x14ac:dyDescent="0.25">
      <c r="B1445" s="293"/>
      <c r="C1445" s="293"/>
      <c r="D1445" s="293"/>
      <c r="E1445" s="293"/>
      <c r="F1445" s="293"/>
      <c r="G1445" s="293"/>
      <c r="H1445" s="293"/>
      <c r="I1445" s="293"/>
      <c r="J1445" s="293"/>
    </row>
    <row r="1446" spans="1:10" x14ac:dyDescent="0.25">
      <c r="B1446" s="293"/>
      <c r="C1446" s="293"/>
      <c r="D1446" s="293"/>
      <c r="E1446" s="293"/>
      <c r="F1446" s="293"/>
      <c r="G1446" s="293"/>
      <c r="H1446" s="293"/>
      <c r="I1446" s="293"/>
      <c r="J1446" s="293"/>
    </row>
    <row r="1447" spans="1:10" x14ac:dyDescent="0.25">
      <c r="B1447" s="293"/>
      <c r="C1447" s="293"/>
      <c r="D1447" s="293"/>
      <c r="E1447" s="293"/>
      <c r="F1447" s="293"/>
      <c r="G1447" s="293"/>
      <c r="H1447" s="293"/>
      <c r="I1447" s="293"/>
      <c r="J1447" s="293"/>
    </row>
    <row r="1448" spans="1:10" x14ac:dyDescent="0.25">
      <c r="A1448" s="47" t="s">
        <v>4267</v>
      </c>
      <c r="B1448" s="296">
        <f>SUM(B1436:B1447)</f>
        <v>0</v>
      </c>
      <c r="C1448" s="296">
        <f t="shared" ref="C1448" si="763">SUM(C1436:C1447)</f>
        <v>0</v>
      </c>
      <c r="D1448" s="296">
        <f t="shared" ref="D1448" si="764">SUM(D1436:D1447)</f>
        <v>250000</v>
      </c>
      <c r="E1448" s="296">
        <f t="shared" ref="E1448" si="765">SUM(E1436:E1447)</f>
        <v>0</v>
      </c>
      <c r="F1448" s="296">
        <f t="shared" ref="F1448" si="766">SUM(F1436:F1447)</f>
        <v>0</v>
      </c>
      <c r="G1448" s="296">
        <f t="shared" ref="G1448" si="767">SUM(G1436:G1447)</f>
        <v>0</v>
      </c>
      <c r="H1448" s="296">
        <f t="shared" ref="H1448" si="768">SUM(H1436:H1447)</f>
        <v>300000</v>
      </c>
      <c r="I1448" s="296">
        <f t="shared" ref="I1448" si="769">SUM(I1436:I1447)</f>
        <v>0</v>
      </c>
      <c r="J1448" s="296">
        <f t="shared" ref="J1448" si="770">SUM(J1436:J1447)</f>
        <v>0</v>
      </c>
    </row>
    <row r="1449" spans="1:10" x14ac:dyDescent="0.25">
      <c r="B1449" s="293"/>
      <c r="C1449" s="293"/>
      <c r="D1449" s="293"/>
      <c r="E1449" s="293"/>
      <c r="F1449" s="293"/>
      <c r="G1449" s="293"/>
      <c r="H1449" s="293"/>
      <c r="I1449" s="293"/>
      <c r="J1449" s="293"/>
    </row>
    <row r="1450" spans="1:10" ht="15.75" thickBot="1" x14ac:dyDescent="0.3">
      <c r="A1450" s="47" t="s">
        <v>4268</v>
      </c>
      <c r="B1450" s="301">
        <f>B1433-B1448</f>
        <v>60000</v>
      </c>
      <c r="C1450" s="301">
        <f t="shared" ref="C1450:J1450" si="771">C1433-C1448</f>
        <v>60000</v>
      </c>
      <c r="D1450" s="301">
        <f t="shared" si="771"/>
        <v>-190000</v>
      </c>
      <c r="E1450" s="301">
        <f t="shared" si="771"/>
        <v>60000</v>
      </c>
      <c r="F1450" s="301">
        <f t="shared" si="771"/>
        <v>60000</v>
      </c>
      <c r="G1450" s="301">
        <f t="shared" si="771"/>
        <v>60000</v>
      </c>
      <c r="H1450" s="301">
        <f t="shared" si="771"/>
        <v>-240000</v>
      </c>
      <c r="I1450" s="301">
        <f t="shared" si="771"/>
        <v>60000</v>
      </c>
      <c r="J1450" s="301">
        <f t="shared" si="771"/>
        <v>60000</v>
      </c>
    </row>
    <row r="1451" spans="1:10" ht="15.75" thickTop="1" x14ac:dyDescent="0.25">
      <c r="B1451" s="293"/>
      <c r="C1451" s="293"/>
      <c r="D1451" s="293"/>
      <c r="E1451" s="293"/>
      <c r="F1451" s="293"/>
      <c r="G1451" s="293"/>
      <c r="H1451" s="293"/>
      <c r="I1451" s="293"/>
      <c r="J1451" s="293"/>
    </row>
    <row r="1452" spans="1:10" x14ac:dyDescent="0.25">
      <c r="A1452" s="281"/>
      <c r="B1452" s="316"/>
      <c r="C1452" s="316"/>
      <c r="D1452" s="316"/>
      <c r="E1452" s="316"/>
      <c r="F1452" s="316"/>
      <c r="G1452" s="316"/>
      <c r="H1452" s="316"/>
      <c r="I1452" s="316"/>
      <c r="J1452" s="316"/>
    </row>
    <row r="1453" spans="1:10" x14ac:dyDescent="0.25">
      <c r="B1453" s="293"/>
      <c r="C1453" s="293"/>
      <c r="D1453" s="293"/>
      <c r="E1453" s="293"/>
      <c r="F1453" s="293"/>
      <c r="G1453" s="293"/>
      <c r="H1453" s="293"/>
      <c r="I1453" s="293"/>
      <c r="J1453" s="293"/>
    </row>
    <row r="1454" spans="1:10" x14ac:dyDescent="0.25">
      <c r="A1454" s="280" t="s">
        <v>4314</v>
      </c>
      <c r="B1454" s="293"/>
      <c r="C1454" s="293"/>
      <c r="D1454" s="293"/>
      <c r="E1454" s="293"/>
      <c r="F1454" s="293"/>
      <c r="G1454" s="293"/>
      <c r="H1454" s="293"/>
      <c r="I1454" s="293"/>
      <c r="J1454" s="293"/>
    </row>
    <row r="1455" spans="1:10" x14ac:dyDescent="0.25">
      <c r="B1455" s="293"/>
      <c r="C1455" s="293"/>
      <c r="D1455" s="293"/>
      <c r="E1455" s="293"/>
      <c r="F1455" s="293"/>
      <c r="G1455" s="293"/>
      <c r="H1455" s="293"/>
      <c r="I1455" s="293"/>
      <c r="J1455" s="293"/>
    </row>
    <row r="1456" spans="1:10" x14ac:dyDescent="0.25">
      <c r="A1456" s="47" t="s">
        <v>4260</v>
      </c>
      <c r="B1456" s="293"/>
      <c r="C1456" s="293"/>
      <c r="D1456" s="293"/>
      <c r="E1456" s="293"/>
      <c r="F1456" s="293"/>
      <c r="G1456" s="293"/>
      <c r="H1456" s="293"/>
      <c r="I1456" s="293"/>
      <c r="J1456" s="293"/>
    </row>
    <row r="1457" spans="1:10" x14ac:dyDescent="0.25">
      <c r="A1457" t="s">
        <v>4262</v>
      </c>
      <c r="B1457" s="293"/>
      <c r="C1457" s="293"/>
      <c r="D1457" s="293"/>
      <c r="E1457" s="293"/>
      <c r="F1457" s="293"/>
      <c r="G1457" s="293"/>
      <c r="H1457" s="293"/>
      <c r="I1457" s="293"/>
      <c r="J1457" s="293"/>
    </row>
    <row r="1458" spans="1:10" x14ac:dyDescent="0.25">
      <c r="A1458" t="s">
        <v>4261</v>
      </c>
      <c r="B1458" s="293"/>
      <c r="C1458" s="293"/>
      <c r="D1458" s="293"/>
      <c r="E1458" s="293"/>
      <c r="F1458" s="293"/>
      <c r="G1458" s="293"/>
      <c r="H1458" s="293"/>
      <c r="I1458" s="293"/>
      <c r="J1458" s="293"/>
    </row>
    <row r="1459" spans="1:10" x14ac:dyDescent="0.25">
      <c r="A1459" t="s">
        <v>66</v>
      </c>
      <c r="B1459" s="293"/>
      <c r="C1459" s="293"/>
      <c r="D1459" s="293"/>
      <c r="E1459" s="293"/>
      <c r="F1459" s="293"/>
      <c r="G1459" s="293"/>
      <c r="H1459" s="293"/>
      <c r="I1459" s="293"/>
      <c r="J1459" s="293"/>
    </row>
    <row r="1460" spans="1:10" x14ac:dyDescent="0.25">
      <c r="B1460" s="293"/>
      <c r="C1460" s="293"/>
      <c r="D1460" s="293"/>
      <c r="E1460" s="293"/>
      <c r="F1460" s="293"/>
      <c r="G1460" s="293"/>
      <c r="H1460" s="293"/>
      <c r="I1460" s="293"/>
      <c r="J1460" s="293"/>
    </row>
    <row r="1461" spans="1:10" x14ac:dyDescent="0.25">
      <c r="B1461" s="293"/>
      <c r="C1461" s="293"/>
      <c r="D1461" s="293"/>
      <c r="E1461" s="293"/>
      <c r="F1461" s="293"/>
      <c r="G1461" s="293"/>
      <c r="H1461" s="293"/>
      <c r="I1461" s="293"/>
      <c r="J1461" s="293"/>
    </row>
    <row r="1462" spans="1:10" x14ac:dyDescent="0.25">
      <c r="B1462" s="293"/>
      <c r="C1462" s="293"/>
      <c r="D1462" s="293"/>
      <c r="E1462" s="293"/>
      <c r="F1462" s="293"/>
      <c r="G1462" s="293"/>
      <c r="H1462" s="293"/>
      <c r="I1462" s="293"/>
      <c r="J1462" s="293"/>
    </row>
    <row r="1463" spans="1:10" x14ac:dyDescent="0.25">
      <c r="B1463" s="293"/>
      <c r="C1463" s="293"/>
      <c r="D1463" s="293"/>
      <c r="E1463" s="293"/>
      <c r="F1463" s="293"/>
      <c r="G1463" s="293"/>
      <c r="H1463" s="293"/>
      <c r="I1463" s="293"/>
      <c r="J1463" s="293"/>
    </row>
    <row r="1464" spans="1:10" x14ac:dyDescent="0.25">
      <c r="A1464" s="47" t="s">
        <v>4263</v>
      </c>
      <c r="B1464" s="296">
        <f>SUM(B1454:B1463)</f>
        <v>0</v>
      </c>
      <c r="C1464" s="296">
        <f t="shared" ref="C1464" si="772">SUM(C1454:C1463)</f>
        <v>0</v>
      </c>
      <c r="D1464" s="296">
        <f t="shared" ref="D1464" si="773">SUM(D1454:D1463)</f>
        <v>0</v>
      </c>
      <c r="E1464" s="296">
        <f t="shared" ref="E1464" si="774">SUM(E1454:E1463)</f>
        <v>0</v>
      </c>
      <c r="F1464" s="296">
        <f t="shared" ref="F1464" si="775">SUM(F1454:F1463)</f>
        <v>0</v>
      </c>
      <c r="G1464" s="296">
        <f t="shared" ref="G1464" si="776">SUM(G1454:G1463)</f>
        <v>0</v>
      </c>
      <c r="H1464" s="296">
        <f t="shared" ref="H1464" si="777">SUM(H1454:H1463)</f>
        <v>0</v>
      </c>
      <c r="I1464" s="296">
        <f t="shared" ref="I1464" si="778">SUM(I1454:I1463)</f>
        <v>0</v>
      </c>
      <c r="J1464" s="296">
        <f t="shared" ref="J1464" si="779">SUM(J1454:J1463)</f>
        <v>0</v>
      </c>
    </row>
    <row r="1465" spans="1:10" x14ac:dyDescent="0.25">
      <c r="B1465" s="293"/>
      <c r="C1465" s="293"/>
      <c r="D1465" s="293"/>
      <c r="E1465" s="293"/>
      <c r="F1465" s="293"/>
      <c r="G1465" s="293"/>
      <c r="H1465" s="293"/>
      <c r="I1465" s="293"/>
      <c r="J1465" s="293"/>
    </row>
    <row r="1466" spans="1:10" x14ac:dyDescent="0.25">
      <c r="A1466" s="47" t="s">
        <v>4264</v>
      </c>
      <c r="B1466" s="293"/>
      <c r="C1466" s="293"/>
      <c r="D1466" s="293"/>
      <c r="E1466" s="293"/>
      <c r="F1466" s="293"/>
      <c r="G1466" s="293"/>
      <c r="H1466" s="293"/>
      <c r="I1466" s="293"/>
      <c r="J1466" s="293"/>
    </row>
    <row r="1467" spans="1:10" x14ac:dyDescent="0.25">
      <c r="A1467" t="s">
        <v>87</v>
      </c>
      <c r="B1467" s="293"/>
      <c r="C1467" s="293"/>
      <c r="D1467" s="293"/>
      <c r="E1467" s="293"/>
      <c r="F1467" s="293"/>
      <c r="G1467" s="293"/>
      <c r="H1467" s="293"/>
      <c r="I1467" s="293"/>
      <c r="J1467" s="293"/>
    </row>
    <row r="1468" spans="1:10" x14ac:dyDescent="0.25">
      <c r="A1468" t="s">
        <v>4265</v>
      </c>
      <c r="B1468" s="293"/>
      <c r="C1468" s="293"/>
      <c r="D1468" s="293"/>
      <c r="E1468" s="293"/>
      <c r="F1468" s="293"/>
      <c r="G1468" s="293"/>
      <c r="H1468" s="293"/>
      <c r="I1468" s="293"/>
      <c r="J1468" s="293"/>
    </row>
    <row r="1469" spans="1:10" x14ac:dyDescent="0.25">
      <c r="B1469" s="293"/>
      <c r="C1469" s="293"/>
      <c r="D1469" s="293"/>
      <c r="E1469" s="293"/>
      <c r="F1469" s="293"/>
      <c r="G1469" s="293"/>
      <c r="H1469" s="293"/>
      <c r="I1469" s="293"/>
      <c r="J1469" s="293"/>
    </row>
    <row r="1470" spans="1:10" x14ac:dyDescent="0.25">
      <c r="B1470" s="293"/>
      <c r="C1470" s="293"/>
      <c r="D1470" s="293"/>
      <c r="E1470" s="293"/>
      <c r="F1470" s="293"/>
      <c r="G1470" s="293"/>
      <c r="H1470" s="293"/>
      <c r="I1470" s="293"/>
      <c r="J1470" s="293"/>
    </row>
    <row r="1471" spans="1:10" x14ac:dyDescent="0.25">
      <c r="B1471" s="293"/>
      <c r="C1471" s="293"/>
      <c r="D1471" s="293"/>
      <c r="E1471" s="293"/>
      <c r="F1471" s="293"/>
      <c r="G1471" s="293"/>
      <c r="H1471" s="293"/>
      <c r="I1471" s="293"/>
      <c r="J1471" s="293"/>
    </row>
    <row r="1472" spans="1:10" x14ac:dyDescent="0.25">
      <c r="B1472" s="293"/>
      <c r="C1472" s="293"/>
      <c r="D1472" s="293"/>
      <c r="E1472" s="293"/>
      <c r="F1472" s="293"/>
      <c r="G1472" s="293"/>
      <c r="H1472" s="293"/>
      <c r="I1472" s="293"/>
      <c r="J1472" s="293"/>
    </row>
    <row r="1473" spans="1:10" x14ac:dyDescent="0.25">
      <c r="A1473" t="s">
        <v>4266</v>
      </c>
      <c r="B1473" s="293"/>
      <c r="C1473" s="293"/>
      <c r="D1473" s="293"/>
      <c r="E1473" s="293"/>
      <c r="F1473" s="293"/>
      <c r="G1473" s="293"/>
      <c r="H1473" s="293"/>
      <c r="I1473" s="293"/>
      <c r="J1473" s="293"/>
    </row>
    <row r="1474" spans="1:10" x14ac:dyDescent="0.25">
      <c r="A1474" t="s">
        <v>66</v>
      </c>
      <c r="B1474" s="293"/>
      <c r="C1474" s="293"/>
      <c r="D1474" s="293"/>
      <c r="E1474" s="293"/>
      <c r="F1474" s="293"/>
      <c r="G1474" s="293"/>
      <c r="H1474" s="293"/>
      <c r="I1474" s="293"/>
      <c r="J1474" s="293"/>
    </row>
    <row r="1475" spans="1:10" x14ac:dyDescent="0.25">
      <c r="B1475" s="293"/>
      <c r="C1475" s="293"/>
      <c r="D1475" s="293"/>
      <c r="E1475" s="293"/>
      <c r="F1475" s="293"/>
      <c r="G1475" s="293"/>
      <c r="H1475" s="293"/>
      <c r="I1475" s="293"/>
      <c r="J1475" s="293"/>
    </row>
    <row r="1476" spans="1:10" x14ac:dyDescent="0.25">
      <c r="B1476" s="293"/>
      <c r="C1476" s="293"/>
      <c r="D1476" s="293"/>
      <c r="E1476" s="293"/>
      <c r="F1476" s="293"/>
      <c r="G1476" s="293"/>
      <c r="H1476" s="293"/>
      <c r="I1476" s="293"/>
      <c r="J1476" s="293"/>
    </row>
    <row r="1477" spans="1:10" x14ac:dyDescent="0.25">
      <c r="B1477" s="293"/>
      <c r="C1477" s="293"/>
      <c r="D1477" s="293"/>
      <c r="E1477" s="293"/>
      <c r="F1477" s="293"/>
      <c r="G1477" s="293"/>
      <c r="H1477" s="293"/>
      <c r="I1477" s="293"/>
      <c r="J1477" s="293"/>
    </row>
    <row r="1478" spans="1:10" x14ac:dyDescent="0.25">
      <c r="B1478" s="293"/>
      <c r="C1478" s="293"/>
      <c r="D1478" s="293"/>
      <c r="E1478" s="293"/>
      <c r="F1478" s="293"/>
      <c r="G1478" s="293"/>
      <c r="H1478" s="293"/>
      <c r="I1478" s="293"/>
      <c r="J1478" s="293"/>
    </row>
    <row r="1479" spans="1:10" x14ac:dyDescent="0.25">
      <c r="A1479" s="47" t="s">
        <v>4267</v>
      </c>
      <c r="B1479" s="296">
        <f>SUM(B1467:B1478)</f>
        <v>0</v>
      </c>
      <c r="C1479" s="296">
        <f t="shared" ref="C1479" si="780">SUM(C1467:C1478)</f>
        <v>0</v>
      </c>
      <c r="D1479" s="296">
        <f t="shared" ref="D1479" si="781">SUM(D1467:D1478)</f>
        <v>0</v>
      </c>
      <c r="E1479" s="296">
        <f t="shared" ref="E1479" si="782">SUM(E1467:E1478)</f>
        <v>0</v>
      </c>
      <c r="F1479" s="296">
        <f t="shared" ref="F1479" si="783">SUM(F1467:F1478)</f>
        <v>0</v>
      </c>
      <c r="G1479" s="296">
        <f t="shared" ref="G1479" si="784">SUM(G1467:G1478)</f>
        <v>0</v>
      </c>
      <c r="H1479" s="296">
        <f t="shared" ref="H1479" si="785">SUM(H1467:H1478)</f>
        <v>0</v>
      </c>
      <c r="I1479" s="296">
        <f t="shared" ref="I1479" si="786">SUM(I1467:I1478)</f>
        <v>0</v>
      </c>
      <c r="J1479" s="296">
        <f t="shared" ref="J1479" si="787">SUM(J1467:J1478)</f>
        <v>0</v>
      </c>
    </row>
    <row r="1480" spans="1:10" x14ac:dyDescent="0.25">
      <c r="B1480" s="293"/>
      <c r="C1480" s="293"/>
      <c r="D1480" s="293"/>
      <c r="E1480" s="293"/>
      <c r="F1480" s="293"/>
      <c r="G1480" s="293"/>
      <c r="H1480" s="293"/>
      <c r="I1480" s="293"/>
      <c r="J1480" s="293"/>
    </row>
    <row r="1481" spans="1:10" ht="15.75" thickBot="1" x14ac:dyDescent="0.3">
      <c r="A1481" s="47" t="s">
        <v>4268</v>
      </c>
      <c r="B1481" s="301">
        <f>B1464-B1479</f>
        <v>0</v>
      </c>
      <c r="C1481" s="301">
        <f t="shared" ref="C1481:J1481" si="788">C1464-C1479</f>
        <v>0</v>
      </c>
      <c r="D1481" s="301">
        <f t="shared" si="788"/>
        <v>0</v>
      </c>
      <c r="E1481" s="301">
        <f t="shared" si="788"/>
        <v>0</v>
      </c>
      <c r="F1481" s="301">
        <f t="shared" si="788"/>
        <v>0</v>
      </c>
      <c r="G1481" s="301">
        <f t="shared" si="788"/>
        <v>0</v>
      </c>
      <c r="H1481" s="301">
        <f t="shared" si="788"/>
        <v>0</v>
      </c>
      <c r="I1481" s="301">
        <f t="shared" si="788"/>
        <v>0</v>
      </c>
      <c r="J1481" s="301">
        <f t="shared" si="788"/>
        <v>0</v>
      </c>
    </row>
    <row r="1482" spans="1:10" ht="15.75" thickTop="1" x14ac:dyDescent="0.25">
      <c r="A1482" s="47"/>
      <c r="B1482" s="300"/>
      <c r="C1482" s="300"/>
      <c r="D1482" s="300"/>
      <c r="E1482" s="300"/>
      <c r="F1482" s="300"/>
      <c r="G1482" s="300"/>
      <c r="H1482" s="300"/>
      <c r="I1482" s="300"/>
      <c r="J1482" s="300"/>
    </row>
    <row r="1483" spans="1:10" x14ac:dyDescent="0.25">
      <c r="A1483" s="462"/>
      <c r="B1483" s="463"/>
      <c r="C1483" s="463"/>
      <c r="D1483" s="463"/>
      <c r="E1483" s="463"/>
      <c r="F1483" s="463"/>
      <c r="G1483" s="463"/>
      <c r="H1483" s="463"/>
      <c r="I1483" s="463"/>
      <c r="J1483" s="463"/>
    </row>
    <row r="1484" spans="1:10" x14ac:dyDescent="0.25">
      <c r="B1484" s="293"/>
      <c r="C1484" s="293"/>
      <c r="D1484" s="293"/>
      <c r="E1484" s="293"/>
      <c r="F1484" s="293"/>
      <c r="G1484" s="293"/>
      <c r="H1484" s="293"/>
      <c r="I1484" s="293"/>
      <c r="J1484" s="293"/>
    </row>
    <row r="1485" spans="1:10" x14ac:dyDescent="0.25">
      <c r="A1485" s="280" t="s">
        <v>4597</v>
      </c>
      <c r="B1485" s="293"/>
      <c r="C1485" s="293"/>
      <c r="D1485" s="293"/>
      <c r="E1485" s="293"/>
      <c r="F1485" s="293"/>
      <c r="G1485" s="293"/>
      <c r="H1485" s="293"/>
      <c r="I1485" s="293"/>
      <c r="J1485" s="293"/>
    </row>
    <row r="1486" spans="1:10" x14ac:dyDescent="0.25">
      <c r="B1486" s="293"/>
      <c r="C1486" s="293"/>
      <c r="D1486" s="293"/>
      <c r="E1486" s="293"/>
      <c r="F1486" s="293"/>
      <c r="G1486" s="293"/>
      <c r="H1486" s="293"/>
      <c r="I1486" s="293"/>
      <c r="J1486" s="293"/>
    </row>
    <row r="1487" spans="1:10" x14ac:dyDescent="0.25">
      <c r="A1487" s="47" t="s">
        <v>4260</v>
      </c>
      <c r="B1487" s="293"/>
      <c r="C1487" s="293"/>
      <c r="D1487" s="293"/>
      <c r="E1487" s="293"/>
      <c r="F1487" s="293"/>
      <c r="G1487" s="293"/>
      <c r="H1487" s="293"/>
      <c r="I1487" s="293"/>
      <c r="J1487" s="293"/>
    </row>
    <row r="1488" spans="1:10" x14ac:dyDescent="0.25">
      <c r="A1488" t="s">
        <v>4641</v>
      </c>
      <c r="B1488" s="293">
        <v>1185000</v>
      </c>
      <c r="C1488" s="293">
        <v>2276400</v>
      </c>
      <c r="D1488" s="293">
        <v>3474700</v>
      </c>
      <c r="E1488" s="293">
        <v>4788600</v>
      </c>
      <c r="F1488" s="293">
        <v>4908300</v>
      </c>
      <c r="G1488" s="293">
        <v>5031000</v>
      </c>
      <c r="H1488" s="293">
        <v>5156800</v>
      </c>
      <c r="I1488" s="293">
        <v>5285700</v>
      </c>
      <c r="J1488" s="293">
        <v>5417900</v>
      </c>
    </row>
    <row r="1489" spans="1:10" x14ac:dyDescent="0.25">
      <c r="A1489" t="s">
        <v>4261</v>
      </c>
      <c r="B1489" s="293"/>
      <c r="C1489" s="293"/>
      <c r="D1489" s="293"/>
      <c r="E1489" s="293"/>
      <c r="F1489" s="293"/>
      <c r="G1489" s="293"/>
      <c r="H1489" s="293"/>
      <c r="I1489" s="293"/>
      <c r="J1489" s="293"/>
    </row>
    <row r="1490" spans="1:10" x14ac:dyDescent="0.25">
      <c r="A1490" t="s">
        <v>66</v>
      </c>
      <c r="B1490" s="293"/>
      <c r="C1490" s="293"/>
      <c r="D1490" s="293"/>
      <c r="E1490" s="293"/>
      <c r="F1490" s="293"/>
      <c r="G1490" s="293"/>
      <c r="H1490" s="293"/>
      <c r="I1490" s="293"/>
      <c r="J1490" s="293"/>
    </row>
    <row r="1491" spans="1:10" x14ac:dyDescent="0.25">
      <c r="B1491" s="293"/>
      <c r="C1491" s="293"/>
      <c r="D1491" s="293"/>
      <c r="E1491" s="293"/>
      <c r="F1491" s="293"/>
      <c r="G1491" s="293"/>
      <c r="H1491" s="293"/>
      <c r="I1491" s="293"/>
      <c r="J1491" s="293"/>
    </row>
    <row r="1492" spans="1:10" x14ac:dyDescent="0.25">
      <c r="B1492" s="293"/>
      <c r="C1492" s="293"/>
      <c r="D1492" s="293"/>
      <c r="E1492" s="293"/>
      <c r="F1492" s="293"/>
      <c r="G1492" s="293"/>
      <c r="H1492" s="293"/>
      <c r="I1492" s="293"/>
      <c r="J1492" s="293"/>
    </row>
    <row r="1493" spans="1:10" x14ac:dyDescent="0.25">
      <c r="B1493" s="293"/>
      <c r="C1493" s="293"/>
      <c r="D1493" s="293"/>
      <c r="E1493" s="293"/>
      <c r="F1493" s="293"/>
      <c r="G1493" s="293"/>
      <c r="H1493" s="293"/>
      <c r="I1493" s="293"/>
      <c r="J1493" s="293"/>
    </row>
    <row r="1494" spans="1:10" x14ac:dyDescent="0.25">
      <c r="B1494" s="293"/>
      <c r="C1494" s="293"/>
      <c r="D1494" s="293"/>
      <c r="E1494" s="293"/>
      <c r="F1494" s="293"/>
      <c r="G1494" s="293"/>
      <c r="H1494" s="293"/>
      <c r="I1494" s="293"/>
      <c r="J1494" s="293"/>
    </row>
    <row r="1495" spans="1:10" x14ac:dyDescent="0.25">
      <c r="A1495" s="47" t="s">
        <v>4263</v>
      </c>
      <c r="B1495" s="296">
        <f>SUM(B1485:B1494)</f>
        <v>1185000</v>
      </c>
      <c r="C1495" s="296">
        <f t="shared" ref="C1495:J1495" si="789">SUM(C1485:C1494)</f>
        <v>2276400</v>
      </c>
      <c r="D1495" s="296">
        <f t="shared" si="789"/>
        <v>3474700</v>
      </c>
      <c r="E1495" s="296">
        <f t="shared" si="789"/>
        <v>4788600</v>
      </c>
      <c r="F1495" s="296">
        <f t="shared" si="789"/>
        <v>4908300</v>
      </c>
      <c r="G1495" s="296">
        <f t="shared" si="789"/>
        <v>5031000</v>
      </c>
      <c r="H1495" s="296">
        <f t="shared" si="789"/>
        <v>5156800</v>
      </c>
      <c r="I1495" s="296">
        <f t="shared" si="789"/>
        <v>5285700</v>
      </c>
      <c r="J1495" s="296">
        <f t="shared" si="789"/>
        <v>5417900</v>
      </c>
    </row>
    <row r="1496" spans="1:10" x14ac:dyDescent="0.25">
      <c r="B1496" s="293"/>
      <c r="C1496" s="293"/>
      <c r="D1496" s="293"/>
      <c r="E1496" s="293"/>
      <c r="F1496" s="293"/>
      <c r="G1496" s="293"/>
      <c r="H1496" s="293"/>
      <c r="I1496" s="293"/>
      <c r="J1496" s="293"/>
    </row>
    <row r="1497" spans="1:10" x14ac:dyDescent="0.25">
      <c r="A1497" s="47" t="s">
        <v>4264</v>
      </c>
      <c r="B1497" s="293"/>
      <c r="C1497" s="293"/>
      <c r="D1497" s="293"/>
      <c r="E1497" s="293"/>
      <c r="F1497" s="293"/>
      <c r="G1497" s="293"/>
      <c r="H1497" s="293"/>
      <c r="I1497" s="293"/>
      <c r="J1497" s="293"/>
    </row>
    <row r="1498" spans="1:10" x14ac:dyDescent="0.25">
      <c r="A1498" t="s">
        <v>87</v>
      </c>
      <c r="B1498" s="293"/>
      <c r="C1498" s="293"/>
      <c r="D1498" s="293"/>
      <c r="E1498" s="293"/>
      <c r="F1498" s="293"/>
      <c r="G1498" s="293"/>
      <c r="H1498" s="293"/>
      <c r="I1498" s="293"/>
      <c r="J1498" s="293"/>
    </row>
    <row r="1499" spans="1:10" x14ac:dyDescent="0.25">
      <c r="B1499" s="293"/>
      <c r="C1499" s="293"/>
      <c r="D1499" s="293"/>
      <c r="E1499" s="293"/>
      <c r="F1499" s="293"/>
      <c r="G1499" s="293"/>
      <c r="H1499" s="293"/>
      <c r="I1499" s="293"/>
      <c r="J1499" s="293"/>
    </row>
    <row r="1500" spans="1:10" x14ac:dyDescent="0.25">
      <c r="A1500" t="s">
        <v>4615</v>
      </c>
      <c r="B1500" s="293"/>
      <c r="C1500" s="293"/>
      <c r="D1500" s="293"/>
      <c r="E1500" s="293"/>
      <c r="F1500" s="293"/>
      <c r="G1500" s="293"/>
      <c r="H1500" s="293"/>
      <c r="I1500" s="293"/>
      <c r="J1500" s="293"/>
    </row>
    <row r="1501" spans="1:10" x14ac:dyDescent="0.25">
      <c r="A1501" t="s">
        <v>4616</v>
      </c>
      <c r="B1501" s="293"/>
      <c r="C1501" s="293"/>
      <c r="D1501" s="293"/>
      <c r="E1501" s="293"/>
      <c r="F1501" s="293"/>
      <c r="G1501" s="293"/>
      <c r="H1501" s="293"/>
      <c r="I1501" s="293"/>
      <c r="J1501" s="293"/>
    </row>
    <row r="1502" spans="1:10" x14ac:dyDescent="0.25">
      <c r="A1502" t="s">
        <v>4617</v>
      </c>
      <c r="B1502" s="293"/>
      <c r="C1502" s="293"/>
      <c r="D1502" s="293"/>
      <c r="E1502" s="293"/>
      <c r="F1502" s="293"/>
      <c r="G1502" s="293"/>
      <c r="H1502" s="293"/>
      <c r="I1502" s="293"/>
      <c r="J1502" s="293"/>
    </row>
    <row r="1503" spans="1:10" x14ac:dyDescent="0.25">
      <c r="A1503" t="s">
        <v>4618</v>
      </c>
      <c r="B1503" s="293"/>
      <c r="C1503" s="293"/>
      <c r="D1503" s="293"/>
      <c r="E1503" s="293"/>
      <c r="F1503" s="293"/>
      <c r="G1503" s="293"/>
      <c r="H1503" s="293"/>
      <c r="I1503" s="293"/>
      <c r="J1503" s="293"/>
    </row>
    <row r="1504" spans="1:10" x14ac:dyDescent="0.25">
      <c r="A1504" t="s">
        <v>4619</v>
      </c>
      <c r="B1504" s="293"/>
      <c r="C1504" s="293"/>
      <c r="D1504" s="293"/>
      <c r="E1504" s="293"/>
      <c r="F1504" s="293"/>
      <c r="G1504" s="293"/>
      <c r="H1504" s="293"/>
      <c r="I1504" s="293"/>
      <c r="J1504" s="293"/>
    </row>
    <row r="1505" spans="1:11" x14ac:dyDescent="0.25">
      <c r="B1505" s="293"/>
      <c r="C1505" s="293"/>
      <c r="D1505" s="293"/>
      <c r="E1505" s="293"/>
      <c r="F1505" s="293"/>
      <c r="G1505" s="293"/>
      <c r="H1505" s="293"/>
      <c r="I1505" s="293"/>
      <c r="J1505" s="293"/>
    </row>
    <row r="1506" spans="1:11" x14ac:dyDescent="0.25">
      <c r="B1506" s="293"/>
      <c r="C1506" s="293"/>
      <c r="D1506" s="293"/>
      <c r="E1506" s="293"/>
      <c r="F1506" s="293"/>
      <c r="G1506" s="293"/>
      <c r="H1506" s="293"/>
      <c r="I1506" s="293"/>
      <c r="J1506" s="293"/>
    </row>
    <row r="1507" spans="1:11" x14ac:dyDescent="0.25">
      <c r="B1507" s="293"/>
      <c r="C1507" s="293"/>
      <c r="D1507" s="293"/>
      <c r="E1507" s="293"/>
      <c r="F1507" s="293"/>
      <c r="G1507" s="293"/>
      <c r="H1507" s="293"/>
      <c r="I1507" s="293"/>
      <c r="J1507" s="293"/>
    </row>
    <row r="1508" spans="1:11" x14ac:dyDescent="0.25">
      <c r="B1508" s="293"/>
      <c r="C1508" s="293"/>
      <c r="D1508" s="293"/>
      <c r="E1508" s="293"/>
      <c r="F1508" s="293"/>
      <c r="G1508" s="293"/>
      <c r="H1508" s="293"/>
      <c r="I1508" s="293"/>
      <c r="J1508" s="293"/>
    </row>
    <row r="1509" spans="1:11" x14ac:dyDescent="0.25">
      <c r="B1509" s="293"/>
      <c r="C1509" s="293"/>
      <c r="D1509" s="293"/>
      <c r="E1509" s="293"/>
      <c r="F1509" s="293"/>
      <c r="G1509" s="293"/>
      <c r="H1509" s="293"/>
      <c r="I1509" s="293"/>
      <c r="J1509" s="293"/>
    </row>
    <row r="1510" spans="1:11" x14ac:dyDescent="0.25">
      <c r="A1510" t="s">
        <v>4265</v>
      </c>
      <c r="B1510" s="293"/>
      <c r="C1510" s="293"/>
      <c r="D1510" s="293"/>
      <c r="E1510" s="293"/>
      <c r="F1510" s="293"/>
      <c r="G1510" s="293"/>
      <c r="H1510" s="293"/>
      <c r="I1510" s="293"/>
      <c r="J1510" s="293"/>
    </row>
    <row r="1511" spans="1:11" x14ac:dyDescent="0.25">
      <c r="B1511" s="293"/>
      <c r="C1511" s="293"/>
      <c r="D1511" s="293"/>
      <c r="E1511" s="293"/>
      <c r="F1511" s="293"/>
      <c r="G1511" s="293"/>
      <c r="H1511" s="293"/>
      <c r="I1511" s="293"/>
      <c r="J1511" s="293"/>
    </row>
    <row r="1512" spans="1:11" x14ac:dyDescent="0.25">
      <c r="A1512" t="s">
        <v>4601</v>
      </c>
      <c r="B1512" s="293">
        <f t="shared" ref="B1512:J1512" si="790">ROUND(B$1488*$C1553,-2)</f>
        <v>791400</v>
      </c>
      <c r="C1512" s="293">
        <f t="shared" si="790"/>
        <v>1520200</v>
      </c>
      <c r="D1512" s="293">
        <f t="shared" si="790"/>
        <v>2320500</v>
      </c>
      <c r="E1512" s="293">
        <f t="shared" si="790"/>
        <v>3198000</v>
      </c>
      <c r="F1512" s="293">
        <f t="shared" si="790"/>
        <v>3277900</v>
      </c>
      <c r="G1512" s="293">
        <f t="shared" si="790"/>
        <v>3359800</v>
      </c>
      <c r="H1512" s="293">
        <f t="shared" si="790"/>
        <v>3443900</v>
      </c>
      <c r="I1512" s="293">
        <f t="shared" si="790"/>
        <v>3529900</v>
      </c>
      <c r="J1512" s="293">
        <f t="shared" si="790"/>
        <v>3618200</v>
      </c>
    </row>
    <row r="1513" spans="1:11" x14ac:dyDescent="0.25">
      <c r="A1513" t="s">
        <v>4602</v>
      </c>
      <c r="B1513" s="293">
        <f t="shared" ref="B1513:J1513" si="791">ROUND(B$1488*$C1554,-2)</f>
        <v>52300</v>
      </c>
      <c r="C1513" s="293">
        <f t="shared" si="791"/>
        <v>100600</v>
      </c>
      <c r="D1513" s="293">
        <f t="shared" si="791"/>
        <v>153500</v>
      </c>
      <c r="E1513" s="293">
        <f t="shared" si="791"/>
        <v>211500</v>
      </c>
      <c r="F1513" s="293">
        <f t="shared" si="791"/>
        <v>216800</v>
      </c>
      <c r="G1513" s="293">
        <f t="shared" si="791"/>
        <v>222200</v>
      </c>
      <c r="H1513" s="293">
        <f t="shared" si="791"/>
        <v>227800</v>
      </c>
      <c r="I1513" s="293">
        <f t="shared" si="791"/>
        <v>233500</v>
      </c>
      <c r="J1513" s="293">
        <f t="shared" si="791"/>
        <v>239300</v>
      </c>
    </row>
    <row r="1514" spans="1:11" x14ac:dyDescent="0.25">
      <c r="A1514" t="s">
        <v>4603</v>
      </c>
      <c r="B1514" s="293">
        <f t="shared" ref="B1514:J1514" si="792">ROUND(B$1488*$C1555,-2)</f>
        <v>36900</v>
      </c>
      <c r="C1514" s="293">
        <f t="shared" si="792"/>
        <v>70900</v>
      </c>
      <c r="D1514" s="293">
        <f t="shared" si="792"/>
        <v>108200</v>
      </c>
      <c r="E1514" s="293">
        <f t="shared" si="792"/>
        <v>149100</v>
      </c>
      <c r="F1514" s="293">
        <f t="shared" si="792"/>
        <v>152800</v>
      </c>
      <c r="G1514" s="293">
        <f t="shared" si="792"/>
        <v>156600</v>
      </c>
      <c r="H1514" s="293">
        <f t="shared" si="792"/>
        <v>160600</v>
      </c>
      <c r="I1514" s="293">
        <f t="shared" si="792"/>
        <v>164600</v>
      </c>
      <c r="J1514" s="293">
        <f t="shared" si="792"/>
        <v>168700</v>
      </c>
    </row>
    <row r="1515" spans="1:11" x14ac:dyDescent="0.25">
      <c r="A1515" t="s">
        <v>4604</v>
      </c>
      <c r="B1515" s="293">
        <f t="shared" ref="B1515:J1515" si="793">ROUND(B$1488*$C1556,-2)</f>
        <v>243500</v>
      </c>
      <c r="C1515" s="293">
        <f t="shared" si="793"/>
        <v>467800</v>
      </c>
      <c r="D1515" s="293">
        <f t="shared" si="793"/>
        <v>714000</v>
      </c>
      <c r="E1515" s="293">
        <f t="shared" si="793"/>
        <v>984000</v>
      </c>
      <c r="F1515" s="293">
        <f t="shared" si="793"/>
        <v>1008600</v>
      </c>
      <c r="G1515" s="293">
        <f t="shared" si="793"/>
        <v>1033800</v>
      </c>
      <c r="H1515" s="293">
        <f t="shared" si="793"/>
        <v>1059700</v>
      </c>
      <c r="I1515" s="293">
        <f t="shared" si="793"/>
        <v>1086200</v>
      </c>
      <c r="J1515" s="293">
        <f t="shared" si="793"/>
        <v>1113300</v>
      </c>
    </row>
    <row r="1516" spans="1:11" x14ac:dyDescent="0.25">
      <c r="A1516" t="s">
        <v>4605</v>
      </c>
      <c r="B1516" s="293">
        <f t="shared" ref="B1516:J1516" si="794">ROUND(B$1488*$C1557,-2)</f>
        <v>60900</v>
      </c>
      <c r="C1516" s="293">
        <f t="shared" si="794"/>
        <v>116900</v>
      </c>
      <c r="D1516" s="293">
        <f t="shared" si="794"/>
        <v>178500</v>
      </c>
      <c r="E1516" s="293">
        <f t="shared" si="794"/>
        <v>246000</v>
      </c>
      <c r="F1516" s="293">
        <f t="shared" si="794"/>
        <v>252200</v>
      </c>
      <c r="G1516" s="293">
        <f t="shared" si="794"/>
        <v>258500</v>
      </c>
      <c r="H1516" s="293">
        <f t="shared" si="794"/>
        <v>264900</v>
      </c>
      <c r="I1516" s="293">
        <f t="shared" si="794"/>
        <v>271500</v>
      </c>
      <c r="J1516" s="293">
        <f t="shared" si="794"/>
        <v>278300</v>
      </c>
    </row>
    <row r="1517" spans="1:11" x14ac:dyDescent="0.25">
      <c r="B1517" s="293"/>
      <c r="C1517" s="293"/>
      <c r="D1517" s="293"/>
      <c r="E1517" s="293"/>
      <c r="F1517" s="293"/>
      <c r="G1517" s="293"/>
      <c r="H1517" s="293"/>
      <c r="I1517" s="293"/>
      <c r="J1517" s="293"/>
    </row>
    <row r="1518" spans="1:11" x14ac:dyDescent="0.25">
      <c r="A1518" t="s">
        <v>4620</v>
      </c>
      <c r="B1518" s="293"/>
      <c r="C1518" s="293"/>
      <c r="D1518" s="293"/>
      <c r="E1518" s="293"/>
      <c r="F1518" s="293"/>
      <c r="G1518" s="293"/>
      <c r="H1518" s="293"/>
      <c r="I1518" s="293"/>
      <c r="J1518" s="293"/>
      <c r="K1518" t="s">
        <v>4623</v>
      </c>
    </row>
    <row r="1519" spans="1:11" x14ac:dyDescent="0.25">
      <c r="A1519" t="s">
        <v>4601</v>
      </c>
      <c r="B1519" s="293">
        <f>ROUND(-B1512*$K1519,-2)</f>
        <v>-79100</v>
      </c>
      <c r="C1519" s="293">
        <f t="shared" ref="C1519:J1519" si="795">ROUND(-C1512*$K1519,-2)</f>
        <v>-152000</v>
      </c>
      <c r="D1519" s="293">
        <f t="shared" si="795"/>
        <v>-232100</v>
      </c>
      <c r="E1519" s="293">
        <f t="shared" si="795"/>
        <v>-319800</v>
      </c>
      <c r="F1519" s="293">
        <f t="shared" si="795"/>
        <v>-327800</v>
      </c>
      <c r="G1519" s="293">
        <f t="shared" si="795"/>
        <v>-336000</v>
      </c>
      <c r="H1519" s="293">
        <f t="shared" si="795"/>
        <v>-344400</v>
      </c>
      <c r="I1519" s="293">
        <f t="shared" si="795"/>
        <v>-353000</v>
      </c>
      <c r="J1519" s="293">
        <f t="shared" si="795"/>
        <v>-361800</v>
      </c>
      <c r="K1519" s="333">
        <v>0.1</v>
      </c>
    </row>
    <row r="1520" spans="1:11" x14ac:dyDescent="0.25">
      <c r="A1520" t="s">
        <v>4602</v>
      </c>
      <c r="B1520" s="293">
        <f t="shared" ref="B1520:J1523" si="796">ROUND(-B1513*$K1520,-2)</f>
        <v>0</v>
      </c>
      <c r="C1520" s="293">
        <f t="shared" si="796"/>
        <v>0</v>
      </c>
      <c r="D1520" s="293">
        <f t="shared" si="796"/>
        <v>0</v>
      </c>
      <c r="E1520" s="293">
        <f t="shared" si="796"/>
        <v>0</v>
      </c>
      <c r="F1520" s="293">
        <f t="shared" si="796"/>
        <v>0</v>
      </c>
      <c r="G1520" s="293">
        <f t="shared" si="796"/>
        <v>0</v>
      </c>
      <c r="H1520" s="293">
        <f t="shared" si="796"/>
        <v>0</v>
      </c>
      <c r="I1520" s="293">
        <f t="shared" si="796"/>
        <v>0</v>
      </c>
      <c r="J1520" s="293">
        <f t="shared" si="796"/>
        <v>0</v>
      </c>
      <c r="K1520" s="333"/>
    </row>
    <row r="1521" spans="1:11" x14ac:dyDescent="0.25">
      <c r="A1521" t="s">
        <v>4603</v>
      </c>
      <c r="B1521" s="293">
        <f t="shared" si="796"/>
        <v>0</v>
      </c>
      <c r="C1521" s="293">
        <f t="shared" si="796"/>
        <v>0</v>
      </c>
      <c r="D1521" s="293">
        <f t="shared" si="796"/>
        <v>0</v>
      </c>
      <c r="E1521" s="293">
        <f t="shared" si="796"/>
        <v>0</v>
      </c>
      <c r="F1521" s="293">
        <f t="shared" si="796"/>
        <v>0</v>
      </c>
      <c r="G1521" s="293">
        <f t="shared" si="796"/>
        <v>0</v>
      </c>
      <c r="H1521" s="293">
        <f t="shared" si="796"/>
        <v>0</v>
      </c>
      <c r="I1521" s="293">
        <f t="shared" si="796"/>
        <v>0</v>
      </c>
      <c r="J1521" s="293">
        <f t="shared" si="796"/>
        <v>0</v>
      </c>
      <c r="K1521" s="333"/>
    </row>
    <row r="1522" spans="1:11" x14ac:dyDescent="0.25">
      <c r="A1522" t="s">
        <v>4604</v>
      </c>
      <c r="B1522" s="293">
        <f t="shared" si="796"/>
        <v>-24400</v>
      </c>
      <c r="C1522" s="293">
        <f t="shared" si="796"/>
        <v>-46800</v>
      </c>
      <c r="D1522" s="293">
        <f t="shared" si="796"/>
        <v>-71400</v>
      </c>
      <c r="E1522" s="293">
        <f t="shared" si="796"/>
        <v>-98400</v>
      </c>
      <c r="F1522" s="293">
        <f t="shared" si="796"/>
        <v>-100900</v>
      </c>
      <c r="G1522" s="293">
        <f t="shared" si="796"/>
        <v>-103400</v>
      </c>
      <c r="H1522" s="293">
        <f t="shared" si="796"/>
        <v>-106000</v>
      </c>
      <c r="I1522" s="293">
        <f t="shared" si="796"/>
        <v>-108600</v>
      </c>
      <c r="J1522" s="293">
        <f t="shared" si="796"/>
        <v>-111300</v>
      </c>
      <c r="K1522" s="333">
        <v>0.1</v>
      </c>
    </row>
    <row r="1523" spans="1:11" x14ac:dyDescent="0.25">
      <c r="A1523" t="s">
        <v>4605</v>
      </c>
      <c r="B1523" s="293">
        <f t="shared" si="796"/>
        <v>0</v>
      </c>
      <c r="C1523" s="293">
        <f t="shared" si="796"/>
        <v>0</v>
      </c>
      <c r="D1523" s="293">
        <f t="shared" si="796"/>
        <v>0</v>
      </c>
      <c r="E1523" s="293">
        <f t="shared" si="796"/>
        <v>0</v>
      </c>
      <c r="F1523" s="293">
        <f t="shared" si="796"/>
        <v>0</v>
      </c>
      <c r="G1523" s="293">
        <f t="shared" si="796"/>
        <v>0</v>
      </c>
      <c r="H1523" s="293">
        <f t="shared" si="796"/>
        <v>0</v>
      </c>
      <c r="I1523" s="293">
        <f t="shared" si="796"/>
        <v>0</v>
      </c>
      <c r="J1523" s="293">
        <f t="shared" si="796"/>
        <v>0</v>
      </c>
    </row>
    <row r="1524" spans="1:11" x14ac:dyDescent="0.25">
      <c r="B1524" s="293"/>
      <c r="C1524" s="293"/>
      <c r="D1524" s="293"/>
      <c r="E1524" s="293"/>
      <c r="F1524" s="293"/>
      <c r="G1524" s="293"/>
      <c r="H1524" s="293"/>
      <c r="I1524" s="293"/>
      <c r="J1524" s="293"/>
    </row>
    <row r="1525" spans="1:11" x14ac:dyDescent="0.25">
      <c r="A1525" t="s">
        <v>4622</v>
      </c>
      <c r="B1525" s="293"/>
      <c r="C1525" s="293"/>
      <c r="D1525" s="293"/>
      <c r="E1525" s="293"/>
      <c r="F1525" s="293"/>
      <c r="G1525" s="293"/>
      <c r="H1525" s="293"/>
      <c r="I1525" s="293"/>
      <c r="J1525" s="293"/>
    </row>
    <row r="1526" spans="1:11" x14ac:dyDescent="0.25">
      <c r="A1526" t="s">
        <v>4601</v>
      </c>
      <c r="B1526" s="293">
        <f>B1512+B1519</f>
        <v>712300</v>
      </c>
      <c r="C1526" s="293">
        <f t="shared" ref="C1526:J1526" si="797">C1512+C1519</f>
        <v>1368200</v>
      </c>
      <c r="D1526" s="293">
        <f t="shared" si="797"/>
        <v>2088400</v>
      </c>
      <c r="E1526" s="293">
        <f t="shared" si="797"/>
        <v>2878200</v>
      </c>
      <c r="F1526" s="293">
        <f t="shared" si="797"/>
        <v>2950100</v>
      </c>
      <c r="G1526" s="293">
        <f t="shared" si="797"/>
        <v>3023800</v>
      </c>
      <c r="H1526" s="293">
        <f t="shared" si="797"/>
        <v>3099500</v>
      </c>
      <c r="I1526" s="293">
        <f t="shared" si="797"/>
        <v>3176900</v>
      </c>
      <c r="J1526" s="293">
        <f t="shared" si="797"/>
        <v>3256400</v>
      </c>
    </row>
    <row r="1527" spans="1:11" x14ac:dyDescent="0.25">
      <c r="A1527" t="s">
        <v>4602</v>
      </c>
      <c r="B1527" s="293">
        <f t="shared" ref="B1527:J1530" si="798">B1513+B1520</f>
        <v>52300</v>
      </c>
      <c r="C1527" s="293">
        <f t="shared" si="798"/>
        <v>100600</v>
      </c>
      <c r="D1527" s="293">
        <f t="shared" si="798"/>
        <v>153500</v>
      </c>
      <c r="E1527" s="293">
        <f t="shared" si="798"/>
        <v>211500</v>
      </c>
      <c r="F1527" s="293">
        <f t="shared" si="798"/>
        <v>216800</v>
      </c>
      <c r="G1527" s="293">
        <f t="shared" si="798"/>
        <v>222200</v>
      </c>
      <c r="H1527" s="293">
        <f t="shared" si="798"/>
        <v>227800</v>
      </c>
      <c r="I1527" s="293">
        <f t="shared" si="798"/>
        <v>233500</v>
      </c>
      <c r="J1527" s="293">
        <f t="shared" si="798"/>
        <v>239300</v>
      </c>
    </row>
    <row r="1528" spans="1:11" x14ac:dyDescent="0.25">
      <c r="A1528" t="s">
        <v>4603</v>
      </c>
      <c r="B1528" s="293">
        <f t="shared" si="798"/>
        <v>36900</v>
      </c>
      <c r="C1528" s="293">
        <f t="shared" si="798"/>
        <v>70900</v>
      </c>
      <c r="D1528" s="293">
        <f t="shared" si="798"/>
        <v>108200</v>
      </c>
      <c r="E1528" s="293">
        <f t="shared" si="798"/>
        <v>149100</v>
      </c>
      <c r="F1528" s="293">
        <f t="shared" si="798"/>
        <v>152800</v>
      </c>
      <c r="G1528" s="293">
        <f t="shared" si="798"/>
        <v>156600</v>
      </c>
      <c r="H1528" s="293">
        <f t="shared" si="798"/>
        <v>160600</v>
      </c>
      <c r="I1528" s="293">
        <f t="shared" si="798"/>
        <v>164600</v>
      </c>
      <c r="J1528" s="293">
        <f t="shared" si="798"/>
        <v>168700</v>
      </c>
    </row>
    <row r="1529" spans="1:11" x14ac:dyDescent="0.25">
      <c r="A1529" t="s">
        <v>4604</v>
      </c>
      <c r="B1529" s="293">
        <f t="shared" si="798"/>
        <v>219100</v>
      </c>
      <c r="C1529" s="293">
        <f t="shared" si="798"/>
        <v>421000</v>
      </c>
      <c r="D1529" s="293">
        <f t="shared" si="798"/>
        <v>642600</v>
      </c>
      <c r="E1529" s="293">
        <f t="shared" si="798"/>
        <v>885600</v>
      </c>
      <c r="F1529" s="293">
        <f t="shared" si="798"/>
        <v>907700</v>
      </c>
      <c r="G1529" s="293">
        <f t="shared" si="798"/>
        <v>930400</v>
      </c>
      <c r="H1529" s="293">
        <f t="shared" si="798"/>
        <v>953700</v>
      </c>
      <c r="I1529" s="293">
        <f t="shared" si="798"/>
        <v>977600</v>
      </c>
      <c r="J1529" s="293">
        <f t="shared" si="798"/>
        <v>1002000</v>
      </c>
    </row>
    <row r="1530" spans="1:11" x14ac:dyDescent="0.25">
      <c r="A1530" t="s">
        <v>4605</v>
      </c>
      <c r="B1530" s="293">
        <f t="shared" si="798"/>
        <v>60900</v>
      </c>
      <c r="C1530" s="293">
        <f t="shared" si="798"/>
        <v>116900</v>
      </c>
      <c r="D1530" s="293">
        <f t="shared" si="798"/>
        <v>178500</v>
      </c>
      <c r="E1530" s="293">
        <f t="shared" si="798"/>
        <v>246000</v>
      </c>
      <c r="F1530" s="293">
        <f t="shared" si="798"/>
        <v>252200</v>
      </c>
      <c r="G1530" s="293">
        <f t="shared" si="798"/>
        <v>258500</v>
      </c>
      <c r="H1530" s="293">
        <f t="shared" si="798"/>
        <v>264900</v>
      </c>
      <c r="I1530" s="293">
        <f t="shared" si="798"/>
        <v>271500</v>
      </c>
      <c r="J1530" s="293">
        <f t="shared" si="798"/>
        <v>278300</v>
      </c>
    </row>
    <row r="1531" spans="1:11" x14ac:dyDescent="0.25">
      <c r="B1531" s="293"/>
      <c r="C1531" s="293"/>
      <c r="D1531" s="293"/>
      <c r="E1531" s="293"/>
      <c r="F1531" s="293"/>
      <c r="G1531" s="293"/>
      <c r="H1531" s="293"/>
      <c r="I1531" s="293"/>
      <c r="J1531" s="293"/>
    </row>
    <row r="1532" spans="1:11" x14ac:dyDescent="0.25">
      <c r="A1532" t="s">
        <v>4266</v>
      </c>
      <c r="B1532" s="293"/>
      <c r="C1532" s="293"/>
      <c r="D1532" s="293"/>
      <c r="E1532" s="293"/>
      <c r="F1532" s="293"/>
      <c r="G1532" s="293"/>
      <c r="H1532" s="293"/>
      <c r="I1532" s="293"/>
      <c r="J1532" s="293"/>
    </row>
    <row r="1533" spans="1:11" x14ac:dyDescent="0.25">
      <c r="A1533" t="s">
        <v>66</v>
      </c>
      <c r="B1533" s="293"/>
      <c r="C1533" s="293"/>
      <c r="D1533" s="293"/>
      <c r="E1533" s="293"/>
      <c r="F1533" s="293"/>
      <c r="G1533" s="293"/>
      <c r="H1533" s="293"/>
      <c r="I1533" s="293"/>
      <c r="J1533" s="293"/>
    </row>
    <row r="1534" spans="1:11" x14ac:dyDescent="0.25">
      <c r="B1534" s="293"/>
      <c r="C1534" s="293"/>
      <c r="D1534" s="293"/>
      <c r="E1534" s="293"/>
      <c r="F1534" s="293"/>
      <c r="G1534" s="293"/>
      <c r="H1534" s="293"/>
      <c r="I1534" s="293"/>
      <c r="J1534" s="293"/>
    </row>
    <row r="1535" spans="1:11" x14ac:dyDescent="0.25">
      <c r="B1535" s="293"/>
      <c r="C1535" s="293"/>
      <c r="D1535" s="293"/>
      <c r="E1535" s="293"/>
      <c r="F1535" s="293"/>
      <c r="G1535" s="293"/>
      <c r="H1535" s="293"/>
      <c r="I1535" s="293"/>
      <c r="J1535" s="293"/>
    </row>
    <row r="1536" spans="1:11" x14ac:dyDescent="0.25">
      <c r="B1536" s="293"/>
      <c r="C1536" s="293"/>
      <c r="D1536" s="293"/>
      <c r="E1536" s="293"/>
      <c r="F1536" s="293"/>
      <c r="G1536" s="293"/>
      <c r="H1536" s="293"/>
      <c r="I1536" s="293"/>
      <c r="J1536" s="293"/>
    </row>
    <row r="1537" spans="1:10" x14ac:dyDescent="0.25">
      <c r="B1537" s="293"/>
      <c r="C1537" s="293"/>
      <c r="D1537" s="293"/>
      <c r="E1537" s="293"/>
      <c r="F1537" s="293"/>
      <c r="G1537" s="293"/>
      <c r="H1537" s="293"/>
      <c r="I1537" s="293"/>
      <c r="J1537" s="293"/>
    </row>
    <row r="1538" spans="1:10" x14ac:dyDescent="0.25">
      <c r="A1538" s="47" t="s">
        <v>4267</v>
      </c>
      <c r="B1538" s="296">
        <f t="shared" ref="B1538:J1538" si="799">SUM(B1512:B1516)</f>
        <v>1185000</v>
      </c>
      <c r="C1538" s="296">
        <f t="shared" si="799"/>
        <v>2276400</v>
      </c>
      <c r="D1538" s="296">
        <f t="shared" si="799"/>
        <v>3474700</v>
      </c>
      <c r="E1538" s="296">
        <f t="shared" si="799"/>
        <v>4788600</v>
      </c>
      <c r="F1538" s="296">
        <f t="shared" si="799"/>
        <v>4908300</v>
      </c>
      <c r="G1538" s="296">
        <f t="shared" si="799"/>
        <v>5030900</v>
      </c>
      <c r="H1538" s="296">
        <f t="shared" si="799"/>
        <v>5156900</v>
      </c>
      <c r="I1538" s="296">
        <f t="shared" si="799"/>
        <v>5285700</v>
      </c>
      <c r="J1538" s="296">
        <f t="shared" si="799"/>
        <v>5417800</v>
      </c>
    </row>
    <row r="1539" spans="1:10" x14ac:dyDescent="0.25">
      <c r="B1539" s="293"/>
      <c r="C1539" s="293"/>
      <c r="D1539" s="293"/>
      <c r="E1539" s="293"/>
      <c r="F1539" s="293"/>
      <c r="G1539" s="293"/>
      <c r="H1539" s="293"/>
      <c r="I1539" s="293"/>
      <c r="J1539" s="293"/>
    </row>
    <row r="1540" spans="1:10" ht="15.75" thickBot="1" x14ac:dyDescent="0.3">
      <c r="A1540" s="47" t="s">
        <v>4268</v>
      </c>
      <c r="B1540" s="301">
        <f t="shared" ref="B1540:J1540" si="800">B1495-B1538</f>
        <v>0</v>
      </c>
      <c r="C1540" s="301">
        <f t="shared" si="800"/>
        <v>0</v>
      </c>
      <c r="D1540" s="301">
        <f t="shared" si="800"/>
        <v>0</v>
      </c>
      <c r="E1540" s="301">
        <f t="shared" si="800"/>
        <v>0</v>
      </c>
      <c r="F1540" s="301">
        <f t="shared" si="800"/>
        <v>0</v>
      </c>
      <c r="G1540" s="301">
        <f t="shared" si="800"/>
        <v>100</v>
      </c>
      <c r="H1540" s="301">
        <f t="shared" si="800"/>
        <v>-100</v>
      </c>
      <c r="I1540" s="301">
        <f t="shared" si="800"/>
        <v>0</v>
      </c>
      <c r="J1540" s="301">
        <f t="shared" si="800"/>
        <v>100</v>
      </c>
    </row>
    <row r="1541" spans="1:10" ht="15.75" thickTop="1" x14ac:dyDescent="0.25">
      <c r="A1541" t="s">
        <v>4148</v>
      </c>
      <c r="B1541" s="293">
        <f t="shared" ref="B1541:J1541" si="801">SUM(B1526:B1530)-B1523-B1522-B1521-B1520-B1519-B1495</f>
        <v>0</v>
      </c>
      <c r="C1541" s="293">
        <f t="shared" si="801"/>
        <v>0</v>
      </c>
      <c r="D1541" s="293">
        <f t="shared" si="801"/>
        <v>0</v>
      </c>
      <c r="E1541" s="293">
        <f t="shared" si="801"/>
        <v>0</v>
      </c>
      <c r="F1541" s="293">
        <f t="shared" si="801"/>
        <v>0</v>
      </c>
      <c r="G1541" s="293">
        <f t="shared" si="801"/>
        <v>-100</v>
      </c>
      <c r="H1541" s="293">
        <f t="shared" si="801"/>
        <v>100</v>
      </c>
      <c r="I1541" s="293">
        <f t="shared" si="801"/>
        <v>0</v>
      </c>
      <c r="J1541" s="293">
        <f t="shared" si="801"/>
        <v>-100</v>
      </c>
    </row>
    <row r="1542" spans="1:10" x14ac:dyDescent="0.25">
      <c r="B1542" s="293"/>
      <c r="C1542" s="293"/>
      <c r="D1542" s="293"/>
      <c r="E1542" s="293"/>
      <c r="F1542" s="293"/>
      <c r="G1542" s="293"/>
      <c r="H1542" s="293"/>
      <c r="I1542" s="293"/>
      <c r="J1542" s="293"/>
    </row>
    <row r="1543" spans="1:10" x14ac:dyDescent="0.25">
      <c r="A1543" s="281"/>
      <c r="B1543" s="316"/>
      <c r="C1543" s="316"/>
      <c r="D1543" s="316"/>
      <c r="E1543" s="316"/>
      <c r="F1543" s="316"/>
      <c r="G1543" s="316"/>
      <c r="H1543" s="316"/>
      <c r="I1543" s="316"/>
      <c r="J1543" s="316"/>
    </row>
    <row r="1544" spans="1:10" x14ac:dyDescent="0.25">
      <c r="B1544" s="293"/>
      <c r="C1544" s="293"/>
      <c r="D1544" s="293"/>
      <c r="E1544" s="293"/>
      <c r="F1544" s="293"/>
      <c r="G1544" s="293"/>
      <c r="H1544" s="293"/>
      <c r="I1544" s="293"/>
      <c r="J1544" s="293"/>
    </row>
    <row r="1545" spans="1:10" x14ac:dyDescent="0.25">
      <c r="A1545" t="s">
        <v>4315</v>
      </c>
      <c r="B1545" s="293"/>
      <c r="C1545" s="293"/>
      <c r="D1545" s="293"/>
      <c r="E1545" s="293"/>
      <c r="F1545" s="293"/>
      <c r="G1545" s="293"/>
      <c r="H1545" s="293"/>
      <c r="I1545" s="293"/>
      <c r="J1545" s="293"/>
    </row>
    <row r="1546" spans="1:10" x14ac:dyDescent="0.25">
      <c r="A1546" t="s">
        <v>4317</v>
      </c>
      <c r="B1546" s="293">
        <f t="shared" ref="B1546:J1546" si="802">B16+B47+B79+B110+B142+B174+B205+B236+B267+B298+B329+B360+B391+B423+B454+B485+B516+B547+B578+B610+B641+B672+B703+B734+B765+B796+B827+B858+B889+B920+B951+B982+B1013+B1044+B1091+B1122+B1153+B1184+B1216+B1247+B1278+B1309+B1340+B1371+B1402+B1433+B1464+B1495</f>
        <v>20757900</v>
      </c>
      <c r="C1546" s="293">
        <f t="shared" si="802"/>
        <v>21196100</v>
      </c>
      <c r="D1546" s="293">
        <f t="shared" si="802"/>
        <v>22756300</v>
      </c>
      <c r="E1546" s="293">
        <f t="shared" si="802"/>
        <v>24585200</v>
      </c>
      <c r="F1546" s="293">
        <f t="shared" si="802"/>
        <v>25084900</v>
      </c>
      <c r="G1546" s="293">
        <f t="shared" si="802"/>
        <v>25597500</v>
      </c>
      <c r="H1546" s="293">
        <f t="shared" si="802"/>
        <v>26120700</v>
      </c>
      <c r="I1546" s="293">
        <f t="shared" si="802"/>
        <v>26657000</v>
      </c>
      <c r="J1546" s="293">
        <f t="shared" si="802"/>
        <v>27206400</v>
      </c>
    </row>
    <row r="1547" spans="1:10" x14ac:dyDescent="0.25">
      <c r="A1547" t="s">
        <v>4316</v>
      </c>
      <c r="B1547" s="293">
        <f t="shared" ref="B1547:J1547" si="803">B31+B63+B94+B126+B158+B189+B220+B251+B282+B313+B344+B375+B407+B438+B469+B500+B531+B562+B594+B625+B656+B687+B718+B749+B780+B811+B842+B873+B904+B935+B966+B997+B1028+B1075+B1106+B1137+B1168+B1199+B1231+B1262+B1293+B1324+B1355+B1386+B1417+B1448+B1479+B1538</f>
        <v>24199500</v>
      </c>
      <c r="C1547" s="293">
        <f t="shared" si="803"/>
        <v>20579300</v>
      </c>
      <c r="D1547" s="293">
        <f t="shared" si="803"/>
        <v>23296801</v>
      </c>
      <c r="E1547" s="293">
        <f t="shared" si="803"/>
        <v>22762500</v>
      </c>
      <c r="F1547" s="293">
        <f t="shared" si="803"/>
        <v>23145500</v>
      </c>
      <c r="G1547" s="293">
        <f t="shared" si="803"/>
        <v>23540700</v>
      </c>
      <c r="H1547" s="293">
        <f t="shared" si="803"/>
        <v>24109300</v>
      </c>
      <c r="I1547" s="293">
        <f t="shared" si="803"/>
        <v>24536700</v>
      </c>
      <c r="J1547" s="293">
        <f t="shared" si="803"/>
        <v>25081900</v>
      </c>
    </row>
    <row r="1548" spans="1:10" x14ac:dyDescent="0.25">
      <c r="B1548" s="293"/>
      <c r="C1548" s="293"/>
      <c r="D1548" s="293"/>
      <c r="E1548" s="293"/>
      <c r="F1548" s="293"/>
      <c r="G1548" s="293"/>
      <c r="H1548" s="293"/>
      <c r="I1548" s="293"/>
      <c r="J1548" s="293"/>
    </row>
    <row r="1549" spans="1:10" x14ac:dyDescent="0.25">
      <c r="A1549" s="281"/>
      <c r="B1549" s="316"/>
      <c r="C1549" s="316"/>
      <c r="D1549" s="316"/>
      <c r="E1549" s="316"/>
      <c r="F1549" s="316"/>
      <c r="G1549" s="316"/>
      <c r="H1549" s="316"/>
      <c r="I1549" s="316"/>
      <c r="J1549" s="316"/>
    </row>
    <row r="1550" spans="1:10" x14ac:dyDescent="0.25">
      <c r="B1550" s="293"/>
      <c r="C1550" s="293"/>
      <c r="D1550" s="293"/>
      <c r="E1550" s="293"/>
      <c r="F1550" s="293"/>
      <c r="G1550" s="293"/>
      <c r="H1550" s="293"/>
      <c r="I1550" s="293"/>
      <c r="J1550" s="293"/>
    </row>
    <row r="1551" spans="1:10" x14ac:dyDescent="0.25">
      <c r="A1551" s="1" t="s">
        <v>4600</v>
      </c>
      <c r="B1551" s="465" t="s">
        <v>4606</v>
      </c>
      <c r="C1551" s="465"/>
      <c r="D1551" s="293"/>
      <c r="E1551" s="293"/>
      <c r="F1551" s="293"/>
      <c r="G1551" s="293"/>
      <c r="H1551" s="293"/>
      <c r="I1551" s="293"/>
      <c r="J1551" s="293"/>
    </row>
    <row r="1552" spans="1:10" x14ac:dyDescent="0.25">
      <c r="A1552" s="2"/>
      <c r="B1552" s="466" t="s">
        <v>4607</v>
      </c>
      <c r="C1552" s="466" t="s">
        <v>4608</v>
      </c>
      <c r="D1552" s="293"/>
      <c r="E1552" s="293"/>
      <c r="F1552" s="293"/>
      <c r="G1552" s="293"/>
      <c r="H1552" s="293"/>
      <c r="I1552" s="293"/>
      <c r="J1552" s="293"/>
    </row>
    <row r="1553" spans="1:10" x14ac:dyDescent="0.25">
      <c r="A1553" t="s">
        <v>4601</v>
      </c>
      <c r="B1553" s="293">
        <v>7200600</v>
      </c>
      <c r="C1553" s="333">
        <f>B1553/$B$1559</f>
        <v>0.66782908709806066</v>
      </c>
      <c r="D1553" s="293"/>
      <c r="E1553" s="293"/>
      <c r="F1553" s="293"/>
      <c r="G1553" s="293"/>
      <c r="H1553" s="293"/>
      <c r="I1553" s="293"/>
      <c r="J1553" s="293"/>
    </row>
    <row r="1554" spans="1:10" x14ac:dyDescent="0.25">
      <c r="A1554" t="s">
        <v>4602</v>
      </c>
      <c r="B1554" s="293">
        <v>476300</v>
      </c>
      <c r="C1554" s="333">
        <f t="shared" ref="C1554:C1557" si="804">B1554/$B$1559</f>
        <v>4.4175067936672821E-2</v>
      </c>
      <c r="D1554" s="293"/>
      <c r="E1554" s="293"/>
      <c r="F1554" s="293"/>
      <c r="G1554" s="293"/>
      <c r="H1554" s="293"/>
      <c r="I1554" s="293"/>
      <c r="J1554" s="293"/>
    </row>
    <row r="1555" spans="1:10" x14ac:dyDescent="0.25">
      <c r="A1555" t="s">
        <v>4603</v>
      </c>
      <c r="B1555" s="293">
        <v>335700</v>
      </c>
      <c r="C1555" s="333">
        <f t="shared" si="804"/>
        <v>3.1134936607896423E-2</v>
      </c>
      <c r="D1555" s="293"/>
      <c r="E1555" s="293"/>
      <c r="F1555" s="293"/>
      <c r="G1555" s="293"/>
      <c r="H1555" s="293"/>
      <c r="I1555" s="293"/>
      <c r="J1555" s="293"/>
    </row>
    <row r="1556" spans="1:10" x14ac:dyDescent="0.25">
      <c r="A1556" t="s">
        <v>4604</v>
      </c>
      <c r="B1556" s="293">
        <v>2215600</v>
      </c>
      <c r="C1556" s="333">
        <f t="shared" si="804"/>
        <v>0.20548872668589607</v>
      </c>
      <c r="D1556" s="293"/>
      <c r="E1556" s="293"/>
      <c r="F1556" s="293"/>
      <c r="G1556" s="293"/>
      <c r="H1556" s="293"/>
      <c r="I1556" s="293"/>
      <c r="J1556" s="293"/>
    </row>
    <row r="1557" spans="1:10" x14ac:dyDescent="0.25">
      <c r="A1557" t="s">
        <v>4605</v>
      </c>
      <c r="B1557" s="293">
        <v>553900</v>
      </c>
      <c r="C1557" s="333">
        <f t="shared" si="804"/>
        <v>5.1372181671474018E-2</v>
      </c>
      <c r="D1557" s="293"/>
      <c r="E1557" s="293"/>
      <c r="F1557" s="293"/>
      <c r="G1557" s="293"/>
      <c r="H1557" s="293"/>
      <c r="I1557" s="293"/>
      <c r="J1557" s="293"/>
    </row>
    <row r="1558" spans="1:10" x14ac:dyDescent="0.25">
      <c r="B1558" s="293"/>
      <c r="C1558" s="293"/>
      <c r="D1558" s="293"/>
      <c r="E1558" s="293"/>
      <c r="F1558" s="293"/>
      <c r="G1558" s="293"/>
      <c r="H1558" s="293"/>
      <c r="I1558" s="293"/>
      <c r="J1558" s="293"/>
    </row>
    <row r="1559" spans="1:10" x14ac:dyDescent="0.25">
      <c r="A1559" s="47" t="s">
        <v>3234</v>
      </c>
      <c r="B1559" s="296">
        <f>SUM(B1553:B1558)</f>
        <v>10782100</v>
      </c>
      <c r="C1559" s="467">
        <f>SUM(C1553:C1558)</f>
        <v>1</v>
      </c>
      <c r="D1559" s="293"/>
      <c r="E1559" s="293"/>
      <c r="F1559" s="293"/>
      <c r="G1559" s="293"/>
      <c r="H1559" s="293"/>
      <c r="I1559" s="293"/>
      <c r="J1559" s="293"/>
    </row>
    <row r="1560" spans="1:10" x14ac:dyDescent="0.25">
      <c r="B1560" s="293"/>
      <c r="C1560" s="293"/>
      <c r="D1560" s="293"/>
      <c r="E1560" s="293"/>
      <c r="F1560" s="293"/>
      <c r="G1560" s="293"/>
      <c r="H1560" s="293"/>
      <c r="I1560" s="293"/>
      <c r="J1560" s="293"/>
    </row>
    <row r="1561" spans="1:10" x14ac:dyDescent="0.25">
      <c r="B1561" s="293"/>
      <c r="C1561" s="293"/>
      <c r="D1561" s="293"/>
      <c r="E1561" s="293"/>
      <c r="F1561" s="293"/>
      <c r="G1561" s="293"/>
      <c r="H1561" s="293"/>
      <c r="I1561" s="293"/>
      <c r="J1561" s="293"/>
    </row>
    <row r="1562" spans="1:10" x14ac:dyDescent="0.25">
      <c r="B1562" s="293"/>
      <c r="C1562" s="293"/>
      <c r="D1562" s="293"/>
      <c r="E1562" s="293"/>
      <c r="F1562" s="293"/>
      <c r="G1562" s="293"/>
      <c r="H1562" s="293"/>
      <c r="I1562" s="293"/>
      <c r="J1562" s="293"/>
    </row>
    <row r="1563" spans="1:10" x14ac:dyDescent="0.25">
      <c r="B1563" s="293"/>
      <c r="C1563" s="293"/>
      <c r="D1563" s="293"/>
      <c r="E1563" s="293"/>
      <c r="F1563" s="293"/>
      <c r="G1563" s="293"/>
      <c r="H1563" s="293"/>
      <c r="I1563" s="293"/>
      <c r="J1563" s="293"/>
    </row>
    <row r="1564" spans="1:10" x14ac:dyDescent="0.25">
      <c r="B1564" s="293"/>
      <c r="C1564" s="293"/>
      <c r="D1564" s="293"/>
      <c r="E1564" s="293"/>
      <c r="F1564" s="293"/>
      <c r="G1564" s="293"/>
      <c r="H1564" s="293"/>
      <c r="I1564" s="293"/>
      <c r="J1564" s="293"/>
    </row>
    <row r="1565" spans="1:10" x14ac:dyDescent="0.25">
      <c r="B1565" s="293"/>
      <c r="C1565" s="293"/>
      <c r="D1565" s="293"/>
      <c r="E1565" s="293"/>
      <c r="F1565" s="293"/>
      <c r="G1565" s="293"/>
      <c r="H1565" s="293"/>
      <c r="I1565" s="293"/>
      <c r="J1565" s="293"/>
    </row>
    <row r="1566" spans="1:10" x14ac:dyDescent="0.25">
      <c r="B1566" s="293"/>
      <c r="C1566" s="293"/>
      <c r="D1566" s="293"/>
      <c r="E1566" s="293"/>
      <c r="F1566" s="293"/>
      <c r="G1566" s="293"/>
      <c r="H1566" s="293"/>
      <c r="I1566" s="293"/>
      <c r="J1566" s="293"/>
    </row>
    <row r="1567" spans="1:10" x14ac:dyDescent="0.25">
      <c r="B1567" s="293"/>
      <c r="C1567" s="293"/>
      <c r="D1567" s="293"/>
      <c r="E1567" s="293"/>
      <c r="F1567" s="293"/>
      <c r="G1567" s="293"/>
      <c r="H1567" s="293"/>
      <c r="I1567" s="293"/>
      <c r="J1567" s="293"/>
    </row>
    <row r="1568" spans="1:10" x14ac:dyDescent="0.25">
      <c r="B1568" s="293"/>
      <c r="C1568" s="293"/>
      <c r="D1568" s="293"/>
      <c r="E1568" s="293"/>
      <c r="F1568" s="293"/>
      <c r="G1568" s="293"/>
      <c r="H1568" s="293"/>
      <c r="I1568" s="293"/>
      <c r="J1568" s="293"/>
    </row>
    <row r="1569" spans="2:10" x14ac:dyDescent="0.25">
      <c r="B1569" s="293"/>
      <c r="C1569" s="293"/>
      <c r="D1569" s="293"/>
      <c r="E1569" s="293"/>
      <c r="F1569" s="293"/>
      <c r="G1569" s="293"/>
      <c r="H1569" s="293"/>
      <c r="I1569" s="293"/>
      <c r="J1569" s="293"/>
    </row>
    <row r="1570" spans="2:10" x14ac:dyDescent="0.25">
      <c r="B1570" s="293"/>
      <c r="C1570" s="293"/>
      <c r="D1570" s="293"/>
      <c r="E1570" s="293"/>
      <c r="F1570" s="293"/>
      <c r="G1570" s="293"/>
      <c r="H1570" s="293"/>
      <c r="I1570" s="293"/>
      <c r="J1570" s="293"/>
    </row>
    <row r="1571" spans="2:10" x14ac:dyDescent="0.25">
      <c r="B1571" s="293"/>
      <c r="C1571" s="293"/>
      <c r="D1571" s="293"/>
      <c r="E1571" s="293"/>
      <c r="F1571" s="293"/>
      <c r="G1571" s="293"/>
      <c r="H1571" s="293"/>
      <c r="I1571" s="293"/>
      <c r="J1571" s="293"/>
    </row>
    <row r="1572" spans="2:10" x14ac:dyDescent="0.25">
      <c r="B1572" s="293"/>
      <c r="C1572" s="293"/>
      <c r="D1572" s="293"/>
      <c r="E1572" s="293"/>
      <c r="F1572" s="293"/>
      <c r="G1572" s="293"/>
      <c r="H1572" s="293"/>
      <c r="I1572" s="293"/>
      <c r="J1572" s="293"/>
    </row>
    <row r="1573" spans="2:10" x14ac:dyDescent="0.25">
      <c r="B1573" s="293"/>
      <c r="C1573" s="293"/>
      <c r="D1573" s="293"/>
      <c r="E1573" s="293"/>
      <c r="F1573" s="293"/>
      <c r="G1573" s="293"/>
      <c r="H1573" s="293"/>
      <c r="I1573" s="293"/>
      <c r="J1573" s="293"/>
    </row>
    <row r="1574" spans="2:10" x14ac:dyDescent="0.25">
      <c r="B1574" s="293"/>
      <c r="C1574" s="293"/>
      <c r="D1574" s="293"/>
      <c r="E1574" s="293"/>
      <c r="F1574" s="293"/>
      <c r="G1574" s="293"/>
      <c r="H1574" s="293"/>
      <c r="I1574" s="293"/>
      <c r="J1574" s="293"/>
    </row>
    <row r="1575" spans="2:10" x14ac:dyDescent="0.25">
      <c r="B1575" s="293"/>
      <c r="C1575" s="293"/>
      <c r="D1575" s="293"/>
      <c r="E1575" s="293"/>
      <c r="F1575" s="293"/>
      <c r="G1575" s="293"/>
      <c r="H1575" s="293"/>
      <c r="I1575" s="293"/>
      <c r="J1575" s="293"/>
    </row>
    <row r="1576" spans="2:10" x14ac:dyDescent="0.25">
      <c r="B1576" s="293"/>
      <c r="C1576" s="293"/>
      <c r="D1576" s="293"/>
      <c r="E1576" s="293"/>
      <c r="F1576" s="293"/>
      <c r="G1576" s="293"/>
      <c r="H1576" s="293"/>
      <c r="I1576" s="293"/>
      <c r="J1576" s="293"/>
    </row>
    <row r="1577" spans="2:10" x14ac:dyDescent="0.25">
      <c r="B1577" s="293"/>
      <c r="C1577" s="293"/>
      <c r="D1577" s="293"/>
      <c r="E1577" s="293"/>
      <c r="F1577" s="293"/>
      <c r="G1577" s="293"/>
      <c r="H1577" s="293"/>
      <c r="I1577" s="293"/>
      <c r="J1577" s="293"/>
    </row>
    <row r="1578" spans="2:10" x14ac:dyDescent="0.25">
      <c r="B1578" s="293"/>
      <c r="C1578" s="293"/>
      <c r="D1578" s="293"/>
      <c r="E1578" s="293"/>
      <c r="F1578" s="293"/>
      <c r="G1578" s="293"/>
      <c r="H1578" s="293"/>
      <c r="I1578" s="293"/>
      <c r="J1578" s="293"/>
    </row>
    <row r="1579" spans="2:10" x14ac:dyDescent="0.25">
      <c r="B1579" s="293"/>
      <c r="C1579" s="293"/>
      <c r="D1579" s="293"/>
      <c r="E1579" s="293"/>
      <c r="F1579" s="293"/>
      <c r="G1579" s="293"/>
      <c r="H1579" s="293"/>
      <c r="I1579" s="293"/>
      <c r="J1579" s="293"/>
    </row>
    <row r="1580" spans="2:10" x14ac:dyDescent="0.25">
      <c r="B1580" s="293"/>
      <c r="C1580" s="293"/>
      <c r="D1580" s="293"/>
      <c r="E1580" s="293"/>
      <c r="F1580" s="293"/>
      <c r="G1580" s="293"/>
      <c r="H1580" s="293"/>
      <c r="I1580" s="293"/>
      <c r="J1580" s="293"/>
    </row>
    <row r="1581" spans="2:10" x14ac:dyDescent="0.25">
      <c r="B1581" s="293"/>
      <c r="C1581" s="293"/>
      <c r="D1581" s="293"/>
      <c r="E1581" s="293"/>
      <c r="F1581" s="293"/>
      <c r="G1581" s="293"/>
      <c r="H1581" s="293"/>
      <c r="I1581" s="293"/>
      <c r="J1581" s="293"/>
    </row>
    <row r="1582" spans="2:10" x14ac:dyDescent="0.25">
      <c r="B1582" s="293"/>
      <c r="C1582" s="293"/>
      <c r="D1582" s="293"/>
      <c r="E1582" s="293"/>
      <c r="F1582" s="293"/>
      <c r="G1582" s="293"/>
      <c r="H1582" s="293"/>
      <c r="I1582" s="293"/>
      <c r="J1582" s="293"/>
    </row>
    <row r="1583" spans="2:10" x14ac:dyDescent="0.25">
      <c r="B1583" s="293"/>
      <c r="C1583" s="293"/>
      <c r="D1583" s="293"/>
      <c r="E1583" s="293"/>
      <c r="F1583" s="293"/>
      <c r="G1583" s="293"/>
      <c r="H1583" s="293"/>
      <c r="I1583" s="293"/>
      <c r="J1583" s="293"/>
    </row>
    <row r="1584" spans="2:10" x14ac:dyDescent="0.25">
      <c r="B1584" s="293"/>
      <c r="C1584" s="293"/>
      <c r="D1584" s="293"/>
      <c r="E1584" s="293"/>
      <c r="F1584" s="293"/>
      <c r="G1584" s="293"/>
      <c r="H1584" s="293"/>
      <c r="I1584" s="293"/>
      <c r="J1584" s="293"/>
    </row>
    <row r="1585" spans="2:10" x14ac:dyDescent="0.25">
      <c r="B1585" s="293"/>
      <c r="C1585" s="293"/>
      <c r="D1585" s="293"/>
      <c r="E1585" s="293"/>
      <c r="F1585" s="293"/>
      <c r="G1585" s="293"/>
      <c r="H1585" s="293"/>
      <c r="I1585" s="293"/>
      <c r="J1585" s="293"/>
    </row>
    <row r="1586" spans="2:10" x14ac:dyDescent="0.25">
      <c r="B1586" s="293"/>
      <c r="C1586" s="293"/>
      <c r="D1586" s="293"/>
      <c r="E1586" s="293"/>
      <c r="F1586" s="293"/>
      <c r="G1586" s="293"/>
      <c r="H1586" s="293"/>
      <c r="I1586" s="293"/>
      <c r="J1586" s="293"/>
    </row>
    <row r="1587" spans="2:10" x14ac:dyDescent="0.25">
      <c r="B1587" s="293"/>
      <c r="C1587" s="293"/>
      <c r="D1587" s="293"/>
      <c r="E1587" s="293"/>
      <c r="F1587" s="293"/>
      <c r="G1587" s="293"/>
      <c r="H1587" s="293"/>
      <c r="I1587" s="293"/>
      <c r="J1587" s="293"/>
    </row>
    <row r="1588" spans="2:10" x14ac:dyDescent="0.25">
      <c r="B1588" s="293"/>
      <c r="C1588" s="293"/>
      <c r="D1588" s="293"/>
      <c r="E1588" s="293"/>
      <c r="F1588" s="293"/>
      <c r="G1588" s="293"/>
      <c r="H1588" s="293"/>
      <c r="I1588" s="293"/>
      <c r="J1588" s="293"/>
    </row>
    <row r="1589" spans="2:10" x14ac:dyDescent="0.25">
      <c r="B1589" s="293"/>
      <c r="C1589" s="293"/>
      <c r="D1589" s="293"/>
      <c r="E1589" s="293"/>
      <c r="F1589" s="293"/>
      <c r="G1589" s="293"/>
      <c r="H1589" s="293"/>
      <c r="I1589" s="293"/>
      <c r="J1589" s="293"/>
    </row>
    <row r="1590" spans="2:10" x14ac:dyDescent="0.25">
      <c r="B1590" s="293"/>
      <c r="C1590" s="293"/>
      <c r="D1590" s="293"/>
      <c r="E1590" s="293"/>
      <c r="F1590" s="293"/>
      <c r="G1590" s="293"/>
      <c r="H1590" s="293"/>
      <c r="I1590" s="293"/>
      <c r="J1590" s="293"/>
    </row>
    <row r="1591" spans="2:10" x14ac:dyDescent="0.25">
      <c r="B1591" s="293"/>
      <c r="C1591" s="293"/>
      <c r="D1591" s="293"/>
      <c r="E1591" s="293"/>
      <c r="F1591" s="293"/>
      <c r="G1591" s="293"/>
      <c r="H1591" s="293"/>
      <c r="I1591" s="293"/>
      <c r="J1591" s="293"/>
    </row>
    <row r="1592" spans="2:10" x14ac:dyDescent="0.25">
      <c r="B1592" s="293"/>
      <c r="C1592" s="293"/>
      <c r="D1592" s="293"/>
      <c r="E1592" s="293"/>
      <c r="F1592" s="293"/>
      <c r="G1592" s="293"/>
      <c r="H1592" s="293"/>
      <c r="I1592" s="293"/>
      <c r="J1592" s="293"/>
    </row>
    <row r="1593" spans="2:10" x14ac:dyDescent="0.25">
      <c r="B1593" s="293"/>
      <c r="C1593" s="293"/>
      <c r="D1593" s="293"/>
      <c r="E1593" s="293"/>
      <c r="F1593" s="293"/>
      <c r="G1593" s="293"/>
      <c r="H1593" s="293"/>
      <c r="I1593" s="293"/>
      <c r="J1593" s="293"/>
    </row>
    <row r="1594" spans="2:10" x14ac:dyDescent="0.25">
      <c r="B1594" s="293"/>
      <c r="C1594" s="293"/>
      <c r="D1594" s="293"/>
      <c r="E1594" s="293"/>
      <c r="F1594" s="293"/>
      <c r="G1594" s="293"/>
      <c r="H1594" s="293"/>
      <c r="I1594" s="293"/>
      <c r="J1594" s="293"/>
    </row>
    <row r="1595" spans="2:10" x14ac:dyDescent="0.25">
      <c r="B1595" s="293"/>
      <c r="C1595" s="293"/>
      <c r="D1595" s="293"/>
      <c r="E1595" s="293"/>
      <c r="F1595" s="293"/>
      <c r="G1595" s="293"/>
      <c r="H1595" s="293"/>
      <c r="I1595" s="293"/>
      <c r="J1595" s="293"/>
    </row>
    <row r="1596" spans="2:10" x14ac:dyDescent="0.25">
      <c r="B1596" s="293"/>
      <c r="C1596" s="293"/>
      <c r="D1596" s="293"/>
      <c r="E1596" s="293"/>
      <c r="F1596" s="293"/>
      <c r="G1596" s="293"/>
      <c r="H1596" s="293"/>
      <c r="I1596" s="293"/>
      <c r="J1596" s="293"/>
    </row>
    <row r="1597" spans="2:10" x14ac:dyDescent="0.25">
      <c r="B1597" s="293"/>
      <c r="C1597" s="293"/>
      <c r="D1597" s="293"/>
      <c r="E1597" s="293"/>
      <c r="F1597" s="293"/>
      <c r="G1597" s="293"/>
      <c r="H1597" s="293"/>
      <c r="I1597" s="293"/>
      <c r="J1597" s="293"/>
    </row>
    <row r="1598" spans="2:10" x14ac:dyDescent="0.25">
      <c r="B1598" s="293"/>
      <c r="C1598" s="293"/>
      <c r="D1598" s="293"/>
      <c r="E1598" s="293"/>
      <c r="F1598" s="293"/>
      <c r="G1598" s="293"/>
      <c r="H1598" s="293"/>
      <c r="I1598" s="293"/>
      <c r="J1598" s="293"/>
    </row>
    <row r="1599" spans="2:10" x14ac:dyDescent="0.25">
      <c r="B1599" s="293"/>
      <c r="C1599" s="293"/>
      <c r="D1599" s="293"/>
      <c r="E1599" s="293"/>
      <c r="F1599" s="293"/>
      <c r="G1599" s="293"/>
      <c r="H1599" s="293"/>
      <c r="I1599" s="293"/>
      <c r="J1599" s="293"/>
    </row>
    <row r="1600" spans="2:10" x14ac:dyDescent="0.25">
      <c r="B1600" s="293"/>
      <c r="C1600" s="293"/>
      <c r="D1600" s="293"/>
      <c r="E1600" s="293"/>
      <c r="F1600" s="293"/>
      <c r="G1600" s="293"/>
      <c r="H1600" s="293"/>
      <c r="I1600" s="293"/>
      <c r="J1600" s="293"/>
    </row>
    <row r="1601" spans="2:10" x14ac:dyDescent="0.25">
      <c r="B1601" s="293"/>
      <c r="C1601" s="293"/>
      <c r="D1601" s="293"/>
      <c r="E1601" s="293"/>
      <c r="F1601" s="293"/>
      <c r="G1601" s="293"/>
      <c r="H1601" s="293"/>
      <c r="I1601" s="293"/>
      <c r="J1601" s="293"/>
    </row>
    <row r="1602" spans="2:10" x14ac:dyDescent="0.25">
      <c r="B1602" s="293"/>
      <c r="C1602" s="293"/>
      <c r="D1602" s="293"/>
      <c r="E1602" s="293"/>
      <c r="F1602" s="293"/>
      <c r="G1602" s="293"/>
      <c r="H1602" s="293"/>
      <c r="I1602" s="293"/>
      <c r="J1602" s="293"/>
    </row>
    <row r="1603" spans="2:10" x14ac:dyDescent="0.25">
      <c r="B1603" s="293"/>
      <c r="C1603" s="293"/>
      <c r="D1603" s="293"/>
      <c r="E1603" s="293"/>
      <c r="F1603" s="293"/>
      <c r="G1603" s="293"/>
      <c r="H1603" s="293"/>
      <c r="I1603" s="293"/>
      <c r="J1603" s="293"/>
    </row>
    <row r="1604" spans="2:10" x14ac:dyDescent="0.25">
      <c r="B1604" s="293"/>
      <c r="C1604" s="293"/>
      <c r="D1604" s="293"/>
      <c r="E1604" s="293"/>
      <c r="F1604" s="293"/>
      <c r="G1604" s="293"/>
      <c r="H1604" s="293"/>
      <c r="I1604" s="293"/>
      <c r="J1604" s="293"/>
    </row>
    <row r="1605" spans="2:10" x14ac:dyDescent="0.25">
      <c r="B1605" s="293"/>
      <c r="C1605" s="293"/>
      <c r="D1605" s="293"/>
      <c r="E1605" s="293"/>
      <c r="F1605" s="293"/>
      <c r="G1605" s="293"/>
      <c r="H1605" s="293"/>
      <c r="I1605" s="293"/>
      <c r="J1605" s="293"/>
    </row>
    <row r="1606" spans="2:10" x14ac:dyDescent="0.25">
      <c r="B1606" s="293"/>
      <c r="C1606" s="293"/>
      <c r="D1606" s="293"/>
      <c r="E1606" s="293"/>
      <c r="F1606" s="293"/>
      <c r="G1606" s="293"/>
      <c r="H1606" s="293"/>
      <c r="I1606" s="293"/>
      <c r="J1606" s="293"/>
    </row>
    <row r="1607" spans="2:10" x14ac:dyDescent="0.25">
      <c r="B1607" s="293"/>
      <c r="C1607" s="293"/>
      <c r="D1607" s="293"/>
      <c r="E1607" s="293"/>
      <c r="F1607" s="293"/>
      <c r="G1607" s="293"/>
      <c r="H1607" s="293"/>
      <c r="I1607" s="293"/>
      <c r="J1607" s="293"/>
    </row>
    <row r="1608" spans="2:10" x14ac:dyDescent="0.25">
      <c r="B1608" s="293"/>
      <c r="C1608" s="293"/>
      <c r="D1608" s="293"/>
      <c r="E1608" s="293"/>
      <c r="F1608" s="293"/>
      <c r="G1608" s="293"/>
      <c r="H1608" s="293"/>
      <c r="I1608" s="293"/>
      <c r="J1608" s="293"/>
    </row>
    <row r="1609" spans="2:10" x14ac:dyDescent="0.25">
      <c r="B1609" s="293"/>
      <c r="C1609" s="293"/>
      <c r="D1609" s="293"/>
      <c r="E1609" s="293"/>
      <c r="F1609" s="293"/>
      <c r="G1609" s="293"/>
      <c r="H1609" s="293"/>
      <c r="I1609" s="293"/>
      <c r="J1609" s="293"/>
    </row>
    <row r="1610" spans="2:10" x14ac:dyDescent="0.25">
      <c r="B1610" s="293"/>
      <c r="C1610" s="293"/>
      <c r="D1610" s="293"/>
      <c r="E1610" s="293"/>
      <c r="F1610" s="293"/>
      <c r="G1610" s="293"/>
      <c r="H1610" s="293"/>
      <c r="I1610" s="293"/>
      <c r="J1610" s="293"/>
    </row>
  </sheetData>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266"/>
  <sheetViews>
    <sheetView workbookViewId="0">
      <pane xSplit="1" ySplit="5" topLeftCell="B1898" activePane="bottomRight" state="frozen"/>
      <selection pane="topRight" activeCell="B1" sqref="B1"/>
      <selection pane="bottomLeft" activeCell="A6" sqref="A6"/>
      <selection pane="bottomRight" activeCell="A1906" sqref="A1906"/>
    </sheetView>
  </sheetViews>
  <sheetFormatPr defaultRowHeight="15" x14ac:dyDescent="0.25"/>
  <cols>
    <col min="1" max="1" width="51.28515625" customWidth="1"/>
    <col min="2" max="10" width="12.7109375" style="39" customWidth="1"/>
  </cols>
  <sheetData>
    <row r="1" spans="1:10" ht="15.75" x14ac:dyDescent="0.25">
      <c r="A1" s="48" t="s">
        <v>0</v>
      </c>
    </row>
    <row r="2" spans="1:10" ht="15.75" x14ac:dyDescent="0.25">
      <c r="A2" s="48" t="s">
        <v>4632</v>
      </c>
    </row>
    <row r="3" spans="1:10" x14ac:dyDescent="0.25">
      <c r="A3" s="277"/>
      <c r="B3" s="279" t="s">
        <v>12</v>
      </c>
      <c r="C3" s="279" t="s">
        <v>13</v>
      </c>
      <c r="D3" s="279" t="s">
        <v>15</v>
      </c>
      <c r="E3" s="279" t="s">
        <v>16</v>
      </c>
      <c r="F3" s="279" t="s">
        <v>17</v>
      </c>
      <c r="G3" s="279" t="s">
        <v>18</v>
      </c>
      <c r="H3" s="279" t="s">
        <v>19</v>
      </c>
      <c r="I3" s="279" t="s">
        <v>20</v>
      </c>
      <c r="J3" s="279" t="s">
        <v>21</v>
      </c>
    </row>
    <row r="4" spans="1:10" x14ac:dyDescent="0.25">
      <c r="A4" s="278"/>
      <c r="B4" s="275" t="s">
        <v>4154</v>
      </c>
      <c r="C4" s="276" t="s">
        <v>4154</v>
      </c>
      <c r="D4" s="276" t="s">
        <v>4154</v>
      </c>
      <c r="E4" s="276" t="s">
        <v>4154</v>
      </c>
      <c r="F4" s="276" t="s">
        <v>4154</v>
      </c>
      <c r="G4" s="276" t="s">
        <v>4154</v>
      </c>
      <c r="H4" s="276" t="s">
        <v>4154</v>
      </c>
      <c r="I4" s="276" t="s">
        <v>4154</v>
      </c>
      <c r="J4" s="276" t="s">
        <v>4154</v>
      </c>
    </row>
    <row r="5" spans="1:10" x14ac:dyDescent="0.25">
      <c r="A5" s="2" t="s">
        <v>4157</v>
      </c>
      <c r="B5" s="50" t="s">
        <v>4155</v>
      </c>
      <c r="C5" s="50" t="s">
        <v>4155</v>
      </c>
      <c r="D5" s="50" t="s">
        <v>4155</v>
      </c>
      <c r="E5" s="50" t="s">
        <v>4155</v>
      </c>
      <c r="F5" s="50" t="s">
        <v>4155</v>
      </c>
      <c r="G5" s="50" t="s">
        <v>4155</v>
      </c>
      <c r="H5" s="50" t="s">
        <v>4155</v>
      </c>
      <c r="I5" s="50" t="s">
        <v>4155</v>
      </c>
      <c r="J5" s="50" t="s">
        <v>4155</v>
      </c>
    </row>
    <row r="6" spans="1:10" x14ac:dyDescent="0.25">
      <c r="A6" s="280" t="s">
        <v>4319</v>
      </c>
      <c r="B6" s="293"/>
      <c r="C6" s="293"/>
      <c r="D6" s="293"/>
      <c r="E6" s="293"/>
      <c r="F6" s="293"/>
      <c r="G6" s="293"/>
      <c r="H6" s="293"/>
      <c r="I6" s="293"/>
      <c r="J6" s="293"/>
    </row>
    <row r="7" spans="1:10" x14ac:dyDescent="0.25">
      <c r="B7" s="293"/>
      <c r="C7" s="293"/>
      <c r="D7" s="293"/>
      <c r="E7" s="293"/>
      <c r="F7" s="293"/>
      <c r="G7" s="293"/>
      <c r="H7" s="293"/>
      <c r="I7" s="293"/>
      <c r="J7" s="293"/>
    </row>
    <row r="8" spans="1:10" x14ac:dyDescent="0.25">
      <c r="A8" s="47" t="s">
        <v>4260</v>
      </c>
      <c r="B8" s="293"/>
      <c r="C8" s="293"/>
      <c r="D8" s="293"/>
      <c r="E8" s="293"/>
      <c r="F8" s="293"/>
      <c r="G8" s="293"/>
      <c r="H8" s="293"/>
      <c r="I8" s="293"/>
      <c r="J8" s="293"/>
    </row>
    <row r="9" spans="1:10" x14ac:dyDescent="0.25">
      <c r="A9" t="s">
        <v>4262</v>
      </c>
      <c r="B9" s="293">
        <f>-operatingdata!F1133-operatingdata!F1131-operatingdata!F1510-operatingdata!F1511-operatingdata!F1515</f>
        <v>400900</v>
      </c>
      <c r="C9" s="293">
        <f>-operatingdata!G1133-operatingdata!G1131-operatingdata!G1510-operatingdata!G1511-operatingdata!G1515</f>
        <v>411000</v>
      </c>
      <c r="D9" s="293">
        <f>-operatingdata!H1133-operatingdata!H1131-operatingdata!H1510-operatingdata!H1511-operatingdata!H1515</f>
        <v>421400</v>
      </c>
      <c r="E9" s="293">
        <f>-operatingdata!I1133-operatingdata!I1131-operatingdata!I1510-operatingdata!I1511-operatingdata!I1515</f>
        <v>431900</v>
      </c>
      <c r="F9" s="293">
        <f>-operatingdata!J1133-operatingdata!J1131-operatingdata!J1510-operatingdata!J1511-operatingdata!J1515</f>
        <v>442700</v>
      </c>
      <c r="G9" s="293">
        <f>-operatingdata!K1133-operatingdata!K1131-operatingdata!K1510-operatingdata!K1511-operatingdata!K1515</f>
        <v>453800</v>
      </c>
      <c r="H9" s="293">
        <f>-operatingdata!L1133-operatingdata!L1131-operatingdata!L1510-operatingdata!L1511-operatingdata!L1515</f>
        <v>465200</v>
      </c>
      <c r="I9" s="293">
        <f>-operatingdata!M1133-operatingdata!M1131-operatingdata!M1510-operatingdata!M1511-operatingdata!M1515</f>
        <v>476700</v>
      </c>
      <c r="J9" s="293">
        <f>-operatingdata!N1133-operatingdata!N1131-operatingdata!N1510-operatingdata!N1511-operatingdata!N1515</f>
        <v>488700</v>
      </c>
    </row>
    <row r="10" spans="1:10" x14ac:dyDescent="0.25">
      <c r="A10" t="s">
        <v>4261</v>
      </c>
      <c r="B10" s="293"/>
      <c r="C10" s="293"/>
      <c r="D10" s="293"/>
      <c r="E10" s="293"/>
      <c r="F10" s="293"/>
      <c r="G10" s="293"/>
      <c r="H10" s="293"/>
      <c r="I10" s="293"/>
      <c r="J10" s="293"/>
    </row>
    <row r="11" spans="1:10" x14ac:dyDescent="0.25">
      <c r="A11" t="s">
        <v>66</v>
      </c>
      <c r="B11" s="293"/>
      <c r="C11" s="293"/>
      <c r="D11" s="293"/>
      <c r="E11" s="293"/>
      <c r="F11" s="293"/>
      <c r="G11" s="293"/>
      <c r="H11" s="293"/>
      <c r="I11" s="293"/>
      <c r="J11" s="293"/>
    </row>
    <row r="12" spans="1:10" x14ac:dyDescent="0.25">
      <c r="B12" s="293"/>
      <c r="C12" s="293"/>
      <c r="D12" s="293"/>
      <c r="E12" s="293"/>
      <c r="F12" s="293"/>
      <c r="G12" s="293"/>
      <c r="H12" s="293"/>
      <c r="I12" s="293"/>
      <c r="J12" s="293"/>
    </row>
    <row r="13" spans="1:10" x14ac:dyDescent="0.25">
      <c r="B13" s="293"/>
      <c r="C13" s="293"/>
      <c r="D13" s="293"/>
      <c r="E13" s="293"/>
      <c r="F13" s="293"/>
      <c r="G13" s="293"/>
      <c r="H13" s="293"/>
      <c r="I13" s="293"/>
      <c r="J13" s="293"/>
    </row>
    <row r="14" spans="1:10" x14ac:dyDescent="0.25">
      <c r="B14" s="293"/>
      <c r="C14" s="293"/>
      <c r="D14" s="293"/>
      <c r="E14" s="293"/>
      <c r="F14" s="293"/>
      <c r="G14" s="293"/>
      <c r="H14" s="293"/>
      <c r="I14" s="293"/>
      <c r="J14" s="293"/>
    </row>
    <row r="15" spans="1:10" x14ac:dyDescent="0.25">
      <c r="B15" s="293"/>
      <c r="C15" s="293"/>
      <c r="D15" s="293"/>
      <c r="E15" s="293"/>
      <c r="F15" s="293"/>
      <c r="G15" s="293"/>
      <c r="H15" s="293"/>
      <c r="I15" s="293"/>
      <c r="J15" s="293"/>
    </row>
    <row r="16" spans="1:10" x14ac:dyDescent="0.25">
      <c r="A16" s="47" t="s">
        <v>4263</v>
      </c>
      <c r="B16" s="296">
        <f>SUM(B6:B15)</f>
        <v>400900</v>
      </c>
      <c r="C16" s="296">
        <f t="shared" ref="C16:J16" si="0">SUM(C6:C15)</f>
        <v>411000</v>
      </c>
      <c r="D16" s="296">
        <f t="shared" si="0"/>
        <v>421400</v>
      </c>
      <c r="E16" s="296">
        <f t="shared" si="0"/>
        <v>431900</v>
      </c>
      <c r="F16" s="296">
        <f t="shared" si="0"/>
        <v>442700</v>
      </c>
      <c r="G16" s="296">
        <f t="shared" si="0"/>
        <v>453800</v>
      </c>
      <c r="H16" s="296">
        <f t="shared" si="0"/>
        <v>465200</v>
      </c>
      <c r="I16" s="296">
        <f t="shared" si="0"/>
        <v>476700</v>
      </c>
      <c r="J16" s="296">
        <f t="shared" si="0"/>
        <v>488700</v>
      </c>
    </row>
    <row r="17" spans="1:10" x14ac:dyDescent="0.25">
      <c r="B17" s="293"/>
      <c r="C17" s="293"/>
      <c r="D17" s="293"/>
      <c r="E17" s="293"/>
      <c r="F17" s="293"/>
      <c r="G17" s="293"/>
      <c r="H17" s="293"/>
      <c r="I17" s="293"/>
      <c r="J17" s="293"/>
    </row>
    <row r="18" spans="1:10" x14ac:dyDescent="0.25">
      <c r="A18" s="47" t="s">
        <v>4264</v>
      </c>
      <c r="B18" s="293"/>
      <c r="C18" s="293"/>
      <c r="D18" s="293"/>
      <c r="E18" s="293"/>
      <c r="F18" s="293"/>
      <c r="G18" s="293"/>
      <c r="H18" s="293"/>
      <c r="I18" s="293"/>
      <c r="J18" s="293"/>
    </row>
    <row r="19" spans="1:10" x14ac:dyDescent="0.25">
      <c r="A19" t="s">
        <v>87</v>
      </c>
      <c r="B19" s="293"/>
      <c r="C19" s="293"/>
      <c r="D19" s="293"/>
      <c r="E19" s="293"/>
      <c r="F19" s="293"/>
      <c r="G19" s="293"/>
      <c r="H19" s="293"/>
      <c r="I19" s="293"/>
      <c r="J19" s="293"/>
    </row>
    <row r="20" spans="1:10" x14ac:dyDescent="0.25">
      <c r="A20" t="s">
        <v>4265</v>
      </c>
      <c r="B20" s="293"/>
      <c r="C20" s="293"/>
      <c r="D20" s="293"/>
      <c r="E20" s="293"/>
      <c r="F20" s="293"/>
      <c r="G20" s="293"/>
      <c r="H20" s="293"/>
      <c r="I20" s="293"/>
      <c r="J20" s="293"/>
    </row>
    <row r="21" spans="1:10" x14ac:dyDescent="0.25">
      <c r="A21" t="s">
        <v>4522</v>
      </c>
      <c r="B21" s="293">
        <f>capitalexpdata!G445</f>
        <v>60000</v>
      </c>
      <c r="C21" s="293">
        <f>capitalexpdata!H445</f>
        <v>60000</v>
      </c>
      <c r="D21" s="293">
        <f>capitalexpdata!I445</f>
        <v>60000</v>
      </c>
      <c r="E21" s="293">
        <f>capitalexpdata!J445</f>
        <v>60000</v>
      </c>
      <c r="F21" s="293"/>
      <c r="G21" s="293"/>
      <c r="H21" s="293"/>
      <c r="I21" s="293"/>
      <c r="J21" s="293"/>
    </row>
    <row r="22" spans="1:10" x14ac:dyDescent="0.25">
      <c r="B22" s="293"/>
      <c r="C22" s="293"/>
      <c r="D22" s="293"/>
      <c r="E22" s="293"/>
      <c r="F22" s="293"/>
      <c r="G22" s="293"/>
      <c r="H22" s="293"/>
      <c r="I22" s="293"/>
      <c r="J22" s="293"/>
    </row>
    <row r="23" spans="1:10" x14ac:dyDescent="0.25">
      <c r="B23" s="293"/>
      <c r="C23" s="293"/>
      <c r="D23" s="293"/>
      <c r="E23" s="293"/>
      <c r="F23" s="293"/>
      <c r="G23" s="293"/>
      <c r="H23" s="293"/>
      <c r="I23" s="293"/>
      <c r="J23" s="293"/>
    </row>
    <row r="24" spans="1:10" x14ac:dyDescent="0.25">
      <c r="B24" s="293"/>
      <c r="C24" s="293"/>
      <c r="D24" s="293"/>
      <c r="E24" s="293"/>
      <c r="F24" s="293"/>
      <c r="G24" s="293"/>
      <c r="H24" s="293"/>
      <c r="I24" s="293"/>
      <c r="J24" s="293"/>
    </row>
    <row r="25" spans="1:10" x14ac:dyDescent="0.25">
      <c r="A25" t="s">
        <v>4266</v>
      </c>
      <c r="B25" s="293"/>
      <c r="C25" s="293"/>
      <c r="D25" s="293"/>
      <c r="E25" s="293"/>
      <c r="F25" s="293"/>
      <c r="G25" s="293"/>
      <c r="H25" s="293"/>
      <c r="I25" s="293"/>
      <c r="J25" s="293"/>
    </row>
    <row r="26" spans="1:10" x14ac:dyDescent="0.25">
      <c r="A26" t="s">
        <v>66</v>
      </c>
      <c r="B26" s="293"/>
      <c r="C26" s="293"/>
      <c r="D26" s="293"/>
      <c r="E26" s="293"/>
      <c r="F26" s="293"/>
      <c r="G26" s="293"/>
      <c r="H26" s="293"/>
      <c r="I26" s="293"/>
      <c r="J26" s="293"/>
    </row>
    <row r="27" spans="1:10" x14ac:dyDescent="0.25">
      <c r="A27" t="s">
        <v>4403</v>
      </c>
      <c r="B27" s="293">
        <f>operatingdata!F616</f>
        <v>16700</v>
      </c>
      <c r="C27" s="293">
        <f>operatingdata!G616</f>
        <v>17000</v>
      </c>
      <c r="D27" s="293">
        <f>operatingdata!H616</f>
        <v>17300</v>
      </c>
      <c r="E27" s="293">
        <f>operatingdata!I616</f>
        <v>17600</v>
      </c>
      <c r="F27" s="293">
        <f>operatingdata!J616</f>
        <v>18000</v>
      </c>
      <c r="G27" s="293">
        <f>operatingdata!K616</f>
        <v>18400</v>
      </c>
      <c r="H27" s="293">
        <f>operatingdata!L616</f>
        <v>18900</v>
      </c>
      <c r="I27" s="293">
        <f>operatingdata!M616</f>
        <v>19400</v>
      </c>
      <c r="J27" s="293">
        <f>operatingdata!N616</f>
        <v>19900</v>
      </c>
    </row>
    <row r="28" spans="1:10" x14ac:dyDescent="0.25">
      <c r="A28" t="s">
        <v>4404</v>
      </c>
      <c r="B28" s="293">
        <v>41200</v>
      </c>
      <c r="C28" s="293">
        <v>41200</v>
      </c>
      <c r="D28" s="293">
        <v>41200</v>
      </c>
      <c r="E28" s="293">
        <v>41200</v>
      </c>
      <c r="F28" s="293">
        <v>41200</v>
      </c>
      <c r="G28" s="293">
        <v>41200</v>
      </c>
      <c r="H28" s="293">
        <v>41200</v>
      </c>
      <c r="I28" s="293">
        <v>41200</v>
      </c>
      <c r="J28" s="293">
        <v>41200</v>
      </c>
    </row>
    <row r="29" spans="1:10" x14ac:dyDescent="0.25">
      <c r="A29" t="s">
        <v>4406</v>
      </c>
      <c r="B29" s="293">
        <f>operatingdata!F1037</f>
        <v>99700</v>
      </c>
      <c r="C29" s="293">
        <f>operatingdata!G1037</f>
        <v>101700</v>
      </c>
      <c r="D29" s="293">
        <f>operatingdata!H1037</f>
        <v>103700</v>
      </c>
      <c r="E29" s="293">
        <f>operatingdata!I1037</f>
        <v>105800</v>
      </c>
      <c r="F29" s="293">
        <f>operatingdata!J1037</f>
        <v>107900</v>
      </c>
      <c r="G29" s="293">
        <f>operatingdata!K1037</f>
        <v>110100</v>
      </c>
      <c r="H29" s="293">
        <f>operatingdata!L1037</f>
        <v>112900</v>
      </c>
      <c r="I29" s="293">
        <f>operatingdata!M1037</f>
        <v>115700</v>
      </c>
      <c r="J29" s="293">
        <f>operatingdata!N1037</f>
        <v>118600</v>
      </c>
    </row>
    <row r="30" spans="1:10" x14ac:dyDescent="0.25">
      <c r="A30" t="s">
        <v>4405</v>
      </c>
      <c r="B30" s="293">
        <f>operatingdata!F1482</f>
        <v>130400</v>
      </c>
      <c r="C30" s="293">
        <f>operatingdata!G1482</f>
        <v>133000</v>
      </c>
      <c r="D30" s="293">
        <f>operatingdata!H1482</f>
        <v>135700</v>
      </c>
      <c r="E30" s="293">
        <f>operatingdata!I1482</f>
        <v>138400</v>
      </c>
      <c r="F30" s="293">
        <f>operatingdata!J1482</f>
        <v>141200</v>
      </c>
      <c r="G30" s="293">
        <f>operatingdata!K1482</f>
        <v>144000</v>
      </c>
      <c r="H30" s="293">
        <f>operatingdata!L1482</f>
        <v>147600</v>
      </c>
      <c r="I30" s="293">
        <f>operatingdata!M1482</f>
        <v>151300</v>
      </c>
      <c r="J30" s="293">
        <f>operatingdata!N1482</f>
        <v>155100</v>
      </c>
    </row>
    <row r="31" spans="1:10" x14ac:dyDescent="0.25">
      <c r="A31" t="s">
        <v>4407</v>
      </c>
      <c r="B31" s="293">
        <v>10300</v>
      </c>
      <c r="C31" s="293">
        <v>10300</v>
      </c>
      <c r="D31" s="293">
        <v>10300</v>
      </c>
      <c r="E31" s="293">
        <v>10300</v>
      </c>
      <c r="F31" s="293">
        <v>10300</v>
      </c>
      <c r="G31" s="293">
        <v>10300</v>
      </c>
      <c r="H31" s="293">
        <v>10300</v>
      </c>
      <c r="I31" s="293">
        <v>10300</v>
      </c>
      <c r="J31" s="293">
        <v>10300</v>
      </c>
    </row>
    <row r="32" spans="1:10" x14ac:dyDescent="0.25">
      <c r="B32" s="293"/>
      <c r="C32" s="293"/>
      <c r="D32" s="293"/>
      <c r="E32" s="293"/>
      <c r="F32" s="293"/>
      <c r="G32" s="293"/>
      <c r="H32" s="293"/>
      <c r="I32" s="293"/>
      <c r="J32" s="293"/>
    </row>
    <row r="33" spans="1:10" x14ac:dyDescent="0.25">
      <c r="B33" s="293"/>
      <c r="C33" s="293"/>
      <c r="D33" s="293"/>
      <c r="E33" s="293"/>
      <c r="F33" s="293"/>
      <c r="G33" s="293"/>
      <c r="H33" s="293"/>
      <c r="I33" s="293"/>
      <c r="J33" s="293"/>
    </row>
    <row r="34" spans="1:10" x14ac:dyDescent="0.25">
      <c r="A34" s="47" t="s">
        <v>4267</v>
      </c>
      <c r="B34" s="296">
        <f>SUM(B19:B33)</f>
        <v>358300</v>
      </c>
      <c r="C34" s="296">
        <f t="shared" ref="C34:J34" si="1">SUM(C19:C33)</f>
        <v>363200</v>
      </c>
      <c r="D34" s="296">
        <f t="shared" si="1"/>
        <v>368200</v>
      </c>
      <c r="E34" s="296">
        <f t="shared" si="1"/>
        <v>373300</v>
      </c>
      <c r="F34" s="296">
        <f t="shared" si="1"/>
        <v>318600</v>
      </c>
      <c r="G34" s="296">
        <f t="shared" si="1"/>
        <v>324000</v>
      </c>
      <c r="H34" s="296">
        <f t="shared" si="1"/>
        <v>330900</v>
      </c>
      <c r="I34" s="296">
        <f t="shared" si="1"/>
        <v>337900</v>
      </c>
      <c r="J34" s="296">
        <f t="shared" si="1"/>
        <v>345100</v>
      </c>
    </row>
    <row r="35" spans="1:10" x14ac:dyDescent="0.25">
      <c r="B35" s="293"/>
      <c r="C35" s="293"/>
      <c r="D35" s="293"/>
      <c r="E35" s="293"/>
      <c r="F35" s="293"/>
      <c r="G35" s="293"/>
      <c r="H35" s="293"/>
      <c r="I35" s="293"/>
      <c r="J35" s="293"/>
    </row>
    <row r="36" spans="1:10" ht="15.75" thickBot="1" x14ac:dyDescent="0.3">
      <c r="A36" s="47" t="s">
        <v>4268</v>
      </c>
      <c r="B36" s="301">
        <f>B16-B34</f>
        <v>42600</v>
      </c>
      <c r="C36" s="301">
        <f t="shared" ref="C36:J36" si="2">C16-C34</f>
        <v>47800</v>
      </c>
      <c r="D36" s="301">
        <f t="shared" si="2"/>
        <v>53200</v>
      </c>
      <c r="E36" s="301">
        <f t="shared" si="2"/>
        <v>58600</v>
      </c>
      <c r="F36" s="301">
        <f t="shared" si="2"/>
        <v>124100</v>
      </c>
      <c r="G36" s="301">
        <f t="shared" si="2"/>
        <v>129800</v>
      </c>
      <c r="H36" s="301">
        <f t="shared" si="2"/>
        <v>134300</v>
      </c>
      <c r="I36" s="301">
        <f t="shared" si="2"/>
        <v>138800</v>
      </c>
      <c r="J36" s="301">
        <f t="shared" si="2"/>
        <v>143600</v>
      </c>
    </row>
    <row r="37" spans="1:10" ht="15.75" thickTop="1" x14ac:dyDescent="0.25">
      <c r="B37" s="293"/>
      <c r="C37" s="293"/>
      <c r="D37" s="293"/>
      <c r="E37" s="293"/>
      <c r="F37" s="293"/>
      <c r="G37" s="293"/>
      <c r="H37" s="293"/>
      <c r="I37" s="293"/>
      <c r="J37" s="293"/>
    </row>
    <row r="38" spans="1:10" x14ac:dyDescent="0.25">
      <c r="A38" s="281"/>
      <c r="B38" s="316"/>
      <c r="C38" s="316"/>
      <c r="D38" s="316"/>
      <c r="E38" s="316"/>
      <c r="F38" s="316"/>
      <c r="G38" s="316"/>
      <c r="H38" s="316"/>
      <c r="I38" s="316"/>
      <c r="J38" s="316"/>
    </row>
    <row r="39" spans="1:10" x14ac:dyDescent="0.25">
      <c r="B39" s="293"/>
      <c r="C39" s="293"/>
      <c r="D39" s="293"/>
      <c r="E39" s="293"/>
      <c r="F39" s="293"/>
      <c r="G39" s="293"/>
      <c r="H39" s="293"/>
      <c r="I39" s="293"/>
      <c r="J39" s="293"/>
    </row>
    <row r="40" spans="1:10" x14ac:dyDescent="0.25">
      <c r="A40" s="280" t="s">
        <v>4320</v>
      </c>
      <c r="B40" s="293"/>
      <c r="C40" s="293"/>
      <c r="D40" s="293"/>
      <c r="E40" s="293"/>
      <c r="F40" s="293"/>
      <c r="G40" s="293"/>
      <c r="H40" s="293"/>
      <c r="I40" s="293"/>
      <c r="J40" s="293"/>
    </row>
    <row r="41" spans="1:10" x14ac:dyDescent="0.25">
      <c r="B41" s="293"/>
      <c r="C41" s="293"/>
      <c r="D41" s="293"/>
      <c r="E41" s="293"/>
      <c r="F41" s="293"/>
      <c r="G41" s="293"/>
      <c r="H41" s="293"/>
      <c r="I41" s="293"/>
      <c r="J41" s="293"/>
    </row>
    <row r="42" spans="1:10" x14ac:dyDescent="0.25">
      <c r="A42" s="47" t="s">
        <v>4260</v>
      </c>
      <c r="B42" s="293"/>
      <c r="C42" s="293"/>
      <c r="D42" s="293"/>
      <c r="E42" s="293"/>
      <c r="F42" s="293"/>
      <c r="G42" s="293"/>
      <c r="H42" s="293"/>
      <c r="I42" s="293"/>
      <c r="J42" s="293"/>
    </row>
    <row r="43" spans="1:10" x14ac:dyDescent="0.25">
      <c r="A43" t="s">
        <v>4262</v>
      </c>
      <c r="B43" s="293"/>
      <c r="C43" s="293"/>
      <c r="D43" s="293"/>
      <c r="E43" s="293"/>
      <c r="F43" s="293"/>
      <c r="G43" s="293"/>
      <c r="H43" s="293"/>
      <c r="I43" s="293"/>
      <c r="J43" s="293"/>
    </row>
    <row r="44" spans="1:10" x14ac:dyDescent="0.25">
      <c r="A44" t="s">
        <v>4261</v>
      </c>
      <c r="B44" s="293"/>
      <c r="C44" s="293"/>
      <c r="D44" s="293"/>
      <c r="E44" s="293"/>
      <c r="F44" s="293"/>
      <c r="G44" s="293"/>
      <c r="H44" s="293"/>
      <c r="I44" s="293"/>
      <c r="J44" s="293"/>
    </row>
    <row r="45" spans="1:10" x14ac:dyDescent="0.25">
      <c r="A45" t="s">
        <v>66</v>
      </c>
      <c r="B45" s="293"/>
      <c r="C45" s="293"/>
      <c r="D45" s="293"/>
      <c r="E45" s="293"/>
      <c r="F45" s="293"/>
      <c r="G45" s="293"/>
      <c r="H45" s="293"/>
      <c r="I45" s="293"/>
      <c r="J45" s="293"/>
    </row>
    <row r="46" spans="1:10" x14ac:dyDescent="0.25">
      <c r="B46" s="293"/>
      <c r="C46" s="293"/>
      <c r="D46" s="293"/>
      <c r="E46" s="293"/>
      <c r="F46" s="293"/>
      <c r="G46" s="293"/>
      <c r="H46" s="293"/>
      <c r="I46" s="293"/>
      <c r="J46" s="293"/>
    </row>
    <row r="47" spans="1:10" x14ac:dyDescent="0.25">
      <c r="B47" s="293"/>
      <c r="C47" s="293"/>
      <c r="D47" s="293"/>
      <c r="E47" s="293"/>
      <c r="F47" s="293"/>
      <c r="G47" s="293"/>
      <c r="H47" s="293"/>
      <c r="I47" s="293"/>
      <c r="J47" s="293"/>
    </row>
    <row r="48" spans="1:10" x14ac:dyDescent="0.25">
      <c r="B48" s="293"/>
      <c r="C48" s="293"/>
      <c r="D48" s="293"/>
      <c r="E48" s="293"/>
      <c r="F48" s="293"/>
      <c r="G48" s="293"/>
      <c r="H48" s="293"/>
      <c r="I48" s="293"/>
      <c r="J48" s="293"/>
    </row>
    <row r="49" spans="1:10" x14ac:dyDescent="0.25">
      <c r="B49" s="293"/>
      <c r="C49" s="293"/>
      <c r="D49" s="293"/>
      <c r="E49" s="293"/>
      <c r="F49" s="293"/>
      <c r="G49" s="293"/>
      <c r="H49" s="293"/>
      <c r="I49" s="293"/>
      <c r="J49" s="293"/>
    </row>
    <row r="50" spans="1:10" x14ac:dyDescent="0.25">
      <c r="A50" s="47" t="s">
        <v>4263</v>
      </c>
      <c r="B50" s="296">
        <f>SUM(B40:B49)</f>
        <v>0</v>
      </c>
      <c r="C50" s="296">
        <f t="shared" ref="C50:J50" si="3">SUM(C40:C49)</f>
        <v>0</v>
      </c>
      <c r="D50" s="296">
        <f t="shared" si="3"/>
        <v>0</v>
      </c>
      <c r="E50" s="296">
        <f t="shared" si="3"/>
        <v>0</v>
      </c>
      <c r="F50" s="296">
        <f t="shared" si="3"/>
        <v>0</v>
      </c>
      <c r="G50" s="296">
        <f t="shared" si="3"/>
        <v>0</v>
      </c>
      <c r="H50" s="296">
        <f t="shared" si="3"/>
        <v>0</v>
      </c>
      <c r="I50" s="296">
        <f t="shared" si="3"/>
        <v>0</v>
      </c>
      <c r="J50" s="296">
        <f t="shared" si="3"/>
        <v>0</v>
      </c>
    </row>
    <row r="51" spans="1:10" x14ac:dyDescent="0.25">
      <c r="B51" s="293"/>
      <c r="C51" s="293"/>
      <c r="D51" s="293"/>
      <c r="E51" s="293"/>
      <c r="F51" s="293"/>
      <c r="G51" s="293"/>
      <c r="H51" s="293"/>
      <c r="I51" s="293"/>
      <c r="J51" s="293"/>
    </row>
    <row r="52" spans="1:10" x14ac:dyDescent="0.25">
      <c r="A52" s="47" t="s">
        <v>4264</v>
      </c>
      <c r="B52" s="293"/>
      <c r="C52" s="293"/>
      <c r="D52" s="293"/>
      <c r="E52" s="293"/>
      <c r="F52" s="293"/>
      <c r="G52" s="293"/>
      <c r="H52" s="293"/>
      <c r="I52" s="293"/>
      <c r="J52" s="293"/>
    </row>
    <row r="53" spans="1:10" x14ac:dyDescent="0.25">
      <c r="A53" t="s">
        <v>87</v>
      </c>
      <c r="B53" s="293"/>
      <c r="C53" s="293"/>
      <c r="D53" s="293"/>
      <c r="E53" s="293"/>
      <c r="F53" s="293"/>
      <c r="G53" s="293"/>
      <c r="H53" s="293"/>
      <c r="I53" s="293"/>
      <c r="J53" s="293"/>
    </row>
    <row r="54" spans="1:10" x14ac:dyDescent="0.25">
      <c r="A54" t="s">
        <v>4265</v>
      </c>
      <c r="B54" s="293"/>
      <c r="C54" s="293"/>
      <c r="D54" s="293"/>
      <c r="E54" s="293"/>
      <c r="F54" s="293"/>
      <c r="G54" s="293"/>
      <c r="H54" s="293"/>
      <c r="I54" s="293"/>
      <c r="J54" s="293"/>
    </row>
    <row r="55" spans="1:10" x14ac:dyDescent="0.25">
      <c r="B55" s="293"/>
      <c r="C55" s="293"/>
      <c r="D55" s="293"/>
      <c r="E55" s="293"/>
      <c r="F55" s="293"/>
      <c r="G55" s="293"/>
      <c r="H55" s="293"/>
      <c r="I55" s="293"/>
      <c r="J55" s="293"/>
    </row>
    <row r="56" spans="1:10" x14ac:dyDescent="0.25">
      <c r="B56" s="293"/>
      <c r="C56" s="293"/>
      <c r="D56" s="293"/>
      <c r="E56" s="293"/>
      <c r="F56" s="293"/>
      <c r="G56" s="293"/>
      <c r="H56" s="293"/>
      <c r="I56" s="293"/>
      <c r="J56" s="293"/>
    </row>
    <row r="57" spans="1:10" x14ac:dyDescent="0.25">
      <c r="B57" s="293"/>
      <c r="C57" s="293"/>
      <c r="D57" s="293"/>
      <c r="E57" s="293"/>
      <c r="F57" s="293"/>
      <c r="G57" s="293"/>
      <c r="H57" s="293"/>
      <c r="I57" s="293"/>
      <c r="J57" s="293"/>
    </row>
    <row r="58" spans="1:10" x14ac:dyDescent="0.25">
      <c r="B58" s="293"/>
      <c r="C58" s="293"/>
      <c r="D58" s="293"/>
      <c r="E58" s="293"/>
      <c r="F58" s="293"/>
      <c r="G58" s="293"/>
      <c r="H58" s="293"/>
      <c r="I58" s="293"/>
      <c r="J58" s="293"/>
    </row>
    <row r="59" spans="1:10" x14ac:dyDescent="0.25">
      <c r="A59" t="s">
        <v>4266</v>
      </c>
      <c r="B59" s="293"/>
      <c r="C59" s="293"/>
      <c r="D59" s="293"/>
      <c r="E59" s="293"/>
      <c r="F59" s="293"/>
      <c r="G59" s="293"/>
      <c r="H59" s="293"/>
      <c r="I59" s="293"/>
      <c r="J59" s="293"/>
    </row>
    <row r="60" spans="1:10" x14ac:dyDescent="0.25">
      <c r="A60" t="s">
        <v>66</v>
      </c>
      <c r="B60" s="293"/>
      <c r="C60" s="293"/>
      <c r="D60" s="293"/>
      <c r="E60" s="293"/>
      <c r="F60" s="293"/>
      <c r="G60" s="293"/>
      <c r="H60" s="293"/>
      <c r="I60" s="293"/>
      <c r="J60" s="293"/>
    </row>
    <row r="61" spans="1:10" x14ac:dyDescent="0.25">
      <c r="B61" s="293"/>
      <c r="C61" s="293"/>
      <c r="D61" s="293"/>
      <c r="E61" s="293"/>
      <c r="F61" s="293"/>
      <c r="G61" s="293"/>
      <c r="H61" s="293"/>
      <c r="I61" s="293"/>
      <c r="J61" s="293"/>
    </row>
    <row r="62" spans="1:10" x14ac:dyDescent="0.25">
      <c r="B62" s="293"/>
      <c r="C62" s="293"/>
      <c r="D62" s="293"/>
      <c r="E62" s="293"/>
      <c r="F62" s="293"/>
      <c r="G62" s="293"/>
      <c r="H62" s="293"/>
      <c r="I62" s="293"/>
      <c r="J62" s="293"/>
    </row>
    <row r="63" spans="1:10" x14ac:dyDescent="0.25">
      <c r="B63" s="293"/>
      <c r="C63" s="293"/>
      <c r="D63" s="293"/>
      <c r="E63" s="293"/>
      <c r="F63" s="293"/>
      <c r="G63" s="293"/>
      <c r="H63" s="293"/>
      <c r="I63" s="293"/>
      <c r="J63" s="293"/>
    </row>
    <row r="64" spans="1:10" x14ac:dyDescent="0.25">
      <c r="B64" s="293"/>
      <c r="C64" s="293"/>
      <c r="D64" s="293"/>
      <c r="E64" s="293"/>
      <c r="F64" s="293"/>
      <c r="G64" s="293"/>
      <c r="H64" s="293"/>
      <c r="I64" s="293"/>
      <c r="J64" s="293"/>
    </row>
    <row r="65" spans="1:10" x14ac:dyDescent="0.25">
      <c r="A65" s="47" t="s">
        <v>4267</v>
      </c>
      <c r="B65" s="296">
        <f>SUM(B53:B64)</f>
        <v>0</v>
      </c>
      <c r="C65" s="296">
        <f t="shared" ref="C65:J65" si="4">SUM(C53:C64)</f>
        <v>0</v>
      </c>
      <c r="D65" s="296">
        <f t="shared" si="4"/>
        <v>0</v>
      </c>
      <c r="E65" s="296">
        <f t="shared" si="4"/>
        <v>0</v>
      </c>
      <c r="F65" s="296">
        <f t="shared" si="4"/>
        <v>0</v>
      </c>
      <c r="G65" s="296">
        <f t="shared" si="4"/>
        <v>0</v>
      </c>
      <c r="H65" s="296">
        <f t="shared" si="4"/>
        <v>0</v>
      </c>
      <c r="I65" s="296">
        <f t="shared" si="4"/>
        <v>0</v>
      </c>
      <c r="J65" s="296">
        <f t="shared" si="4"/>
        <v>0</v>
      </c>
    </row>
    <row r="66" spans="1:10" x14ac:dyDescent="0.25">
      <c r="B66" s="293"/>
      <c r="C66" s="293"/>
      <c r="D66" s="293"/>
      <c r="E66" s="293"/>
      <c r="F66" s="293"/>
      <c r="G66" s="293"/>
      <c r="H66" s="293"/>
      <c r="I66" s="293"/>
      <c r="J66" s="293"/>
    </row>
    <row r="67" spans="1:10" ht="15.75" thickBot="1" x14ac:dyDescent="0.3">
      <c r="A67" s="47" t="s">
        <v>4268</v>
      </c>
      <c r="B67" s="301">
        <f>B50-B65</f>
        <v>0</v>
      </c>
      <c r="C67" s="301">
        <f t="shared" ref="C67:J67" si="5">C50-C65</f>
        <v>0</v>
      </c>
      <c r="D67" s="301">
        <f t="shared" si="5"/>
        <v>0</v>
      </c>
      <c r="E67" s="301">
        <f t="shared" si="5"/>
        <v>0</v>
      </c>
      <c r="F67" s="301">
        <f t="shared" si="5"/>
        <v>0</v>
      </c>
      <c r="G67" s="301">
        <f t="shared" si="5"/>
        <v>0</v>
      </c>
      <c r="H67" s="301">
        <f t="shared" si="5"/>
        <v>0</v>
      </c>
      <c r="I67" s="301">
        <f t="shared" si="5"/>
        <v>0</v>
      </c>
      <c r="J67" s="301">
        <f t="shared" si="5"/>
        <v>0</v>
      </c>
    </row>
    <row r="68" spans="1:10" ht="15.75" thickTop="1" x14ac:dyDescent="0.25">
      <c r="B68" s="293"/>
      <c r="C68" s="293"/>
      <c r="D68" s="293"/>
      <c r="E68" s="293"/>
      <c r="F68" s="293"/>
      <c r="G68" s="293"/>
      <c r="H68" s="293"/>
      <c r="I68" s="293"/>
      <c r="J68" s="293"/>
    </row>
    <row r="69" spans="1:10" x14ac:dyDescent="0.25">
      <c r="A69" s="281"/>
      <c r="B69" s="316"/>
      <c r="C69" s="316"/>
      <c r="D69" s="316"/>
      <c r="E69" s="316"/>
      <c r="F69" s="316"/>
      <c r="G69" s="316"/>
      <c r="H69" s="316"/>
      <c r="I69" s="316"/>
      <c r="J69" s="316"/>
    </row>
    <row r="70" spans="1:10" x14ac:dyDescent="0.25">
      <c r="B70" s="293"/>
      <c r="C70" s="293"/>
      <c r="D70" s="293"/>
      <c r="E70" s="293"/>
      <c r="F70" s="293"/>
      <c r="G70" s="293"/>
      <c r="H70" s="293"/>
      <c r="I70" s="293"/>
      <c r="J70" s="293"/>
    </row>
    <row r="71" spans="1:10" x14ac:dyDescent="0.25">
      <c r="A71" s="280" t="s">
        <v>4321</v>
      </c>
      <c r="B71" s="293"/>
      <c r="C71" s="293"/>
      <c r="D71" s="293"/>
      <c r="E71" s="293"/>
      <c r="F71" s="293"/>
      <c r="G71" s="293"/>
      <c r="H71" s="293"/>
      <c r="I71" s="293"/>
      <c r="J71" s="293"/>
    </row>
    <row r="72" spans="1:10" x14ac:dyDescent="0.25">
      <c r="B72" s="293"/>
      <c r="C72" s="293"/>
      <c r="D72" s="293"/>
      <c r="E72" s="293"/>
      <c r="F72" s="293"/>
      <c r="G72" s="293"/>
      <c r="H72" s="293"/>
      <c r="I72" s="293"/>
      <c r="J72" s="293"/>
    </row>
    <row r="73" spans="1:10" x14ac:dyDescent="0.25">
      <c r="A73" s="47" t="s">
        <v>4260</v>
      </c>
      <c r="B73" s="293"/>
      <c r="C73" s="293"/>
      <c r="D73" s="293"/>
      <c r="E73" s="293"/>
      <c r="F73" s="293"/>
      <c r="G73" s="293"/>
      <c r="H73" s="293"/>
      <c r="I73" s="293"/>
      <c r="J73" s="293"/>
    </row>
    <row r="74" spans="1:10" x14ac:dyDescent="0.25">
      <c r="A74" t="s">
        <v>4262</v>
      </c>
      <c r="B74" s="293"/>
      <c r="C74" s="293"/>
      <c r="D74" s="293"/>
      <c r="E74" s="293"/>
      <c r="F74" s="293"/>
      <c r="G74" s="293"/>
      <c r="H74" s="293"/>
      <c r="I74" s="293"/>
      <c r="J74" s="293"/>
    </row>
    <row r="75" spans="1:10" x14ac:dyDescent="0.25">
      <c r="A75" t="s">
        <v>4261</v>
      </c>
      <c r="B75" s="293"/>
      <c r="C75" s="293"/>
      <c r="D75" s="293"/>
      <c r="E75" s="293"/>
      <c r="F75" s="293"/>
      <c r="G75" s="293"/>
      <c r="H75" s="293"/>
      <c r="I75" s="293"/>
      <c r="J75" s="293"/>
    </row>
    <row r="76" spans="1:10" x14ac:dyDescent="0.25">
      <c r="A76" t="s">
        <v>66</v>
      </c>
      <c r="B76" s="293"/>
      <c r="C76" s="293"/>
      <c r="D76" s="293"/>
      <c r="E76" s="293"/>
      <c r="F76" s="293"/>
      <c r="G76" s="293"/>
      <c r="H76" s="293"/>
      <c r="I76" s="293"/>
      <c r="J76" s="293"/>
    </row>
    <row r="77" spans="1:10" x14ac:dyDescent="0.25">
      <c r="A77" t="s">
        <v>4400</v>
      </c>
      <c r="B77" s="293">
        <f>-'reservecalc-internal'!B387</f>
        <v>897700</v>
      </c>
      <c r="C77" s="293">
        <f>-'reservecalc-internal'!C387</f>
        <v>899800</v>
      </c>
      <c r="D77" s="293">
        <f>-'reservecalc-internal'!D387</f>
        <v>902000</v>
      </c>
      <c r="E77" s="293">
        <f>-'reservecalc-internal'!E387</f>
        <v>932300</v>
      </c>
      <c r="F77" s="293">
        <f>-'reservecalc-internal'!F387</f>
        <v>934600</v>
      </c>
      <c r="G77" s="293">
        <f>-'reservecalc-internal'!G387</f>
        <v>936900</v>
      </c>
      <c r="H77" s="293">
        <f>-'reservecalc-internal'!H387</f>
        <v>939300</v>
      </c>
      <c r="I77" s="293">
        <f>-'reservecalc-internal'!I387</f>
        <v>941800</v>
      </c>
      <c r="J77" s="293">
        <f>-'reservecalc-internal'!J387</f>
        <v>944400</v>
      </c>
    </row>
    <row r="78" spans="1:10" x14ac:dyDescent="0.25">
      <c r="B78" s="293"/>
      <c r="C78" s="293"/>
      <c r="D78" s="293"/>
      <c r="E78" s="293"/>
      <c r="F78" s="293"/>
      <c r="G78" s="293"/>
      <c r="H78" s="293"/>
      <c r="I78" s="293"/>
      <c r="J78" s="293"/>
    </row>
    <row r="79" spans="1:10" x14ac:dyDescent="0.25">
      <c r="B79" s="293"/>
      <c r="C79" s="293"/>
      <c r="D79" s="293"/>
      <c r="E79" s="293"/>
      <c r="F79" s="293"/>
      <c r="G79" s="293"/>
      <c r="H79" s="293"/>
      <c r="I79" s="293"/>
      <c r="J79" s="293"/>
    </row>
    <row r="80" spans="1:10" x14ac:dyDescent="0.25">
      <c r="B80" s="293"/>
      <c r="C80" s="293"/>
      <c r="D80" s="293"/>
      <c r="E80" s="293"/>
      <c r="F80" s="293"/>
      <c r="G80" s="293"/>
      <c r="H80" s="293"/>
      <c r="I80" s="293"/>
      <c r="J80" s="293"/>
    </row>
    <row r="81" spans="1:10" x14ac:dyDescent="0.25">
      <c r="A81" s="47" t="s">
        <v>4263</v>
      </c>
      <c r="B81" s="296">
        <f>SUM(B71:B80)</f>
        <v>897700</v>
      </c>
      <c r="C81" s="296">
        <f t="shared" ref="C81:J81" si="6">SUM(C71:C80)</f>
        <v>899800</v>
      </c>
      <c r="D81" s="296">
        <f t="shared" si="6"/>
        <v>902000</v>
      </c>
      <c r="E81" s="296">
        <f t="shared" si="6"/>
        <v>932300</v>
      </c>
      <c r="F81" s="296">
        <f t="shared" si="6"/>
        <v>934600</v>
      </c>
      <c r="G81" s="296">
        <f t="shared" si="6"/>
        <v>936900</v>
      </c>
      <c r="H81" s="296">
        <f t="shared" si="6"/>
        <v>939300</v>
      </c>
      <c r="I81" s="296">
        <f t="shared" si="6"/>
        <v>941800</v>
      </c>
      <c r="J81" s="296">
        <f t="shared" si="6"/>
        <v>944400</v>
      </c>
    </row>
    <row r="82" spans="1:10" x14ac:dyDescent="0.25">
      <c r="B82" s="293"/>
      <c r="C82" s="293"/>
      <c r="D82" s="293"/>
      <c r="E82" s="293"/>
      <c r="F82" s="293"/>
      <c r="G82" s="293"/>
      <c r="H82" s="293"/>
      <c r="I82" s="293"/>
      <c r="J82" s="293"/>
    </row>
    <row r="83" spans="1:10" x14ac:dyDescent="0.25">
      <c r="A83" s="47" t="s">
        <v>4264</v>
      </c>
      <c r="B83" s="293"/>
      <c r="C83" s="293"/>
      <c r="D83" s="293"/>
      <c r="E83" s="293"/>
      <c r="F83" s="293"/>
      <c r="G83" s="293"/>
      <c r="H83" s="293"/>
      <c r="I83" s="293"/>
      <c r="J83" s="293"/>
    </row>
    <row r="84" spans="1:10" x14ac:dyDescent="0.25">
      <c r="A84" t="s">
        <v>87</v>
      </c>
      <c r="B84" s="293"/>
      <c r="C84" s="293"/>
      <c r="D84" s="293"/>
      <c r="E84" s="293"/>
      <c r="F84" s="293"/>
      <c r="G84" s="293"/>
      <c r="H84" s="293"/>
      <c r="I84" s="293"/>
      <c r="J84" s="293"/>
    </row>
    <row r="85" spans="1:10" x14ac:dyDescent="0.25">
      <c r="A85" t="s">
        <v>4400</v>
      </c>
      <c r="B85" s="293">
        <f>-'reservecalc-internal'!B395</f>
        <v>146700</v>
      </c>
      <c r="C85" s="293">
        <f>-'reservecalc-internal'!C395</f>
        <v>149700</v>
      </c>
      <c r="D85" s="293">
        <f>-'reservecalc-internal'!D395</f>
        <v>152700</v>
      </c>
      <c r="E85" s="293">
        <f>-'reservecalc-internal'!E395</f>
        <v>155700</v>
      </c>
      <c r="F85" s="293">
        <f>-'reservecalc-internal'!F395</f>
        <v>158800</v>
      </c>
      <c r="G85" s="293">
        <f>-'reservecalc-internal'!G395</f>
        <v>162000</v>
      </c>
      <c r="H85" s="293">
        <f>-'reservecalc-internal'!H395</f>
        <v>166000</v>
      </c>
      <c r="I85" s="293">
        <f>-'reservecalc-internal'!I395</f>
        <v>170200</v>
      </c>
      <c r="J85" s="293">
        <f>-'reservecalc-internal'!J395</f>
        <v>174400</v>
      </c>
    </row>
    <row r="86" spans="1:10" x14ac:dyDescent="0.25">
      <c r="A86" t="s">
        <v>4265</v>
      </c>
      <c r="B86" s="293"/>
      <c r="C86" s="293"/>
      <c r="D86" s="293"/>
      <c r="E86" s="293"/>
      <c r="F86" s="293"/>
      <c r="G86" s="293"/>
      <c r="H86" s="293"/>
      <c r="I86" s="293"/>
      <c r="J86" s="293"/>
    </row>
    <row r="87" spans="1:10" x14ac:dyDescent="0.25">
      <c r="B87" s="293"/>
      <c r="C87" s="293"/>
      <c r="D87" s="293"/>
      <c r="E87" s="293"/>
      <c r="F87" s="293"/>
      <c r="G87" s="293"/>
      <c r="H87" s="293"/>
      <c r="I87" s="293"/>
      <c r="J87" s="293"/>
    </row>
    <row r="88" spans="1:10" x14ac:dyDescent="0.25">
      <c r="B88" s="293"/>
      <c r="C88" s="293"/>
      <c r="D88" s="293"/>
      <c r="E88" s="293"/>
      <c r="F88" s="293"/>
      <c r="G88" s="293"/>
      <c r="H88" s="293"/>
      <c r="I88" s="293"/>
      <c r="J88" s="293"/>
    </row>
    <row r="89" spans="1:10" x14ac:dyDescent="0.25">
      <c r="B89" s="293"/>
      <c r="C89" s="293"/>
      <c r="D89" s="293"/>
      <c r="E89" s="293"/>
      <c r="F89" s="293"/>
      <c r="G89" s="293"/>
      <c r="H89" s="293"/>
      <c r="I89" s="293"/>
      <c r="J89" s="293"/>
    </row>
    <row r="90" spans="1:10" x14ac:dyDescent="0.25">
      <c r="B90" s="293"/>
      <c r="C90" s="293"/>
      <c r="D90" s="293"/>
      <c r="E90" s="293"/>
      <c r="F90" s="293"/>
      <c r="G90" s="293"/>
      <c r="H90" s="293"/>
      <c r="I90" s="293"/>
      <c r="J90" s="293"/>
    </row>
    <row r="91" spans="1:10" x14ac:dyDescent="0.25">
      <c r="A91" t="s">
        <v>4266</v>
      </c>
      <c r="B91" s="293"/>
      <c r="C91" s="293"/>
      <c r="D91" s="293"/>
      <c r="E91" s="293"/>
      <c r="F91" s="293"/>
      <c r="G91" s="293"/>
      <c r="H91" s="293"/>
      <c r="I91" s="293"/>
      <c r="J91" s="293"/>
    </row>
    <row r="92" spans="1:10" x14ac:dyDescent="0.25">
      <c r="A92" t="s">
        <v>66</v>
      </c>
      <c r="B92" s="293"/>
      <c r="C92" s="293"/>
      <c r="D92" s="293"/>
      <c r="E92" s="293"/>
      <c r="F92" s="293"/>
      <c r="G92" s="293"/>
      <c r="H92" s="293"/>
      <c r="I92" s="293"/>
      <c r="J92" s="293"/>
    </row>
    <row r="93" spans="1:10" x14ac:dyDescent="0.25">
      <c r="A93" t="s">
        <v>4404</v>
      </c>
      <c r="B93" s="293">
        <v>82400</v>
      </c>
      <c r="C93" s="293">
        <f>B93</f>
        <v>82400</v>
      </c>
      <c r="D93" s="293">
        <f t="shared" ref="D93:J93" si="7">C93</f>
        <v>82400</v>
      </c>
      <c r="E93" s="293">
        <f t="shared" si="7"/>
        <v>82400</v>
      </c>
      <c r="F93" s="293">
        <f t="shared" si="7"/>
        <v>82400</v>
      </c>
      <c r="G93" s="293">
        <f t="shared" si="7"/>
        <v>82400</v>
      </c>
      <c r="H93" s="293">
        <f t="shared" si="7"/>
        <v>82400</v>
      </c>
      <c r="I93" s="293">
        <f t="shared" si="7"/>
        <v>82400</v>
      </c>
      <c r="J93" s="293">
        <f t="shared" si="7"/>
        <v>82400</v>
      </c>
    </row>
    <row r="94" spans="1:10" x14ac:dyDescent="0.25">
      <c r="A94" t="s">
        <v>4408</v>
      </c>
      <c r="B94" s="293">
        <f>operatingdata!F1031</f>
        <v>131600</v>
      </c>
      <c r="C94" s="293">
        <f>operatingdata!G1031</f>
        <v>134200</v>
      </c>
      <c r="D94" s="293">
        <f>operatingdata!H1031</f>
        <v>136900</v>
      </c>
      <c r="E94" s="293">
        <f>operatingdata!I1031</f>
        <v>139600</v>
      </c>
      <c r="F94" s="293">
        <f>operatingdata!J1031</f>
        <v>142400</v>
      </c>
      <c r="G94" s="293">
        <f>operatingdata!K1031</f>
        <v>145200</v>
      </c>
      <c r="H94" s="293">
        <f>operatingdata!L1031</f>
        <v>148800</v>
      </c>
      <c r="I94" s="293">
        <f>operatingdata!M1031</f>
        <v>152500</v>
      </c>
      <c r="J94" s="293">
        <f>operatingdata!N1031</f>
        <v>156300</v>
      </c>
    </row>
    <row r="95" spans="1:10" x14ac:dyDescent="0.25">
      <c r="B95" s="293"/>
      <c r="C95" s="293"/>
      <c r="D95" s="293"/>
      <c r="E95" s="293"/>
      <c r="F95" s="293"/>
      <c r="G95" s="293"/>
      <c r="H95" s="293"/>
      <c r="I95" s="293"/>
      <c r="J95" s="293"/>
    </row>
    <row r="96" spans="1:10" x14ac:dyDescent="0.25">
      <c r="B96" s="293"/>
      <c r="C96" s="293"/>
      <c r="D96" s="293"/>
      <c r="E96" s="293"/>
      <c r="F96" s="293"/>
      <c r="G96" s="293"/>
      <c r="H96" s="293"/>
      <c r="I96" s="293"/>
      <c r="J96" s="293"/>
    </row>
    <row r="97" spans="1:12" x14ac:dyDescent="0.25">
      <c r="A97" s="47" t="s">
        <v>4267</v>
      </c>
      <c r="B97" s="296">
        <f>SUM(B84:B96)</f>
        <v>360700</v>
      </c>
      <c r="C97" s="296">
        <f t="shared" ref="C97:J97" si="8">SUM(C84:C96)</f>
        <v>366300</v>
      </c>
      <c r="D97" s="296">
        <f t="shared" si="8"/>
        <v>372000</v>
      </c>
      <c r="E97" s="296">
        <f t="shared" si="8"/>
        <v>377700</v>
      </c>
      <c r="F97" s="296">
        <f t="shared" si="8"/>
        <v>383600</v>
      </c>
      <c r="G97" s="296">
        <f t="shared" si="8"/>
        <v>389600</v>
      </c>
      <c r="H97" s="296">
        <f t="shared" si="8"/>
        <v>397200</v>
      </c>
      <c r="I97" s="296">
        <f t="shared" si="8"/>
        <v>405100</v>
      </c>
      <c r="J97" s="296">
        <f t="shared" si="8"/>
        <v>413100</v>
      </c>
    </row>
    <row r="98" spans="1:12" x14ac:dyDescent="0.25">
      <c r="B98" s="293"/>
      <c r="C98" s="293"/>
      <c r="D98" s="293"/>
      <c r="E98" s="293"/>
      <c r="F98" s="293"/>
      <c r="G98" s="293"/>
      <c r="H98" s="293"/>
      <c r="I98" s="293"/>
      <c r="J98" s="293"/>
    </row>
    <row r="99" spans="1:12" ht="15.75" thickBot="1" x14ac:dyDescent="0.3">
      <c r="A99" s="47" t="s">
        <v>4268</v>
      </c>
      <c r="B99" s="301">
        <f>B81-B97</f>
        <v>537000</v>
      </c>
      <c r="C99" s="301">
        <f t="shared" ref="C99:J99" si="9">C81-C97</f>
        <v>533500</v>
      </c>
      <c r="D99" s="301">
        <f t="shared" si="9"/>
        <v>530000</v>
      </c>
      <c r="E99" s="301">
        <f t="shared" si="9"/>
        <v>554600</v>
      </c>
      <c r="F99" s="301">
        <f t="shared" si="9"/>
        <v>551000</v>
      </c>
      <c r="G99" s="301">
        <f t="shared" si="9"/>
        <v>547300</v>
      </c>
      <c r="H99" s="301">
        <f t="shared" si="9"/>
        <v>542100</v>
      </c>
      <c r="I99" s="301">
        <f t="shared" si="9"/>
        <v>536700</v>
      </c>
      <c r="J99" s="301">
        <f t="shared" si="9"/>
        <v>531300</v>
      </c>
    </row>
    <row r="100" spans="1:12" ht="15.75" thickTop="1" x14ac:dyDescent="0.25">
      <c r="B100" s="293"/>
      <c r="C100" s="293"/>
      <c r="D100" s="293"/>
      <c r="E100" s="293"/>
      <c r="F100" s="293"/>
      <c r="G100" s="293"/>
      <c r="H100" s="293"/>
      <c r="I100" s="293"/>
      <c r="J100" s="293"/>
    </row>
    <row r="101" spans="1:12" x14ac:dyDescent="0.25">
      <c r="A101" s="281"/>
      <c r="B101" s="316"/>
      <c r="C101" s="316"/>
      <c r="D101" s="316"/>
      <c r="E101" s="316"/>
      <c r="F101" s="316"/>
      <c r="G101" s="316"/>
      <c r="H101" s="316"/>
      <c r="I101" s="316"/>
      <c r="J101" s="316"/>
    </row>
    <row r="102" spans="1:12" x14ac:dyDescent="0.25">
      <c r="B102" s="293"/>
      <c r="C102" s="293"/>
      <c r="D102" s="293"/>
      <c r="E102" s="293"/>
      <c r="F102" s="293"/>
      <c r="G102" s="293"/>
      <c r="H102" s="293"/>
      <c r="I102" s="293"/>
      <c r="J102" s="293"/>
    </row>
    <row r="103" spans="1:12" x14ac:dyDescent="0.25">
      <c r="A103" s="280" t="s">
        <v>4322</v>
      </c>
      <c r="B103" s="293"/>
      <c r="C103" s="293"/>
      <c r="D103" s="293"/>
      <c r="E103" s="293"/>
      <c r="F103" s="293"/>
      <c r="G103" s="293"/>
      <c r="H103" s="293"/>
      <c r="I103" s="293"/>
      <c r="J103" s="293"/>
    </row>
    <row r="104" spans="1:12" x14ac:dyDescent="0.25">
      <c r="B104" s="293"/>
      <c r="C104" s="293"/>
      <c r="D104" s="293"/>
      <c r="E104" s="293"/>
      <c r="F104" s="293"/>
      <c r="G104" s="293"/>
      <c r="H104" s="293"/>
      <c r="I104" s="293"/>
      <c r="J104" s="293"/>
    </row>
    <row r="105" spans="1:12" x14ac:dyDescent="0.25">
      <c r="A105" s="47" t="s">
        <v>4260</v>
      </c>
      <c r="B105" s="293"/>
      <c r="C105" s="293"/>
      <c r="D105" s="293"/>
      <c r="E105" s="293"/>
      <c r="F105" s="293"/>
      <c r="G105" s="293"/>
      <c r="H105" s="293"/>
      <c r="I105" s="293"/>
      <c r="J105" s="293"/>
    </row>
    <row r="106" spans="1:12" x14ac:dyDescent="0.25">
      <c r="A106" t="s">
        <v>4262</v>
      </c>
      <c r="B106" s="293"/>
      <c r="C106" s="293"/>
      <c r="D106" s="293"/>
      <c r="E106" s="293"/>
      <c r="F106" s="293"/>
      <c r="G106" s="293"/>
      <c r="H106" s="293"/>
      <c r="I106" s="293"/>
      <c r="J106" s="293"/>
    </row>
    <row r="107" spans="1:12" x14ac:dyDescent="0.25">
      <c r="A107" t="s">
        <v>4261</v>
      </c>
      <c r="B107" s="293">
        <f>capitalrevdata!F17</f>
        <v>136400</v>
      </c>
      <c r="C107" s="293">
        <f>capitalrevdata!G17</f>
        <v>109100</v>
      </c>
      <c r="D107" s="293">
        <f>capitalrevdata!H17</f>
        <v>90900</v>
      </c>
      <c r="E107" s="293">
        <f>capitalrevdata!I17</f>
        <v>90900</v>
      </c>
      <c r="F107" s="293">
        <f>capitalrevdata!J17</f>
        <v>90900</v>
      </c>
      <c r="G107" s="293">
        <f>capitalrevdata!K17</f>
        <v>72800</v>
      </c>
      <c r="H107" s="293">
        <f>capitalrevdata!L17</f>
        <v>72800</v>
      </c>
      <c r="I107" s="293">
        <f>capitalrevdata!M17</f>
        <v>72800</v>
      </c>
      <c r="J107" s="293">
        <f>capitalrevdata!N17</f>
        <v>72800</v>
      </c>
      <c r="L107" s="293">
        <f>J107</f>
        <v>72800</v>
      </c>
    </row>
    <row r="108" spans="1:12" x14ac:dyDescent="0.25">
      <c r="A108" t="s">
        <v>66</v>
      </c>
      <c r="B108" s="293"/>
      <c r="C108" s="293"/>
      <c r="D108" s="293"/>
      <c r="E108" s="293"/>
      <c r="F108" s="293"/>
      <c r="G108" s="293"/>
      <c r="H108" s="293"/>
      <c r="I108" s="293"/>
      <c r="J108" s="293"/>
      <c r="L108" s="293">
        <f t="shared" ref="L108:L171" si="10">J108</f>
        <v>0</v>
      </c>
    </row>
    <row r="109" spans="1:12" x14ac:dyDescent="0.25">
      <c r="B109" s="293"/>
      <c r="C109" s="293"/>
      <c r="D109" s="293"/>
      <c r="E109" s="293"/>
      <c r="F109" s="293"/>
      <c r="G109" s="293"/>
      <c r="H109" s="293"/>
      <c r="I109" s="293"/>
      <c r="J109" s="293"/>
      <c r="L109" s="293">
        <f t="shared" si="10"/>
        <v>0</v>
      </c>
    </row>
    <row r="110" spans="1:12" x14ac:dyDescent="0.25">
      <c r="A110" t="s">
        <v>4435</v>
      </c>
      <c r="B110" s="293">
        <f>-ROUND((operatingdata!F167*0.5),-2)</f>
        <v>267400</v>
      </c>
      <c r="C110" s="293">
        <f>-ROUND((operatingdata!G167*0.5),-2)</f>
        <v>265300</v>
      </c>
      <c r="D110" s="293">
        <f>-ROUND((operatingdata!H167*0.5),-2)</f>
        <v>314800</v>
      </c>
      <c r="E110" s="293">
        <f>-ROUND((operatingdata!I167*0.5),-2)</f>
        <v>325600</v>
      </c>
      <c r="F110" s="293">
        <f>-ROUND((operatingdata!J167*0.5),-2)</f>
        <v>337900</v>
      </c>
      <c r="G110" s="293">
        <f>-ROUND((operatingdata!K167*0.5),-2)</f>
        <v>364400</v>
      </c>
      <c r="H110" s="293">
        <f>-ROUND((operatingdata!L167*0.5),-2)</f>
        <v>396400</v>
      </c>
      <c r="I110" s="293">
        <f>-ROUND((operatingdata!M167*0.5),-2)</f>
        <v>434600</v>
      </c>
      <c r="J110" s="293">
        <f>-ROUND((operatingdata!N167*0.5),-2)</f>
        <v>516900</v>
      </c>
      <c r="L110" s="293">
        <f t="shared" si="10"/>
        <v>516900</v>
      </c>
    </row>
    <row r="111" spans="1:12" x14ac:dyDescent="0.25">
      <c r="B111" s="293"/>
      <c r="C111" s="293"/>
      <c r="D111" s="293"/>
      <c r="E111" s="293"/>
      <c r="F111" s="293"/>
      <c r="G111" s="293"/>
      <c r="H111" s="293"/>
      <c r="I111" s="293"/>
      <c r="J111" s="293"/>
      <c r="L111" s="293">
        <f t="shared" si="10"/>
        <v>0</v>
      </c>
    </row>
    <row r="112" spans="1:12" x14ac:dyDescent="0.25">
      <c r="B112" s="293"/>
      <c r="C112" s="293"/>
      <c r="D112" s="293"/>
      <c r="E112" s="293"/>
      <c r="F112" s="293"/>
      <c r="G112" s="293"/>
      <c r="H112" s="293"/>
      <c r="I112" s="293"/>
      <c r="J112" s="293"/>
      <c r="L112" s="293">
        <f t="shared" si="10"/>
        <v>0</v>
      </c>
    </row>
    <row r="113" spans="1:12" x14ac:dyDescent="0.25">
      <c r="A113" s="47" t="s">
        <v>4263</v>
      </c>
      <c r="B113" s="296">
        <f>SUM(B103:B112)</f>
        <v>403800</v>
      </c>
      <c r="C113" s="296">
        <f t="shared" ref="C113:J113" si="11">SUM(C103:C112)</f>
        <v>374400</v>
      </c>
      <c r="D113" s="296">
        <f t="shared" si="11"/>
        <v>405700</v>
      </c>
      <c r="E113" s="296">
        <f t="shared" si="11"/>
        <v>416500</v>
      </c>
      <c r="F113" s="296">
        <f t="shared" si="11"/>
        <v>428800</v>
      </c>
      <c r="G113" s="296">
        <f t="shared" si="11"/>
        <v>437200</v>
      </c>
      <c r="H113" s="296">
        <f t="shared" si="11"/>
        <v>469200</v>
      </c>
      <c r="I113" s="296">
        <f t="shared" si="11"/>
        <v>507400</v>
      </c>
      <c r="J113" s="296">
        <f t="shared" si="11"/>
        <v>589700</v>
      </c>
      <c r="L113" s="293"/>
    </row>
    <row r="114" spans="1:12" x14ac:dyDescent="0.25">
      <c r="B114" s="293"/>
      <c r="C114" s="293"/>
      <c r="D114" s="293"/>
      <c r="E114" s="293"/>
      <c r="F114" s="293"/>
      <c r="G114" s="293"/>
      <c r="H114" s="293"/>
      <c r="I114" s="293"/>
      <c r="J114" s="293"/>
      <c r="L114" s="293">
        <f t="shared" si="10"/>
        <v>0</v>
      </c>
    </row>
    <row r="115" spans="1:12" x14ac:dyDescent="0.25">
      <c r="A115" s="47" t="s">
        <v>4264</v>
      </c>
      <c r="B115" s="293"/>
      <c r="C115" s="293"/>
      <c r="D115" s="293"/>
      <c r="E115" s="293"/>
      <c r="F115" s="293"/>
      <c r="G115" s="293"/>
      <c r="H115" s="293"/>
      <c r="I115" s="293"/>
      <c r="J115" s="293"/>
      <c r="L115" s="293">
        <f t="shared" si="10"/>
        <v>0</v>
      </c>
    </row>
    <row r="116" spans="1:12" x14ac:dyDescent="0.25">
      <c r="A116" t="s">
        <v>87</v>
      </c>
      <c r="B116" s="293"/>
      <c r="C116" s="293"/>
      <c r="D116" s="293"/>
      <c r="E116" s="293"/>
      <c r="F116" s="293"/>
      <c r="G116" s="293"/>
      <c r="H116" s="293"/>
      <c r="I116" s="293"/>
      <c r="J116" s="293"/>
      <c r="L116" s="293">
        <f t="shared" si="10"/>
        <v>0</v>
      </c>
    </row>
    <row r="117" spans="1:12" x14ac:dyDescent="0.25">
      <c r="A117" t="s">
        <v>4265</v>
      </c>
      <c r="B117" s="293"/>
      <c r="C117" s="293"/>
      <c r="D117" s="293"/>
      <c r="E117" s="293"/>
      <c r="F117" s="293"/>
      <c r="G117" s="293"/>
      <c r="H117" s="293"/>
      <c r="I117" s="293"/>
      <c r="J117" s="293"/>
      <c r="L117" s="293">
        <f t="shared" si="10"/>
        <v>0</v>
      </c>
    </row>
    <row r="118" spans="1:12" x14ac:dyDescent="0.25">
      <c r="A118" t="s">
        <v>4521</v>
      </c>
      <c r="B118" s="293"/>
      <c r="C118" s="293"/>
      <c r="D118" s="293">
        <v>50000</v>
      </c>
      <c r="E118" s="293"/>
      <c r="F118" s="293"/>
      <c r="G118" s="293"/>
      <c r="H118" s="293"/>
      <c r="I118" s="293"/>
      <c r="J118" s="293"/>
      <c r="L118" s="293">
        <f t="shared" si="10"/>
        <v>0</v>
      </c>
    </row>
    <row r="119" spans="1:12" x14ac:dyDescent="0.25">
      <c r="B119" s="293"/>
      <c r="C119" s="293"/>
      <c r="D119" s="293"/>
      <c r="E119" s="293"/>
      <c r="F119" s="293"/>
      <c r="G119" s="293"/>
      <c r="H119" s="293"/>
      <c r="I119" s="293"/>
      <c r="J119" s="293"/>
      <c r="L119" s="293">
        <f t="shared" si="10"/>
        <v>0</v>
      </c>
    </row>
    <row r="120" spans="1:12" x14ac:dyDescent="0.25">
      <c r="B120" s="293"/>
      <c r="C120" s="293"/>
      <c r="D120" s="293"/>
      <c r="E120" s="293"/>
      <c r="F120" s="293"/>
      <c r="G120" s="293"/>
      <c r="H120" s="293"/>
      <c r="I120" s="293"/>
      <c r="J120" s="293"/>
      <c r="L120" s="293">
        <f t="shared" si="10"/>
        <v>0</v>
      </c>
    </row>
    <row r="121" spans="1:12" x14ac:dyDescent="0.25">
      <c r="B121" s="293"/>
      <c r="C121" s="293"/>
      <c r="D121" s="293"/>
      <c r="E121" s="293"/>
      <c r="F121" s="293"/>
      <c r="G121" s="293"/>
      <c r="H121" s="293"/>
      <c r="I121" s="293"/>
      <c r="J121" s="293"/>
      <c r="L121" s="293">
        <f t="shared" si="10"/>
        <v>0</v>
      </c>
    </row>
    <row r="122" spans="1:12" x14ac:dyDescent="0.25">
      <c r="A122" t="s">
        <v>4266</v>
      </c>
      <c r="B122" s="293"/>
      <c r="C122" s="293"/>
      <c r="D122" s="293"/>
      <c r="E122" s="293"/>
      <c r="F122" s="293"/>
      <c r="G122" s="293"/>
      <c r="H122" s="293"/>
      <c r="I122" s="293"/>
      <c r="J122" s="293"/>
      <c r="L122" s="293">
        <f t="shared" si="10"/>
        <v>0</v>
      </c>
    </row>
    <row r="123" spans="1:12" x14ac:dyDescent="0.25">
      <c r="A123" t="s">
        <v>66</v>
      </c>
      <c r="B123" s="293"/>
      <c r="C123" s="293"/>
      <c r="D123" s="293"/>
      <c r="E123" s="293"/>
      <c r="F123" s="293"/>
      <c r="G123" s="293"/>
      <c r="H123" s="293"/>
      <c r="I123" s="293"/>
      <c r="J123" s="293"/>
      <c r="L123" s="293">
        <f t="shared" si="10"/>
        <v>0</v>
      </c>
    </row>
    <row r="124" spans="1:12" x14ac:dyDescent="0.25">
      <c r="B124" s="293"/>
      <c r="C124" s="293"/>
      <c r="D124" s="293"/>
      <c r="E124" s="293"/>
      <c r="F124" s="293"/>
      <c r="G124" s="293"/>
      <c r="H124" s="293"/>
      <c r="I124" s="293"/>
      <c r="J124" s="293"/>
      <c r="L124" s="293">
        <f t="shared" si="10"/>
        <v>0</v>
      </c>
    </row>
    <row r="125" spans="1:12" x14ac:dyDescent="0.25">
      <c r="B125" s="293"/>
      <c r="C125" s="293"/>
      <c r="D125" s="293"/>
      <c r="E125" s="293"/>
      <c r="F125" s="293"/>
      <c r="G125" s="293"/>
      <c r="H125" s="293"/>
      <c r="I125" s="293"/>
      <c r="J125" s="293"/>
      <c r="L125" s="293">
        <f t="shared" si="10"/>
        <v>0</v>
      </c>
    </row>
    <row r="126" spans="1:12" x14ac:dyDescent="0.25">
      <c r="B126" s="293"/>
      <c r="C126" s="293"/>
      <c r="D126" s="293"/>
      <c r="E126" s="293"/>
      <c r="F126" s="293"/>
      <c r="G126" s="293"/>
      <c r="H126" s="293"/>
      <c r="I126" s="293"/>
      <c r="J126" s="293"/>
      <c r="L126" s="293">
        <f t="shared" si="10"/>
        <v>0</v>
      </c>
    </row>
    <row r="127" spans="1:12" x14ac:dyDescent="0.25">
      <c r="B127" s="293"/>
      <c r="C127" s="293"/>
      <c r="D127" s="293"/>
      <c r="E127" s="293"/>
      <c r="F127" s="293"/>
      <c r="G127" s="293"/>
      <c r="H127" s="293"/>
      <c r="I127" s="293"/>
      <c r="J127" s="293"/>
      <c r="L127" s="293">
        <f t="shared" si="10"/>
        <v>0</v>
      </c>
    </row>
    <row r="128" spans="1:12" x14ac:dyDescent="0.25">
      <c r="A128" s="47" t="s">
        <v>4267</v>
      </c>
      <c r="B128" s="296">
        <f>SUM(B116:B127)</f>
        <v>0</v>
      </c>
      <c r="C128" s="296">
        <f t="shared" ref="C128:J128" si="12">SUM(C116:C127)</f>
        <v>0</v>
      </c>
      <c r="D128" s="296">
        <f t="shared" si="12"/>
        <v>50000</v>
      </c>
      <c r="E128" s="296">
        <f t="shared" si="12"/>
        <v>0</v>
      </c>
      <c r="F128" s="296">
        <f t="shared" si="12"/>
        <v>0</v>
      </c>
      <c r="G128" s="296">
        <f t="shared" si="12"/>
        <v>0</v>
      </c>
      <c r="H128" s="296">
        <f t="shared" si="12"/>
        <v>0</v>
      </c>
      <c r="I128" s="296">
        <f t="shared" si="12"/>
        <v>0</v>
      </c>
      <c r="J128" s="296">
        <f t="shared" si="12"/>
        <v>0</v>
      </c>
      <c r="L128" s="293">
        <f t="shared" si="10"/>
        <v>0</v>
      </c>
    </row>
    <row r="129" spans="1:12" x14ac:dyDescent="0.25">
      <c r="B129" s="293"/>
      <c r="C129" s="293"/>
      <c r="D129" s="293"/>
      <c r="E129" s="293"/>
      <c r="F129" s="293"/>
      <c r="G129" s="293"/>
      <c r="H129" s="293"/>
      <c r="I129" s="293"/>
      <c r="J129" s="293"/>
      <c r="L129" s="293">
        <f t="shared" si="10"/>
        <v>0</v>
      </c>
    </row>
    <row r="130" spans="1:12" ht="15.75" thickBot="1" x14ac:dyDescent="0.3">
      <c r="A130" s="47" t="s">
        <v>4268</v>
      </c>
      <c r="B130" s="301">
        <f>B113-B128</f>
        <v>403800</v>
      </c>
      <c r="C130" s="301">
        <f t="shared" ref="C130:J130" si="13">C113-C128</f>
        <v>374400</v>
      </c>
      <c r="D130" s="301">
        <f t="shared" si="13"/>
        <v>355700</v>
      </c>
      <c r="E130" s="301">
        <f t="shared" si="13"/>
        <v>416500</v>
      </c>
      <c r="F130" s="301">
        <f t="shared" si="13"/>
        <v>428800</v>
      </c>
      <c r="G130" s="301">
        <f t="shared" si="13"/>
        <v>437200</v>
      </c>
      <c r="H130" s="301">
        <f t="shared" si="13"/>
        <v>469200</v>
      </c>
      <c r="I130" s="301">
        <f t="shared" si="13"/>
        <v>507400</v>
      </c>
      <c r="J130" s="301">
        <f t="shared" si="13"/>
        <v>589700</v>
      </c>
      <c r="L130" s="293"/>
    </row>
    <row r="131" spans="1:12" ht="15.75" thickTop="1" x14ac:dyDescent="0.25">
      <c r="B131" s="293"/>
      <c r="C131" s="293"/>
      <c r="D131" s="293"/>
      <c r="E131" s="293"/>
      <c r="F131" s="293"/>
      <c r="G131" s="293"/>
      <c r="H131" s="293"/>
      <c r="I131" s="293"/>
      <c r="J131" s="293"/>
      <c r="L131" s="293">
        <f t="shared" si="10"/>
        <v>0</v>
      </c>
    </row>
    <row r="132" spans="1:12" x14ac:dyDescent="0.25">
      <c r="A132" s="281"/>
      <c r="B132" s="316"/>
      <c r="C132" s="316"/>
      <c r="D132" s="316"/>
      <c r="E132" s="316"/>
      <c r="F132" s="316"/>
      <c r="G132" s="316"/>
      <c r="H132" s="316"/>
      <c r="I132" s="316"/>
      <c r="J132" s="316"/>
      <c r="L132" s="293">
        <f t="shared" si="10"/>
        <v>0</v>
      </c>
    </row>
    <row r="133" spans="1:12" x14ac:dyDescent="0.25">
      <c r="B133" s="293"/>
      <c r="C133" s="293"/>
      <c r="D133" s="293"/>
      <c r="E133" s="293"/>
      <c r="F133" s="293"/>
      <c r="G133" s="293"/>
      <c r="H133" s="293"/>
      <c r="I133" s="293"/>
      <c r="J133" s="293"/>
      <c r="L133" s="293">
        <f t="shared" si="10"/>
        <v>0</v>
      </c>
    </row>
    <row r="134" spans="1:12" x14ac:dyDescent="0.25">
      <c r="A134" s="280" t="s">
        <v>4323</v>
      </c>
      <c r="B134" s="293"/>
      <c r="C134" s="293"/>
      <c r="D134" s="293"/>
      <c r="E134" s="293"/>
      <c r="F134" s="293"/>
      <c r="G134" s="293"/>
      <c r="H134" s="293"/>
      <c r="I134" s="293"/>
      <c r="J134" s="293"/>
      <c r="L134" s="293">
        <f t="shared" si="10"/>
        <v>0</v>
      </c>
    </row>
    <row r="135" spans="1:12" x14ac:dyDescent="0.25">
      <c r="B135" s="293"/>
      <c r="C135" s="293"/>
      <c r="D135" s="293"/>
      <c r="E135" s="293"/>
      <c r="F135" s="293"/>
      <c r="G135" s="293"/>
      <c r="H135" s="293"/>
      <c r="I135" s="293"/>
      <c r="J135" s="293"/>
      <c r="L135" s="293">
        <f t="shared" si="10"/>
        <v>0</v>
      </c>
    </row>
    <row r="136" spans="1:12" x14ac:dyDescent="0.25">
      <c r="A136" s="47" t="s">
        <v>4260</v>
      </c>
      <c r="B136" s="293"/>
      <c r="C136" s="293"/>
      <c r="D136" s="293"/>
      <c r="E136" s="293"/>
      <c r="F136" s="293"/>
      <c r="G136" s="293"/>
      <c r="H136" s="293"/>
      <c r="I136" s="293"/>
      <c r="J136" s="293"/>
      <c r="L136" s="293">
        <f t="shared" si="10"/>
        <v>0</v>
      </c>
    </row>
    <row r="137" spans="1:12" x14ac:dyDescent="0.25">
      <c r="A137" t="s">
        <v>4262</v>
      </c>
      <c r="B137" s="293"/>
      <c r="C137" s="293"/>
      <c r="D137" s="293"/>
      <c r="E137" s="293"/>
      <c r="F137" s="293"/>
      <c r="G137" s="293"/>
      <c r="H137" s="293"/>
      <c r="I137" s="293"/>
      <c r="J137" s="293"/>
      <c r="L137" s="293">
        <f t="shared" si="10"/>
        <v>0</v>
      </c>
    </row>
    <row r="138" spans="1:12" x14ac:dyDescent="0.25">
      <c r="A138" t="s">
        <v>4261</v>
      </c>
      <c r="B138" s="293">
        <f>capitalrevdata!F19</f>
        <v>56700</v>
      </c>
      <c r="C138" s="293">
        <f>capitalrevdata!G19</f>
        <v>45300</v>
      </c>
      <c r="D138" s="293">
        <f>capitalrevdata!H19</f>
        <v>37800</v>
      </c>
      <c r="E138" s="293">
        <f>capitalrevdata!I19</f>
        <v>37800</v>
      </c>
      <c r="F138" s="293">
        <f>capitalrevdata!J19</f>
        <v>37800</v>
      </c>
      <c r="G138" s="293">
        <f>capitalrevdata!K19</f>
        <v>30200</v>
      </c>
      <c r="H138" s="293">
        <f>capitalrevdata!L19</f>
        <v>30200</v>
      </c>
      <c r="I138" s="293">
        <f>capitalrevdata!M19</f>
        <v>30200</v>
      </c>
      <c r="J138" s="293">
        <f>capitalrevdata!N19</f>
        <v>30200</v>
      </c>
      <c r="L138" s="293">
        <f t="shared" si="10"/>
        <v>30200</v>
      </c>
    </row>
    <row r="139" spans="1:12" x14ac:dyDescent="0.25">
      <c r="A139" t="s">
        <v>66</v>
      </c>
      <c r="B139" s="293"/>
      <c r="C139" s="293"/>
      <c r="D139" s="293"/>
      <c r="E139" s="293"/>
      <c r="F139" s="293"/>
      <c r="G139" s="293"/>
      <c r="H139" s="293"/>
      <c r="I139" s="293"/>
      <c r="J139" s="293"/>
      <c r="L139" s="293">
        <f t="shared" si="10"/>
        <v>0</v>
      </c>
    </row>
    <row r="140" spans="1:12" x14ac:dyDescent="0.25">
      <c r="B140" s="293"/>
      <c r="C140" s="293"/>
      <c r="D140" s="293"/>
      <c r="E140" s="293"/>
      <c r="F140" s="293"/>
      <c r="G140" s="293"/>
      <c r="H140" s="293"/>
      <c r="I140" s="293"/>
      <c r="J140" s="293"/>
      <c r="L140" s="293">
        <f t="shared" si="10"/>
        <v>0</v>
      </c>
    </row>
    <row r="141" spans="1:12" x14ac:dyDescent="0.25">
      <c r="B141" s="293"/>
      <c r="C141" s="293"/>
      <c r="D141" s="293"/>
      <c r="E141" s="293"/>
      <c r="F141" s="293"/>
      <c r="G141" s="293"/>
      <c r="H141" s="293"/>
      <c r="I141" s="293"/>
      <c r="J141" s="293"/>
      <c r="L141" s="293">
        <f t="shared" si="10"/>
        <v>0</v>
      </c>
    </row>
    <row r="142" spans="1:12" x14ac:dyDescent="0.25">
      <c r="B142" s="293"/>
      <c r="C142" s="293"/>
      <c r="D142" s="293"/>
      <c r="E142" s="293"/>
      <c r="F142" s="293"/>
      <c r="G142" s="293"/>
      <c r="H142" s="293"/>
      <c r="I142" s="293"/>
      <c r="J142" s="293"/>
      <c r="L142" s="293">
        <f t="shared" si="10"/>
        <v>0</v>
      </c>
    </row>
    <row r="143" spans="1:12" x14ac:dyDescent="0.25">
      <c r="B143" s="293"/>
      <c r="C143" s="293"/>
      <c r="D143" s="293"/>
      <c r="E143" s="293"/>
      <c r="F143" s="293"/>
      <c r="G143" s="293"/>
      <c r="H143" s="293"/>
      <c r="I143" s="293"/>
      <c r="J143" s="293"/>
      <c r="L143" s="293">
        <f t="shared" si="10"/>
        <v>0</v>
      </c>
    </row>
    <row r="144" spans="1:12" x14ac:dyDescent="0.25">
      <c r="A144" s="47" t="s">
        <v>4263</v>
      </c>
      <c r="B144" s="296">
        <f>SUM(B134:B143)</f>
        <v>56700</v>
      </c>
      <c r="C144" s="296">
        <f t="shared" ref="C144:J144" si="14">SUM(C134:C143)</f>
        <v>45300</v>
      </c>
      <c r="D144" s="296">
        <f t="shared" si="14"/>
        <v>37800</v>
      </c>
      <c r="E144" s="296">
        <f t="shared" si="14"/>
        <v>37800</v>
      </c>
      <c r="F144" s="296">
        <f t="shared" si="14"/>
        <v>37800</v>
      </c>
      <c r="G144" s="296">
        <f t="shared" si="14"/>
        <v>30200</v>
      </c>
      <c r="H144" s="296">
        <f t="shared" si="14"/>
        <v>30200</v>
      </c>
      <c r="I144" s="296">
        <f t="shared" si="14"/>
        <v>30200</v>
      </c>
      <c r="J144" s="296">
        <f t="shared" si="14"/>
        <v>30200</v>
      </c>
      <c r="L144" s="293"/>
    </row>
    <row r="145" spans="1:12" x14ac:dyDescent="0.25">
      <c r="B145" s="293"/>
      <c r="C145" s="293"/>
      <c r="D145" s="293"/>
      <c r="E145" s="293"/>
      <c r="F145" s="293"/>
      <c r="G145" s="293"/>
      <c r="H145" s="293"/>
      <c r="I145" s="293"/>
      <c r="J145" s="293"/>
      <c r="L145" s="293">
        <f t="shared" si="10"/>
        <v>0</v>
      </c>
    </row>
    <row r="146" spans="1:12" x14ac:dyDescent="0.25">
      <c r="A146" s="47" t="s">
        <v>4264</v>
      </c>
      <c r="B146" s="293"/>
      <c r="C146" s="293"/>
      <c r="D146" s="293"/>
      <c r="E146" s="293"/>
      <c r="F146" s="293"/>
      <c r="G146" s="293"/>
      <c r="H146" s="293"/>
      <c r="I146" s="293"/>
      <c r="J146" s="293"/>
      <c r="L146" s="293">
        <f t="shared" si="10"/>
        <v>0</v>
      </c>
    </row>
    <row r="147" spans="1:12" x14ac:dyDescent="0.25">
      <c r="A147" t="s">
        <v>87</v>
      </c>
      <c r="B147" s="293"/>
      <c r="C147" s="293"/>
      <c r="D147" s="293"/>
      <c r="E147" s="293"/>
      <c r="F147" s="293"/>
      <c r="G147" s="293"/>
      <c r="H147" s="293"/>
      <c r="I147" s="293"/>
      <c r="J147" s="293"/>
      <c r="L147" s="293">
        <f t="shared" si="10"/>
        <v>0</v>
      </c>
    </row>
    <row r="148" spans="1:12" x14ac:dyDescent="0.25">
      <c r="A148" t="s">
        <v>4265</v>
      </c>
      <c r="B148" s="293"/>
      <c r="C148" s="293"/>
      <c r="D148" s="293"/>
      <c r="E148" s="293"/>
      <c r="F148" s="293"/>
      <c r="G148" s="293"/>
      <c r="H148" s="293"/>
      <c r="I148" s="293"/>
      <c r="J148" s="293"/>
      <c r="L148" s="293">
        <f t="shared" si="10"/>
        <v>0</v>
      </c>
    </row>
    <row r="149" spans="1:12" x14ac:dyDescent="0.25">
      <c r="B149" s="293"/>
      <c r="C149" s="293"/>
      <c r="D149" s="293"/>
      <c r="E149" s="293"/>
      <c r="F149" s="293"/>
      <c r="G149" s="293"/>
      <c r="H149" s="293"/>
      <c r="I149" s="293"/>
      <c r="J149" s="293"/>
      <c r="L149" s="293">
        <f t="shared" si="10"/>
        <v>0</v>
      </c>
    </row>
    <row r="150" spans="1:12" x14ac:dyDescent="0.25">
      <c r="B150" s="293"/>
      <c r="C150" s="293"/>
      <c r="D150" s="293"/>
      <c r="E150" s="293"/>
      <c r="F150" s="293"/>
      <c r="G150" s="293"/>
      <c r="H150" s="293"/>
      <c r="I150" s="293"/>
      <c r="J150" s="293"/>
      <c r="L150" s="293">
        <f t="shared" si="10"/>
        <v>0</v>
      </c>
    </row>
    <row r="151" spans="1:12" x14ac:dyDescent="0.25">
      <c r="B151" s="293"/>
      <c r="C151" s="293"/>
      <c r="D151" s="293"/>
      <c r="E151" s="293"/>
      <c r="F151" s="293"/>
      <c r="G151" s="293"/>
      <c r="H151" s="293"/>
      <c r="I151" s="293"/>
      <c r="J151" s="293"/>
      <c r="L151" s="293">
        <f t="shared" si="10"/>
        <v>0</v>
      </c>
    </row>
    <row r="152" spans="1:12" x14ac:dyDescent="0.25">
      <c r="B152" s="293"/>
      <c r="C152" s="293"/>
      <c r="D152" s="293"/>
      <c r="E152" s="293"/>
      <c r="F152" s="293"/>
      <c r="G152" s="293"/>
      <c r="H152" s="293"/>
      <c r="I152" s="293"/>
      <c r="J152" s="293"/>
      <c r="L152" s="293">
        <f t="shared" si="10"/>
        <v>0</v>
      </c>
    </row>
    <row r="153" spans="1:12" x14ac:dyDescent="0.25">
      <c r="A153" t="s">
        <v>4266</v>
      </c>
      <c r="B153" s="293"/>
      <c r="C153" s="293"/>
      <c r="D153" s="293"/>
      <c r="E153" s="293"/>
      <c r="F153" s="293"/>
      <c r="G153" s="293"/>
      <c r="H153" s="293"/>
      <c r="I153" s="293"/>
      <c r="J153" s="293"/>
      <c r="L153" s="293">
        <f t="shared" si="10"/>
        <v>0</v>
      </c>
    </row>
    <row r="154" spans="1:12" x14ac:dyDescent="0.25">
      <c r="A154" t="s">
        <v>66</v>
      </c>
      <c r="B154" s="293"/>
      <c r="C154" s="293"/>
      <c r="D154" s="293"/>
      <c r="E154" s="293"/>
      <c r="F154" s="293"/>
      <c r="G154" s="293"/>
      <c r="H154" s="293"/>
      <c r="I154" s="293"/>
      <c r="J154" s="293"/>
      <c r="L154" s="293">
        <f t="shared" si="10"/>
        <v>0</v>
      </c>
    </row>
    <row r="155" spans="1:12" x14ac:dyDescent="0.25">
      <c r="B155" s="293"/>
      <c r="C155" s="293"/>
      <c r="D155" s="293"/>
      <c r="E155" s="293"/>
      <c r="F155" s="293"/>
      <c r="G155" s="293"/>
      <c r="H155" s="293"/>
      <c r="I155" s="293"/>
      <c r="J155" s="293"/>
      <c r="L155" s="293">
        <f t="shared" si="10"/>
        <v>0</v>
      </c>
    </row>
    <row r="156" spans="1:12" x14ac:dyDescent="0.25">
      <c r="B156" s="293"/>
      <c r="C156" s="293"/>
      <c r="D156" s="293"/>
      <c r="E156" s="293"/>
      <c r="F156" s="293"/>
      <c r="G156" s="293"/>
      <c r="H156" s="293"/>
      <c r="I156" s="293"/>
      <c r="J156" s="293"/>
      <c r="L156" s="293">
        <f t="shared" si="10"/>
        <v>0</v>
      </c>
    </row>
    <row r="157" spans="1:12" x14ac:dyDescent="0.25">
      <c r="B157" s="293"/>
      <c r="C157" s="293"/>
      <c r="D157" s="293"/>
      <c r="E157" s="293"/>
      <c r="F157" s="293"/>
      <c r="G157" s="293"/>
      <c r="H157" s="293"/>
      <c r="I157" s="293"/>
      <c r="J157" s="293"/>
      <c r="L157" s="293">
        <f t="shared" si="10"/>
        <v>0</v>
      </c>
    </row>
    <row r="158" spans="1:12" x14ac:dyDescent="0.25">
      <c r="B158" s="293"/>
      <c r="C158" s="293"/>
      <c r="D158" s="293"/>
      <c r="E158" s="293"/>
      <c r="F158" s="293"/>
      <c r="G158" s="293"/>
      <c r="H158" s="293"/>
      <c r="I158" s="293"/>
      <c r="J158" s="293"/>
      <c r="L158" s="293">
        <f t="shared" si="10"/>
        <v>0</v>
      </c>
    </row>
    <row r="159" spans="1:12" x14ac:dyDescent="0.25">
      <c r="A159" s="47" t="s">
        <v>4267</v>
      </c>
      <c r="B159" s="296">
        <f>SUM(B147:B158)</f>
        <v>0</v>
      </c>
      <c r="C159" s="296">
        <f t="shared" ref="C159:J159" si="15">SUM(C147:C158)</f>
        <v>0</v>
      </c>
      <c r="D159" s="296">
        <f t="shared" si="15"/>
        <v>0</v>
      </c>
      <c r="E159" s="296">
        <f t="shared" si="15"/>
        <v>0</v>
      </c>
      <c r="F159" s="296">
        <f t="shared" si="15"/>
        <v>0</v>
      </c>
      <c r="G159" s="296">
        <f t="shared" si="15"/>
        <v>0</v>
      </c>
      <c r="H159" s="296">
        <f t="shared" si="15"/>
        <v>0</v>
      </c>
      <c r="I159" s="296">
        <f t="shared" si="15"/>
        <v>0</v>
      </c>
      <c r="J159" s="296">
        <f t="shared" si="15"/>
        <v>0</v>
      </c>
      <c r="L159" s="293">
        <f t="shared" si="10"/>
        <v>0</v>
      </c>
    </row>
    <row r="160" spans="1:12" x14ac:dyDescent="0.25">
      <c r="B160" s="293"/>
      <c r="C160" s="293"/>
      <c r="D160" s="293"/>
      <c r="E160" s="293"/>
      <c r="F160" s="293"/>
      <c r="G160" s="293"/>
      <c r="H160" s="293"/>
      <c r="I160" s="293"/>
      <c r="J160" s="293"/>
      <c r="L160" s="293">
        <f t="shared" si="10"/>
        <v>0</v>
      </c>
    </row>
    <row r="161" spans="1:12" ht="15.75" thickBot="1" x14ac:dyDescent="0.3">
      <c r="A161" s="47" t="s">
        <v>4268</v>
      </c>
      <c r="B161" s="301">
        <f>B144-B159</f>
        <v>56700</v>
      </c>
      <c r="C161" s="301">
        <f t="shared" ref="C161:J161" si="16">C144-C159</f>
        <v>45300</v>
      </c>
      <c r="D161" s="301">
        <f t="shared" si="16"/>
        <v>37800</v>
      </c>
      <c r="E161" s="301">
        <f t="shared" si="16"/>
        <v>37800</v>
      </c>
      <c r="F161" s="301">
        <f t="shared" si="16"/>
        <v>37800</v>
      </c>
      <c r="G161" s="301">
        <f t="shared" si="16"/>
        <v>30200</v>
      </c>
      <c r="H161" s="301">
        <f t="shared" si="16"/>
        <v>30200</v>
      </c>
      <c r="I161" s="301">
        <f t="shared" si="16"/>
        <v>30200</v>
      </c>
      <c r="J161" s="301">
        <f t="shared" si="16"/>
        <v>30200</v>
      </c>
      <c r="L161" s="293"/>
    </row>
    <row r="162" spans="1:12" ht="15.75" thickTop="1" x14ac:dyDescent="0.25">
      <c r="B162" s="293"/>
      <c r="C162" s="293"/>
      <c r="D162" s="293"/>
      <c r="E162" s="293"/>
      <c r="F162" s="293"/>
      <c r="G162" s="293"/>
      <c r="H162" s="293"/>
      <c r="I162" s="293"/>
      <c r="J162" s="293"/>
      <c r="L162" s="293">
        <f t="shared" si="10"/>
        <v>0</v>
      </c>
    </row>
    <row r="163" spans="1:12" x14ac:dyDescent="0.25">
      <c r="A163" s="281"/>
      <c r="B163" s="316"/>
      <c r="C163" s="316"/>
      <c r="D163" s="316"/>
      <c r="E163" s="316"/>
      <c r="F163" s="316"/>
      <c r="G163" s="316"/>
      <c r="H163" s="316"/>
      <c r="I163" s="316"/>
      <c r="J163" s="316"/>
      <c r="L163" s="293">
        <f t="shared" si="10"/>
        <v>0</v>
      </c>
    </row>
    <row r="164" spans="1:12" x14ac:dyDescent="0.25">
      <c r="B164" s="293"/>
      <c r="C164" s="293"/>
      <c r="D164" s="293"/>
      <c r="E164" s="293"/>
      <c r="F164" s="293"/>
      <c r="G164" s="293"/>
      <c r="H164" s="293"/>
      <c r="I164" s="293"/>
      <c r="J164" s="293"/>
      <c r="L164" s="293">
        <f t="shared" si="10"/>
        <v>0</v>
      </c>
    </row>
    <row r="165" spans="1:12" x14ac:dyDescent="0.25">
      <c r="A165" s="280" t="s">
        <v>4324</v>
      </c>
      <c r="B165" s="293"/>
      <c r="C165" s="293"/>
      <c r="D165" s="293"/>
      <c r="E165" s="293"/>
      <c r="F165" s="293"/>
      <c r="G165" s="293"/>
      <c r="H165" s="293"/>
      <c r="I165" s="293"/>
      <c r="J165" s="293"/>
      <c r="L165" s="293">
        <f t="shared" si="10"/>
        <v>0</v>
      </c>
    </row>
    <row r="166" spans="1:12" x14ac:dyDescent="0.25">
      <c r="B166" s="293"/>
      <c r="C166" s="293"/>
      <c r="D166" s="293"/>
      <c r="E166" s="293"/>
      <c r="F166" s="293"/>
      <c r="G166" s="293"/>
      <c r="H166" s="293"/>
      <c r="I166" s="293"/>
      <c r="J166" s="293"/>
      <c r="L166" s="293">
        <f t="shared" si="10"/>
        <v>0</v>
      </c>
    </row>
    <row r="167" spans="1:12" x14ac:dyDescent="0.25">
      <c r="A167" s="47" t="s">
        <v>4260</v>
      </c>
      <c r="B167" s="293"/>
      <c r="C167" s="293"/>
      <c r="D167" s="293"/>
      <c r="E167" s="293"/>
      <c r="F167" s="293"/>
      <c r="G167" s="293"/>
      <c r="H167" s="293"/>
      <c r="I167" s="293"/>
      <c r="J167" s="293"/>
      <c r="L167" s="293">
        <f t="shared" si="10"/>
        <v>0</v>
      </c>
    </row>
    <row r="168" spans="1:12" x14ac:dyDescent="0.25">
      <c r="A168" t="s">
        <v>4262</v>
      </c>
      <c r="B168" s="293"/>
      <c r="C168" s="293"/>
      <c r="D168" s="293"/>
      <c r="E168" s="293"/>
      <c r="F168" s="293"/>
      <c r="G168" s="293"/>
      <c r="H168" s="293"/>
      <c r="I168" s="293"/>
      <c r="J168" s="293"/>
      <c r="L168" s="293">
        <f t="shared" si="10"/>
        <v>0</v>
      </c>
    </row>
    <row r="169" spans="1:12" x14ac:dyDescent="0.25">
      <c r="A169" t="s">
        <v>4261</v>
      </c>
      <c r="B169" s="293">
        <f>capitalrevdata!F18</f>
        <v>11700</v>
      </c>
      <c r="C169" s="293">
        <f>capitalrevdata!G18</f>
        <v>9300</v>
      </c>
      <c r="D169" s="293">
        <f>capitalrevdata!H18</f>
        <v>7800</v>
      </c>
      <c r="E169" s="293">
        <f>capitalrevdata!I18</f>
        <v>7800</v>
      </c>
      <c r="F169" s="293">
        <f>capitalrevdata!J18</f>
        <v>7800</v>
      </c>
      <c r="G169" s="293">
        <f>capitalrevdata!K18</f>
        <v>6200</v>
      </c>
      <c r="H169" s="293">
        <f>capitalrevdata!L18</f>
        <v>6200</v>
      </c>
      <c r="I169" s="293">
        <f>capitalrevdata!M18</f>
        <v>6200</v>
      </c>
      <c r="J169" s="293">
        <f>capitalrevdata!N18</f>
        <v>6200</v>
      </c>
      <c r="L169" s="293">
        <f t="shared" si="10"/>
        <v>6200</v>
      </c>
    </row>
    <row r="170" spans="1:12" x14ac:dyDescent="0.25">
      <c r="A170" t="s">
        <v>66</v>
      </c>
      <c r="B170" s="293"/>
      <c r="C170" s="293"/>
      <c r="D170" s="293"/>
      <c r="E170" s="293"/>
      <c r="F170" s="293"/>
      <c r="G170" s="293"/>
      <c r="H170" s="293"/>
      <c r="I170" s="293"/>
      <c r="J170" s="293"/>
      <c r="L170" s="293">
        <f t="shared" si="10"/>
        <v>0</v>
      </c>
    </row>
    <row r="171" spans="1:12" x14ac:dyDescent="0.25">
      <c r="B171" s="293"/>
      <c r="C171" s="293"/>
      <c r="D171" s="293"/>
      <c r="E171" s="293"/>
      <c r="F171" s="293"/>
      <c r="G171" s="293"/>
      <c r="H171" s="293"/>
      <c r="I171" s="293"/>
      <c r="J171" s="293"/>
      <c r="L171" s="293">
        <f t="shared" si="10"/>
        <v>0</v>
      </c>
    </row>
    <row r="172" spans="1:12" x14ac:dyDescent="0.25">
      <c r="B172" s="293"/>
      <c r="C172" s="293"/>
      <c r="D172" s="293"/>
      <c r="E172" s="293"/>
      <c r="F172" s="293"/>
      <c r="G172" s="293"/>
      <c r="H172" s="293"/>
      <c r="I172" s="293"/>
      <c r="J172" s="293"/>
      <c r="L172" s="293">
        <f t="shared" ref="L172:L235" si="17">J172</f>
        <v>0</v>
      </c>
    </row>
    <row r="173" spans="1:12" x14ac:dyDescent="0.25">
      <c r="B173" s="293"/>
      <c r="C173" s="293"/>
      <c r="D173" s="293"/>
      <c r="E173" s="293"/>
      <c r="F173" s="293"/>
      <c r="G173" s="293"/>
      <c r="H173" s="293"/>
      <c r="I173" s="293"/>
      <c r="J173" s="293"/>
      <c r="L173" s="293">
        <f t="shared" si="17"/>
        <v>0</v>
      </c>
    </row>
    <row r="174" spans="1:12" x14ac:dyDescent="0.25">
      <c r="B174" s="293"/>
      <c r="C174" s="293"/>
      <c r="D174" s="293"/>
      <c r="E174" s="293"/>
      <c r="F174" s="293"/>
      <c r="G174" s="293"/>
      <c r="H174" s="293"/>
      <c r="I174" s="293"/>
      <c r="J174" s="293"/>
      <c r="L174" s="293">
        <f t="shared" si="17"/>
        <v>0</v>
      </c>
    </row>
    <row r="175" spans="1:12" x14ac:dyDescent="0.25">
      <c r="A175" s="47" t="s">
        <v>4263</v>
      </c>
      <c r="B175" s="296">
        <f>SUM(B165:B174)</f>
        <v>11700</v>
      </c>
      <c r="C175" s="296">
        <f t="shared" ref="C175:J175" si="18">SUM(C165:C174)</f>
        <v>9300</v>
      </c>
      <c r="D175" s="296">
        <f t="shared" si="18"/>
        <v>7800</v>
      </c>
      <c r="E175" s="296">
        <f t="shared" si="18"/>
        <v>7800</v>
      </c>
      <c r="F175" s="296">
        <f t="shared" si="18"/>
        <v>7800</v>
      </c>
      <c r="G175" s="296">
        <f t="shared" si="18"/>
        <v>6200</v>
      </c>
      <c r="H175" s="296">
        <f t="shared" si="18"/>
        <v>6200</v>
      </c>
      <c r="I175" s="296">
        <f t="shared" si="18"/>
        <v>6200</v>
      </c>
      <c r="J175" s="296">
        <f t="shared" si="18"/>
        <v>6200</v>
      </c>
      <c r="L175" s="293"/>
    </row>
    <row r="176" spans="1:12" x14ac:dyDescent="0.25">
      <c r="B176" s="293"/>
      <c r="C176" s="293"/>
      <c r="D176" s="293"/>
      <c r="E176" s="293"/>
      <c r="F176" s="293"/>
      <c r="G176" s="293"/>
      <c r="H176" s="293"/>
      <c r="I176" s="293"/>
      <c r="J176" s="293"/>
      <c r="L176" s="293">
        <f t="shared" si="17"/>
        <v>0</v>
      </c>
    </row>
    <row r="177" spans="1:12" x14ac:dyDescent="0.25">
      <c r="A177" s="47" t="s">
        <v>4264</v>
      </c>
      <c r="B177" s="293"/>
      <c r="C177" s="293"/>
      <c r="D177" s="293"/>
      <c r="E177" s="293"/>
      <c r="F177" s="293"/>
      <c r="G177" s="293"/>
      <c r="H177" s="293"/>
      <c r="I177" s="293"/>
      <c r="J177" s="293"/>
      <c r="L177" s="293">
        <f t="shared" si="17"/>
        <v>0</v>
      </c>
    </row>
    <row r="178" spans="1:12" x14ac:dyDescent="0.25">
      <c r="A178" t="s">
        <v>87</v>
      </c>
      <c r="B178" s="293"/>
      <c r="C178" s="293"/>
      <c r="D178" s="293"/>
      <c r="E178" s="293"/>
      <c r="F178" s="293"/>
      <c r="G178" s="293"/>
      <c r="H178" s="293"/>
      <c r="I178" s="293"/>
      <c r="J178" s="293"/>
      <c r="L178" s="293">
        <f t="shared" si="17"/>
        <v>0</v>
      </c>
    </row>
    <row r="179" spans="1:12" x14ac:dyDescent="0.25">
      <c r="A179" t="s">
        <v>4265</v>
      </c>
      <c r="B179" s="293"/>
      <c r="C179" s="293"/>
      <c r="D179" s="293"/>
      <c r="E179" s="293"/>
      <c r="F179" s="293"/>
      <c r="G179" s="293"/>
      <c r="H179" s="293"/>
      <c r="I179" s="293"/>
      <c r="J179" s="293"/>
      <c r="L179" s="293">
        <f t="shared" si="17"/>
        <v>0</v>
      </c>
    </row>
    <row r="180" spans="1:12" x14ac:dyDescent="0.25">
      <c r="A180" s="63" t="s">
        <v>3823</v>
      </c>
      <c r="B180" s="293">
        <f>capitalexpdata!G449</f>
        <v>57000</v>
      </c>
      <c r="C180" s="293"/>
      <c r="D180" s="293"/>
      <c r="E180" s="293"/>
      <c r="F180" s="293"/>
      <c r="G180" s="293"/>
      <c r="H180" s="293"/>
      <c r="I180" s="293"/>
      <c r="J180" s="293"/>
      <c r="L180" s="293">
        <f t="shared" si="17"/>
        <v>0</v>
      </c>
    </row>
    <row r="181" spans="1:12" x14ac:dyDescent="0.25">
      <c r="A181" s="63" t="s">
        <v>3824</v>
      </c>
      <c r="B181" s="293">
        <f>capitalexpdata!G450</f>
        <v>47000</v>
      </c>
      <c r="C181" s="293"/>
      <c r="D181" s="293"/>
      <c r="E181" s="293"/>
      <c r="F181" s="293"/>
      <c r="G181" s="293"/>
      <c r="H181" s="293"/>
      <c r="I181" s="293"/>
      <c r="J181" s="293"/>
      <c r="L181" s="293">
        <f t="shared" si="17"/>
        <v>0</v>
      </c>
    </row>
    <row r="182" spans="1:12" x14ac:dyDescent="0.25">
      <c r="B182" s="293"/>
      <c r="C182" s="293"/>
      <c r="D182" s="293"/>
      <c r="E182" s="293"/>
      <c r="F182" s="293"/>
      <c r="G182" s="293"/>
      <c r="H182" s="293"/>
      <c r="I182" s="293"/>
      <c r="J182" s="293"/>
      <c r="L182" s="293">
        <f t="shared" si="17"/>
        <v>0</v>
      </c>
    </row>
    <row r="183" spans="1:12" x14ac:dyDescent="0.25">
      <c r="B183" s="293"/>
      <c r="C183" s="293"/>
      <c r="D183" s="293"/>
      <c r="E183" s="293"/>
      <c r="F183" s="293"/>
      <c r="G183" s="293"/>
      <c r="H183" s="293"/>
      <c r="I183" s="293"/>
      <c r="J183" s="293"/>
      <c r="L183" s="293">
        <f t="shared" si="17"/>
        <v>0</v>
      </c>
    </row>
    <row r="184" spans="1:12" x14ac:dyDescent="0.25">
      <c r="A184" t="s">
        <v>4266</v>
      </c>
      <c r="B184" s="293"/>
      <c r="C184" s="293"/>
      <c r="D184" s="293"/>
      <c r="E184" s="293"/>
      <c r="F184" s="293"/>
      <c r="G184" s="293"/>
      <c r="H184" s="293"/>
      <c r="I184" s="293"/>
      <c r="J184" s="293"/>
      <c r="L184" s="293">
        <f t="shared" si="17"/>
        <v>0</v>
      </c>
    </row>
    <row r="185" spans="1:12" x14ac:dyDescent="0.25">
      <c r="A185" t="s">
        <v>66</v>
      </c>
      <c r="B185" s="293"/>
      <c r="C185" s="293"/>
      <c r="D185" s="293"/>
      <c r="E185" s="293"/>
      <c r="F185" s="293"/>
      <c r="G185" s="293"/>
      <c r="H185" s="293"/>
      <c r="I185" s="293"/>
      <c r="J185" s="293"/>
      <c r="L185" s="293">
        <f t="shared" si="17"/>
        <v>0</v>
      </c>
    </row>
    <row r="186" spans="1:12" x14ac:dyDescent="0.25">
      <c r="B186" s="293"/>
      <c r="C186" s="293"/>
      <c r="D186" s="293"/>
      <c r="E186" s="293"/>
      <c r="F186" s="293"/>
      <c r="G186" s="293"/>
      <c r="H186" s="293"/>
      <c r="I186" s="293"/>
      <c r="J186" s="293"/>
      <c r="L186" s="293">
        <f t="shared" si="17"/>
        <v>0</v>
      </c>
    </row>
    <row r="187" spans="1:12" x14ac:dyDescent="0.25">
      <c r="B187" s="293"/>
      <c r="C187" s="293"/>
      <c r="D187" s="293"/>
      <c r="E187" s="293"/>
      <c r="F187" s="293"/>
      <c r="G187" s="293"/>
      <c r="H187" s="293"/>
      <c r="I187" s="293"/>
      <c r="J187" s="293"/>
      <c r="L187" s="293">
        <f t="shared" si="17"/>
        <v>0</v>
      </c>
    </row>
    <row r="188" spans="1:12" x14ac:dyDescent="0.25">
      <c r="B188" s="293"/>
      <c r="C188" s="293"/>
      <c r="D188" s="293"/>
      <c r="E188" s="293"/>
      <c r="F188" s="293"/>
      <c r="G188" s="293"/>
      <c r="H188" s="293"/>
      <c r="I188" s="293"/>
      <c r="J188" s="293"/>
      <c r="L188" s="293">
        <f t="shared" si="17"/>
        <v>0</v>
      </c>
    </row>
    <row r="189" spans="1:12" x14ac:dyDescent="0.25">
      <c r="B189" s="293"/>
      <c r="C189" s="293"/>
      <c r="D189" s="293"/>
      <c r="E189" s="293"/>
      <c r="F189" s="293"/>
      <c r="G189" s="293"/>
      <c r="H189" s="293"/>
      <c r="I189" s="293"/>
      <c r="J189" s="293"/>
      <c r="L189" s="293">
        <f t="shared" si="17"/>
        <v>0</v>
      </c>
    </row>
    <row r="190" spans="1:12" x14ac:dyDescent="0.25">
      <c r="A190" s="47" t="s">
        <v>4267</v>
      </c>
      <c r="B190" s="296">
        <f>SUM(B178:B189)</f>
        <v>104000</v>
      </c>
      <c r="C190" s="296">
        <f t="shared" ref="C190:J190" si="19">SUM(C178:C189)</f>
        <v>0</v>
      </c>
      <c r="D190" s="296">
        <f t="shared" si="19"/>
        <v>0</v>
      </c>
      <c r="E190" s="296">
        <f t="shared" si="19"/>
        <v>0</v>
      </c>
      <c r="F190" s="296">
        <f t="shared" si="19"/>
        <v>0</v>
      </c>
      <c r="G190" s="296">
        <f t="shared" si="19"/>
        <v>0</v>
      </c>
      <c r="H190" s="296">
        <f t="shared" si="19"/>
        <v>0</v>
      </c>
      <c r="I190" s="296">
        <f t="shared" si="19"/>
        <v>0</v>
      </c>
      <c r="J190" s="296">
        <f t="shared" si="19"/>
        <v>0</v>
      </c>
      <c r="L190" s="293">
        <f t="shared" si="17"/>
        <v>0</v>
      </c>
    </row>
    <row r="191" spans="1:12" x14ac:dyDescent="0.25">
      <c r="B191" s="293"/>
      <c r="C191" s="293"/>
      <c r="D191" s="293"/>
      <c r="E191" s="293"/>
      <c r="F191" s="293"/>
      <c r="G191" s="293"/>
      <c r="H191" s="293"/>
      <c r="I191" s="293"/>
      <c r="J191" s="293"/>
      <c r="L191" s="293">
        <f t="shared" si="17"/>
        <v>0</v>
      </c>
    </row>
    <row r="192" spans="1:12" ht="15.75" thickBot="1" x14ac:dyDescent="0.3">
      <c r="A192" s="47" t="s">
        <v>4268</v>
      </c>
      <c r="B192" s="301">
        <f>B175-B190</f>
        <v>-92300</v>
      </c>
      <c r="C192" s="301">
        <f t="shared" ref="C192:J192" si="20">C175-C190</f>
        <v>9300</v>
      </c>
      <c r="D192" s="301">
        <f t="shared" si="20"/>
        <v>7800</v>
      </c>
      <c r="E192" s="301">
        <f t="shared" si="20"/>
        <v>7800</v>
      </c>
      <c r="F192" s="301">
        <f t="shared" si="20"/>
        <v>7800</v>
      </c>
      <c r="G192" s="301">
        <f t="shared" si="20"/>
        <v>6200</v>
      </c>
      <c r="H192" s="301">
        <f t="shared" si="20"/>
        <v>6200</v>
      </c>
      <c r="I192" s="301">
        <f t="shared" si="20"/>
        <v>6200</v>
      </c>
      <c r="J192" s="301">
        <f t="shared" si="20"/>
        <v>6200</v>
      </c>
      <c r="L192" s="293"/>
    </row>
    <row r="193" spans="1:12" ht="15.75" thickTop="1" x14ac:dyDescent="0.25">
      <c r="B193" s="293"/>
      <c r="C193" s="293"/>
      <c r="D193" s="293"/>
      <c r="E193" s="293"/>
      <c r="F193" s="293"/>
      <c r="G193" s="293"/>
      <c r="H193" s="293"/>
      <c r="I193" s="293"/>
      <c r="J193" s="293"/>
      <c r="L193" s="293">
        <f t="shared" si="17"/>
        <v>0</v>
      </c>
    </row>
    <row r="194" spans="1:12" x14ac:dyDescent="0.25">
      <c r="A194" s="281"/>
      <c r="B194" s="316"/>
      <c r="C194" s="316"/>
      <c r="D194" s="316"/>
      <c r="E194" s="316"/>
      <c r="F194" s="316"/>
      <c r="G194" s="316"/>
      <c r="H194" s="316"/>
      <c r="I194" s="316"/>
      <c r="J194" s="316"/>
      <c r="L194" s="293">
        <f t="shared" si="17"/>
        <v>0</v>
      </c>
    </row>
    <row r="195" spans="1:12" x14ac:dyDescent="0.25">
      <c r="B195" s="293"/>
      <c r="C195" s="293"/>
      <c r="D195" s="293"/>
      <c r="E195" s="293"/>
      <c r="F195" s="293"/>
      <c r="G195" s="293"/>
      <c r="H195" s="293"/>
      <c r="I195" s="293"/>
      <c r="J195" s="293"/>
      <c r="L195" s="293">
        <f t="shared" si="17"/>
        <v>0</v>
      </c>
    </row>
    <row r="196" spans="1:12" x14ac:dyDescent="0.25">
      <c r="A196" s="280" t="s">
        <v>4325</v>
      </c>
      <c r="B196" s="293"/>
      <c r="C196" s="293"/>
      <c r="D196" s="293"/>
      <c r="E196" s="293"/>
      <c r="F196" s="293"/>
      <c r="G196" s="293"/>
      <c r="H196" s="293"/>
      <c r="I196" s="293"/>
      <c r="J196" s="293"/>
      <c r="L196" s="293">
        <f t="shared" si="17"/>
        <v>0</v>
      </c>
    </row>
    <row r="197" spans="1:12" x14ac:dyDescent="0.25">
      <c r="B197" s="293"/>
      <c r="C197" s="293"/>
      <c r="D197" s="293"/>
      <c r="E197" s="293"/>
      <c r="F197" s="293"/>
      <c r="G197" s="293"/>
      <c r="H197" s="293"/>
      <c r="I197" s="293"/>
      <c r="J197" s="293"/>
      <c r="L197" s="293">
        <f t="shared" si="17"/>
        <v>0</v>
      </c>
    </row>
    <row r="198" spans="1:12" x14ac:dyDescent="0.25">
      <c r="A198" s="47" t="s">
        <v>4260</v>
      </c>
      <c r="B198" s="293"/>
      <c r="C198" s="293"/>
      <c r="D198" s="293"/>
      <c r="E198" s="293"/>
      <c r="F198" s="293"/>
      <c r="G198" s="293"/>
      <c r="H198" s="293"/>
      <c r="I198" s="293"/>
      <c r="J198" s="293"/>
      <c r="L198" s="293">
        <f t="shared" si="17"/>
        <v>0</v>
      </c>
    </row>
    <row r="199" spans="1:12" x14ac:dyDescent="0.25">
      <c r="A199" t="s">
        <v>4262</v>
      </c>
      <c r="B199" s="293"/>
      <c r="C199" s="293"/>
      <c r="D199" s="293"/>
      <c r="E199" s="293"/>
      <c r="F199" s="293"/>
      <c r="G199" s="293"/>
      <c r="H199" s="293"/>
      <c r="I199" s="293"/>
      <c r="J199" s="293"/>
      <c r="L199" s="293">
        <f t="shared" si="17"/>
        <v>0</v>
      </c>
    </row>
    <row r="200" spans="1:12" x14ac:dyDescent="0.25">
      <c r="A200" t="s">
        <v>4261</v>
      </c>
      <c r="B200" s="293">
        <f>capitalrevdata!F20</f>
        <v>30500</v>
      </c>
      <c r="C200" s="293">
        <f>capitalrevdata!G20</f>
        <v>24400</v>
      </c>
      <c r="D200" s="293">
        <f>capitalrevdata!H20</f>
        <v>20300</v>
      </c>
      <c r="E200" s="293">
        <f>capitalrevdata!I20</f>
        <v>20300</v>
      </c>
      <c r="F200" s="293">
        <f>capitalrevdata!J20</f>
        <v>20300</v>
      </c>
      <c r="G200" s="293">
        <f>capitalrevdata!K20</f>
        <v>16300</v>
      </c>
      <c r="H200" s="293">
        <f>capitalrevdata!L20</f>
        <v>16300</v>
      </c>
      <c r="I200" s="293">
        <f>capitalrevdata!M20</f>
        <v>16300</v>
      </c>
      <c r="J200" s="293">
        <f>capitalrevdata!N20</f>
        <v>16300</v>
      </c>
      <c r="L200" s="293">
        <f t="shared" si="17"/>
        <v>16300</v>
      </c>
    </row>
    <row r="201" spans="1:12" x14ac:dyDescent="0.25">
      <c r="A201" t="s">
        <v>66</v>
      </c>
      <c r="B201" s="293"/>
      <c r="C201" s="293"/>
      <c r="D201" s="293"/>
      <c r="E201" s="293"/>
      <c r="F201" s="293"/>
      <c r="G201" s="293"/>
      <c r="H201" s="293"/>
      <c r="I201" s="293"/>
      <c r="J201" s="293"/>
      <c r="L201" s="293">
        <f t="shared" si="17"/>
        <v>0</v>
      </c>
    </row>
    <row r="202" spans="1:12" x14ac:dyDescent="0.25">
      <c r="B202" s="293"/>
      <c r="C202" s="293"/>
      <c r="D202" s="293"/>
      <c r="E202" s="293"/>
      <c r="F202" s="293"/>
      <c r="G202" s="293"/>
      <c r="H202" s="293"/>
      <c r="I202" s="293"/>
      <c r="J202" s="293"/>
      <c r="L202" s="293">
        <f t="shared" si="17"/>
        <v>0</v>
      </c>
    </row>
    <row r="203" spans="1:12" x14ac:dyDescent="0.25">
      <c r="B203" s="293"/>
      <c r="C203" s="293"/>
      <c r="D203" s="293"/>
      <c r="E203" s="293"/>
      <c r="F203" s="293"/>
      <c r="G203" s="293"/>
      <c r="H203" s="293"/>
      <c r="I203" s="293"/>
      <c r="J203" s="293"/>
      <c r="L203" s="293">
        <f t="shared" si="17"/>
        <v>0</v>
      </c>
    </row>
    <row r="204" spans="1:12" x14ac:dyDescent="0.25">
      <c r="B204" s="293"/>
      <c r="C204" s="293"/>
      <c r="D204" s="293"/>
      <c r="E204" s="293"/>
      <c r="F204" s="293"/>
      <c r="G204" s="293"/>
      <c r="H204" s="293"/>
      <c r="I204" s="293"/>
      <c r="J204" s="293"/>
      <c r="L204" s="293">
        <f t="shared" si="17"/>
        <v>0</v>
      </c>
    </row>
    <row r="205" spans="1:12" x14ac:dyDescent="0.25">
      <c r="B205" s="293"/>
      <c r="C205" s="293"/>
      <c r="D205" s="293"/>
      <c r="E205" s="293"/>
      <c r="F205" s="293"/>
      <c r="G205" s="293"/>
      <c r="H205" s="293"/>
      <c r="I205" s="293"/>
      <c r="J205" s="293"/>
      <c r="L205" s="293">
        <f t="shared" si="17"/>
        <v>0</v>
      </c>
    </row>
    <row r="206" spans="1:12" x14ac:dyDescent="0.25">
      <c r="A206" s="47" t="s">
        <v>4263</v>
      </c>
      <c r="B206" s="296">
        <f>SUM(B196:B205)</f>
        <v>30500</v>
      </c>
      <c r="C206" s="296">
        <f t="shared" ref="C206:J206" si="21">SUM(C196:C205)</f>
        <v>24400</v>
      </c>
      <c r="D206" s="296">
        <f t="shared" si="21"/>
        <v>20300</v>
      </c>
      <c r="E206" s="296">
        <f t="shared" si="21"/>
        <v>20300</v>
      </c>
      <c r="F206" s="296">
        <f t="shared" si="21"/>
        <v>20300</v>
      </c>
      <c r="G206" s="296">
        <f t="shared" si="21"/>
        <v>16300</v>
      </c>
      <c r="H206" s="296">
        <f t="shared" si="21"/>
        <v>16300</v>
      </c>
      <c r="I206" s="296">
        <f t="shared" si="21"/>
        <v>16300</v>
      </c>
      <c r="J206" s="296">
        <f t="shared" si="21"/>
        <v>16300</v>
      </c>
      <c r="L206" s="293"/>
    </row>
    <row r="207" spans="1:12" x14ac:dyDescent="0.25">
      <c r="B207" s="293"/>
      <c r="C207" s="293"/>
      <c r="D207" s="293"/>
      <c r="E207" s="293"/>
      <c r="F207" s="293"/>
      <c r="G207" s="293"/>
      <c r="H207" s="293"/>
      <c r="I207" s="293"/>
      <c r="J207" s="293"/>
      <c r="L207" s="293">
        <f t="shared" si="17"/>
        <v>0</v>
      </c>
    </row>
    <row r="208" spans="1:12" x14ac:dyDescent="0.25">
      <c r="A208" s="47" t="s">
        <v>4264</v>
      </c>
      <c r="B208" s="293"/>
      <c r="C208" s="293"/>
      <c r="D208" s="293"/>
      <c r="E208" s="293"/>
      <c r="F208" s="293"/>
      <c r="G208" s="293"/>
      <c r="H208" s="293"/>
      <c r="I208" s="293"/>
      <c r="J208" s="293"/>
      <c r="L208" s="293">
        <f t="shared" si="17"/>
        <v>0</v>
      </c>
    </row>
    <row r="209" spans="1:12" x14ac:dyDescent="0.25">
      <c r="A209" t="s">
        <v>87</v>
      </c>
      <c r="B209" s="293"/>
      <c r="C209" s="293"/>
      <c r="D209" s="293"/>
      <c r="E209" s="293"/>
      <c r="F209" s="293"/>
      <c r="G209" s="293"/>
      <c r="H209" s="293"/>
      <c r="I209" s="293"/>
      <c r="J209" s="293"/>
      <c r="L209" s="293">
        <f t="shared" si="17"/>
        <v>0</v>
      </c>
    </row>
    <row r="210" spans="1:12" x14ac:dyDescent="0.25">
      <c r="A210" t="s">
        <v>4265</v>
      </c>
      <c r="B210" s="293"/>
      <c r="C210" s="293"/>
      <c r="D210" s="293"/>
      <c r="E210" s="293"/>
      <c r="F210" s="293"/>
      <c r="G210" s="293"/>
      <c r="H210" s="293"/>
      <c r="I210" s="293"/>
      <c r="J210" s="293"/>
      <c r="L210" s="293">
        <f t="shared" si="17"/>
        <v>0</v>
      </c>
    </row>
    <row r="211" spans="1:12" x14ac:dyDescent="0.25">
      <c r="B211" s="293"/>
      <c r="C211" s="293"/>
      <c r="D211" s="293"/>
      <c r="E211" s="293"/>
      <c r="F211" s="293"/>
      <c r="G211" s="293"/>
      <c r="H211" s="293"/>
      <c r="I211" s="293"/>
      <c r="J211" s="293"/>
      <c r="L211" s="293">
        <f t="shared" si="17"/>
        <v>0</v>
      </c>
    </row>
    <row r="212" spans="1:12" x14ac:dyDescent="0.25">
      <c r="B212" s="293"/>
      <c r="C212" s="293"/>
      <c r="D212" s="293"/>
      <c r="E212" s="293"/>
      <c r="F212" s="293"/>
      <c r="G212" s="293"/>
      <c r="H212" s="293"/>
      <c r="I212" s="293"/>
      <c r="J212" s="293"/>
      <c r="L212" s="293">
        <f t="shared" si="17"/>
        <v>0</v>
      </c>
    </row>
    <row r="213" spans="1:12" x14ac:dyDescent="0.25">
      <c r="B213" s="293"/>
      <c r="C213" s="293"/>
      <c r="D213" s="293"/>
      <c r="E213" s="293"/>
      <c r="F213" s="293"/>
      <c r="G213" s="293"/>
      <c r="H213" s="293"/>
      <c r="I213" s="293"/>
      <c r="J213" s="293"/>
      <c r="L213" s="293">
        <f t="shared" si="17"/>
        <v>0</v>
      </c>
    </row>
    <row r="214" spans="1:12" x14ac:dyDescent="0.25">
      <c r="B214" s="293"/>
      <c r="C214" s="293"/>
      <c r="D214" s="293"/>
      <c r="E214" s="293"/>
      <c r="F214" s="293"/>
      <c r="G214" s="293"/>
      <c r="H214" s="293"/>
      <c r="I214" s="293"/>
      <c r="J214" s="293"/>
      <c r="L214" s="293">
        <f t="shared" si="17"/>
        <v>0</v>
      </c>
    </row>
    <row r="215" spans="1:12" x14ac:dyDescent="0.25">
      <c r="A215" t="s">
        <v>4266</v>
      </c>
      <c r="B215" s="293"/>
      <c r="C215" s="293"/>
      <c r="D215" s="293"/>
      <c r="E215" s="293"/>
      <c r="F215" s="293"/>
      <c r="G215" s="293"/>
      <c r="H215" s="293"/>
      <c r="I215" s="293"/>
      <c r="J215" s="293"/>
      <c r="L215" s="293">
        <f t="shared" si="17"/>
        <v>0</v>
      </c>
    </row>
    <row r="216" spans="1:12" x14ac:dyDescent="0.25">
      <c r="A216" t="s">
        <v>66</v>
      </c>
      <c r="B216" s="293"/>
      <c r="C216" s="293"/>
      <c r="D216" s="293"/>
      <c r="E216" s="293"/>
      <c r="F216" s="293"/>
      <c r="G216" s="293"/>
      <c r="H216" s="293"/>
      <c r="I216" s="293"/>
      <c r="J216" s="293"/>
      <c r="L216" s="293">
        <f t="shared" si="17"/>
        <v>0</v>
      </c>
    </row>
    <row r="217" spans="1:12" x14ac:dyDescent="0.25">
      <c r="B217" s="293"/>
      <c r="C217" s="293"/>
      <c r="D217" s="293"/>
      <c r="E217" s="293"/>
      <c r="F217" s="293"/>
      <c r="G217" s="293"/>
      <c r="H217" s="293"/>
      <c r="I217" s="293"/>
      <c r="J217" s="293"/>
      <c r="L217" s="293">
        <f t="shared" si="17"/>
        <v>0</v>
      </c>
    </row>
    <row r="218" spans="1:12" x14ac:dyDescent="0.25">
      <c r="B218" s="293"/>
      <c r="C218" s="293"/>
      <c r="D218" s="293"/>
      <c r="E218" s="293"/>
      <c r="F218" s="293"/>
      <c r="G218" s="293"/>
      <c r="H218" s="293"/>
      <c r="I218" s="293"/>
      <c r="J218" s="293"/>
      <c r="L218" s="293">
        <f t="shared" si="17"/>
        <v>0</v>
      </c>
    </row>
    <row r="219" spans="1:12" x14ac:dyDescent="0.25">
      <c r="B219" s="293"/>
      <c r="C219" s="293"/>
      <c r="D219" s="293"/>
      <c r="E219" s="293"/>
      <c r="F219" s="293"/>
      <c r="G219" s="293"/>
      <c r="H219" s="293"/>
      <c r="I219" s="293"/>
      <c r="J219" s="293"/>
      <c r="L219" s="293">
        <f t="shared" si="17"/>
        <v>0</v>
      </c>
    </row>
    <row r="220" spans="1:12" x14ac:dyDescent="0.25">
      <c r="B220" s="293"/>
      <c r="C220" s="293"/>
      <c r="D220" s="293"/>
      <c r="E220" s="293"/>
      <c r="F220" s="293"/>
      <c r="G220" s="293"/>
      <c r="H220" s="293"/>
      <c r="I220" s="293"/>
      <c r="J220" s="293"/>
      <c r="L220" s="293">
        <f t="shared" si="17"/>
        <v>0</v>
      </c>
    </row>
    <row r="221" spans="1:12" x14ac:dyDescent="0.25">
      <c r="A221" s="47" t="s">
        <v>4267</v>
      </c>
      <c r="B221" s="296">
        <f>SUM(B209:B220)</f>
        <v>0</v>
      </c>
      <c r="C221" s="296">
        <f t="shared" ref="C221:J221" si="22">SUM(C209:C220)</f>
        <v>0</v>
      </c>
      <c r="D221" s="296">
        <f t="shared" si="22"/>
        <v>0</v>
      </c>
      <c r="E221" s="296">
        <f t="shared" si="22"/>
        <v>0</v>
      </c>
      <c r="F221" s="296">
        <f t="shared" si="22"/>
        <v>0</v>
      </c>
      <c r="G221" s="296">
        <f t="shared" si="22"/>
        <v>0</v>
      </c>
      <c r="H221" s="296">
        <f t="shared" si="22"/>
        <v>0</v>
      </c>
      <c r="I221" s="296">
        <f t="shared" si="22"/>
        <v>0</v>
      </c>
      <c r="J221" s="296">
        <f t="shared" si="22"/>
        <v>0</v>
      </c>
      <c r="L221" s="293">
        <f t="shared" si="17"/>
        <v>0</v>
      </c>
    </row>
    <row r="222" spans="1:12" x14ac:dyDescent="0.25">
      <c r="B222" s="293"/>
      <c r="C222" s="293"/>
      <c r="D222" s="293"/>
      <c r="E222" s="293"/>
      <c r="F222" s="293"/>
      <c r="G222" s="293"/>
      <c r="H222" s="293"/>
      <c r="I222" s="293"/>
      <c r="J222" s="293"/>
      <c r="L222" s="293">
        <f t="shared" si="17"/>
        <v>0</v>
      </c>
    </row>
    <row r="223" spans="1:12" ht="15.75" thickBot="1" x14ac:dyDescent="0.3">
      <c r="A223" s="47" t="s">
        <v>4268</v>
      </c>
      <c r="B223" s="301">
        <f>B206-B221</f>
        <v>30500</v>
      </c>
      <c r="C223" s="301">
        <f t="shared" ref="C223:J223" si="23">C206-C221</f>
        <v>24400</v>
      </c>
      <c r="D223" s="301">
        <f t="shared" si="23"/>
        <v>20300</v>
      </c>
      <c r="E223" s="301">
        <f t="shared" si="23"/>
        <v>20300</v>
      </c>
      <c r="F223" s="301">
        <f t="shared" si="23"/>
        <v>20300</v>
      </c>
      <c r="G223" s="301">
        <f t="shared" si="23"/>
        <v>16300</v>
      </c>
      <c r="H223" s="301">
        <f t="shared" si="23"/>
        <v>16300</v>
      </c>
      <c r="I223" s="301">
        <f t="shared" si="23"/>
        <v>16300</v>
      </c>
      <c r="J223" s="301">
        <f t="shared" si="23"/>
        <v>16300</v>
      </c>
      <c r="L223" s="293"/>
    </row>
    <row r="224" spans="1:12" ht="15.75" thickTop="1" x14ac:dyDescent="0.25">
      <c r="B224" s="293"/>
      <c r="C224" s="293"/>
      <c r="D224" s="293"/>
      <c r="E224" s="293"/>
      <c r="F224" s="293"/>
      <c r="G224" s="293"/>
      <c r="H224" s="293"/>
      <c r="I224" s="293"/>
      <c r="J224" s="293"/>
      <c r="L224" s="293">
        <f t="shared" si="17"/>
        <v>0</v>
      </c>
    </row>
    <row r="225" spans="1:12" x14ac:dyDescent="0.25">
      <c r="A225" s="281"/>
      <c r="B225" s="316"/>
      <c r="C225" s="316"/>
      <c r="D225" s="316"/>
      <c r="E225" s="316"/>
      <c r="F225" s="316"/>
      <c r="G225" s="316"/>
      <c r="H225" s="316"/>
      <c r="I225" s="316"/>
      <c r="J225" s="316"/>
      <c r="L225" s="293">
        <f t="shared" si="17"/>
        <v>0</v>
      </c>
    </row>
    <row r="226" spans="1:12" x14ac:dyDescent="0.25">
      <c r="B226" s="293"/>
      <c r="C226" s="293"/>
      <c r="D226" s="293"/>
      <c r="E226" s="293"/>
      <c r="F226" s="293"/>
      <c r="G226" s="293"/>
      <c r="H226" s="293"/>
      <c r="I226" s="293"/>
      <c r="J226" s="293"/>
      <c r="L226" s="293">
        <f t="shared" si="17"/>
        <v>0</v>
      </c>
    </row>
    <row r="227" spans="1:12" x14ac:dyDescent="0.25">
      <c r="A227" s="280" t="s">
        <v>4326</v>
      </c>
      <c r="B227" s="293"/>
      <c r="C227" s="293"/>
      <c r="D227" s="293"/>
      <c r="E227" s="293"/>
      <c r="F227" s="293"/>
      <c r="G227" s="293"/>
      <c r="H227" s="293"/>
      <c r="I227" s="293"/>
      <c r="J227" s="293"/>
      <c r="L227" s="293">
        <f t="shared" si="17"/>
        <v>0</v>
      </c>
    </row>
    <row r="228" spans="1:12" x14ac:dyDescent="0.25">
      <c r="B228" s="293"/>
      <c r="C228" s="293"/>
      <c r="D228" s="293"/>
      <c r="E228" s="293"/>
      <c r="F228" s="293"/>
      <c r="G228" s="293"/>
      <c r="H228" s="293"/>
      <c r="I228" s="293"/>
      <c r="J228" s="293"/>
      <c r="L228" s="293">
        <f t="shared" si="17"/>
        <v>0</v>
      </c>
    </row>
    <row r="229" spans="1:12" x14ac:dyDescent="0.25">
      <c r="A229" s="47" t="s">
        <v>4260</v>
      </c>
      <c r="B229" s="293"/>
      <c r="C229" s="293"/>
      <c r="D229" s="293"/>
      <c r="E229" s="293"/>
      <c r="F229" s="293"/>
      <c r="G229" s="293"/>
      <c r="H229" s="293"/>
      <c r="I229" s="293"/>
      <c r="J229" s="293"/>
      <c r="L229" s="293">
        <f t="shared" si="17"/>
        <v>0</v>
      </c>
    </row>
    <row r="230" spans="1:12" x14ac:dyDescent="0.25">
      <c r="A230" t="s">
        <v>4262</v>
      </c>
      <c r="B230" s="293"/>
      <c r="C230" s="293"/>
      <c r="D230" s="293"/>
      <c r="E230" s="293"/>
      <c r="F230" s="293"/>
      <c r="G230" s="293"/>
      <c r="H230" s="293"/>
      <c r="I230" s="293"/>
      <c r="J230" s="293"/>
      <c r="L230" s="293">
        <f t="shared" si="17"/>
        <v>0</v>
      </c>
    </row>
    <row r="231" spans="1:12" x14ac:dyDescent="0.25">
      <c r="A231" t="s">
        <v>4261</v>
      </c>
      <c r="B231" s="293">
        <f>capitalrevdata!F21</f>
        <v>100</v>
      </c>
      <c r="C231" s="293">
        <f>capitalrevdata!G21</f>
        <v>100</v>
      </c>
      <c r="D231" s="293">
        <f>capitalrevdata!H21</f>
        <v>100</v>
      </c>
      <c r="E231" s="293">
        <f>capitalrevdata!I21</f>
        <v>100</v>
      </c>
      <c r="F231" s="293">
        <f>capitalrevdata!J21</f>
        <v>100</v>
      </c>
      <c r="G231" s="293">
        <f>capitalrevdata!K21</f>
        <v>0</v>
      </c>
      <c r="H231" s="293">
        <f>capitalrevdata!L21</f>
        <v>0</v>
      </c>
      <c r="I231" s="293">
        <f>capitalrevdata!M21</f>
        <v>0</v>
      </c>
      <c r="J231" s="293">
        <f>capitalrevdata!N21</f>
        <v>0</v>
      </c>
      <c r="L231" s="293">
        <f t="shared" si="17"/>
        <v>0</v>
      </c>
    </row>
    <row r="232" spans="1:12" x14ac:dyDescent="0.25">
      <c r="A232" t="s">
        <v>66</v>
      </c>
      <c r="B232" s="293"/>
      <c r="C232" s="293"/>
      <c r="D232" s="293"/>
      <c r="E232" s="293"/>
      <c r="F232" s="293"/>
      <c r="G232" s="293"/>
      <c r="H232" s="293"/>
      <c r="I232" s="293"/>
      <c r="J232" s="293"/>
      <c r="L232" s="293">
        <f t="shared" si="17"/>
        <v>0</v>
      </c>
    </row>
    <row r="233" spans="1:12" x14ac:dyDescent="0.25">
      <c r="B233" s="293"/>
      <c r="C233" s="293"/>
      <c r="D233" s="293"/>
      <c r="E233" s="293"/>
      <c r="F233" s="293"/>
      <c r="G233" s="293"/>
      <c r="H233" s="293"/>
      <c r="I233" s="293"/>
      <c r="J233" s="293"/>
      <c r="L233" s="293">
        <f t="shared" si="17"/>
        <v>0</v>
      </c>
    </row>
    <row r="234" spans="1:12" x14ac:dyDescent="0.25">
      <c r="B234" s="293"/>
      <c r="C234" s="293"/>
      <c r="D234" s="293"/>
      <c r="E234" s="293"/>
      <c r="F234" s="293"/>
      <c r="G234" s="293"/>
      <c r="H234" s="293"/>
      <c r="I234" s="293"/>
      <c r="J234" s="293"/>
      <c r="L234" s="293">
        <f t="shared" si="17"/>
        <v>0</v>
      </c>
    </row>
    <row r="235" spans="1:12" x14ac:dyDescent="0.25">
      <c r="B235" s="293"/>
      <c r="C235" s="293"/>
      <c r="D235" s="293"/>
      <c r="E235" s="293"/>
      <c r="F235" s="293"/>
      <c r="G235" s="293"/>
      <c r="H235" s="293"/>
      <c r="I235" s="293"/>
      <c r="J235" s="293"/>
      <c r="L235" s="293">
        <f t="shared" si="17"/>
        <v>0</v>
      </c>
    </row>
    <row r="236" spans="1:12" x14ac:dyDescent="0.25">
      <c r="B236" s="293"/>
      <c r="C236" s="293"/>
      <c r="D236" s="293"/>
      <c r="E236" s="293"/>
      <c r="F236" s="293"/>
      <c r="G236" s="293"/>
      <c r="H236" s="293"/>
      <c r="I236" s="293"/>
      <c r="J236" s="293"/>
      <c r="L236" s="293">
        <f t="shared" ref="L236:L298" si="24">J236</f>
        <v>0</v>
      </c>
    </row>
    <row r="237" spans="1:12" x14ac:dyDescent="0.25">
      <c r="A237" s="47" t="s">
        <v>4263</v>
      </c>
      <c r="B237" s="296">
        <f>SUM(B227:B236)</f>
        <v>100</v>
      </c>
      <c r="C237" s="296">
        <f t="shared" ref="C237:J237" si="25">SUM(C227:C236)</f>
        <v>100</v>
      </c>
      <c r="D237" s="296">
        <f t="shared" si="25"/>
        <v>100</v>
      </c>
      <c r="E237" s="296">
        <f t="shared" si="25"/>
        <v>100</v>
      </c>
      <c r="F237" s="296">
        <f t="shared" si="25"/>
        <v>100</v>
      </c>
      <c r="G237" s="296">
        <f t="shared" si="25"/>
        <v>0</v>
      </c>
      <c r="H237" s="296">
        <f t="shared" si="25"/>
        <v>0</v>
      </c>
      <c r="I237" s="296">
        <f t="shared" si="25"/>
        <v>0</v>
      </c>
      <c r="J237" s="296">
        <f t="shared" si="25"/>
        <v>0</v>
      </c>
      <c r="L237" s="293"/>
    </row>
    <row r="238" spans="1:12" x14ac:dyDescent="0.25">
      <c r="B238" s="293"/>
      <c r="C238" s="293"/>
      <c r="D238" s="293"/>
      <c r="E238" s="293"/>
      <c r="F238" s="293"/>
      <c r="G238" s="293"/>
      <c r="H238" s="293"/>
      <c r="I238" s="293"/>
      <c r="J238" s="293"/>
      <c r="L238" s="293">
        <f t="shared" si="24"/>
        <v>0</v>
      </c>
    </row>
    <row r="239" spans="1:12" x14ac:dyDescent="0.25">
      <c r="A239" s="47" t="s">
        <v>4264</v>
      </c>
      <c r="B239" s="293"/>
      <c r="C239" s="293"/>
      <c r="D239" s="293"/>
      <c r="E239" s="293"/>
      <c r="F239" s="293"/>
      <c r="G239" s="293"/>
      <c r="H239" s="293"/>
      <c r="I239" s="293"/>
      <c r="J239" s="293"/>
      <c r="L239" s="293">
        <f t="shared" si="24"/>
        <v>0</v>
      </c>
    </row>
    <row r="240" spans="1:12" x14ac:dyDescent="0.25">
      <c r="A240" t="s">
        <v>87</v>
      </c>
      <c r="B240" s="293"/>
      <c r="C240" s="293"/>
      <c r="D240" s="293"/>
      <c r="E240" s="293"/>
      <c r="F240" s="293"/>
      <c r="G240" s="293"/>
      <c r="H240" s="293"/>
      <c r="I240" s="293"/>
      <c r="J240" s="293"/>
      <c r="L240" s="293">
        <f t="shared" si="24"/>
        <v>0</v>
      </c>
    </row>
    <row r="241" spans="1:12" x14ac:dyDescent="0.25">
      <c r="A241" t="s">
        <v>4265</v>
      </c>
      <c r="B241" s="293"/>
      <c r="C241" s="293"/>
      <c r="D241" s="293"/>
      <c r="E241" s="293"/>
      <c r="F241" s="293"/>
      <c r="G241" s="293"/>
      <c r="H241" s="293"/>
      <c r="I241" s="293"/>
      <c r="J241" s="293"/>
      <c r="L241" s="293">
        <f t="shared" si="24"/>
        <v>0</v>
      </c>
    </row>
    <row r="242" spans="1:12" x14ac:dyDescent="0.25">
      <c r="B242" s="293"/>
      <c r="C242" s="293"/>
      <c r="D242" s="293"/>
      <c r="E242" s="293"/>
      <c r="F242" s="293"/>
      <c r="G242" s="293"/>
      <c r="H242" s="293"/>
      <c r="I242" s="293"/>
      <c r="J242" s="293"/>
      <c r="L242" s="293">
        <f t="shared" si="24"/>
        <v>0</v>
      </c>
    </row>
    <row r="243" spans="1:12" x14ac:dyDescent="0.25">
      <c r="B243" s="293"/>
      <c r="C243" s="293"/>
      <c r="D243" s="293"/>
      <c r="E243" s="293"/>
      <c r="F243" s="293"/>
      <c r="G243" s="293"/>
      <c r="H243" s="293"/>
      <c r="I243" s="293"/>
      <c r="J243" s="293"/>
      <c r="L243" s="293">
        <f t="shared" si="24"/>
        <v>0</v>
      </c>
    </row>
    <row r="244" spans="1:12" x14ac:dyDescent="0.25">
      <c r="B244" s="293"/>
      <c r="C244" s="293"/>
      <c r="D244" s="293"/>
      <c r="E244" s="293"/>
      <c r="F244" s="293"/>
      <c r="G244" s="293"/>
      <c r="H244" s="293"/>
      <c r="I244" s="293"/>
      <c r="J244" s="293"/>
      <c r="L244" s="293">
        <f t="shared" si="24"/>
        <v>0</v>
      </c>
    </row>
    <row r="245" spans="1:12" x14ac:dyDescent="0.25">
      <c r="B245" s="293"/>
      <c r="C245" s="293"/>
      <c r="D245" s="293"/>
      <c r="E245" s="293"/>
      <c r="F245" s="293"/>
      <c r="G245" s="293"/>
      <c r="H245" s="293"/>
      <c r="I245" s="293"/>
      <c r="J245" s="293"/>
      <c r="L245" s="293">
        <f t="shared" si="24"/>
        <v>0</v>
      </c>
    </row>
    <row r="246" spans="1:12" x14ac:dyDescent="0.25">
      <c r="A246" t="s">
        <v>4266</v>
      </c>
      <c r="B246" s="293"/>
      <c r="C246" s="293"/>
      <c r="D246" s="293"/>
      <c r="E246" s="293"/>
      <c r="F246" s="293"/>
      <c r="G246" s="293"/>
      <c r="H246" s="293"/>
      <c r="I246" s="293"/>
      <c r="J246" s="293"/>
      <c r="L246" s="293">
        <f t="shared" si="24"/>
        <v>0</v>
      </c>
    </row>
    <row r="247" spans="1:12" x14ac:dyDescent="0.25">
      <c r="A247" t="s">
        <v>66</v>
      </c>
      <c r="B247" s="293"/>
      <c r="C247" s="293"/>
      <c r="D247" s="293"/>
      <c r="E247" s="293"/>
      <c r="F247" s="293"/>
      <c r="G247" s="293"/>
      <c r="H247" s="293"/>
      <c r="I247" s="293"/>
      <c r="J247" s="293"/>
      <c r="L247" s="293">
        <f t="shared" si="24"/>
        <v>0</v>
      </c>
    </row>
    <row r="248" spans="1:12" x14ac:dyDescent="0.25">
      <c r="B248" s="293"/>
      <c r="C248" s="293"/>
      <c r="D248" s="293"/>
      <c r="E248" s="293"/>
      <c r="F248" s="293"/>
      <c r="G248" s="293"/>
      <c r="H248" s="293"/>
      <c r="I248" s="293"/>
      <c r="J248" s="293"/>
      <c r="L248" s="293">
        <f t="shared" si="24"/>
        <v>0</v>
      </c>
    </row>
    <row r="249" spans="1:12" x14ac:dyDescent="0.25">
      <c r="B249" s="293"/>
      <c r="C249" s="293"/>
      <c r="D249" s="293"/>
      <c r="E249" s="293"/>
      <c r="F249" s="293"/>
      <c r="G249" s="293"/>
      <c r="H249" s="293"/>
      <c r="I249" s="293"/>
      <c r="J249" s="293"/>
      <c r="L249" s="293">
        <f t="shared" si="24"/>
        <v>0</v>
      </c>
    </row>
    <row r="250" spans="1:12" x14ac:dyDescent="0.25">
      <c r="B250" s="293"/>
      <c r="C250" s="293"/>
      <c r="D250" s="293"/>
      <c r="E250" s="293"/>
      <c r="F250" s="293"/>
      <c r="G250" s="293"/>
      <c r="H250" s="293"/>
      <c r="I250" s="293"/>
      <c r="J250" s="293"/>
      <c r="L250" s="293">
        <f t="shared" si="24"/>
        <v>0</v>
      </c>
    </row>
    <row r="251" spans="1:12" x14ac:dyDescent="0.25">
      <c r="B251" s="293"/>
      <c r="C251" s="293"/>
      <c r="D251" s="293"/>
      <c r="E251" s="293"/>
      <c r="F251" s="293"/>
      <c r="G251" s="293"/>
      <c r="H251" s="293"/>
      <c r="I251" s="293"/>
      <c r="J251" s="293"/>
      <c r="L251" s="293">
        <f t="shared" si="24"/>
        <v>0</v>
      </c>
    </row>
    <row r="252" spans="1:12" x14ac:dyDescent="0.25">
      <c r="A252" s="47" t="s">
        <v>4267</v>
      </c>
      <c r="B252" s="296">
        <f>SUM(B240:B251)</f>
        <v>0</v>
      </c>
      <c r="C252" s="296">
        <f t="shared" ref="C252:J252" si="26">SUM(C240:C251)</f>
        <v>0</v>
      </c>
      <c r="D252" s="296">
        <f t="shared" si="26"/>
        <v>0</v>
      </c>
      <c r="E252" s="296">
        <f t="shared" si="26"/>
        <v>0</v>
      </c>
      <c r="F252" s="296">
        <f t="shared" si="26"/>
        <v>0</v>
      </c>
      <c r="G252" s="296">
        <f t="shared" si="26"/>
        <v>0</v>
      </c>
      <c r="H252" s="296">
        <f t="shared" si="26"/>
        <v>0</v>
      </c>
      <c r="I252" s="296">
        <f t="shared" si="26"/>
        <v>0</v>
      </c>
      <c r="J252" s="296">
        <f t="shared" si="26"/>
        <v>0</v>
      </c>
      <c r="L252" s="293">
        <f t="shared" si="24"/>
        <v>0</v>
      </c>
    </row>
    <row r="253" spans="1:12" x14ac:dyDescent="0.25">
      <c r="B253" s="293"/>
      <c r="C253" s="293"/>
      <c r="D253" s="293"/>
      <c r="E253" s="293"/>
      <c r="F253" s="293"/>
      <c r="G253" s="293"/>
      <c r="H253" s="293"/>
      <c r="I253" s="293"/>
      <c r="J253" s="293"/>
      <c r="L253" s="293">
        <f t="shared" si="24"/>
        <v>0</v>
      </c>
    </row>
    <row r="254" spans="1:12" ht="15.75" thickBot="1" x14ac:dyDescent="0.3">
      <c r="A254" s="47" t="s">
        <v>4268</v>
      </c>
      <c r="B254" s="301">
        <f>B237-B252</f>
        <v>100</v>
      </c>
      <c r="C254" s="301">
        <f t="shared" ref="C254:J254" si="27">C237-C252</f>
        <v>100</v>
      </c>
      <c r="D254" s="301">
        <f t="shared" si="27"/>
        <v>100</v>
      </c>
      <c r="E254" s="301">
        <f t="shared" si="27"/>
        <v>100</v>
      </c>
      <c r="F254" s="301">
        <f t="shared" si="27"/>
        <v>100</v>
      </c>
      <c r="G254" s="301">
        <f t="shared" si="27"/>
        <v>0</v>
      </c>
      <c r="H254" s="301">
        <f t="shared" si="27"/>
        <v>0</v>
      </c>
      <c r="I254" s="301">
        <f t="shared" si="27"/>
        <v>0</v>
      </c>
      <c r="J254" s="301">
        <f t="shared" si="27"/>
        <v>0</v>
      </c>
      <c r="L254" s="293"/>
    </row>
    <row r="255" spans="1:12" ht="15.75" thickTop="1" x14ac:dyDescent="0.25">
      <c r="B255" s="293"/>
      <c r="C255" s="293"/>
      <c r="D255" s="293"/>
      <c r="E255" s="293"/>
      <c r="F255" s="293"/>
      <c r="G255" s="293"/>
      <c r="H255" s="293"/>
      <c r="I255" s="293"/>
      <c r="J255" s="293"/>
      <c r="L255" s="293">
        <f t="shared" si="24"/>
        <v>0</v>
      </c>
    </row>
    <row r="256" spans="1:12" x14ac:dyDescent="0.25">
      <c r="A256" s="281"/>
      <c r="B256" s="316"/>
      <c r="C256" s="316"/>
      <c r="D256" s="316"/>
      <c r="E256" s="316"/>
      <c r="F256" s="316"/>
      <c r="G256" s="316"/>
      <c r="H256" s="316"/>
      <c r="I256" s="316"/>
      <c r="J256" s="316"/>
      <c r="L256" s="293">
        <f t="shared" si="24"/>
        <v>0</v>
      </c>
    </row>
    <row r="257" spans="1:12" x14ac:dyDescent="0.25">
      <c r="B257" s="293"/>
      <c r="C257" s="293"/>
      <c r="D257" s="293"/>
      <c r="E257" s="293"/>
      <c r="F257" s="293"/>
      <c r="G257" s="293"/>
      <c r="H257" s="293"/>
      <c r="I257" s="293"/>
      <c r="J257" s="293"/>
      <c r="L257" s="293">
        <f t="shared" si="24"/>
        <v>0</v>
      </c>
    </row>
    <row r="258" spans="1:12" x14ac:dyDescent="0.25">
      <c r="A258" s="280" t="s">
        <v>4327</v>
      </c>
      <c r="B258" s="293"/>
      <c r="C258" s="293"/>
      <c r="D258" s="293"/>
      <c r="E258" s="293"/>
      <c r="F258" s="293"/>
      <c r="G258" s="293"/>
      <c r="H258" s="293"/>
      <c r="I258" s="293"/>
      <c r="J258" s="293"/>
      <c r="L258" s="293">
        <f t="shared" si="24"/>
        <v>0</v>
      </c>
    </row>
    <row r="259" spans="1:12" x14ac:dyDescent="0.25">
      <c r="B259" s="293"/>
      <c r="C259" s="293"/>
      <c r="D259" s="293"/>
      <c r="E259" s="293"/>
      <c r="F259" s="293"/>
      <c r="G259" s="293"/>
      <c r="H259" s="293"/>
      <c r="I259" s="293"/>
      <c r="J259" s="293"/>
      <c r="L259" s="293">
        <f t="shared" si="24"/>
        <v>0</v>
      </c>
    </row>
    <row r="260" spans="1:12" x14ac:dyDescent="0.25">
      <c r="A260" s="47" t="s">
        <v>4260</v>
      </c>
      <c r="B260" s="293"/>
      <c r="C260" s="293"/>
      <c r="D260" s="293"/>
      <c r="E260" s="293"/>
      <c r="F260" s="293"/>
      <c r="G260" s="293"/>
      <c r="H260" s="293"/>
      <c r="I260" s="293"/>
      <c r="J260" s="293"/>
      <c r="L260" s="293">
        <f t="shared" si="24"/>
        <v>0</v>
      </c>
    </row>
    <row r="261" spans="1:12" x14ac:dyDescent="0.25">
      <c r="A261" t="s">
        <v>4262</v>
      </c>
      <c r="B261" s="293"/>
      <c r="C261" s="293"/>
      <c r="D261" s="293"/>
      <c r="E261" s="293"/>
      <c r="F261" s="293"/>
      <c r="G261" s="293"/>
      <c r="H261" s="293"/>
      <c r="I261" s="293"/>
      <c r="J261" s="293"/>
      <c r="L261" s="293">
        <f t="shared" si="24"/>
        <v>0</v>
      </c>
    </row>
    <row r="262" spans="1:12" x14ac:dyDescent="0.25">
      <c r="A262" t="s">
        <v>4261</v>
      </c>
      <c r="B262" s="293">
        <f>capitalrevdata!F22</f>
        <v>54900</v>
      </c>
      <c r="C262" s="293">
        <f>capitalrevdata!G22</f>
        <v>43900</v>
      </c>
      <c r="D262" s="293">
        <f>capitalrevdata!H22</f>
        <v>36600</v>
      </c>
      <c r="E262" s="293">
        <f>capitalrevdata!I22</f>
        <v>36600</v>
      </c>
      <c r="F262" s="293">
        <f>capitalrevdata!J22</f>
        <v>36600</v>
      </c>
      <c r="G262" s="293">
        <f>capitalrevdata!K22</f>
        <v>29300</v>
      </c>
      <c r="H262" s="293">
        <f>capitalrevdata!L22</f>
        <v>29300</v>
      </c>
      <c r="I262" s="293">
        <f>capitalrevdata!M22</f>
        <v>29300</v>
      </c>
      <c r="J262" s="293">
        <f>capitalrevdata!N22</f>
        <v>29300</v>
      </c>
      <c r="L262" s="293">
        <f t="shared" si="24"/>
        <v>29300</v>
      </c>
    </row>
    <row r="263" spans="1:12" x14ac:dyDescent="0.25">
      <c r="A263" t="s">
        <v>66</v>
      </c>
      <c r="B263" s="293"/>
      <c r="C263" s="293"/>
      <c r="D263" s="293"/>
      <c r="E263" s="293"/>
      <c r="F263" s="293"/>
      <c r="G263" s="293"/>
      <c r="H263" s="293"/>
      <c r="I263" s="293"/>
      <c r="J263" s="293"/>
      <c r="L263" s="293">
        <f t="shared" si="24"/>
        <v>0</v>
      </c>
    </row>
    <row r="264" spans="1:12" x14ac:dyDescent="0.25">
      <c r="B264" s="293"/>
      <c r="C264" s="293"/>
      <c r="D264" s="293"/>
      <c r="E264" s="293"/>
      <c r="F264" s="293"/>
      <c r="G264" s="293"/>
      <c r="H264" s="293"/>
      <c r="I264" s="293"/>
      <c r="J264" s="293"/>
      <c r="L264" s="293">
        <f t="shared" si="24"/>
        <v>0</v>
      </c>
    </row>
    <row r="265" spans="1:12" x14ac:dyDescent="0.25">
      <c r="B265" s="293"/>
      <c r="C265" s="293"/>
      <c r="D265" s="293"/>
      <c r="E265" s="293"/>
      <c r="F265" s="293"/>
      <c r="G265" s="293"/>
      <c r="H265" s="293"/>
      <c r="I265" s="293"/>
      <c r="J265" s="293"/>
      <c r="L265" s="293">
        <f t="shared" si="24"/>
        <v>0</v>
      </c>
    </row>
    <row r="266" spans="1:12" x14ac:dyDescent="0.25">
      <c r="B266" s="293"/>
      <c r="C266" s="293"/>
      <c r="D266" s="293"/>
      <c r="E266" s="293"/>
      <c r="F266" s="293"/>
      <c r="G266" s="293"/>
      <c r="H266" s="293"/>
      <c r="I266" s="293"/>
      <c r="J266" s="293"/>
      <c r="L266" s="293">
        <f t="shared" si="24"/>
        <v>0</v>
      </c>
    </row>
    <row r="267" spans="1:12" x14ac:dyDescent="0.25">
      <c r="B267" s="293"/>
      <c r="C267" s="293"/>
      <c r="D267" s="293"/>
      <c r="E267" s="293"/>
      <c r="F267" s="293"/>
      <c r="G267" s="293"/>
      <c r="H267" s="293"/>
      <c r="I267" s="293"/>
      <c r="J267" s="293"/>
      <c r="L267" s="293">
        <f t="shared" si="24"/>
        <v>0</v>
      </c>
    </row>
    <row r="268" spans="1:12" x14ac:dyDescent="0.25">
      <c r="A268" s="47" t="s">
        <v>4263</v>
      </c>
      <c r="B268" s="296">
        <f>SUM(B258:B267)</f>
        <v>54900</v>
      </c>
      <c r="C268" s="296">
        <f t="shared" ref="C268:J268" si="28">SUM(C258:C267)</f>
        <v>43900</v>
      </c>
      <c r="D268" s="296">
        <f t="shared" si="28"/>
        <v>36600</v>
      </c>
      <c r="E268" s="296">
        <f t="shared" si="28"/>
        <v>36600</v>
      </c>
      <c r="F268" s="296">
        <f t="shared" si="28"/>
        <v>36600</v>
      </c>
      <c r="G268" s="296">
        <f t="shared" si="28"/>
        <v>29300</v>
      </c>
      <c r="H268" s="296">
        <f t="shared" si="28"/>
        <v>29300</v>
      </c>
      <c r="I268" s="296">
        <f t="shared" si="28"/>
        <v>29300</v>
      </c>
      <c r="J268" s="296">
        <f t="shared" si="28"/>
        <v>29300</v>
      </c>
      <c r="L268" s="293"/>
    </row>
    <row r="269" spans="1:12" x14ac:dyDescent="0.25">
      <c r="B269" s="293"/>
      <c r="C269" s="293"/>
      <c r="D269" s="293"/>
      <c r="E269" s="293"/>
      <c r="F269" s="293"/>
      <c r="G269" s="293"/>
      <c r="H269" s="293"/>
      <c r="I269" s="293"/>
      <c r="J269" s="293"/>
      <c r="L269" s="293">
        <f t="shared" si="24"/>
        <v>0</v>
      </c>
    </row>
    <row r="270" spans="1:12" x14ac:dyDescent="0.25">
      <c r="A270" s="47" t="s">
        <v>4264</v>
      </c>
      <c r="B270" s="293"/>
      <c r="C270" s="293"/>
      <c r="D270" s="293"/>
      <c r="E270" s="293"/>
      <c r="F270" s="293"/>
      <c r="G270" s="293"/>
      <c r="H270" s="293"/>
      <c r="I270" s="293"/>
      <c r="J270" s="293"/>
      <c r="L270" s="293">
        <f t="shared" si="24"/>
        <v>0</v>
      </c>
    </row>
    <row r="271" spans="1:12" x14ac:dyDescent="0.25">
      <c r="A271" t="s">
        <v>87</v>
      </c>
      <c r="B271" s="293"/>
      <c r="C271" s="293"/>
      <c r="D271" s="293"/>
      <c r="E271" s="293"/>
      <c r="F271" s="293"/>
      <c r="G271" s="293"/>
      <c r="H271" s="293"/>
      <c r="I271" s="293"/>
      <c r="J271" s="293"/>
      <c r="L271" s="293">
        <f t="shared" si="24"/>
        <v>0</v>
      </c>
    </row>
    <row r="272" spans="1:12" x14ac:dyDescent="0.25">
      <c r="A272" t="s">
        <v>4265</v>
      </c>
      <c r="B272" s="293"/>
      <c r="C272" s="293"/>
      <c r="D272" s="293"/>
      <c r="E272" s="293"/>
      <c r="F272" s="293"/>
      <c r="G272" s="293"/>
      <c r="H272" s="293"/>
      <c r="I272" s="293"/>
      <c r="J272" s="293"/>
      <c r="L272" s="293">
        <f t="shared" si="24"/>
        <v>0</v>
      </c>
    </row>
    <row r="273" spans="1:12" x14ac:dyDescent="0.25">
      <c r="A273" t="s">
        <v>3844</v>
      </c>
      <c r="B273" s="293">
        <f>capitalexpdata!G482</f>
        <v>58000</v>
      </c>
      <c r="C273" s="293"/>
      <c r="D273" s="293"/>
      <c r="E273" s="293"/>
      <c r="F273" s="293"/>
      <c r="G273" s="293"/>
      <c r="H273" s="293"/>
      <c r="I273" s="293"/>
      <c r="J273" s="293"/>
      <c r="L273" s="293">
        <f t="shared" si="24"/>
        <v>0</v>
      </c>
    </row>
    <row r="274" spans="1:12" x14ac:dyDescent="0.25">
      <c r="B274" s="293"/>
      <c r="C274" s="293"/>
      <c r="D274" s="293"/>
      <c r="E274" s="293"/>
      <c r="F274" s="293"/>
      <c r="G274" s="293"/>
      <c r="H274" s="293"/>
      <c r="I274" s="293"/>
      <c r="J274" s="293"/>
      <c r="L274" s="293">
        <f t="shared" si="24"/>
        <v>0</v>
      </c>
    </row>
    <row r="275" spans="1:12" x14ac:dyDescent="0.25">
      <c r="B275" s="293"/>
      <c r="C275" s="293"/>
      <c r="D275" s="293"/>
      <c r="E275" s="293"/>
      <c r="F275" s="293"/>
      <c r="G275" s="293"/>
      <c r="H275" s="293"/>
      <c r="I275" s="293"/>
      <c r="J275" s="293"/>
      <c r="L275" s="293">
        <f t="shared" si="24"/>
        <v>0</v>
      </c>
    </row>
    <row r="276" spans="1:12" x14ac:dyDescent="0.25">
      <c r="B276" s="293"/>
      <c r="C276" s="293"/>
      <c r="D276" s="293"/>
      <c r="E276" s="293"/>
      <c r="F276" s="293"/>
      <c r="G276" s="293"/>
      <c r="H276" s="293"/>
      <c r="I276" s="293"/>
      <c r="J276" s="293"/>
      <c r="L276" s="293">
        <f t="shared" si="24"/>
        <v>0</v>
      </c>
    </row>
    <row r="277" spans="1:12" x14ac:dyDescent="0.25">
      <c r="A277" t="s">
        <v>4266</v>
      </c>
      <c r="B277" s="293"/>
      <c r="C277" s="293"/>
      <c r="D277" s="293"/>
      <c r="E277" s="293"/>
      <c r="F277" s="293"/>
      <c r="G277" s="293"/>
      <c r="H277" s="293"/>
      <c r="I277" s="293"/>
      <c r="J277" s="293"/>
      <c r="L277" s="293">
        <f t="shared" si="24"/>
        <v>0</v>
      </c>
    </row>
    <row r="278" spans="1:12" x14ac:dyDescent="0.25">
      <c r="A278" t="s">
        <v>66</v>
      </c>
      <c r="B278" s="293"/>
      <c r="C278" s="293"/>
      <c r="D278" s="293"/>
      <c r="E278" s="293"/>
      <c r="F278" s="293"/>
      <c r="G278" s="293"/>
      <c r="H278" s="293"/>
      <c r="I278" s="293"/>
      <c r="J278" s="293"/>
      <c r="L278" s="293">
        <f t="shared" si="24"/>
        <v>0</v>
      </c>
    </row>
    <row r="279" spans="1:12" x14ac:dyDescent="0.25">
      <c r="B279" s="293"/>
      <c r="C279" s="293"/>
      <c r="D279" s="293"/>
      <c r="E279" s="293"/>
      <c r="F279" s="293"/>
      <c r="G279" s="293"/>
      <c r="H279" s="293"/>
      <c r="I279" s="293"/>
      <c r="J279" s="293"/>
      <c r="L279" s="293">
        <f t="shared" si="24"/>
        <v>0</v>
      </c>
    </row>
    <row r="280" spans="1:12" x14ac:dyDescent="0.25">
      <c r="B280" s="293"/>
      <c r="C280" s="293"/>
      <c r="D280" s="293"/>
      <c r="E280" s="293"/>
      <c r="F280" s="293"/>
      <c r="G280" s="293"/>
      <c r="H280" s="293"/>
      <c r="I280" s="293"/>
      <c r="J280" s="293"/>
      <c r="L280" s="293">
        <f t="shared" si="24"/>
        <v>0</v>
      </c>
    </row>
    <row r="281" spans="1:12" x14ac:dyDescent="0.25">
      <c r="B281" s="293"/>
      <c r="C281" s="293"/>
      <c r="D281" s="293"/>
      <c r="E281" s="293"/>
      <c r="F281" s="293"/>
      <c r="G281" s="293"/>
      <c r="H281" s="293"/>
      <c r="I281" s="293"/>
      <c r="J281" s="293"/>
      <c r="L281" s="293">
        <f t="shared" si="24"/>
        <v>0</v>
      </c>
    </row>
    <row r="282" spans="1:12" x14ac:dyDescent="0.25">
      <c r="B282" s="293"/>
      <c r="C282" s="293"/>
      <c r="D282" s="293"/>
      <c r="E282" s="293"/>
      <c r="F282" s="293"/>
      <c r="G282" s="293"/>
      <c r="H282" s="293"/>
      <c r="I282" s="293"/>
      <c r="J282" s="293"/>
      <c r="L282" s="293">
        <f t="shared" si="24"/>
        <v>0</v>
      </c>
    </row>
    <row r="283" spans="1:12" x14ac:dyDescent="0.25">
      <c r="A283" s="47" t="s">
        <v>4267</v>
      </c>
      <c r="B283" s="296">
        <f>SUM(B271:B282)</f>
        <v>58000</v>
      </c>
      <c r="C283" s="296">
        <f t="shared" ref="C283:J283" si="29">SUM(C271:C282)</f>
        <v>0</v>
      </c>
      <c r="D283" s="296">
        <f t="shared" si="29"/>
        <v>0</v>
      </c>
      <c r="E283" s="296">
        <f t="shared" si="29"/>
        <v>0</v>
      </c>
      <c r="F283" s="296">
        <f t="shared" si="29"/>
        <v>0</v>
      </c>
      <c r="G283" s="296">
        <f t="shared" si="29"/>
        <v>0</v>
      </c>
      <c r="H283" s="296">
        <f t="shared" si="29"/>
        <v>0</v>
      </c>
      <c r="I283" s="296">
        <f t="shared" si="29"/>
        <v>0</v>
      </c>
      <c r="J283" s="296">
        <f t="shared" si="29"/>
        <v>0</v>
      </c>
      <c r="L283" s="293">
        <f t="shared" si="24"/>
        <v>0</v>
      </c>
    </row>
    <row r="284" spans="1:12" x14ac:dyDescent="0.25">
      <c r="B284" s="293"/>
      <c r="C284" s="293"/>
      <c r="D284" s="293"/>
      <c r="E284" s="293"/>
      <c r="F284" s="293"/>
      <c r="G284" s="293"/>
      <c r="H284" s="293"/>
      <c r="I284" s="293"/>
      <c r="J284" s="293"/>
      <c r="L284" s="293">
        <f t="shared" si="24"/>
        <v>0</v>
      </c>
    </row>
    <row r="285" spans="1:12" ht="15.75" thickBot="1" x14ac:dyDescent="0.3">
      <c r="A285" s="47" t="s">
        <v>4268</v>
      </c>
      <c r="B285" s="301">
        <f>B268-B283</f>
        <v>-3100</v>
      </c>
      <c r="C285" s="301">
        <f t="shared" ref="C285:J285" si="30">C268-C283</f>
        <v>43900</v>
      </c>
      <c r="D285" s="301">
        <f t="shared" si="30"/>
        <v>36600</v>
      </c>
      <c r="E285" s="301">
        <f t="shared" si="30"/>
        <v>36600</v>
      </c>
      <c r="F285" s="301">
        <f t="shared" si="30"/>
        <v>36600</v>
      </c>
      <c r="G285" s="301">
        <f t="shared" si="30"/>
        <v>29300</v>
      </c>
      <c r="H285" s="301">
        <f t="shared" si="30"/>
        <v>29300</v>
      </c>
      <c r="I285" s="301">
        <f t="shared" si="30"/>
        <v>29300</v>
      </c>
      <c r="J285" s="301">
        <f t="shared" si="30"/>
        <v>29300</v>
      </c>
      <c r="L285" s="293"/>
    </row>
    <row r="286" spans="1:12" ht="15.75" thickTop="1" x14ac:dyDescent="0.25">
      <c r="B286" s="293"/>
      <c r="C286" s="293"/>
      <c r="D286" s="293"/>
      <c r="E286" s="293"/>
      <c r="F286" s="293"/>
      <c r="G286" s="293"/>
      <c r="H286" s="293"/>
      <c r="I286" s="293"/>
      <c r="J286" s="293"/>
      <c r="L286" s="293">
        <f t="shared" si="24"/>
        <v>0</v>
      </c>
    </row>
    <row r="287" spans="1:12" x14ac:dyDescent="0.25">
      <c r="A287" s="281"/>
      <c r="B287" s="316"/>
      <c r="C287" s="316"/>
      <c r="D287" s="316"/>
      <c r="E287" s="316"/>
      <c r="F287" s="316"/>
      <c r="G287" s="316"/>
      <c r="H287" s="316"/>
      <c r="I287" s="316"/>
      <c r="J287" s="316"/>
      <c r="L287" s="293">
        <f t="shared" si="24"/>
        <v>0</v>
      </c>
    </row>
    <row r="288" spans="1:12" x14ac:dyDescent="0.25">
      <c r="B288" s="293"/>
      <c r="C288" s="293"/>
      <c r="D288" s="293"/>
      <c r="E288" s="293"/>
      <c r="F288" s="293"/>
      <c r="G288" s="293"/>
      <c r="H288" s="293"/>
      <c r="I288" s="293"/>
      <c r="J288" s="293"/>
      <c r="L288" s="293">
        <f t="shared" si="24"/>
        <v>0</v>
      </c>
    </row>
    <row r="289" spans="1:12" x14ac:dyDescent="0.25">
      <c r="A289" s="280" t="s">
        <v>4328</v>
      </c>
      <c r="B289" s="293"/>
      <c r="C289" s="293"/>
      <c r="D289" s="293"/>
      <c r="E289" s="293"/>
      <c r="F289" s="293"/>
      <c r="G289" s="293"/>
      <c r="H289" s="293"/>
      <c r="I289" s="293"/>
      <c r="J289" s="293"/>
      <c r="L289" s="293">
        <f t="shared" si="24"/>
        <v>0</v>
      </c>
    </row>
    <row r="290" spans="1:12" x14ac:dyDescent="0.25">
      <c r="B290" s="293"/>
      <c r="C290" s="293"/>
      <c r="D290" s="293"/>
      <c r="E290" s="293"/>
      <c r="F290" s="293"/>
      <c r="G290" s="293"/>
      <c r="H290" s="293"/>
      <c r="I290" s="293"/>
      <c r="J290" s="293"/>
      <c r="L290" s="293">
        <f t="shared" si="24"/>
        <v>0</v>
      </c>
    </row>
    <row r="291" spans="1:12" x14ac:dyDescent="0.25">
      <c r="A291" s="47" t="s">
        <v>4260</v>
      </c>
      <c r="B291" s="293"/>
      <c r="C291" s="293"/>
      <c r="D291" s="293"/>
      <c r="E291" s="293"/>
      <c r="F291" s="293"/>
      <c r="G291" s="293"/>
      <c r="H291" s="293"/>
      <c r="I291" s="293"/>
      <c r="J291" s="293"/>
      <c r="L291" s="293">
        <f t="shared" si="24"/>
        <v>0</v>
      </c>
    </row>
    <row r="292" spans="1:12" x14ac:dyDescent="0.25">
      <c r="A292" t="s">
        <v>4262</v>
      </c>
      <c r="B292" s="293"/>
      <c r="C292" s="293"/>
      <c r="D292" s="293"/>
      <c r="E292" s="293"/>
      <c r="F292" s="293"/>
      <c r="G292" s="293"/>
      <c r="H292" s="293"/>
      <c r="I292" s="293"/>
      <c r="J292" s="293"/>
      <c r="L292" s="293">
        <f t="shared" si="24"/>
        <v>0</v>
      </c>
    </row>
    <row r="293" spans="1:12" x14ac:dyDescent="0.25">
      <c r="A293" t="s">
        <v>4261</v>
      </c>
      <c r="B293" s="293">
        <f>capitalrevdata!F23</f>
        <v>175000</v>
      </c>
      <c r="C293" s="293">
        <f>capitalrevdata!G23</f>
        <v>140000</v>
      </c>
      <c r="D293" s="293">
        <f>capitalrevdata!H23</f>
        <v>116700</v>
      </c>
      <c r="E293" s="293">
        <f>capitalrevdata!I23</f>
        <v>116700</v>
      </c>
      <c r="F293" s="293">
        <f>capitalrevdata!J23</f>
        <v>116700</v>
      </c>
      <c r="G293" s="293">
        <f>capitalrevdata!K23</f>
        <v>93300</v>
      </c>
      <c r="H293" s="293">
        <f>capitalrevdata!L23</f>
        <v>93300</v>
      </c>
      <c r="I293" s="293">
        <f>capitalrevdata!M23</f>
        <v>93300</v>
      </c>
      <c r="J293" s="293">
        <f>capitalrevdata!N23</f>
        <v>93300</v>
      </c>
      <c r="L293" s="293">
        <f t="shared" si="24"/>
        <v>93300</v>
      </c>
    </row>
    <row r="294" spans="1:12" x14ac:dyDescent="0.25">
      <c r="A294" t="s">
        <v>66</v>
      </c>
      <c r="B294" s="293"/>
      <c r="C294" s="293"/>
      <c r="D294" s="293"/>
      <c r="E294" s="293"/>
      <c r="F294" s="293"/>
      <c r="G294" s="293"/>
      <c r="H294" s="293"/>
      <c r="I294" s="293"/>
      <c r="J294" s="293"/>
      <c r="L294" s="293">
        <f t="shared" si="24"/>
        <v>0</v>
      </c>
    </row>
    <row r="295" spans="1:12" x14ac:dyDescent="0.25">
      <c r="B295" s="293"/>
      <c r="C295" s="293"/>
      <c r="D295" s="293"/>
      <c r="E295" s="293"/>
      <c r="F295" s="293"/>
      <c r="G295" s="293"/>
      <c r="H295" s="293"/>
      <c r="I295" s="293"/>
      <c r="J295" s="293"/>
      <c r="L295" s="293">
        <f t="shared" si="24"/>
        <v>0</v>
      </c>
    </row>
    <row r="296" spans="1:12" x14ac:dyDescent="0.25">
      <c r="B296" s="293"/>
      <c r="C296" s="293"/>
      <c r="D296" s="293"/>
      <c r="E296" s="293"/>
      <c r="F296" s="293"/>
      <c r="G296" s="293"/>
      <c r="H296" s="293"/>
      <c r="I296" s="293"/>
      <c r="J296" s="293"/>
      <c r="L296" s="293">
        <f t="shared" si="24"/>
        <v>0</v>
      </c>
    </row>
    <row r="297" spans="1:12" x14ac:dyDescent="0.25">
      <c r="B297" s="293"/>
      <c r="C297" s="293"/>
      <c r="D297" s="293"/>
      <c r="E297" s="293"/>
      <c r="F297" s="293"/>
      <c r="G297" s="293"/>
      <c r="H297" s="293"/>
      <c r="I297" s="293"/>
      <c r="J297" s="293"/>
      <c r="L297" s="293">
        <f t="shared" si="24"/>
        <v>0</v>
      </c>
    </row>
    <row r="298" spans="1:12" x14ac:dyDescent="0.25">
      <c r="B298" s="293"/>
      <c r="C298" s="293"/>
      <c r="D298" s="293"/>
      <c r="E298" s="293"/>
      <c r="F298" s="293"/>
      <c r="G298" s="293"/>
      <c r="H298" s="293"/>
      <c r="I298" s="293"/>
      <c r="J298" s="293"/>
      <c r="L298" s="293">
        <f t="shared" si="24"/>
        <v>0</v>
      </c>
    </row>
    <row r="299" spans="1:12" x14ac:dyDescent="0.25">
      <c r="A299" s="47" t="s">
        <v>4263</v>
      </c>
      <c r="B299" s="296">
        <f>SUM(B289:B298)</f>
        <v>175000</v>
      </c>
      <c r="C299" s="296">
        <f t="shared" ref="C299:J299" si="31">SUM(C289:C298)</f>
        <v>140000</v>
      </c>
      <c r="D299" s="296">
        <f t="shared" si="31"/>
        <v>116700</v>
      </c>
      <c r="E299" s="296">
        <f t="shared" si="31"/>
        <v>116700</v>
      </c>
      <c r="F299" s="296">
        <f t="shared" si="31"/>
        <v>116700</v>
      </c>
      <c r="G299" s="296">
        <f t="shared" si="31"/>
        <v>93300</v>
      </c>
      <c r="H299" s="296">
        <f t="shared" si="31"/>
        <v>93300</v>
      </c>
      <c r="I299" s="296">
        <f t="shared" si="31"/>
        <v>93300</v>
      </c>
      <c r="J299" s="296">
        <f t="shared" si="31"/>
        <v>93300</v>
      </c>
      <c r="L299" s="293"/>
    </row>
    <row r="300" spans="1:12" x14ac:dyDescent="0.25">
      <c r="B300" s="293"/>
      <c r="C300" s="293"/>
      <c r="D300" s="293"/>
      <c r="E300" s="293"/>
      <c r="F300" s="293"/>
      <c r="G300" s="293"/>
      <c r="H300" s="293"/>
      <c r="I300" s="293"/>
      <c r="J300" s="293"/>
      <c r="L300" s="293">
        <f t="shared" ref="L300:L363" si="32">J300</f>
        <v>0</v>
      </c>
    </row>
    <row r="301" spans="1:12" x14ac:dyDescent="0.25">
      <c r="A301" s="47" t="s">
        <v>4264</v>
      </c>
      <c r="B301" s="293"/>
      <c r="C301" s="293"/>
      <c r="D301" s="293"/>
      <c r="E301" s="293"/>
      <c r="F301" s="293"/>
      <c r="G301" s="293"/>
      <c r="H301" s="293"/>
      <c r="I301" s="293"/>
      <c r="J301" s="293"/>
      <c r="L301" s="293">
        <f t="shared" si="32"/>
        <v>0</v>
      </c>
    </row>
    <row r="302" spans="1:12" x14ac:dyDescent="0.25">
      <c r="A302" t="s">
        <v>87</v>
      </c>
      <c r="B302" s="293"/>
      <c r="C302" s="293"/>
      <c r="D302" s="293"/>
      <c r="E302" s="293"/>
      <c r="F302" s="293"/>
      <c r="G302" s="293"/>
      <c r="H302" s="293"/>
      <c r="I302" s="293"/>
      <c r="J302" s="293"/>
      <c r="L302" s="293">
        <f t="shared" si="32"/>
        <v>0</v>
      </c>
    </row>
    <row r="303" spans="1:12" x14ac:dyDescent="0.25">
      <c r="A303" t="s">
        <v>4265</v>
      </c>
      <c r="B303" s="293"/>
      <c r="C303" s="293"/>
      <c r="D303" s="293"/>
      <c r="E303" s="293"/>
      <c r="F303" s="293"/>
      <c r="G303" s="293"/>
      <c r="H303" s="293"/>
      <c r="I303" s="293"/>
      <c r="J303" s="293"/>
      <c r="L303" s="293">
        <f t="shared" si="32"/>
        <v>0</v>
      </c>
    </row>
    <row r="304" spans="1:12" x14ac:dyDescent="0.25">
      <c r="A304" t="s">
        <v>3850</v>
      </c>
      <c r="B304" s="293">
        <f>capitalexpdata!G488</f>
        <v>40000</v>
      </c>
      <c r="C304" s="293"/>
      <c r="D304" s="293"/>
      <c r="E304" s="293"/>
      <c r="F304" s="293"/>
      <c r="G304" s="293"/>
      <c r="H304" s="293"/>
      <c r="I304" s="293"/>
      <c r="J304" s="293"/>
      <c r="L304" s="293">
        <f t="shared" si="32"/>
        <v>0</v>
      </c>
    </row>
    <row r="305" spans="1:12" x14ac:dyDescent="0.25">
      <c r="B305" s="293"/>
      <c r="C305" s="293"/>
      <c r="D305" s="293"/>
      <c r="E305" s="293"/>
      <c r="F305" s="293"/>
      <c r="G305" s="293"/>
      <c r="H305" s="293"/>
      <c r="I305" s="293"/>
      <c r="J305" s="293"/>
      <c r="L305" s="293">
        <f t="shared" si="32"/>
        <v>0</v>
      </c>
    </row>
    <row r="306" spans="1:12" x14ac:dyDescent="0.25">
      <c r="B306" s="293"/>
      <c r="C306" s="293"/>
      <c r="D306" s="293"/>
      <c r="E306" s="293"/>
      <c r="F306" s="293"/>
      <c r="G306" s="293"/>
      <c r="H306" s="293"/>
      <c r="I306" s="293"/>
      <c r="J306" s="293"/>
      <c r="L306" s="293">
        <f t="shared" si="32"/>
        <v>0</v>
      </c>
    </row>
    <row r="307" spans="1:12" x14ac:dyDescent="0.25">
      <c r="B307" s="293"/>
      <c r="C307" s="293"/>
      <c r="D307" s="293"/>
      <c r="E307" s="293"/>
      <c r="F307" s="293"/>
      <c r="G307" s="293"/>
      <c r="H307" s="293"/>
      <c r="I307" s="293"/>
      <c r="J307" s="293"/>
      <c r="L307" s="293">
        <f t="shared" si="32"/>
        <v>0</v>
      </c>
    </row>
    <row r="308" spans="1:12" x14ac:dyDescent="0.25">
      <c r="A308" t="s">
        <v>4266</v>
      </c>
      <c r="B308" s="293"/>
      <c r="C308" s="293"/>
      <c r="D308" s="293"/>
      <c r="E308" s="293"/>
      <c r="F308" s="293"/>
      <c r="G308" s="293"/>
      <c r="H308" s="293"/>
      <c r="I308" s="293"/>
      <c r="J308" s="293"/>
      <c r="L308" s="293">
        <f t="shared" si="32"/>
        <v>0</v>
      </c>
    </row>
    <row r="309" spans="1:12" x14ac:dyDescent="0.25">
      <c r="A309" t="s">
        <v>66</v>
      </c>
      <c r="B309" s="293"/>
      <c r="C309" s="293"/>
      <c r="D309" s="293"/>
      <c r="E309" s="293"/>
      <c r="F309" s="293"/>
      <c r="G309" s="293"/>
      <c r="H309" s="293"/>
      <c r="I309" s="293"/>
      <c r="J309" s="293"/>
      <c r="L309" s="293">
        <f t="shared" si="32"/>
        <v>0</v>
      </c>
    </row>
    <row r="310" spans="1:12" x14ac:dyDescent="0.25">
      <c r="B310" s="293"/>
      <c r="C310" s="293"/>
      <c r="D310" s="293"/>
      <c r="E310" s="293"/>
      <c r="F310" s="293"/>
      <c r="G310" s="293"/>
      <c r="H310" s="293"/>
      <c r="I310" s="293"/>
      <c r="J310" s="293"/>
      <c r="L310" s="293">
        <f t="shared" si="32"/>
        <v>0</v>
      </c>
    </row>
    <row r="311" spans="1:12" x14ac:dyDescent="0.25">
      <c r="B311" s="293"/>
      <c r="C311" s="293"/>
      <c r="D311" s="293"/>
      <c r="E311" s="293"/>
      <c r="F311" s="293"/>
      <c r="G311" s="293"/>
      <c r="H311" s="293"/>
      <c r="I311" s="293"/>
      <c r="J311" s="293"/>
      <c r="L311" s="293">
        <f t="shared" si="32"/>
        <v>0</v>
      </c>
    </row>
    <row r="312" spans="1:12" x14ac:dyDescent="0.25">
      <c r="B312" s="293"/>
      <c r="C312" s="293"/>
      <c r="D312" s="293"/>
      <c r="E312" s="293"/>
      <c r="F312" s="293"/>
      <c r="G312" s="293"/>
      <c r="H312" s="293"/>
      <c r="I312" s="293"/>
      <c r="J312" s="293"/>
      <c r="L312" s="293">
        <f t="shared" si="32"/>
        <v>0</v>
      </c>
    </row>
    <row r="313" spans="1:12" x14ac:dyDescent="0.25">
      <c r="B313" s="293"/>
      <c r="C313" s="293"/>
      <c r="D313" s="293"/>
      <c r="E313" s="293"/>
      <c r="F313" s="293"/>
      <c r="G313" s="293"/>
      <c r="H313" s="293"/>
      <c r="I313" s="293"/>
      <c r="J313" s="293"/>
      <c r="L313" s="293">
        <f t="shared" si="32"/>
        <v>0</v>
      </c>
    </row>
    <row r="314" spans="1:12" x14ac:dyDescent="0.25">
      <c r="A314" s="47" t="s">
        <v>4267</v>
      </c>
      <c r="B314" s="296">
        <f>SUM(B302:B313)</f>
        <v>40000</v>
      </c>
      <c r="C314" s="296">
        <f t="shared" ref="C314:J314" si="33">SUM(C302:C313)</f>
        <v>0</v>
      </c>
      <c r="D314" s="296">
        <f t="shared" si="33"/>
        <v>0</v>
      </c>
      <c r="E314" s="296">
        <f t="shared" si="33"/>
        <v>0</v>
      </c>
      <c r="F314" s="296">
        <f t="shared" si="33"/>
        <v>0</v>
      </c>
      <c r="G314" s="296">
        <f t="shared" si="33"/>
        <v>0</v>
      </c>
      <c r="H314" s="296">
        <f t="shared" si="33"/>
        <v>0</v>
      </c>
      <c r="I314" s="296">
        <f t="shared" si="33"/>
        <v>0</v>
      </c>
      <c r="J314" s="296">
        <f t="shared" si="33"/>
        <v>0</v>
      </c>
      <c r="L314" s="293">
        <f t="shared" si="32"/>
        <v>0</v>
      </c>
    </row>
    <row r="315" spans="1:12" x14ac:dyDescent="0.25">
      <c r="B315" s="293"/>
      <c r="C315" s="293"/>
      <c r="D315" s="293"/>
      <c r="E315" s="293"/>
      <c r="F315" s="293"/>
      <c r="G315" s="293"/>
      <c r="H315" s="293"/>
      <c r="I315" s="293"/>
      <c r="J315" s="293"/>
      <c r="L315" s="293">
        <f t="shared" si="32"/>
        <v>0</v>
      </c>
    </row>
    <row r="316" spans="1:12" ht="15.75" thickBot="1" x14ac:dyDescent="0.3">
      <c r="A316" s="47" t="s">
        <v>4268</v>
      </c>
      <c r="B316" s="301">
        <f>B299-B314</f>
        <v>135000</v>
      </c>
      <c r="C316" s="301">
        <f t="shared" ref="C316:J316" si="34">C299-C314</f>
        <v>140000</v>
      </c>
      <c r="D316" s="301">
        <f t="shared" si="34"/>
        <v>116700</v>
      </c>
      <c r="E316" s="301">
        <f t="shared" si="34"/>
        <v>116700</v>
      </c>
      <c r="F316" s="301">
        <f t="shared" si="34"/>
        <v>116700</v>
      </c>
      <c r="G316" s="301">
        <f t="shared" si="34"/>
        <v>93300</v>
      </c>
      <c r="H316" s="301">
        <f t="shared" si="34"/>
        <v>93300</v>
      </c>
      <c r="I316" s="301">
        <f t="shared" si="34"/>
        <v>93300</v>
      </c>
      <c r="J316" s="301">
        <f t="shared" si="34"/>
        <v>93300</v>
      </c>
      <c r="L316" s="293"/>
    </row>
    <row r="317" spans="1:12" ht="15.75" thickTop="1" x14ac:dyDescent="0.25">
      <c r="B317" s="293"/>
      <c r="C317" s="293"/>
      <c r="D317" s="293"/>
      <c r="E317" s="293"/>
      <c r="F317" s="293"/>
      <c r="G317" s="293"/>
      <c r="H317" s="293"/>
      <c r="I317" s="293"/>
      <c r="J317" s="293"/>
      <c r="L317" s="293">
        <f t="shared" si="32"/>
        <v>0</v>
      </c>
    </row>
    <row r="318" spans="1:12" x14ac:dyDescent="0.25">
      <c r="A318" s="281"/>
      <c r="B318" s="316"/>
      <c r="C318" s="316"/>
      <c r="D318" s="316"/>
      <c r="E318" s="316"/>
      <c r="F318" s="316"/>
      <c r="G318" s="316"/>
      <c r="H318" s="316"/>
      <c r="I318" s="316"/>
      <c r="J318" s="316"/>
      <c r="L318" s="293">
        <f t="shared" si="32"/>
        <v>0</v>
      </c>
    </row>
    <row r="319" spans="1:12" x14ac:dyDescent="0.25">
      <c r="B319" s="293"/>
      <c r="C319" s="293"/>
      <c r="D319" s="293"/>
      <c r="E319" s="293"/>
      <c r="F319" s="293"/>
      <c r="G319" s="293"/>
      <c r="H319" s="293"/>
      <c r="I319" s="293"/>
      <c r="J319" s="293"/>
      <c r="L319" s="293">
        <f t="shared" si="32"/>
        <v>0</v>
      </c>
    </row>
    <row r="320" spans="1:12" x14ac:dyDescent="0.25">
      <c r="A320" s="280" t="s">
        <v>4329</v>
      </c>
      <c r="B320" s="293"/>
      <c r="C320" s="293"/>
      <c r="D320" s="293"/>
      <c r="E320" s="293"/>
      <c r="F320" s="293"/>
      <c r="G320" s="293"/>
      <c r="H320" s="293"/>
      <c r="I320" s="293"/>
      <c r="J320" s="293"/>
      <c r="L320" s="293">
        <f t="shared" si="32"/>
        <v>0</v>
      </c>
    </row>
    <row r="321" spans="1:12" x14ac:dyDescent="0.25">
      <c r="B321" s="293"/>
      <c r="C321" s="293"/>
      <c r="D321" s="293"/>
      <c r="E321" s="293"/>
      <c r="F321" s="293"/>
      <c r="G321" s="293"/>
      <c r="H321" s="293"/>
      <c r="I321" s="293"/>
      <c r="J321" s="293"/>
      <c r="L321" s="293">
        <f t="shared" si="32"/>
        <v>0</v>
      </c>
    </row>
    <row r="322" spans="1:12" x14ac:dyDescent="0.25">
      <c r="A322" s="47" t="s">
        <v>4260</v>
      </c>
      <c r="B322" s="293"/>
      <c r="C322" s="293"/>
      <c r="D322" s="293"/>
      <c r="E322" s="293"/>
      <c r="F322" s="293"/>
      <c r="G322" s="293"/>
      <c r="H322" s="293"/>
      <c r="I322" s="293"/>
      <c r="J322" s="293"/>
      <c r="L322" s="293">
        <f t="shared" si="32"/>
        <v>0</v>
      </c>
    </row>
    <row r="323" spans="1:12" x14ac:dyDescent="0.25">
      <c r="A323" t="s">
        <v>4262</v>
      </c>
      <c r="B323" s="293"/>
      <c r="C323" s="293"/>
      <c r="D323" s="293"/>
      <c r="E323" s="293"/>
      <c r="F323" s="293"/>
      <c r="G323" s="293"/>
      <c r="H323" s="293"/>
      <c r="I323" s="293"/>
      <c r="J323" s="293"/>
      <c r="L323" s="293">
        <f t="shared" si="32"/>
        <v>0</v>
      </c>
    </row>
    <row r="324" spans="1:12" x14ac:dyDescent="0.25">
      <c r="A324" t="s">
        <v>4261</v>
      </c>
      <c r="B324" s="293">
        <f>capitalrevdata!F24</f>
        <v>800</v>
      </c>
      <c r="C324" s="293">
        <f>capitalrevdata!G24</f>
        <v>600</v>
      </c>
      <c r="D324" s="293">
        <f>capitalrevdata!H24</f>
        <v>500</v>
      </c>
      <c r="E324" s="293">
        <f>capitalrevdata!I24</f>
        <v>500</v>
      </c>
      <c r="F324" s="293">
        <f>capitalrevdata!J24</f>
        <v>500</v>
      </c>
      <c r="G324" s="293">
        <f>capitalrevdata!K24</f>
        <v>400</v>
      </c>
      <c r="H324" s="293">
        <f>capitalrevdata!L24</f>
        <v>400</v>
      </c>
      <c r="I324" s="293">
        <f>capitalrevdata!M24</f>
        <v>400</v>
      </c>
      <c r="J324" s="293">
        <f>capitalrevdata!N24</f>
        <v>400</v>
      </c>
      <c r="L324" s="293">
        <f t="shared" si="32"/>
        <v>400</v>
      </c>
    </row>
    <row r="325" spans="1:12" x14ac:dyDescent="0.25">
      <c r="A325" t="s">
        <v>66</v>
      </c>
      <c r="B325" s="293"/>
      <c r="C325" s="293"/>
      <c r="D325" s="293"/>
      <c r="E325" s="293"/>
      <c r="F325" s="293"/>
      <c r="G325" s="293"/>
      <c r="H325" s="293"/>
      <c r="I325" s="293"/>
      <c r="J325" s="293"/>
      <c r="L325" s="293">
        <f t="shared" si="32"/>
        <v>0</v>
      </c>
    </row>
    <row r="326" spans="1:12" x14ac:dyDescent="0.25">
      <c r="B326" s="293"/>
      <c r="C326" s="293"/>
      <c r="D326" s="293"/>
      <c r="E326" s="293"/>
      <c r="F326" s="293"/>
      <c r="G326" s="293"/>
      <c r="H326" s="293"/>
      <c r="I326" s="293"/>
      <c r="J326" s="293"/>
      <c r="L326" s="293">
        <f t="shared" si="32"/>
        <v>0</v>
      </c>
    </row>
    <row r="327" spans="1:12" x14ac:dyDescent="0.25">
      <c r="B327" s="293"/>
      <c r="C327" s="293"/>
      <c r="D327" s="293"/>
      <c r="E327" s="293"/>
      <c r="F327" s="293"/>
      <c r="G327" s="293"/>
      <c r="H327" s="293"/>
      <c r="I327" s="293"/>
      <c r="J327" s="293"/>
      <c r="L327" s="293">
        <f t="shared" si="32"/>
        <v>0</v>
      </c>
    </row>
    <row r="328" spans="1:12" x14ac:dyDescent="0.25">
      <c r="B328" s="293"/>
      <c r="C328" s="293"/>
      <c r="D328" s="293"/>
      <c r="E328" s="293"/>
      <c r="F328" s="293"/>
      <c r="G328" s="293"/>
      <c r="H328" s="293"/>
      <c r="I328" s="293"/>
      <c r="J328" s="293"/>
      <c r="L328" s="293">
        <f t="shared" si="32"/>
        <v>0</v>
      </c>
    </row>
    <row r="329" spans="1:12" x14ac:dyDescent="0.25">
      <c r="B329" s="293"/>
      <c r="C329" s="293"/>
      <c r="D329" s="293"/>
      <c r="E329" s="293"/>
      <c r="F329" s="293"/>
      <c r="G329" s="293"/>
      <c r="H329" s="293"/>
      <c r="I329" s="293"/>
      <c r="J329" s="293"/>
      <c r="L329" s="293">
        <f t="shared" si="32"/>
        <v>0</v>
      </c>
    </row>
    <row r="330" spans="1:12" x14ac:dyDescent="0.25">
      <c r="A330" s="47" t="s">
        <v>4263</v>
      </c>
      <c r="B330" s="296">
        <f>SUM(B320:B329)</f>
        <v>800</v>
      </c>
      <c r="C330" s="296">
        <f t="shared" ref="C330:J330" si="35">SUM(C320:C329)</f>
        <v>600</v>
      </c>
      <c r="D330" s="296">
        <f t="shared" si="35"/>
        <v>500</v>
      </c>
      <c r="E330" s="296">
        <f t="shared" si="35"/>
        <v>500</v>
      </c>
      <c r="F330" s="296">
        <f t="shared" si="35"/>
        <v>500</v>
      </c>
      <c r="G330" s="296">
        <f t="shared" si="35"/>
        <v>400</v>
      </c>
      <c r="H330" s="296">
        <f t="shared" si="35"/>
        <v>400</v>
      </c>
      <c r="I330" s="296">
        <f t="shared" si="35"/>
        <v>400</v>
      </c>
      <c r="J330" s="296">
        <f t="shared" si="35"/>
        <v>400</v>
      </c>
      <c r="L330" s="293"/>
    </row>
    <row r="331" spans="1:12" x14ac:dyDescent="0.25">
      <c r="B331" s="293"/>
      <c r="C331" s="293"/>
      <c r="D331" s="293"/>
      <c r="E331" s="293"/>
      <c r="F331" s="293"/>
      <c r="G331" s="293"/>
      <c r="H331" s="293"/>
      <c r="I331" s="293"/>
      <c r="J331" s="293"/>
      <c r="L331" s="293">
        <f t="shared" si="32"/>
        <v>0</v>
      </c>
    </row>
    <row r="332" spans="1:12" x14ac:dyDescent="0.25">
      <c r="A332" s="47" t="s">
        <v>4264</v>
      </c>
      <c r="B332" s="293"/>
      <c r="C332" s="293"/>
      <c r="D332" s="293"/>
      <c r="E332" s="293"/>
      <c r="F332" s="293"/>
      <c r="G332" s="293"/>
      <c r="H332" s="293"/>
      <c r="I332" s="293"/>
      <c r="J332" s="293"/>
      <c r="L332" s="293">
        <f t="shared" si="32"/>
        <v>0</v>
      </c>
    </row>
    <row r="333" spans="1:12" x14ac:dyDescent="0.25">
      <c r="A333" t="s">
        <v>87</v>
      </c>
      <c r="B333" s="293"/>
      <c r="C333" s="293"/>
      <c r="D333" s="293"/>
      <c r="E333" s="293"/>
      <c r="F333" s="293"/>
      <c r="G333" s="293"/>
      <c r="H333" s="293"/>
      <c r="I333" s="293"/>
      <c r="J333" s="293"/>
      <c r="L333" s="293">
        <f t="shared" si="32"/>
        <v>0</v>
      </c>
    </row>
    <row r="334" spans="1:12" x14ac:dyDescent="0.25">
      <c r="A334" t="s">
        <v>4265</v>
      </c>
      <c r="B334" s="293"/>
      <c r="C334" s="293"/>
      <c r="D334" s="293"/>
      <c r="E334" s="293"/>
      <c r="F334" s="293"/>
      <c r="G334" s="293"/>
      <c r="H334" s="293"/>
      <c r="I334" s="293"/>
      <c r="J334" s="293"/>
      <c r="L334" s="293">
        <f t="shared" si="32"/>
        <v>0</v>
      </c>
    </row>
    <row r="335" spans="1:12" x14ac:dyDescent="0.25">
      <c r="B335" s="293"/>
      <c r="C335" s="293"/>
      <c r="D335" s="293"/>
      <c r="E335" s="293"/>
      <c r="F335" s="293"/>
      <c r="G335" s="293"/>
      <c r="H335" s="293"/>
      <c r="I335" s="293"/>
      <c r="J335" s="293"/>
      <c r="L335" s="293">
        <f t="shared" si="32"/>
        <v>0</v>
      </c>
    </row>
    <row r="336" spans="1:12" x14ac:dyDescent="0.25">
      <c r="B336" s="293"/>
      <c r="C336" s="293"/>
      <c r="D336" s="293"/>
      <c r="E336" s="293"/>
      <c r="F336" s="293"/>
      <c r="G336" s="293"/>
      <c r="H336" s="293"/>
      <c r="I336" s="293"/>
      <c r="J336" s="293"/>
      <c r="L336" s="293">
        <f t="shared" si="32"/>
        <v>0</v>
      </c>
    </row>
    <row r="337" spans="1:12" x14ac:dyDescent="0.25">
      <c r="B337" s="293"/>
      <c r="C337" s="293"/>
      <c r="D337" s="293"/>
      <c r="E337" s="293"/>
      <c r="F337" s="293"/>
      <c r="G337" s="293"/>
      <c r="H337" s="293"/>
      <c r="I337" s="293"/>
      <c r="J337" s="293"/>
      <c r="L337" s="293">
        <f t="shared" si="32"/>
        <v>0</v>
      </c>
    </row>
    <row r="338" spans="1:12" x14ac:dyDescent="0.25">
      <c r="B338" s="293"/>
      <c r="C338" s="293"/>
      <c r="D338" s="293"/>
      <c r="E338" s="293"/>
      <c r="F338" s="293"/>
      <c r="G338" s="293"/>
      <c r="H338" s="293"/>
      <c r="I338" s="293"/>
      <c r="J338" s="293"/>
      <c r="L338" s="293">
        <f t="shared" si="32"/>
        <v>0</v>
      </c>
    </row>
    <row r="339" spans="1:12" x14ac:dyDescent="0.25">
      <c r="A339" t="s">
        <v>4266</v>
      </c>
      <c r="B339" s="293"/>
      <c r="C339" s="293"/>
      <c r="D339" s="293"/>
      <c r="E339" s="293"/>
      <c r="F339" s="293"/>
      <c r="G339" s="293"/>
      <c r="H339" s="293"/>
      <c r="I339" s="293"/>
      <c r="J339" s="293"/>
      <c r="L339" s="293">
        <f t="shared" si="32"/>
        <v>0</v>
      </c>
    </row>
    <row r="340" spans="1:12" x14ac:dyDescent="0.25">
      <c r="A340" t="s">
        <v>66</v>
      </c>
      <c r="B340" s="293"/>
      <c r="C340" s="293"/>
      <c r="D340" s="293"/>
      <c r="E340" s="293"/>
      <c r="F340" s="293"/>
      <c r="G340" s="293"/>
      <c r="H340" s="293"/>
      <c r="I340" s="293"/>
      <c r="J340" s="293"/>
      <c r="L340" s="293">
        <f t="shared" si="32"/>
        <v>0</v>
      </c>
    </row>
    <row r="341" spans="1:12" x14ac:dyDescent="0.25">
      <c r="B341" s="293"/>
      <c r="C341" s="293"/>
      <c r="D341" s="293"/>
      <c r="E341" s="293"/>
      <c r="F341" s="293"/>
      <c r="G341" s="293"/>
      <c r="H341" s="293"/>
      <c r="I341" s="293"/>
      <c r="J341" s="293"/>
      <c r="L341" s="293">
        <f t="shared" si="32"/>
        <v>0</v>
      </c>
    </row>
    <row r="342" spans="1:12" x14ac:dyDescent="0.25">
      <c r="B342" s="293"/>
      <c r="C342" s="293"/>
      <c r="D342" s="293"/>
      <c r="E342" s="293"/>
      <c r="F342" s="293"/>
      <c r="G342" s="293"/>
      <c r="H342" s="293"/>
      <c r="I342" s="293"/>
      <c r="J342" s="293"/>
      <c r="L342" s="293">
        <f t="shared" si="32"/>
        <v>0</v>
      </c>
    </row>
    <row r="343" spans="1:12" x14ac:dyDescent="0.25">
      <c r="B343" s="293"/>
      <c r="C343" s="293"/>
      <c r="D343" s="293"/>
      <c r="E343" s="293"/>
      <c r="F343" s="293"/>
      <c r="G343" s="293"/>
      <c r="H343" s="293"/>
      <c r="I343" s="293"/>
      <c r="J343" s="293"/>
      <c r="L343" s="293">
        <f t="shared" si="32"/>
        <v>0</v>
      </c>
    </row>
    <row r="344" spans="1:12" x14ac:dyDescent="0.25">
      <c r="B344" s="293"/>
      <c r="C344" s="293"/>
      <c r="D344" s="293"/>
      <c r="E344" s="293"/>
      <c r="F344" s="293"/>
      <c r="G344" s="293"/>
      <c r="H344" s="293"/>
      <c r="I344" s="293"/>
      <c r="J344" s="293"/>
      <c r="L344" s="293">
        <f t="shared" si="32"/>
        <v>0</v>
      </c>
    </row>
    <row r="345" spans="1:12" x14ac:dyDescent="0.25">
      <c r="A345" s="47" t="s">
        <v>4267</v>
      </c>
      <c r="B345" s="296">
        <f>SUM(B333:B344)</f>
        <v>0</v>
      </c>
      <c r="C345" s="296">
        <f t="shared" ref="C345:J345" si="36">SUM(C333:C344)</f>
        <v>0</v>
      </c>
      <c r="D345" s="296">
        <f t="shared" si="36"/>
        <v>0</v>
      </c>
      <c r="E345" s="296">
        <f t="shared" si="36"/>
        <v>0</v>
      </c>
      <c r="F345" s="296">
        <f t="shared" si="36"/>
        <v>0</v>
      </c>
      <c r="G345" s="296">
        <f t="shared" si="36"/>
        <v>0</v>
      </c>
      <c r="H345" s="296">
        <f t="shared" si="36"/>
        <v>0</v>
      </c>
      <c r="I345" s="296">
        <f t="shared" si="36"/>
        <v>0</v>
      </c>
      <c r="J345" s="296">
        <f t="shared" si="36"/>
        <v>0</v>
      </c>
      <c r="L345" s="293">
        <f t="shared" si="32"/>
        <v>0</v>
      </c>
    </row>
    <row r="346" spans="1:12" x14ac:dyDescent="0.25">
      <c r="B346" s="293"/>
      <c r="C346" s="293"/>
      <c r="D346" s="293"/>
      <c r="E346" s="293"/>
      <c r="F346" s="293"/>
      <c r="G346" s="293"/>
      <c r="H346" s="293"/>
      <c r="I346" s="293"/>
      <c r="J346" s="293"/>
      <c r="L346" s="293">
        <f t="shared" si="32"/>
        <v>0</v>
      </c>
    </row>
    <row r="347" spans="1:12" ht="15.75" thickBot="1" x14ac:dyDescent="0.3">
      <c r="A347" s="47" t="s">
        <v>4268</v>
      </c>
      <c r="B347" s="301">
        <f>B330-B345</f>
        <v>800</v>
      </c>
      <c r="C347" s="301">
        <f t="shared" ref="C347:J347" si="37">C330-C345</f>
        <v>600</v>
      </c>
      <c r="D347" s="301">
        <f t="shared" si="37"/>
        <v>500</v>
      </c>
      <c r="E347" s="301">
        <f t="shared" si="37"/>
        <v>500</v>
      </c>
      <c r="F347" s="301">
        <f t="shared" si="37"/>
        <v>500</v>
      </c>
      <c r="G347" s="301">
        <f t="shared" si="37"/>
        <v>400</v>
      </c>
      <c r="H347" s="301">
        <f t="shared" si="37"/>
        <v>400</v>
      </c>
      <c r="I347" s="301">
        <f t="shared" si="37"/>
        <v>400</v>
      </c>
      <c r="J347" s="301">
        <f t="shared" si="37"/>
        <v>400</v>
      </c>
      <c r="L347" s="293"/>
    </row>
    <row r="348" spans="1:12" ht="15.75" thickTop="1" x14ac:dyDescent="0.25">
      <c r="B348" s="293"/>
      <c r="C348" s="293"/>
      <c r="D348" s="293"/>
      <c r="E348" s="293"/>
      <c r="F348" s="293"/>
      <c r="G348" s="293"/>
      <c r="H348" s="293"/>
      <c r="I348" s="293"/>
      <c r="J348" s="293"/>
      <c r="L348" s="293">
        <f t="shared" si="32"/>
        <v>0</v>
      </c>
    </row>
    <row r="349" spans="1:12" x14ac:dyDescent="0.25">
      <c r="A349" s="281"/>
      <c r="B349" s="316"/>
      <c r="C349" s="316"/>
      <c r="D349" s="316"/>
      <c r="E349" s="316"/>
      <c r="F349" s="316"/>
      <c r="G349" s="316"/>
      <c r="H349" s="316"/>
      <c r="I349" s="316"/>
      <c r="J349" s="316"/>
      <c r="L349" s="293">
        <f t="shared" si="32"/>
        <v>0</v>
      </c>
    </row>
    <row r="350" spans="1:12" x14ac:dyDescent="0.25">
      <c r="B350" s="293"/>
      <c r="C350" s="293"/>
      <c r="D350" s="293"/>
      <c r="E350" s="293"/>
      <c r="F350" s="293"/>
      <c r="G350" s="293"/>
      <c r="H350" s="293"/>
      <c r="I350" s="293"/>
      <c r="J350" s="293"/>
      <c r="L350" s="293">
        <f t="shared" si="32"/>
        <v>0</v>
      </c>
    </row>
    <row r="351" spans="1:12" x14ac:dyDescent="0.25">
      <c r="A351" s="280" t="s">
        <v>4330</v>
      </c>
      <c r="B351" s="293"/>
      <c r="C351" s="293"/>
      <c r="D351" s="293"/>
      <c r="E351" s="293"/>
      <c r="F351" s="293"/>
      <c r="G351" s="293"/>
      <c r="H351" s="293"/>
      <c r="I351" s="293"/>
      <c r="J351" s="293"/>
      <c r="L351" s="293">
        <f t="shared" si="32"/>
        <v>0</v>
      </c>
    </row>
    <row r="352" spans="1:12" x14ac:dyDescent="0.25">
      <c r="B352" s="293"/>
      <c r="C352" s="293"/>
      <c r="D352" s="293"/>
      <c r="E352" s="293"/>
      <c r="F352" s="293"/>
      <c r="G352" s="293"/>
      <c r="H352" s="293"/>
      <c r="I352" s="293"/>
      <c r="J352" s="293"/>
      <c r="L352" s="293">
        <f t="shared" si="32"/>
        <v>0</v>
      </c>
    </row>
    <row r="353" spans="1:12" x14ac:dyDescent="0.25">
      <c r="A353" s="47" t="s">
        <v>4260</v>
      </c>
      <c r="B353" s="293"/>
      <c r="C353" s="293"/>
      <c r="D353" s="293"/>
      <c r="E353" s="293"/>
      <c r="F353" s="293"/>
      <c r="G353" s="293"/>
      <c r="H353" s="293"/>
      <c r="I353" s="293"/>
      <c r="J353" s="293"/>
      <c r="L353" s="293">
        <f t="shared" si="32"/>
        <v>0</v>
      </c>
    </row>
    <row r="354" spans="1:12" x14ac:dyDescent="0.25">
      <c r="A354" t="s">
        <v>4262</v>
      </c>
      <c r="B354" s="293"/>
      <c r="C354" s="293"/>
      <c r="D354" s="293"/>
      <c r="E354" s="293"/>
      <c r="F354" s="293"/>
      <c r="G354" s="293"/>
      <c r="H354" s="293"/>
      <c r="I354" s="293"/>
      <c r="J354" s="293"/>
      <c r="L354" s="293">
        <f t="shared" si="32"/>
        <v>0</v>
      </c>
    </row>
    <row r="355" spans="1:12" x14ac:dyDescent="0.25">
      <c r="A355" t="s">
        <v>4261</v>
      </c>
      <c r="B355" s="293">
        <f>capitalrevdata!F25</f>
        <v>5800</v>
      </c>
      <c r="C355" s="293">
        <f>capitalrevdata!G25</f>
        <v>4700</v>
      </c>
      <c r="D355" s="293">
        <f>capitalrevdata!H25</f>
        <v>3900</v>
      </c>
      <c r="E355" s="293">
        <f>capitalrevdata!I25</f>
        <v>3900</v>
      </c>
      <c r="F355" s="293">
        <f>capitalrevdata!J25</f>
        <v>3900</v>
      </c>
      <c r="G355" s="293">
        <f>capitalrevdata!K25</f>
        <v>3100</v>
      </c>
      <c r="H355" s="293">
        <f>capitalrevdata!L25</f>
        <v>3100</v>
      </c>
      <c r="I355" s="293">
        <f>capitalrevdata!M25</f>
        <v>3100</v>
      </c>
      <c r="J355" s="293">
        <f>capitalrevdata!N25</f>
        <v>3100</v>
      </c>
      <c r="L355" s="293">
        <f t="shared" si="32"/>
        <v>3100</v>
      </c>
    </row>
    <row r="356" spans="1:12" x14ac:dyDescent="0.25">
      <c r="A356" t="s">
        <v>66</v>
      </c>
      <c r="B356" s="293"/>
      <c r="C356" s="293"/>
      <c r="D356" s="293"/>
      <c r="E356" s="293"/>
      <c r="F356" s="293"/>
      <c r="G356" s="293"/>
      <c r="H356" s="293"/>
      <c r="I356" s="293"/>
      <c r="J356" s="293"/>
      <c r="L356" s="293">
        <f t="shared" si="32"/>
        <v>0</v>
      </c>
    </row>
    <row r="357" spans="1:12" x14ac:dyDescent="0.25">
      <c r="B357" s="293"/>
      <c r="C357" s="293"/>
      <c r="D357" s="293"/>
      <c r="E357" s="293"/>
      <c r="F357" s="293"/>
      <c r="G357" s="293"/>
      <c r="H357" s="293"/>
      <c r="I357" s="293"/>
      <c r="J357" s="293"/>
      <c r="L357" s="293">
        <f t="shared" si="32"/>
        <v>0</v>
      </c>
    </row>
    <row r="358" spans="1:12" x14ac:dyDescent="0.25">
      <c r="B358" s="293"/>
      <c r="C358" s="293"/>
      <c r="D358" s="293"/>
      <c r="E358" s="293"/>
      <c r="F358" s="293"/>
      <c r="G358" s="293"/>
      <c r="H358" s="293"/>
      <c r="I358" s="293"/>
      <c r="J358" s="293"/>
      <c r="L358" s="293">
        <f t="shared" si="32"/>
        <v>0</v>
      </c>
    </row>
    <row r="359" spans="1:12" x14ac:dyDescent="0.25">
      <c r="B359" s="293"/>
      <c r="C359" s="293"/>
      <c r="D359" s="293"/>
      <c r="E359" s="293"/>
      <c r="F359" s="293"/>
      <c r="G359" s="293"/>
      <c r="H359" s="293"/>
      <c r="I359" s="293"/>
      <c r="J359" s="293"/>
      <c r="L359" s="293">
        <f t="shared" si="32"/>
        <v>0</v>
      </c>
    </row>
    <row r="360" spans="1:12" x14ac:dyDescent="0.25">
      <c r="B360" s="293"/>
      <c r="C360" s="293"/>
      <c r="D360" s="293"/>
      <c r="E360" s="293"/>
      <c r="F360" s="293"/>
      <c r="G360" s="293"/>
      <c r="H360" s="293"/>
      <c r="I360" s="293"/>
      <c r="J360" s="293"/>
      <c r="L360" s="293">
        <f t="shared" si="32"/>
        <v>0</v>
      </c>
    </row>
    <row r="361" spans="1:12" x14ac:dyDescent="0.25">
      <c r="A361" s="47" t="s">
        <v>4263</v>
      </c>
      <c r="B361" s="296">
        <f>SUM(B351:B360)</f>
        <v>5800</v>
      </c>
      <c r="C361" s="296">
        <f t="shared" ref="C361:J361" si="38">SUM(C351:C360)</f>
        <v>4700</v>
      </c>
      <c r="D361" s="296">
        <f t="shared" si="38"/>
        <v>3900</v>
      </c>
      <c r="E361" s="296">
        <f t="shared" si="38"/>
        <v>3900</v>
      </c>
      <c r="F361" s="296">
        <f t="shared" si="38"/>
        <v>3900</v>
      </c>
      <c r="G361" s="296">
        <f t="shared" si="38"/>
        <v>3100</v>
      </c>
      <c r="H361" s="296">
        <f t="shared" si="38"/>
        <v>3100</v>
      </c>
      <c r="I361" s="296">
        <f t="shared" si="38"/>
        <v>3100</v>
      </c>
      <c r="J361" s="296">
        <f t="shared" si="38"/>
        <v>3100</v>
      </c>
      <c r="L361" s="293"/>
    </row>
    <row r="362" spans="1:12" x14ac:dyDescent="0.25">
      <c r="B362" s="293"/>
      <c r="C362" s="293"/>
      <c r="D362" s="293"/>
      <c r="E362" s="293"/>
      <c r="F362" s="293"/>
      <c r="G362" s="293"/>
      <c r="H362" s="293"/>
      <c r="I362" s="293"/>
      <c r="J362" s="293"/>
      <c r="L362" s="293">
        <f t="shared" si="32"/>
        <v>0</v>
      </c>
    </row>
    <row r="363" spans="1:12" x14ac:dyDescent="0.25">
      <c r="A363" s="47" t="s">
        <v>4264</v>
      </c>
      <c r="B363" s="293"/>
      <c r="C363" s="293"/>
      <c r="D363" s="293"/>
      <c r="E363" s="293"/>
      <c r="F363" s="293"/>
      <c r="G363" s="293"/>
      <c r="H363" s="293"/>
      <c r="I363" s="293"/>
      <c r="J363" s="293"/>
      <c r="L363" s="293">
        <f t="shared" si="32"/>
        <v>0</v>
      </c>
    </row>
    <row r="364" spans="1:12" x14ac:dyDescent="0.25">
      <c r="A364" t="s">
        <v>87</v>
      </c>
      <c r="B364" s="293"/>
      <c r="C364" s="293"/>
      <c r="D364" s="293"/>
      <c r="E364" s="293"/>
      <c r="F364" s="293"/>
      <c r="G364" s="293"/>
      <c r="H364" s="293"/>
      <c r="I364" s="293"/>
      <c r="J364" s="293"/>
      <c r="L364" s="293">
        <f t="shared" ref="L364:L427" si="39">J364</f>
        <v>0</v>
      </c>
    </row>
    <row r="365" spans="1:12" x14ac:dyDescent="0.25">
      <c r="A365" t="s">
        <v>4265</v>
      </c>
      <c r="B365" s="293"/>
      <c r="C365" s="293"/>
      <c r="D365" s="293"/>
      <c r="E365" s="293"/>
      <c r="F365" s="293"/>
      <c r="G365" s="293"/>
      <c r="H365" s="293"/>
      <c r="I365" s="293"/>
      <c r="J365" s="293"/>
      <c r="L365" s="293">
        <f t="shared" si="39"/>
        <v>0</v>
      </c>
    </row>
    <row r="366" spans="1:12" x14ac:dyDescent="0.25">
      <c r="B366" s="293"/>
      <c r="C366" s="293"/>
      <c r="D366" s="293"/>
      <c r="E366" s="293"/>
      <c r="F366" s="293"/>
      <c r="G366" s="293"/>
      <c r="H366" s="293"/>
      <c r="I366" s="293"/>
      <c r="J366" s="293"/>
      <c r="L366" s="293">
        <f t="shared" si="39"/>
        <v>0</v>
      </c>
    </row>
    <row r="367" spans="1:12" x14ac:dyDescent="0.25">
      <c r="B367" s="293"/>
      <c r="C367" s="293"/>
      <c r="D367" s="293"/>
      <c r="E367" s="293"/>
      <c r="F367" s="293"/>
      <c r="G367" s="293"/>
      <c r="H367" s="293"/>
      <c r="I367" s="293"/>
      <c r="J367" s="293"/>
      <c r="L367" s="293">
        <f t="shared" si="39"/>
        <v>0</v>
      </c>
    </row>
    <row r="368" spans="1:12" x14ac:dyDescent="0.25">
      <c r="B368" s="293"/>
      <c r="C368" s="293"/>
      <c r="D368" s="293"/>
      <c r="E368" s="293"/>
      <c r="F368" s="293"/>
      <c r="G368" s="293"/>
      <c r="H368" s="293"/>
      <c r="I368" s="293"/>
      <c r="J368" s="293"/>
      <c r="L368" s="293">
        <f t="shared" si="39"/>
        <v>0</v>
      </c>
    </row>
    <row r="369" spans="1:12" x14ac:dyDescent="0.25">
      <c r="B369" s="293"/>
      <c r="C369" s="293"/>
      <c r="D369" s="293"/>
      <c r="E369" s="293"/>
      <c r="F369" s="293"/>
      <c r="G369" s="293"/>
      <c r="H369" s="293"/>
      <c r="I369" s="293"/>
      <c r="J369" s="293"/>
      <c r="L369" s="293">
        <f t="shared" si="39"/>
        <v>0</v>
      </c>
    </row>
    <row r="370" spans="1:12" x14ac:dyDescent="0.25">
      <c r="A370" t="s">
        <v>4266</v>
      </c>
      <c r="B370" s="293"/>
      <c r="C370" s="293"/>
      <c r="D370" s="293"/>
      <c r="E370" s="293"/>
      <c r="F370" s="293"/>
      <c r="G370" s="293"/>
      <c r="H370" s="293"/>
      <c r="I370" s="293"/>
      <c r="J370" s="293"/>
      <c r="L370" s="293">
        <f t="shared" si="39"/>
        <v>0</v>
      </c>
    </row>
    <row r="371" spans="1:12" x14ac:dyDescent="0.25">
      <c r="A371" t="s">
        <v>66</v>
      </c>
      <c r="B371" s="293"/>
      <c r="C371" s="293"/>
      <c r="D371" s="293"/>
      <c r="E371" s="293"/>
      <c r="F371" s="293"/>
      <c r="G371" s="293"/>
      <c r="H371" s="293"/>
      <c r="I371" s="293"/>
      <c r="J371" s="293"/>
      <c r="L371" s="293">
        <f t="shared" si="39"/>
        <v>0</v>
      </c>
    </row>
    <row r="372" spans="1:12" x14ac:dyDescent="0.25">
      <c r="B372" s="293"/>
      <c r="C372" s="293"/>
      <c r="D372" s="293"/>
      <c r="E372" s="293"/>
      <c r="F372" s="293"/>
      <c r="G372" s="293"/>
      <c r="H372" s="293"/>
      <c r="I372" s="293"/>
      <c r="J372" s="293"/>
      <c r="L372" s="293">
        <f t="shared" si="39"/>
        <v>0</v>
      </c>
    </row>
    <row r="373" spans="1:12" x14ac:dyDescent="0.25">
      <c r="B373" s="293"/>
      <c r="C373" s="293"/>
      <c r="D373" s="293"/>
      <c r="E373" s="293"/>
      <c r="F373" s="293"/>
      <c r="G373" s="293"/>
      <c r="H373" s="293"/>
      <c r="I373" s="293"/>
      <c r="J373" s="293"/>
      <c r="L373" s="293">
        <f t="shared" si="39"/>
        <v>0</v>
      </c>
    </row>
    <row r="374" spans="1:12" x14ac:dyDescent="0.25">
      <c r="B374" s="293"/>
      <c r="C374" s="293"/>
      <c r="D374" s="293"/>
      <c r="E374" s="293"/>
      <c r="F374" s="293"/>
      <c r="G374" s="293"/>
      <c r="H374" s="293"/>
      <c r="I374" s="293"/>
      <c r="J374" s="293"/>
      <c r="L374" s="293">
        <f t="shared" si="39"/>
        <v>0</v>
      </c>
    </row>
    <row r="375" spans="1:12" x14ac:dyDescent="0.25">
      <c r="B375" s="293"/>
      <c r="C375" s="293"/>
      <c r="D375" s="293"/>
      <c r="E375" s="293"/>
      <c r="F375" s="293"/>
      <c r="G375" s="293"/>
      <c r="H375" s="293"/>
      <c r="I375" s="293"/>
      <c r="J375" s="293"/>
      <c r="L375" s="293">
        <f t="shared" si="39"/>
        <v>0</v>
      </c>
    </row>
    <row r="376" spans="1:12" x14ac:dyDescent="0.25">
      <c r="A376" s="47" t="s">
        <v>4267</v>
      </c>
      <c r="B376" s="296">
        <f>SUM(B364:B375)</f>
        <v>0</v>
      </c>
      <c r="C376" s="296">
        <f t="shared" ref="C376:J376" si="40">SUM(C364:C375)</f>
        <v>0</v>
      </c>
      <c r="D376" s="296">
        <f t="shared" si="40"/>
        <v>0</v>
      </c>
      <c r="E376" s="296">
        <f t="shared" si="40"/>
        <v>0</v>
      </c>
      <c r="F376" s="296">
        <f t="shared" si="40"/>
        <v>0</v>
      </c>
      <c r="G376" s="296">
        <f t="shared" si="40"/>
        <v>0</v>
      </c>
      <c r="H376" s="296">
        <f t="shared" si="40"/>
        <v>0</v>
      </c>
      <c r="I376" s="296">
        <f t="shared" si="40"/>
        <v>0</v>
      </c>
      <c r="J376" s="296">
        <f t="shared" si="40"/>
        <v>0</v>
      </c>
      <c r="L376" s="293">
        <f t="shared" si="39"/>
        <v>0</v>
      </c>
    </row>
    <row r="377" spans="1:12" x14ac:dyDescent="0.25">
      <c r="B377" s="293"/>
      <c r="C377" s="293"/>
      <c r="D377" s="293"/>
      <c r="E377" s="293"/>
      <c r="F377" s="293"/>
      <c r="G377" s="293"/>
      <c r="H377" s="293"/>
      <c r="I377" s="293"/>
      <c r="J377" s="293"/>
      <c r="L377" s="293">
        <f t="shared" si="39"/>
        <v>0</v>
      </c>
    </row>
    <row r="378" spans="1:12" ht="15.75" thickBot="1" x14ac:dyDescent="0.3">
      <c r="A378" s="47" t="s">
        <v>4268</v>
      </c>
      <c r="B378" s="301">
        <f>B361-B376</f>
        <v>5800</v>
      </c>
      <c r="C378" s="301">
        <f t="shared" ref="C378:J378" si="41">C361-C376</f>
        <v>4700</v>
      </c>
      <c r="D378" s="301">
        <f t="shared" si="41"/>
        <v>3900</v>
      </c>
      <c r="E378" s="301">
        <f t="shared" si="41"/>
        <v>3900</v>
      </c>
      <c r="F378" s="301">
        <f t="shared" si="41"/>
        <v>3900</v>
      </c>
      <c r="G378" s="301">
        <f t="shared" si="41"/>
        <v>3100</v>
      </c>
      <c r="H378" s="301">
        <f t="shared" si="41"/>
        <v>3100</v>
      </c>
      <c r="I378" s="301">
        <f t="shared" si="41"/>
        <v>3100</v>
      </c>
      <c r="J378" s="301">
        <f t="shared" si="41"/>
        <v>3100</v>
      </c>
      <c r="L378" s="293"/>
    </row>
    <row r="379" spans="1:12" ht="15.75" thickTop="1" x14ac:dyDescent="0.25">
      <c r="B379" s="293"/>
      <c r="C379" s="293"/>
      <c r="D379" s="293"/>
      <c r="E379" s="293"/>
      <c r="F379" s="293"/>
      <c r="G379" s="293"/>
      <c r="H379" s="293"/>
      <c r="I379" s="293"/>
      <c r="J379" s="293"/>
      <c r="L379" s="293">
        <f t="shared" si="39"/>
        <v>0</v>
      </c>
    </row>
    <row r="380" spans="1:12" x14ac:dyDescent="0.25">
      <c r="A380" s="281"/>
      <c r="B380" s="316"/>
      <c r="C380" s="316"/>
      <c r="D380" s="316"/>
      <c r="E380" s="316"/>
      <c r="F380" s="316"/>
      <c r="G380" s="316"/>
      <c r="H380" s="316"/>
      <c r="I380" s="316"/>
      <c r="J380" s="316"/>
      <c r="L380" s="293">
        <f t="shared" si="39"/>
        <v>0</v>
      </c>
    </row>
    <row r="381" spans="1:12" x14ac:dyDescent="0.25">
      <c r="B381" s="293"/>
      <c r="C381" s="293"/>
      <c r="D381" s="293"/>
      <c r="E381" s="293"/>
      <c r="F381" s="293"/>
      <c r="G381" s="293"/>
      <c r="H381" s="293"/>
      <c r="I381" s="293"/>
      <c r="J381" s="293"/>
      <c r="L381" s="293">
        <f t="shared" si="39"/>
        <v>0</v>
      </c>
    </row>
    <row r="382" spans="1:12" x14ac:dyDescent="0.25">
      <c r="A382" s="280" t="s">
        <v>4331</v>
      </c>
      <c r="B382" s="293"/>
      <c r="C382" s="293"/>
      <c r="D382" s="293"/>
      <c r="E382" s="293"/>
      <c r="F382" s="293"/>
      <c r="G382" s="293"/>
      <c r="H382" s="293"/>
      <c r="I382" s="293"/>
      <c r="J382" s="293"/>
      <c r="L382" s="293">
        <f t="shared" si="39"/>
        <v>0</v>
      </c>
    </row>
    <row r="383" spans="1:12" x14ac:dyDescent="0.25">
      <c r="B383" s="293"/>
      <c r="C383" s="293"/>
      <c r="D383" s="293"/>
      <c r="E383" s="293"/>
      <c r="F383" s="293"/>
      <c r="G383" s="293"/>
      <c r="H383" s="293"/>
      <c r="I383" s="293"/>
      <c r="J383" s="293"/>
      <c r="L383" s="293">
        <f t="shared" si="39"/>
        <v>0</v>
      </c>
    </row>
    <row r="384" spans="1:12" x14ac:dyDescent="0.25">
      <c r="A384" s="47" t="s">
        <v>4260</v>
      </c>
      <c r="B384" s="293"/>
      <c r="C384" s="293"/>
      <c r="D384" s="293"/>
      <c r="E384" s="293"/>
      <c r="F384" s="293"/>
      <c r="G384" s="293"/>
      <c r="H384" s="293"/>
      <c r="I384" s="293"/>
      <c r="J384" s="293"/>
      <c r="L384" s="293">
        <f t="shared" si="39"/>
        <v>0</v>
      </c>
    </row>
    <row r="385" spans="1:12" x14ac:dyDescent="0.25">
      <c r="A385" t="s">
        <v>4262</v>
      </c>
      <c r="B385" s="293"/>
      <c r="C385" s="293"/>
      <c r="D385" s="293"/>
      <c r="E385" s="293"/>
      <c r="F385" s="293"/>
      <c r="G385" s="293"/>
      <c r="H385" s="293"/>
      <c r="I385" s="293"/>
      <c r="J385" s="293"/>
      <c r="L385" s="293">
        <f t="shared" si="39"/>
        <v>0</v>
      </c>
    </row>
    <row r="386" spans="1:12" x14ac:dyDescent="0.25">
      <c r="A386" t="s">
        <v>4261</v>
      </c>
      <c r="B386" s="293">
        <f>capitalrevdata!F8</f>
        <v>33200</v>
      </c>
      <c r="C386" s="293">
        <f>capitalrevdata!G8</f>
        <v>26500</v>
      </c>
      <c r="D386" s="293">
        <f>capitalrevdata!H8</f>
        <v>22100</v>
      </c>
      <c r="E386" s="293">
        <f>capitalrevdata!I8</f>
        <v>22100</v>
      </c>
      <c r="F386" s="293">
        <f>capitalrevdata!J8</f>
        <v>22100</v>
      </c>
      <c r="G386" s="293">
        <f>capitalrevdata!K8</f>
        <v>17700</v>
      </c>
      <c r="H386" s="293">
        <f>capitalrevdata!L8</f>
        <v>17700</v>
      </c>
      <c r="I386" s="293">
        <f>capitalrevdata!M8</f>
        <v>17700</v>
      </c>
      <c r="J386" s="293">
        <f>capitalrevdata!N8</f>
        <v>17700</v>
      </c>
      <c r="L386" s="293">
        <f t="shared" si="39"/>
        <v>17700</v>
      </c>
    </row>
    <row r="387" spans="1:12" x14ac:dyDescent="0.25">
      <c r="A387" t="s">
        <v>66</v>
      </c>
      <c r="B387" s="293"/>
      <c r="C387" s="293"/>
      <c r="D387" s="293"/>
      <c r="E387" s="293"/>
      <c r="F387" s="293"/>
      <c r="G387" s="293"/>
      <c r="H387" s="293"/>
      <c r="I387" s="293"/>
      <c r="J387" s="293"/>
      <c r="L387" s="293">
        <f t="shared" si="39"/>
        <v>0</v>
      </c>
    </row>
    <row r="388" spans="1:12" x14ac:dyDescent="0.25">
      <c r="B388" s="293"/>
      <c r="C388" s="293"/>
      <c r="D388" s="293"/>
      <c r="E388" s="293"/>
      <c r="F388" s="293"/>
      <c r="G388" s="293"/>
      <c r="H388" s="293"/>
      <c r="I388" s="293"/>
      <c r="J388" s="293"/>
      <c r="L388" s="293">
        <f t="shared" si="39"/>
        <v>0</v>
      </c>
    </row>
    <row r="389" spans="1:12" x14ac:dyDescent="0.25">
      <c r="B389" s="293"/>
      <c r="C389" s="293"/>
      <c r="D389" s="293"/>
      <c r="E389" s="293"/>
      <c r="F389" s="293"/>
      <c r="G389" s="293"/>
      <c r="H389" s="293"/>
      <c r="I389" s="293"/>
      <c r="J389" s="293"/>
      <c r="L389" s="293">
        <f t="shared" si="39"/>
        <v>0</v>
      </c>
    </row>
    <row r="390" spans="1:12" x14ac:dyDescent="0.25">
      <c r="B390" s="293"/>
      <c r="C390" s="293"/>
      <c r="D390" s="293"/>
      <c r="E390" s="293"/>
      <c r="F390" s="293"/>
      <c r="G390" s="293"/>
      <c r="H390" s="293"/>
      <c r="I390" s="293"/>
      <c r="J390" s="293"/>
      <c r="L390" s="293">
        <f t="shared" si="39"/>
        <v>0</v>
      </c>
    </row>
    <row r="391" spans="1:12" x14ac:dyDescent="0.25">
      <c r="B391" s="293"/>
      <c r="C391" s="293"/>
      <c r="D391" s="293"/>
      <c r="E391" s="293"/>
      <c r="F391" s="293"/>
      <c r="G391" s="293"/>
      <c r="H391" s="293"/>
      <c r="I391" s="293"/>
      <c r="J391" s="293"/>
      <c r="L391" s="293">
        <f t="shared" si="39"/>
        <v>0</v>
      </c>
    </row>
    <row r="392" spans="1:12" x14ac:dyDescent="0.25">
      <c r="A392" s="47" t="s">
        <v>4263</v>
      </c>
      <c r="B392" s="296">
        <f>SUM(B382:B391)</f>
        <v>33200</v>
      </c>
      <c r="C392" s="296">
        <f t="shared" ref="C392:J392" si="42">SUM(C382:C391)</f>
        <v>26500</v>
      </c>
      <c r="D392" s="296">
        <f t="shared" si="42"/>
        <v>22100</v>
      </c>
      <c r="E392" s="296">
        <f t="shared" si="42"/>
        <v>22100</v>
      </c>
      <c r="F392" s="296">
        <f t="shared" si="42"/>
        <v>22100</v>
      </c>
      <c r="G392" s="296">
        <f t="shared" si="42"/>
        <v>17700</v>
      </c>
      <c r="H392" s="296">
        <f t="shared" si="42"/>
        <v>17700</v>
      </c>
      <c r="I392" s="296">
        <f t="shared" si="42"/>
        <v>17700</v>
      </c>
      <c r="J392" s="296">
        <f t="shared" si="42"/>
        <v>17700</v>
      </c>
      <c r="L392" s="293"/>
    </row>
    <row r="393" spans="1:12" x14ac:dyDescent="0.25">
      <c r="B393" s="293"/>
      <c r="C393" s="293"/>
      <c r="D393" s="293"/>
      <c r="E393" s="293"/>
      <c r="F393" s="293"/>
      <c r="G393" s="293"/>
      <c r="H393" s="293"/>
      <c r="I393" s="293"/>
      <c r="J393" s="293"/>
      <c r="L393" s="293">
        <f t="shared" si="39"/>
        <v>0</v>
      </c>
    </row>
    <row r="394" spans="1:12" x14ac:dyDescent="0.25">
      <c r="A394" s="47" t="s">
        <v>4264</v>
      </c>
      <c r="B394" s="293"/>
      <c r="C394" s="293"/>
      <c r="D394" s="293"/>
      <c r="E394" s="293"/>
      <c r="F394" s="293"/>
      <c r="G394" s="293"/>
      <c r="H394" s="293"/>
      <c r="I394" s="293"/>
      <c r="J394" s="293"/>
      <c r="L394" s="293">
        <f t="shared" si="39"/>
        <v>0</v>
      </c>
    </row>
    <row r="395" spans="1:12" x14ac:dyDescent="0.25">
      <c r="A395" t="s">
        <v>87</v>
      </c>
      <c r="B395" s="293"/>
      <c r="C395" s="293"/>
      <c r="D395" s="293"/>
      <c r="E395" s="293"/>
      <c r="F395" s="293"/>
      <c r="G395" s="293"/>
      <c r="H395" s="293"/>
      <c r="I395" s="293"/>
      <c r="J395" s="293"/>
      <c r="L395" s="293">
        <f t="shared" si="39"/>
        <v>0</v>
      </c>
    </row>
    <row r="396" spans="1:12" x14ac:dyDescent="0.25">
      <c r="A396" t="s">
        <v>4265</v>
      </c>
      <c r="B396" s="293"/>
      <c r="C396" s="293"/>
      <c r="D396" s="293"/>
      <c r="E396" s="293"/>
      <c r="F396" s="293"/>
      <c r="G396" s="293"/>
      <c r="H396" s="293"/>
      <c r="I396" s="293"/>
      <c r="J396" s="293"/>
      <c r="L396" s="293">
        <f t="shared" si="39"/>
        <v>0</v>
      </c>
    </row>
    <row r="397" spans="1:12" x14ac:dyDescent="0.25">
      <c r="B397" s="293"/>
      <c r="C397" s="293"/>
      <c r="D397" s="293"/>
      <c r="E397" s="293"/>
      <c r="F397" s="293"/>
      <c r="G397" s="293"/>
      <c r="H397" s="293"/>
      <c r="I397" s="293"/>
      <c r="J397" s="293"/>
      <c r="L397" s="293">
        <f t="shared" si="39"/>
        <v>0</v>
      </c>
    </row>
    <row r="398" spans="1:12" x14ac:dyDescent="0.25">
      <c r="B398" s="293"/>
      <c r="C398" s="293"/>
      <c r="D398" s="293"/>
      <c r="E398" s="293"/>
      <c r="F398" s="293"/>
      <c r="G398" s="293"/>
      <c r="H398" s="293"/>
      <c r="I398" s="293"/>
      <c r="J398" s="293"/>
      <c r="L398" s="293">
        <f t="shared" si="39"/>
        <v>0</v>
      </c>
    </row>
    <row r="399" spans="1:12" x14ac:dyDescent="0.25">
      <c r="B399" s="293"/>
      <c r="C399" s="293"/>
      <c r="D399" s="293"/>
      <c r="E399" s="293"/>
      <c r="F399" s="293"/>
      <c r="G399" s="293"/>
      <c r="H399" s="293"/>
      <c r="I399" s="293"/>
      <c r="J399" s="293"/>
      <c r="L399" s="293">
        <f t="shared" si="39"/>
        <v>0</v>
      </c>
    </row>
    <row r="400" spans="1:12" x14ac:dyDescent="0.25">
      <c r="B400" s="293"/>
      <c r="C400" s="293"/>
      <c r="D400" s="293"/>
      <c r="E400" s="293"/>
      <c r="F400" s="293"/>
      <c r="G400" s="293"/>
      <c r="H400" s="293"/>
      <c r="I400" s="293"/>
      <c r="J400" s="293"/>
      <c r="L400" s="293">
        <f t="shared" si="39"/>
        <v>0</v>
      </c>
    </row>
    <row r="401" spans="1:12" x14ac:dyDescent="0.25">
      <c r="A401" t="s">
        <v>4266</v>
      </c>
      <c r="B401" s="293"/>
      <c r="C401" s="293"/>
      <c r="D401" s="293"/>
      <c r="E401" s="293"/>
      <c r="F401" s="293"/>
      <c r="G401" s="293"/>
      <c r="H401" s="293"/>
      <c r="I401" s="293"/>
      <c r="J401" s="293"/>
      <c r="L401" s="293">
        <f t="shared" si="39"/>
        <v>0</v>
      </c>
    </row>
    <row r="402" spans="1:12" x14ac:dyDescent="0.25">
      <c r="A402" t="s">
        <v>66</v>
      </c>
      <c r="B402" s="293"/>
      <c r="C402" s="293"/>
      <c r="D402" s="293"/>
      <c r="E402" s="293"/>
      <c r="F402" s="293"/>
      <c r="G402" s="293"/>
      <c r="H402" s="293"/>
      <c r="I402" s="293"/>
      <c r="J402" s="293"/>
      <c r="L402" s="293">
        <f t="shared" si="39"/>
        <v>0</v>
      </c>
    </row>
    <row r="403" spans="1:12" x14ac:dyDescent="0.25">
      <c r="B403" s="293"/>
      <c r="C403" s="293"/>
      <c r="D403" s="293"/>
      <c r="E403" s="293"/>
      <c r="F403" s="293"/>
      <c r="G403" s="293"/>
      <c r="H403" s="293"/>
      <c r="I403" s="293"/>
      <c r="J403" s="293"/>
      <c r="L403" s="293">
        <f t="shared" si="39"/>
        <v>0</v>
      </c>
    </row>
    <row r="404" spans="1:12" x14ac:dyDescent="0.25">
      <c r="B404" s="293"/>
      <c r="C404" s="293"/>
      <c r="D404" s="293"/>
      <c r="E404" s="293"/>
      <c r="F404" s="293"/>
      <c r="G404" s="293"/>
      <c r="H404" s="293"/>
      <c r="I404" s="293"/>
      <c r="J404" s="293"/>
      <c r="L404" s="293">
        <f t="shared" si="39"/>
        <v>0</v>
      </c>
    </row>
    <row r="405" spans="1:12" x14ac:dyDescent="0.25">
      <c r="B405" s="293"/>
      <c r="C405" s="293"/>
      <c r="D405" s="293"/>
      <c r="E405" s="293"/>
      <c r="F405" s="293"/>
      <c r="G405" s="293"/>
      <c r="H405" s="293"/>
      <c r="I405" s="293"/>
      <c r="J405" s="293"/>
      <c r="L405" s="293">
        <f t="shared" si="39"/>
        <v>0</v>
      </c>
    </row>
    <row r="406" spans="1:12" x14ac:dyDescent="0.25">
      <c r="B406" s="293"/>
      <c r="C406" s="293"/>
      <c r="D406" s="293"/>
      <c r="E406" s="293"/>
      <c r="F406" s="293"/>
      <c r="G406" s="293"/>
      <c r="H406" s="293"/>
      <c r="I406" s="293"/>
      <c r="J406" s="293"/>
      <c r="L406" s="293">
        <f t="shared" si="39"/>
        <v>0</v>
      </c>
    </row>
    <row r="407" spans="1:12" x14ac:dyDescent="0.25">
      <c r="A407" s="47" t="s">
        <v>4267</v>
      </c>
      <c r="B407" s="296">
        <f>SUM(B395:B406)</f>
        <v>0</v>
      </c>
      <c r="C407" s="296">
        <f t="shared" ref="C407:J407" si="43">SUM(C395:C406)</f>
        <v>0</v>
      </c>
      <c r="D407" s="296">
        <f t="shared" si="43"/>
        <v>0</v>
      </c>
      <c r="E407" s="296">
        <f t="shared" si="43"/>
        <v>0</v>
      </c>
      <c r="F407" s="296">
        <f t="shared" si="43"/>
        <v>0</v>
      </c>
      <c r="G407" s="296">
        <f t="shared" si="43"/>
        <v>0</v>
      </c>
      <c r="H407" s="296">
        <f t="shared" si="43"/>
        <v>0</v>
      </c>
      <c r="I407" s="296">
        <f t="shared" si="43"/>
        <v>0</v>
      </c>
      <c r="J407" s="296">
        <f t="shared" si="43"/>
        <v>0</v>
      </c>
      <c r="L407" s="293">
        <f t="shared" si="39"/>
        <v>0</v>
      </c>
    </row>
    <row r="408" spans="1:12" x14ac:dyDescent="0.25">
      <c r="B408" s="293"/>
      <c r="C408" s="293"/>
      <c r="D408" s="293"/>
      <c r="E408" s="293"/>
      <c r="F408" s="293"/>
      <c r="G408" s="293"/>
      <c r="H408" s="293"/>
      <c r="I408" s="293"/>
      <c r="J408" s="293"/>
      <c r="L408" s="293">
        <f t="shared" si="39"/>
        <v>0</v>
      </c>
    </row>
    <row r="409" spans="1:12" ht="15.75" thickBot="1" x14ac:dyDescent="0.3">
      <c r="A409" s="47" t="s">
        <v>4268</v>
      </c>
      <c r="B409" s="301">
        <f>B392-B407</f>
        <v>33200</v>
      </c>
      <c r="C409" s="301">
        <f t="shared" ref="C409:J409" si="44">C392-C407</f>
        <v>26500</v>
      </c>
      <c r="D409" s="301">
        <f t="shared" si="44"/>
        <v>22100</v>
      </c>
      <c r="E409" s="301">
        <f t="shared" si="44"/>
        <v>22100</v>
      </c>
      <c r="F409" s="301">
        <f t="shared" si="44"/>
        <v>22100</v>
      </c>
      <c r="G409" s="301">
        <f t="shared" si="44"/>
        <v>17700</v>
      </c>
      <c r="H409" s="301">
        <f t="shared" si="44"/>
        <v>17700</v>
      </c>
      <c r="I409" s="301">
        <f t="shared" si="44"/>
        <v>17700</v>
      </c>
      <c r="J409" s="301">
        <f t="shared" si="44"/>
        <v>17700</v>
      </c>
      <c r="L409" s="293"/>
    </row>
    <row r="410" spans="1:12" ht="15.75" thickTop="1" x14ac:dyDescent="0.25">
      <c r="B410" s="293"/>
      <c r="C410" s="293"/>
      <c r="D410" s="293"/>
      <c r="E410" s="293"/>
      <c r="F410" s="293"/>
      <c r="G410" s="293"/>
      <c r="H410" s="293"/>
      <c r="I410" s="293"/>
      <c r="J410" s="293"/>
      <c r="L410" s="293">
        <f t="shared" si="39"/>
        <v>0</v>
      </c>
    </row>
    <row r="411" spans="1:12" x14ac:dyDescent="0.25">
      <c r="A411" s="281"/>
      <c r="B411" s="316"/>
      <c r="C411" s="316"/>
      <c r="D411" s="316"/>
      <c r="E411" s="316"/>
      <c r="F411" s="316"/>
      <c r="G411" s="316"/>
      <c r="H411" s="316"/>
      <c r="I411" s="316"/>
      <c r="J411" s="316"/>
      <c r="L411" s="293">
        <f t="shared" si="39"/>
        <v>0</v>
      </c>
    </row>
    <row r="412" spans="1:12" x14ac:dyDescent="0.25">
      <c r="B412" s="293"/>
      <c r="C412" s="293"/>
      <c r="D412" s="293"/>
      <c r="E412" s="293"/>
      <c r="F412" s="293"/>
      <c r="G412" s="293"/>
      <c r="H412" s="293"/>
      <c r="I412" s="293"/>
      <c r="J412" s="293"/>
      <c r="L412" s="293">
        <f t="shared" si="39"/>
        <v>0</v>
      </c>
    </row>
    <row r="413" spans="1:12" x14ac:dyDescent="0.25">
      <c r="A413" s="280" t="s">
        <v>4332</v>
      </c>
      <c r="B413" s="293"/>
      <c r="C413" s="293"/>
      <c r="D413" s="293"/>
      <c r="E413" s="293"/>
      <c r="F413" s="293"/>
      <c r="G413" s="293"/>
      <c r="H413" s="293"/>
      <c r="I413" s="293"/>
      <c r="J413" s="293"/>
      <c r="L413" s="293">
        <f t="shared" si="39"/>
        <v>0</v>
      </c>
    </row>
    <row r="414" spans="1:12" x14ac:dyDescent="0.25">
      <c r="B414" s="293"/>
      <c r="C414" s="293"/>
      <c r="D414" s="293"/>
      <c r="E414" s="293"/>
      <c r="F414" s="293"/>
      <c r="G414" s="293"/>
      <c r="H414" s="293"/>
      <c r="I414" s="293"/>
      <c r="J414" s="293"/>
      <c r="L414" s="293">
        <f t="shared" si="39"/>
        <v>0</v>
      </c>
    </row>
    <row r="415" spans="1:12" x14ac:dyDescent="0.25">
      <c r="A415" s="47" t="s">
        <v>4260</v>
      </c>
      <c r="B415" s="293"/>
      <c r="C415" s="293"/>
      <c r="D415" s="293"/>
      <c r="E415" s="293"/>
      <c r="F415" s="293"/>
      <c r="G415" s="293"/>
      <c r="H415" s="293"/>
      <c r="I415" s="293"/>
      <c r="J415" s="293"/>
      <c r="L415" s="293">
        <f t="shared" si="39"/>
        <v>0</v>
      </c>
    </row>
    <row r="416" spans="1:12" x14ac:dyDescent="0.25">
      <c r="A416" t="s">
        <v>4262</v>
      </c>
      <c r="B416" s="293"/>
      <c r="C416" s="293"/>
      <c r="D416" s="293"/>
      <c r="E416" s="293"/>
      <c r="F416" s="293"/>
      <c r="G416" s="293"/>
      <c r="H416" s="293"/>
      <c r="I416" s="293"/>
      <c r="J416" s="293"/>
      <c r="L416" s="293">
        <f t="shared" si="39"/>
        <v>0</v>
      </c>
    </row>
    <row r="417" spans="1:12" x14ac:dyDescent="0.25">
      <c r="A417" t="s">
        <v>4261</v>
      </c>
      <c r="B417" s="293">
        <f>capitalrevdata!F9</f>
        <v>8800</v>
      </c>
      <c r="C417" s="293">
        <f>capitalrevdata!G9</f>
        <v>7000</v>
      </c>
      <c r="D417" s="293">
        <f>capitalrevdata!H9</f>
        <v>5800</v>
      </c>
      <c r="E417" s="293">
        <f>capitalrevdata!I9</f>
        <v>5800</v>
      </c>
      <c r="F417" s="293">
        <f>capitalrevdata!J9</f>
        <v>5800</v>
      </c>
      <c r="G417" s="293">
        <f>capitalrevdata!K9</f>
        <v>4700</v>
      </c>
      <c r="H417" s="293">
        <f>capitalrevdata!L9</f>
        <v>4700</v>
      </c>
      <c r="I417" s="293">
        <f>capitalrevdata!M9</f>
        <v>4700</v>
      </c>
      <c r="J417" s="293">
        <f>capitalrevdata!N9</f>
        <v>4700</v>
      </c>
      <c r="L417" s="293">
        <f t="shared" si="39"/>
        <v>4700</v>
      </c>
    </row>
    <row r="418" spans="1:12" x14ac:dyDescent="0.25">
      <c r="A418" t="s">
        <v>66</v>
      </c>
      <c r="B418" s="293"/>
      <c r="C418" s="293"/>
      <c r="D418" s="293"/>
      <c r="E418" s="293"/>
      <c r="F418" s="293"/>
      <c r="G418" s="293"/>
      <c r="H418" s="293"/>
      <c r="I418" s="293"/>
      <c r="J418" s="293"/>
      <c r="L418" s="293">
        <f t="shared" si="39"/>
        <v>0</v>
      </c>
    </row>
    <row r="419" spans="1:12" x14ac:dyDescent="0.25">
      <c r="B419" s="293"/>
      <c r="C419" s="293"/>
      <c r="D419" s="293"/>
      <c r="E419" s="293"/>
      <c r="F419" s="293"/>
      <c r="G419" s="293"/>
      <c r="H419" s="293"/>
      <c r="I419" s="293"/>
      <c r="J419" s="293"/>
      <c r="L419" s="293">
        <f t="shared" si="39"/>
        <v>0</v>
      </c>
    </row>
    <row r="420" spans="1:12" x14ac:dyDescent="0.25">
      <c r="B420" s="293"/>
      <c r="C420" s="293"/>
      <c r="D420" s="293"/>
      <c r="E420" s="293"/>
      <c r="F420" s="293"/>
      <c r="G420" s="293"/>
      <c r="H420" s="293"/>
      <c r="I420" s="293"/>
      <c r="J420" s="293"/>
      <c r="L420" s="293">
        <f t="shared" si="39"/>
        <v>0</v>
      </c>
    </row>
    <row r="421" spans="1:12" x14ac:dyDescent="0.25">
      <c r="B421" s="293"/>
      <c r="C421" s="293"/>
      <c r="D421" s="293"/>
      <c r="E421" s="293"/>
      <c r="F421" s="293"/>
      <c r="G421" s="293"/>
      <c r="H421" s="293"/>
      <c r="I421" s="293"/>
      <c r="J421" s="293"/>
      <c r="L421" s="293">
        <f t="shared" si="39"/>
        <v>0</v>
      </c>
    </row>
    <row r="422" spans="1:12" x14ac:dyDescent="0.25">
      <c r="B422" s="293"/>
      <c r="C422" s="293"/>
      <c r="D422" s="293"/>
      <c r="E422" s="293"/>
      <c r="F422" s="293"/>
      <c r="G422" s="293"/>
      <c r="H422" s="293"/>
      <c r="I422" s="293"/>
      <c r="J422" s="293"/>
      <c r="L422" s="293">
        <f t="shared" si="39"/>
        <v>0</v>
      </c>
    </row>
    <row r="423" spans="1:12" x14ac:dyDescent="0.25">
      <c r="A423" s="47" t="s">
        <v>4263</v>
      </c>
      <c r="B423" s="296">
        <f>SUM(B413:B422)</f>
        <v>8800</v>
      </c>
      <c r="C423" s="296">
        <f t="shared" ref="C423:J423" si="45">SUM(C413:C422)</f>
        <v>7000</v>
      </c>
      <c r="D423" s="296">
        <f t="shared" si="45"/>
        <v>5800</v>
      </c>
      <c r="E423" s="296">
        <f t="shared" si="45"/>
        <v>5800</v>
      </c>
      <c r="F423" s="296">
        <f t="shared" si="45"/>
        <v>5800</v>
      </c>
      <c r="G423" s="296">
        <f t="shared" si="45"/>
        <v>4700</v>
      </c>
      <c r="H423" s="296">
        <f t="shared" si="45"/>
        <v>4700</v>
      </c>
      <c r="I423" s="296">
        <f t="shared" si="45"/>
        <v>4700</v>
      </c>
      <c r="J423" s="296">
        <f t="shared" si="45"/>
        <v>4700</v>
      </c>
      <c r="L423" s="293"/>
    </row>
    <row r="424" spans="1:12" x14ac:dyDescent="0.25">
      <c r="B424" s="293"/>
      <c r="C424" s="293"/>
      <c r="D424" s="293"/>
      <c r="E424" s="293"/>
      <c r="F424" s="293"/>
      <c r="G424" s="293"/>
      <c r="H424" s="293"/>
      <c r="I424" s="293"/>
      <c r="J424" s="293"/>
      <c r="L424" s="293">
        <f t="shared" si="39"/>
        <v>0</v>
      </c>
    </row>
    <row r="425" spans="1:12" x14ac:dyDescent="0.25">
      <c r="A425" s="47" t="s">
        <v>4264</v>
      </c>
      <c r="B425" s="293"/>
      <c r="C425" s="293"/>
      <c r="D425" s="293"/>
      <c r="E425" s="293"/>
      <c r="F425" s="293"/>
      <c r="G425" s="293"/>
      <c r="H425" s="293"/>
      <c r="I425" s="293"/>
      <c r="J425" s="293"/>
      <c r="L425" s="293">
        <f t="shared" si="39"/>
        <v>0</v>
      </c>
    </row>
    <row r="426" spans="1:12" x14ac:dyDescent="0.25">
      <c r="A426" t="s">
        <v>87</v>
      </c>
      <c r="B426" s="293"/>
      <c r="C426" s="293"/>
      <c r="D426" s="293"/>
      <c r="E426" s="293"/>
      <c r="F426" s="293"/>
      <c r="G426" s="293"/>
      <c r="H426" s="293"/>
      <c r="I426" s="293"/>
      <c r="J426" s="293"/>
      <c r="L426" s="293">
        <f t="shared" si="39"/>
        <v>0</v>
      </c>
    </row>
    <row r="427" spans="1:12" x14ac:dyDescent="0.25">
      <c r="A427" t="s">
        <v>4265</v>
      </c>
      <c r="B427" s="293"/>
      <c r="C427" s="293"/>
      <c r="D427" s="293"/>
      <c r="E427" s="293"/>
      <c r="F427" s="293"/>
      <c r="G427" s="293"/>
      <c r="H427" s="293"/>
      <c r="I427" s="293"/>
      <c r="J427" s="293"/>
      <c r="L427" s="293">
        <f t="shared" si="39"/>
        <v>0</v>
      </c>
    </row>
    <row r="428" spans="1:12" x14ac:dyDescent="0.25">
      <c r="B428" s="293"/>
      <c r="C428" s="293"/>
      <c r="D428" s="293"/>
      <c r="E428" s="293"/>
      <c r="F428" s="293"/>
      <c r="G428" s="293"/>
      <c r="H428" s="293"/>
      <c r="I428" s="293"/>
      <c r="J428" s="293"/>
      <c r="L428" s="293">
        <f t="shared" ref="L428:L491" si="46">J428</f>
        <v>0</v>
      </c>
    </row>
    <row r="429" spans="1:12" x14ac:dyDescent="0.25">
      <c r="B429" s="293"/>
      <c r="C429" s="293"/>
      <c r="D429" s="293"/>
      <c r="E429" s="293"/>
      <c r="F429" s="293"/>
      <c r="G429" s="293"/>
      <c r="H429" s="293"/>
      <c r="I429" s="293"/>
      <c r="J429" s="293"/>
      <c r="L429" s="293">
        <f t="shared" si="46"/>
        <v>0</v>
      </c>
    </row>
    <row r="430" spans="1:12" x14ac:dyDescent="0.25">
      <c r="B430" s="293"/>
      <c r="C430" s="293"/>
      <c r="D430" s="293"/>
      <c r="E430" s="293"/>
      <c r="F430" s="293"/>
      <c r="G430" s="293"/>
      <c r="H430" s="293"/>
      <c r="I430" s="293"/>
      <c r="J430" s="293"/>
      <c r="L430" s="293">
        <f t="shared" si="46"/>
        <v>0</v>
      </c>
    </row>
    <row r="431" spans="1:12" x14ac:dyDescent="0.25">
      <c r="B431" s="293"/>
      <c r="C431" s="293"/>
      <c r="D431" s="293"/>
      <c r="E431" s="293"/>
      <c r="F431" s="293"/>
      <c r="G431" s="293"/>
      <c r="H431" s="293"/>
      <c r="I431" s="293"/>
      <c r="J431" s="293"/>
      <c r="L431" s="293">
        <f t="shared" si="46"/>
        <v>0</v>
      </c>
    </row>
    <row r="432" spans="1:12" x14ac:dyDescent="0.25">
      <c r="A432" t="s">
        <v>4266</v>
      </c>
      <c r="B432" s="293"/>
      <c r="C432" s="293"/>
      <c r="D432" s="293"/>
      <c r="E432" s="293"/>
      <c r="F432" s="293"/>
      <c r="G432" s="293"/>
      <c r="H432" s="293"/>
      <c r="I432" s="293"/>
      <c r="J432" s="293"/>
      <c r="L432" s="293">
        <f t="shared" si="46"/>
        <v>0</v>
      </c>
    </row>
    <row r="433" spans="1:12" x14ac:dyDescent="0.25">
      <c r="A433" t="s">
        <v>66</v>
      </c>
      <c r="B433" s="293"/>
      <c r="C433" s="293"/>
      <c r="D433" s="293"/>
      <c r="E433" s="293"/>
      <c r="F433" s="293"/>
      <c r="G433" s="293"/>
      <c r="H433" s="293"/>
      <c r="I433" s="293"/>
      <c r="J433" s="293"/>
      <c r="L433" s="293">
        <f t="shared" si="46"/>
        <v>0</v>
      </c>
    </row>
    <row r="434" spans="1:12" x14ac:dyDescent="0.25">
      <c r="B434" s="293"/>
      <c r="C434" s="293"/>
      <c r="D434" s="293"/>
      <c r="E434" s="293"/>
      <c r="F434" s="293"/>
      <c r="G434" s="293"/>
      <c r="H434" s="293"/>
      <c r="I434" s="293"/>
      <c r="J434" s="293"/>
      <c r="L434" s="293">
        <f t="shared" si="46"/>
        <v>0</v>
      </c>
    </row>
    <row r="435" spans="1:12" x14ac:dyDescent="0.25">
      <c r="B435" s="293"/>
      <c r="C435" s="293"/>
      <c r="D435" s="293"/>
      <c r="E435" s="293"/>
      <c r="F435" s="293"/>
      <c r="G435" s="293"/>
      <c r="H435" s="293"/>
      <c r="I435" s="293"/>
      <c r="J435" s="293"/>
      <c r="L435" s="293">
        <f t="shared" si="46"/>
        <v>0</v>
      </c>
    </row>
    <row r="436" spans="1:12" x14ac:dyDescent="0.25">
      <c r="B436" s="293"/>
      <c r="C436" s="293"/>
      <c r="D436" s="293"/>
      <c r="E436" s="293"/>
      <c r="F436" s="293"/>
      <c r="G436" s="293"/>
      <c r="H436" s="293"/>
      <c r="I436" s="293"/>
      <c r="J436" s="293"/>
      <c r="L436" s="293">
        <f t="shared" si="46"/>
        <v>0</v>
      </c>
    </row>
    <row r="437" spans="1:12" x14ac:dyDescent="0.25">
      <c r="B437" s="293"/>
      <c r="C437" s="293"/>
      <c r="D437" s="293"/>
      <c r="E437" s="293"/>
      <c r="F437" s="293"/>
      <c r="G437" s="293"/>
      <c r="H437" s="293"/>
      <c r="I437" s="293"/>
      <c r="J437" s="293"/>
      <c r="L437" s="293">
        <f t="shared" si="46"/>
        <v>0</v>
      </c>
    </row>
    <row r="438" spans="1:12" x14ac:dyDescent="0.25">
      <c r="A438" s="47" t="s">
        <v>4267</v>
      </c>
      <c r="B438" s="296">
        <f>SUM(B426:B437)</f>
        <v>0</v>
      </c>
      <c r="C438" s="296">
        <f t="shared" ref="C438:J438" si="47">SUM(C426:C437)</f>
        <v>0</v>
      </c>
      <c r="D438" s="296">
        <f t="shared" si="47"/>
        <v>0</v>
      </c>
      <c r="E438" s="296">
        <f t="shared" si="47"/>
        <v>0</v>
      </c>
      <c r="F438" s="296">
        <f t="shared" si="47"/>
        <v>0</v>
      </c>
      <c r="G438" s="296">
        <f t="shared" si="47"/>
        <v>0</v>
      </c>
      <c r="H438" s="296">
        <f t="shared" si="47"/>
        <v>0</v>
      </c>
      <c r="I438" s="296">
        <f t="shared" si="47"/>
        <v>0</v>
      </c>
      <c r="J438" s="296">
        <f t="shared" si="47"/>
        <v>0</v>
      </c>
      <c r="L438" s="293">
        <f t="shared" si="46"/>
        <v>0</v>
      </c>
    </row>
    <row r="439" spans="1:12" x14ac:dyDescent="0.25">
      <c r="B439" s="293"/>
      <c r="C439" s="293"/>
      <c r="D439" s="293"/>
      <c r="E439" s="293"/>
      <c r="F439" s="293"/>
      <c r="G439" s="293"/>
      <c r="H439" s="293"/>
      <c r="I439" s="293"/>
      <c r="J439" s="293"/>
      <c r="L439" s="293">
        <f t="shared" si="46"/>
        <v>0</v>
      </c>
    </row>
    <row r="440" spans="1:12" ht="15.75" thickBot="1" x14ac:dyDescent="0.3">
      <c r="A440" s="47" t="s">
        <v>4268</v>
      </c>
      <c r="B440" s="301">
        <f>B423-B438</f>
        <v>8800</v>
      </c>
      <c r="C440" s="301">
        <f t="shared" ref="C440:J440" si="48">C423-C438</f>
        <v>7000</v>
      </c>
      <c r="D440" s="301">
        <f t="shared" si="48"/>
        <v>5800</v>
      </c>
      <c r="E440" s="301">
        <f t="shared" si="48"/>
        <v>5800</v>
      </c>
      <c r="F440" s="301">
        <f t="shared" si="48"/>
        <v>5800</v>
      </c>
      <c r="G440" s="301">
        <f t="shared" si="48"/>
        <v>4700</v>
      </c>
      <c r="H440" s="301">
        <f t="shared" si="48"/>
        <v>4700</v>
      </c>
      <c r="I440" s="301">
        <f t="shared" si="48"/>
        <v>4700</v>
      </c>
      <c r="J440" s="301">
        <f t="shared" si="48"/>
        <v>4700</v>
      </c>
      <c r="L440" s="293"/>
    </row>
    <row r="441" spans="1:12" ht="15.75" thickTop="1" x14ac:dyDescent="0.25">
      <c r="B441" s="293"/>
      <c r="C441" s="293"/>
      <c r="D441" s="293"/>
      <c r="E441" s="293"/>
      <c r="F441" s="293"/>
      <c r="G441" s="293"/>
      <c r="H441" s="293"/>
      <c r="I441" s="293"/>
      <c r="J441" s="293"/>
      <c r="L441" s="293">
        <f t="shared" si="46"/>
        <v>0</v>
      </c>
    </row>
    <row r="442" spans="1:12" x14ac:dyDescent="0.25">
      <c r="A442" s="281"/>
      <c r="B442" s="316"/>
      <c r="C442" s="316"/>
      <c r="D442" s="316"/>
      <c r="E442" s="316"/>
      <c r="F442" s="316"/>
      <c r="G442" s="316"/>
      <c r="H442" s="316"/>
      <c r="I442" s="316"/>
      <c r="J442" s="316"/>
      <c r="L442" s="293">
        <f t="shared" si="46"/>
        <v>0</v>
      </c>
    </row>
    <row r="443" spans="1:12" x14ac:dyDescent="0.25">
      <c r="B443" s="293"/>
      <c r="C443" s="293"/>
      <c r="D443" s="293"/>
      <c r="E443" s="293"/>
      <c r="F443" s="293"/>
      <c r="G443" s="293"/>
      <c r="H443" s="293"/>
      <c r="I443" s="293"/>
      <c r="J443" s="293"/>
      <c r="L443" s="293">
        <f t="shared" si="46"/>
        <v>0</v>
      </c>
    </row>
    <row r="444" spans="1:12" x14ac:dyDescent="0.25">
      <c r="A444" s="280" t="s">
        <v>4333</v>
      </c>
      <c r="B444" s="293"/>
      <c r="C444" s="293"/>
      <c r="D444" s="293"/>
      <c r="E444" s="293"/>
      <c r="F444" s="293"/>
      <c r="G444" s="293"/>
      <c r="H444" s="293"/>
      <c r="I444" s="293"/>
      <c r="J444" s="293"/>
      <c r="L444" s="293">
        <f t="shared" si="46"/>
        <v>0</v>
      </c>
    </row>
    <row r="445" spans="1:12" x14ac:dyDescent="0.25">
      <c r="B445" s="293"/>
      <c r="C445" s="293"/>
      <c r="D445" s="293"/>
      <c r="E445" s="293"/>
      <c r="F445" s="293"/>
      <c r="G445" s="293"/>
      <c r="H445" s="293"/>
      <c r="I445" s="293"/>
      <c r="J445" s="293"/>
      <c r="L445" s="293">
        <f t="shared" si="46"/>
        <v>0</v>
      </c>
    </row>
    <row r="446" spans="1:12" x14ac:dyDescent="0.25">
      <c r="A446" s="47" t="s">
        <v>4260</v>
      </c>
      <c r="B446" s="293"/>
      <c r="C446" s="293"/>
      <c r="D446" s="293"/>
      <c r="E446" s="293"/>
      <c r="F446" s="293"/>
      <c r="G446" s="293"/>
      <c r="H446" s="293"/>
      <c r="I446" s="293"/>
      <c r="J446" s="293"/>
      <c r="L446" s="293">
        <f t="shared" si="46"/>
        <v>0</v>
      </c>
    </row>
    <row r="447" spans="1:12" x14ac:dyDescent="0.25">
      <c r="A447" t="s">
        <v>4262</v>
      </c>
      <c r="B447" s="293"/>
      <c r="C447" s="293"/>
      <c r="D447" s="293"/>
      <c r="E447" s="293"/>
      <c r="F447" s="293"/>
      <c r="G447" s="293"/>
      <c r="H447" s="293"/>
      <c r="I447" s="293"/>
      <c r="J447" s="293"/>
      <c r="L447" s="293">
        <f t="shared" si="46"/>
        <v>0</v>
      </c>
    </row>
    <row r="448" spans="1:12" x14ac:dyDescent="0.25">
      <c r="A448" t="s">
        <v>4261</v>
      </c>
      <c r="B448" s="293">
        <f>capitalrevdata!E10</f>
        <v>14400</v>
      </c>
      <c r="C448" s="293">
        <f>capitalrevdata!F10</f>
        <v>12000</v>
      </c>
      <c r="D448" s="293">
        <f>capitalrevdata!G10</f>
        <v>9600</v>
      </c>
      <c r="E448" s="293">
        <f>capitalrevdata!H10</f>
        <v>8000</v>
      </c>
      <c r="F448" s="293">
        <f>capitalrevdata!I10</f>
        <v>8000</v>
      </c>
      <c r="G448" s="293">
        <f>capitalrevdata!J10</f>
        <v>8000</v>
      </c>
      <c r="H448" s="293">
        <f>capitalrevdata!K10</f>
        <v>6400</v>
      </c>
      <c r="I448" s="293">
        <f>capitalrevdata!L10</f>
        <v>6400</v>
      </c>
      <c r="J448" s="293">
        <f>capitalrevdata!M10</f>
        <v>6400</v>
      </c>
      <c r="L448" s="293">
        <f t="shared" si="46"/>
        <v>6400</v>
      </c>
    </row>
    <row r="449" spans="1:12" x14ac:dyDescent="0.25">
      <c r="A449" t="s">
        <v>66</v>
      </c>
      <c r="B449" s="293"/>
      <c r="C449" s="293"/>
      <c r="D449" s="293"/>
      <c r="E449" s="293"/>
      <c r="F449" s="293"/>
      <c r="G449" s="293"/>
      <c r="H449" s="293"/>
      <c r="I449" s="293"/>
      <c r="J449" s="293"/>
      <c r="L449" s="293">
        <f t="shared" si="46"/>
        <v>0</v>
      </c>
    </row>
    <row r="450" spans="1:12" x14ac:dyDescent="0.25">
      <c r="B450" s="293"/>
      <c r="C450" s="293"/>
      <c r="D450" s="293"/>
      <c r="E450" s="293"/>
      <c r="F450" s="293"/>
      <c r="G450" s="293"/>
      <c r="H450" s="293"/>
      <c r="I450" s="293"/>
      <c r="J450" s="293"/>
      <c r="L450" s="293">
        <f t="shared" si="46"/>
        <v>0</v>
      </c>
    </row>
    <row r="451" spans="1:12" x14ac:dyDescent="0.25">
      <c r="B451" s="293"/>
      <c r="C451" s="293"/>
      <c r="D451" s="293"/>
      <c r="E451" s="293"/>
      <c r="F451" s="293"/>
      <c r="G451" s="293"/>
      <c r="H451" s="293"/>
      <c r="I451" s="293"/>
      <c r="J451" s="293"/>
      <c r="L451" s="293">
        <f t="shared" si="46"/>
        <v>0</v>
      </c>
    </row>
    <row r="452" spans="1:12" x14ac:dyDescent="0.25">
      <c r="B452" s="293"/>
      <c r="C452" s="293"/>
      <c r="D452" s="293"/>
      <c r="E452" s="293"/>
      <c r="F452" s="293"/>
      <c r="G452" s="293"/>
      <c r="H452" s="293"/>
      <c r="I452" s="293"/>
      <c r="J452" s="293"/>
      <c r="L452" s="293">
        <f t="shared" si="46"/>
        <v>0</v>
      </c>
    </row>
    <row r="453" spans="1:12" x14ac:dyDescent="0.25">
      <c r="B453" s="293"/>
      <c r="C453" s="293"/>
      <c r="D453" s="293"/>
      <c r="E453" s="293"/>
      <c r="F453" s="293"/>
      <c r="G453" s="293"/>
      <c r="H453" s="293"/>
      <c r="I453" s="293"/>
      <c r="J453" s="293"/>
      <c r="L453" s="293">
        <f t="shared" si="46"/>
        <v>0</v>
      </c>
    </row>
    <row r="454" spans="1:12" x14ac:dyDescent="0.25">
      <c r="A454" s="47" t="s">
        <v>4263</v>
      </c>
      <c r="B454" s="296">
        <f>SUM(B444:B453)</f>
        <v>14400</v>
      </c>
      <c r="C454" s="296">
        <f t="shared" ref="C454:J454" si="49">SUM(C444:C453)</f>
        <v>12000</v>
      </c>
      <c r="D454" s="296">
        <f t="shared" si="49"/>
        <v>9600</v>
      </c>
      <c r="E454" s="296">
        <f t="shared" si="49"/>
        <v>8000</v>
      </c>
      <c r="F454" s="296">
        <f t="shared" si="49"/>
        <v>8000</v>
      </c>
      <c r="G454" s="296">
        <f t="shared" si="49"/>
        <v>8000</v>
      </c>
      <c r="H454" s="296">
        <f t="shared" si="49"/>
        <v>6400</v>
      </c>
      <c r="I454" s="296">
        <f t="shared" si="49"/>
        <v>6400</v>
      </c>
      <c r="J454" s="296">
        <f t="shared" si="49"/>
        <v>6400</v>
      </c>
      <c r="L454" s="293"/>
    </row>
    <row r="455" spans="1:12" x14ac:dyDescent="0.25">
      <c r="B455" s="293"/>
      <c r="C455" s="293"/>
      <c r="D455" s="293"/>
      <c r="E455" s="293"/>
      <c r="F455" s="293"/>
      <c r="G455" s="293"/>
      <c r="H455" s="293"/>
      <c r="I455" s="293"/>
      <c r="J455" s="293"/>
      <c r="L455" s="293">
        <f t="shared" si="46"/>
        <v>0</v>
      </c>
    </row>
    <row r="456" spans="1:12" x14ac:dyDescent="0.25">
      <c r="A456" s="47" t="s">
        <v>4264</v>
      </c>
      <c r="B456" s="293"/>
      <c r="C456" s="293"/>
      <c r="D456" s="293"/>
      <c r="E456" s="293"/>
      <c r="F456" s="293"/>
      <c r="G456" s="293"/>
      <c r="H456" s="293"/>
      <c r="I456" s="293"/>
      <c r="J456" s="293"/>
      <c r="L456" s="293">
        <f t="shared" si="46"/>
        <v>0</v>
      </c>
    </row>
    <row r="457" spans="1:12" x14ac:dyDescent="0.25">
      <c r="A457" t="s">
        <v>87</v>
      </c>
      <c r="B457" s="293"/>
      <c r="C457" s="293"/>
      <c r="D457" s="293"/>
      <c r="E457" s="293"/>
      <c r="F457" s="293"/>
      <c r="G457" s="293"/>
      <c r="H457" s="293"/>
      <c r="I457" s="293"/>
      <c r="J457" s="293"/>
      <c r="L457" s="293">
        <f t="shared" si="46"/>
        <v>0</v>
      </c>
    </row>
    <row r="458" spans="1:12" x14ac:dyDescent="0.25">
      <c r="A458" t="s">
        <v>4265</v>
      </c>
      <c r="B458" s="293"/>
      <c r="C458" s="293"/>
      <c r="D458" s="293"/>
      <c r="E458" s="293"/>
      <c r="F458" s="293"/>
      <c r="G458" s="293"/>
      <c r="H458" s="293"/>
      <c r="I458" s="293"/>
      <c r="J458" s="293"/>
      <c r="L458" s="293">
        <f t="shared" si="46"/>
        <v>0</v>
      </c>
    </row>
    <row r="459" spans="1:12" x14ac:dyDescent="0.25">
      <c r="B459" s="293"/>
      <c r="C459" s="293"/>
      <c r="D459" s="293"/>
      <c r="E459" s="293"/>
      <c r="F459" s="293"/>
      <c r="G459" s="293"/>
      <c r="H459" s="293"/>
      <c r="I459" s="293"/>
      <c r="J459" s="293"/>
      <c r="L459" s="293">
        <f t="shared" si="46"/>
        <v>0</v>
      </c>
    </row>
    <row r="460" spans="1:12" x14ac:dyDescent="0.25">
      <c r="B460" s="293"/>
      <c r="C460" s="293"/>
      <c r="D460" s="293"/>
      <c r="E460" s="293"/>
      <c r="F460" s="293"/>
      <c r="G460" s="293"/>
      <c r="H460" s="293"/>
      <c r="I460" s="293"/>
      <c r="J460" s="293"/>
      <c r="L460" s="293">
        <f t="shared" si="46"/>
        <v>0</v>
      </c>
    </row>
    <row r="461" spans="1:12" x14ac:dyDescent="0.25">
      <c r="B461" s="293"/>
      <c r="C461" s="293"/>
      <c r="D461" s="293"/>
      <c r="E461" s="293"/>
      <c r="F461" s="293"/>
      <c r="G461" s="293"/>
      <c r="H461" s="293"/>
      <c r="I461" s="293"/>
      <c r="J461" s="293"/>
      <c r="L461" s="293">
        <f t="shared" si="46"/>
        <v>0</v>
      </c>
    </row>
    <row r="462" spans="1:12" x14ac:dyDescent="0.25">
      <c r="B462" s="293"/>
      <c r="C462" s="293"/>
      <c r="D462" s="293"/>
      <c r="E462" s="293"/>
      <c r="F462" s="293"/>
      <c r="G462" s="293"/>
      <c r="H462" s="293"/>
      <c r="I462" s="293"/>
      <c r="J462" s="293"/>
      <c r="L462" s="293">
        <f t="shared" si="46"/>
        <v>0</v>
      </c>
    </row>
    <row r="463" spans="1:12" x14ac:dyDescent="0.25">
      <c r="A463" t="s">
        <v>4266</v>
      </c>
      <c r="B463" s="293"/>
      <c r="C463" s="293"/>
      <c r="D463" s="293"/>
      <c r="E463" s="293"/>
      <c r="F463" s="293"/>
      <c r="G463" s="293"/>
      <c r="H463" s="293"/>
      <c r="I463" s="293"/>
      <c r="J463" s="293"/>
      <c r="L463" s="293">
        <f t="shared" si="46"/>
        <v>0</v>
      </c>
    </row>
    <row r="464" spans="1:12" x14ac:dyDescent="0.25">
      <c r="A464" t="s">
        <v>66</v>
      </c>
      <c r="B464" s="293"/>
      <c r="C464" s="293"/>
      <c r="D464" s="293"/>
      <c r="E464" s="293"/>
      <c r="F464" s="293"/>
      <c r="G464" s="293"/>
      <c r="H464" s="293"/>
      <c r="I464" s="293"/>
      <c r="J464" s="293"/>
      <c r="L464" s="293">
        <f t="shared" si="46"/>
        <v>0</v>
      </c>
    </row>
    <row r="465" spans="1:12" x14ac:dyDescent="0.25">
      <c r="B465" s="293"/>
      <c r="C465" s="293"/>
      <c r="D465" s="293"/>
      <c r="E465" s="293"/>
      <c r="F465" s="293"/>
      <c r="G465" s="293"/>
      <c r="H465" s="293"/>
      <c r="I465" s="293"/>
      <c r="J465" s="293"/>
      <c r="L465" s="293">
        <f t="shared" si="46"/>
        <v>0</v>
      </c>
    </row>
    <row r="466" spans="1:12" x14ac:dyDescent="0.25">
      <c r="B466" s="293"/>
      <c r="C466" s="293"/>
      <c r="D466" s="293"/>
      <c r="E466" s="293"/>
      <c r="F466" s="293"/>
      <c r="G466" s="293"/>
      <c r="H466" s="293"/>
      <c r="I466" s="293"/>
      <c r="J466" s="293"/>
      <c r="L466" s="293">
        <f t="shared" si="46"/>
        <v>0</v>
      </c>
    </row>
    <row r="467" spans="1:12" x14ac:dyDescent="0.25">
      <c r="B467" s="293"/>
      <c r="C467" s="293"/>
      <c r="D467" s="293"/>
      <c r="E467" s="293"/>
      <c r="F467" s="293"/>
      <c r="G467" s="293"/>
      <c r="H467" s="293"/>
      <c r="I467" s="293"/>
      <c r="J467" s="293"/>
      <c r="L467" s="293">
        <f t="shared" si="46"/>
        <v>0</v>
      </c>
    </row>
    <row r="468" spans="1:12" x14ac:dyDescent="0.25">
      <c r="B468" s="293"/>
      <c r="C468" s="293"/>
      <c r="D468" s="293"/>
      <c r="E468" s="293"/>
      <c r="F468" s="293"/>
      <c r="G468" s="293"/>
      <c r="H468" s="293"/>
      <c r="I468" s="293"/>
      <c r="J468" s="293"/>
      <c r="L468" s="293">
        <f t="shared" si="46"/>
        <v>0</v>
      </c>
    </row>
    <row r="469" spans="1:12" x14ac:dyDescent="0.25">
      <c r="A469" s="47" t="s">
        <v>4267</v>
      </c>
      <c r="B469" s="296">
        <f>SUM(B457:B468)</f>
        <v>0</v>
      </c>
      <c r="C469" s="296">
        <f t="shared" ref="C469:J469" si="50">SUM(C457:C468)</f>
        <v>0</v>
      </c>
      <c r="D469" s="296">
        <f t="shared" si="50"/>
        <v>0</v>
      </c>
      <c r="E469" s="296">
        <f t="shared" si="50"/>
        <v>0</v>
      </c>
      <c r="F469" s="296">
        <f t="shared" si="50"/>
        <v>0</v>
      </c>
      <c r="G469" s="296">
        <f t="shared" si="50"/>
        <v>0</v>
      </c>
      <c r="H469" s="296">
        <f t="shared" si="50"/>
        <v>0</v>
      </c>
      <c r="I469" s="296">
        <f t="shared" si="50"/>
        <v>0</v>
      </c>
      <c r="J469" s="296">
        <f t="shared" si="50"/>
        <v>0</v>
      </c>
      <c r="L469" s="293">
        <f t="shared" si="46"/>
        <v>0</v>
      </c>
    </row>
    <row r="470" spans="1:12" x14ac:dyDescent="0.25">
      <c r="B470" s="293"/>
      <c r="C470" s="293"/>
      <c r="D470" s="293"/>
      <c r="E470" s="293"/>
      <c r="F470" s="293"/>
      <c r="G470" s="293"/>
      <c r="H470" s="293"/>
      <c r="I470" s="293"/>
      <c r="J470" s="293"/>
      <c r="L470" s="293">
        <f t="shared" si="46"/>
        <v>0</v>
      </c>
    </row>
    <row r="471" spans="1:12" ht="15.75" thickBot="1" x14ac:dyDescent="0.3">
      <c r="A471" s="47" t="s">
        <v>4268</v>
      </c>
      <c r="B471" s="301">
        <f>B454-B469</f>
        <v>14400</v>
      </c>
      <c r="C471" s="301">
        <f t="shared" ref="C471:J471" si="51">C454-C469</f>
        <v>12000</v>
      </c>
      <c r="D471" s="301">
        <f t="shared" si="51"/>
        <v>9600</v>
      </c>
      <c r="E471" s="301">
        <f t="shared" si="51"/>
        <v>8000</v>
      </c>
      <c r="F471" s="301">
        <f t="shared" si="51"/>
        <v>8000</v>
      </c>
      <c r="G471" s="301">
        <f t="shared" si="51"/>
        <v>8000</v>
      </c>
      <c r="H471" s="301">
        <f t="shared" si="51"/>
        <v>6400</v>
      </c>
      <c r="I471" s="301">
        <f t="shared" si="51"/>
        <v>6400</v>
      </c>
      <c r="J471" s="301">
        <f t="shared" si="51"/>
        <v>6400</v>
      </c>
      <c r="L471" s="293"/>
    </row>
    <row r="472" spans="1:12" ht="15.75" thickTop="1" x14ac:dyDescent="0.25">
      <c r="B472" s="293"/>
      <c r="C472" s="293"/>
      <c r="D472" s="293"/>
      <c r="E472" s="293"/>
      <c r="F472" s="293"/>
      <c r="G472" s="293"/>
      <c r="H472" s="293"/>
      <c r="I472" s="293"/>
      <c r="J472" s="293"/>
      <c r="L472" s="293">
        <f t="shared" si="46"/>
        <v>0</v>
      </c>
    </row>
    <row r="473" spans="1:12" x14ac:dyDescent="0.25">
      <c r="A473" s="281"/>
      <c r="B473" s="316"/>
      <c r="C473" s="316"/>
      <c r="D473" s="316"/>
      <c r="E473" s="316"/>
      <c r="F473" s="316"/>
      <c r="G473" s="316"/>
      <c r="H473" s="316"/>
      <c r="I473" s="316"/>
      <c r="J473" s="316"/>
      <c r="L473" s="293">
        <f t="shared" si="46"/>
        <v>0</v>
      </c>
    </row>
    <row r="474" spans="1:12" x14ac:dyDescent="0.25">
      <c r="B474" s="293"/>
      <c r="C474" s="293"/>
      <c r="D474" s="293"/>
      <c r="E474" s="293"/>
      <c r="F474" s="293"/>
      <c r="G474" s="293"/>
      <c r="H474" s="293"/>
      <c r="I474" s="293"/>
      <c r="J474" s="293"/>
      <c r="L474" s="293">
        <f t="shared" si="46"/>
        <v>0</v>
      </c>
    </row>
    <row r="475" spans="1:12" x14ac:dyDescent="0.25">
      <c r="A475" s="280" t="s">
        <v>4334</v>
      </c>
      <c r="B475" s="293"/>
      <c r="C475" s="293"/>
      <c r="D475" s="293"/>
      <c r="E475" s="293"/>
      <c r="F475" s="293"/>
      <c r="G475" s="293"/>
      <c r="H475" s="293"/>
      <c r="I475" s="293"/>
      <c r="J475" s="293"/>
      <c r="L475" s="293">
        <f t="shared" si="46"/>
        <v>0</v>
      </c>
    </row>
    <row r="476" spans="1:12" x14ac:dyDescent="0.25">
      <c r="B476" s="293"/>
      <c r="C476" s="293"/>
      <c r="D476" s="293"/>
      <c r="E476" s="293"/>
      <c r="F476" s="293"/>
      <c r="G476" s="293"/>
      <c r="H476" s="293"/>
      <c r="I476" s="293"/>
      <c r="J476" s="293"/>
      <c r="L476" s="293">
        <f t="shared" si="46"/>
        <v>0</v>
      </c>
    </row>
    <row r="477" spans="1:12" x14ac:dyDescent="0.25">
      <c r="A477" s="47" t="s">
        <v>4260</v>
      </c>
      <c r="B477" s="293"/>
      <c r="C477" s="293"/>
      <c r="D477" s="293"/>
      <c r="E477" s="293"/>
      <c r="F477" s="293"/>
      <c r="G477" s="293"/>
      <c r="H477" s="293"/>
      <c r="I477" s="293"/>
      <c r="J477" s="293"/>
      <c r="L477" s="293">
        <f t="shared" si="46"/>
        <v>0</v>
      </c>
    </row>
    <row r="478" spans="1:12" x14ac:dyDescent="0.25">
      <c r="A478" t="s">
        <v>4262</v>
      </c>
      <c r="B478" s="293"/>
      <c r="C478" s="293"/>
      <c r="D478" s="293"/>
      <c r="E478" s="293"/>
      <c r="F478" s="293"/>
      <c r="G478" s="293"/>
      <c r="H478" s="293"/>
      <c r="I478" s="293"/>
      <c r="J478" s="293"/>
      <c r="L478" s="293">
        <f t="shared" si="46"/>
        <v>0</v>
      </c>
    </row>
    <row r="479" spans="1:12" x14ac:dyDescent="0.25">
      <c r="A479" t="s">
        <v>4261</v>
      </c>
      <c r="B479" s="293">
        <f>capitalrevdata!E11</f>
        <v>200</v>
      </c>
      <c r="C479" s="293">
        <f>capitalrevdata!F11</f>
        <v>200</v>
      </c>
      <c r="D479" s="293">
        <f>capitalrevdata!G11</f>
        <v>100</v>
      </c>
      <c r="E479" s="293">
        <f>capitalrevdata!H11</f>
        <v>100</v>
      </c>
      <c r="F479" s="293">
        <f>capitalrevdata!I11</f>
        <v>100</v>
      </c>
      <c r="G479" s="293">
        <f>capitalrevdata!J11</f>
        <v>100</v>
      </c>
      <c r="H479" s="293">
        <f>capitalrevdata!K11</f>
        <v>100</v>
      </c>
      <c r="I479" s="293">
        <f>capitalrevdata!L11</f>
        <v>100</v>
      </c>
      <c r="J479" s="293">
        <f>capitalrevdata!M11</f>
        <v>100</v>
      </c>
      <c r="L479" s="293">
        <f t="shared" si="46"/>
        <v>100</v>
      </c>
    </row>
    <row r="480" spans="1:12" x14ac:dyDescent="0.25">
      <c r="A480" t="s">
        <v>66</v>
      </c>
      <c r="B480" s="293"/>
      <c r="C480" s="293"/>
      <c r="D480" s="293"/>
      <c r="E480" s="293"/>
      <c r="F480" s="293"/>
      <c r="G480" s="293"/>
      <c r="H480" s="293"/>
      <c r="I480" s="293"/>
      <c r="J480" s="293"/>
      <c r="L480" s="293">
        <f t="shared" si="46"/>
        <v>0</v>
      </c>
    </row>
    <row r="481" spans="1:12" x14ac:dyDescent="0.25">
      <c r="B481" s="293"/>
      <c r="C481" s="293"/>
      <c r="D481" s="293"/>
      <c r="E481" s="293"/>
      <c r="F481" s="293"/>
      <c r="G481" s="293"/>
      <c r="H481" s="293"/>
      <c r="I481" s="293"/>
      <c r="J481" s="293"/>
      <c r="L481" s="293">
        <f t="shared" si="46"/>
        <v>0</v>
      </c>
    </row>
    <row r="482" spans="1:12" x14ac:dyDescent="0.25">
      <c r="B482" s="293"/>
      <c r="C482" s="293"/>
      <c r="D482" s="293"/>
      <c r="E482" s="293"/>
      <c r="F482" s="293"/>
      <c r="G482" s="293"/>
      <c r="H482" s="293"/>
      <c r="I482" s="293"/>
      <c r="J482" s="293"/>
      <c r="L482" s="293">
        <f t="shared" si="46"/>
        <v>0</v>
      </c>
    </row>
    <row r="483" spans="1:12" x14ac:dyDescent="0.25">
      <c r="B483" s="293"/>
      <c r="C483" s="293"/>
      <c r="D483" s="293"/>
      <c r="E483" s="293"/>
      <c r="F483" s="293"/>
      <c r="G483" s="293"/>
      <c r="H483" s="293"/>
      <c r="I483" s="293"/>
      <c r="J483" s="293"/>
      <c r="L483" s="293">
        <f t="shared" si="46"/>
        <v>0</v>
      </c>
    </row>
    <row r="484" spans="1:12" x14ac:dyDescent="0.25">
      <c r="B484" s="293"/>
      <c r="C484" s="293"/>
      <c r="D484" s="293"/>
      <c r="E484" s="293"/>
      <c r="F484" s="293"/>
      <c r="G484" s="293"/>
      <c r="H484" s="293"/>
      <c r="I484" s="293"/>
      <c r="J484" s="293"/>
      <c r="L484" s="293">
        <f t="shared" si="46"/>
        <v>0</v>
      </c>
    </row>
    <row r="485" spans="1:12" x14ac:dyDescent="0.25">
      <c r="A485" s="47" t="s">
        <v>4263</v>
      </c>
      <c r="B485" s="296">
        <f>SUM(B475:B484)</f>
        <v>200</v>
      </c>
      <c r="C485" s="296">
        <f t="shared" ref="C485:J485" si="52">SUM(C475:C484)</f>
        <v>200</v>
      </c>
      <c r="D485" s="296">
        <f t="shared" si="52"/>
        <v>100</v>
      </c>
      <c r="E485" s="296">
        <f t="shared" si="52"/>
        <v>100</v>
      </c>
      <c r="F485" s="296">
        <f t="shared" si="52"/>
        <v>100</v>
      </c>
      <c r="G485" s="296">
        <f t="shared" si="52"/>
        <v>100</v>
      </c>
      <c r="H485" s="296">
        <f t="shared" si="52"/>
        <v>100</v>
      </c>
      <c r="I485" s="296">
        <f t="shared" si="52"/>
        <v>100</v>
      </c>
      <c r="J485" s="296">
        <f t="shared" si="52"/>
        <v>100</v>
      </c>
      <c r="L485" s="293"/>
    </row>
    <row r="486" spans="1:12" x14ac:dyDescent="0.25">
      <c r="B486" s="293"/>
      <c r="C486" s="293"/>
      <c r="D486" s="293"/>
      <c r="E486" s="293"/>
      <c r="F486" s="293"/>
      <c r="G486" s="293"/>
      <c r="H486" s="293"/>
      <c r="I486" s="293"/>
      <c r="J486" s="293"/>
      <c r="L486" s="293">
        <f t="shared" si="46"/>
        <v>0</v>
      </c>
    </row>
    <row r="487" spans="1:12" x14ac:dyDescent="0.25">
      <c r="A487" s="47" t="s">
        <v>4264</v>
      </c>
      <c r="B487" s="293"/>
      <c r="C487" s="293"/>
      <c r="D487" s="293"/>
      <c r="E487" s="293"/>
      <c r="F487" s="293"/>
      <c r="G487" s="293"/>
      <c r="H487" s="293"/>
      <c r="I487" s="293"/>
      <c r="J487" s="293"/>
      <c r="L487" s="293">
        <f t="shared" si="46"/>
        <v>0</v>
      </c>
    </row>
    <row r="488" spans="1:12" x14ac:dyDescent="0.25">
      <c r="A488" t="s">
        <v>87</v>
      </c>
      <c r="B488" s="293"/>
      <c r="C488" s="293"/>
      <c r="D488" s="293"/>
      <c r="E488" s="293"/>
      <c r="F488" s="293"/>
      <c r="G488" s="293"/>
      <c r="H488" s="293"/>
      <c r="I488" s="293"/>
      <c r="J488" s="293"/>
      <c r="L488" s="293">
        <f t="shared" si="46"/>
        <v>0</v>
      </c>
    </row>
    <row r="489" spans="1:12" x14ac:dyDescent="0.25">
      <c r="A489" t="s">
        <v>4265</v>
      </c>
      <c r="B489" s="293"/>
      <c r="C489" s="293"/>
      <c r="D489" s="293"/>
      <c r="E489" s="293"/>
      <c r="F489" s="293"/>
      <c r="G489" s="293"/>
      <c r="H489" s="293"/>
      <c r="I489" s="293"/>
      <c r="J489" s="293"/>
      <c r="L489" s="293">
        <f t="shared" si="46"/>
        <v>0</v>
      </c>
    </row>
    <row r="490" spans="1:12" x14ac:dyDescent="0.25">
      <c r="B490" s="293"/>
      <c r="C490" s="293"/>
      <c r="D490" s="293"/>
      <c r="E490" s="293"/>
      <c r="F490" s="293"/>
      <c r="G490" s="293"/>
      <c r="H490" s="293"/>
      <c r="I490" s="293"/>
      <c r="J490" s="293"/>
      <c r="L490" s="293">
        <f t="shared" si="46"/>
        <v>0</v>
      </c>
    </row>
    <row r="491" spans="1:12" x14ac:dyDescent="0.25">
      <c r="B491" s="293"/>
      <c r="C491" s="293"/>
      <c r="D491" s="293"/>
      <c r="E491" s="293"/>
      <c r="F491" s="293"/>
      <c r="G491" s="293"/>
      <c r="H491" s="293"/>
      <c r="I491" s="293"/>
      <c r="J491" s="293"/>
      <c r="L491" s="293">
        <f t="shared" si="46"/>
        <v>0</v>
      </c>
    </row>
    <row r="492" spans="1:12" x14ac:dyDescent="0.25">
      <c r="B492" s="293"/>
      <c r="C492" s="293"/>
      <c r="D492" s="293"/>
      <c r="E492" s="293"/>
      <c r="F492" s="293"/>
      <c r="G492" s="293"/>
      <c r="H492" s="293"/>
      <c r="I492" s="293"/>
      <c r="J492" s="293"/>
      <c r="L492" s="293">
        <f t="shared" ref="L492:L555" si="53">J492</f>
        <v>0</v>
      </c>
    </row>
    <row r="493" spans="1:12" x14ac:dyDescent="0.25">
      <c r="B493" s="293"/>
      <c r="C493" s="293"/>
      <c r="D493" s="293"/>
      <c r="E493" s="293"/>
      <c r="F493" s="293"/>
      <c r="G493" s="293"/>
      <c r="H493" s="293"/>
      <c r="I493" s="293"/>
      <c r="J493" s="293"/>
      <c r="L493" s="293">
        <f t="shared" si="53"/>
        <v>0</v>
      </c>
    </row>
    <row r="494" spans="1:12" x14ac:dyDescent="0.25">
      <c r="A494" t="s">
        <v>4266</v>
      </c>
      <c r="B494" s="293"/>
      <c r="C494" s="293"/>
      <c r="D494" s="293"/>
      <c r="E494" s="293"/>
      <c r="F494" s="293"/>
      <c r="G494" s="293"/>
      <c r="H494" s="293"/>
      <c r="I494" s="293"/>
      <c r="J494" s="293"/>
      <c r="L494" s="293">
        <f t="shared" si="53"/>
        <v>0</v>
      </c>
    </row>
    <row r="495" spans="1:12" x14ac:dyDescent="0.25">
      <c r="A495" t="s">
        <v>66</v>
      </c>
      <c r="B495" s="293"/>
      <c r="C495" s="293"/>
      <c r="D495" s="293"/>
      <c r="E495" s="293"/>
      <c r="F495" s="293"/>
      <c r="G495" s="293"/>
      <c r="H495" s="293"/>
      <c r="I495" s="293"/>
      <c r="J495" s="293"/>
      <c r="L495" s="293">
        <f t="shared" si="53"/>
        <v>0</v>
      </c>
    </row>
    <row r="496" spans="1:12" x14ac:dyDescent="0.25">
      <c r="B496" s="293"/>
      <c r="C496" s="293"/>
      <c r="D496" s="293"/>
      <c r="E496" s="293"/>
      <c r="F496" s="293"/>
      <c r="G496" s="293"/>
      <c r="H496" s="293"/>
      <c r="I496" s="293"/>
      <c r="J496" s="293"/>
      <c r="L496" s="293">
        <f t="shared" si="53"/>
        <v>0</v>
      </c>
    </row>
    <row r="497" spans="1:12" x14ac:dyDescent="0.25">
      <c r="B497" s="293"/>
      <c r="C497" s="293"/>
      <c r="D497" s="293"/>
      <c r="E497" s="293"/>
      <c r="F497" s="293"/>
      <c r="G497" s="293"/>
      <c r="H497" s="293"/>
      <c r="I497" s="293"/>
      <c r="J497" s="293"/>
      <c r="L497" s="293">
        <f t="shared" si="53"/>
        <v>0</v>
      </c>
    </row>
    <row r="498" spans="1:12" x14ac:dyDescent="0.25">
      <c r="B498" s="293"/>
      <c r="C498" s="293"/>
      <c r="D498" s="293"/>
      <c r="E498" s="293"/>
      <c r="F498" s="293"/>
      <c r="G498" s="293"/>
      <c r="H498" s="293"/>
      <c r="I498" s="293"/>
      <c r="J498" s="293"/>
      <c r="L498" s="293">
        <f t="shared" si="53"/>
        <v>0</v>
      </c>
    </row>
    <row r="499" spans="1:12" x14ac:dyDescent="0.25">
      <c r="B499" s="293"/>
      <c r="C499" s="293"/>
      <c r="D499" s="293"/>
      <c r="E499" s="293"/>
      <c r="F499" s="293"/>
      <c r="G499" s="293"/>
      <c r="H499" s="293"/>
      <c r="I499" s="293"/>
      <c r="J499" s="293"/>
      <c r="L499" s="293">
        <f t="shared" si="53"/>
        <v>0</v>
      </c>
    </row>
    <row r="500" spans="1:12" x14ac:dyDescent="0.25">
      <c r="A500" s="47" t="s">
        <v>4267</v>
      </c>
      <c r="B500" s="296">
        <f>SUM(B488:B499)</f>
        <v>0</v>
      </c>
      <c r="C500" s="296">
        <f t="shared" ref="C500:J500" si="54">SUM(C488:C499)</f>
        <v>0</v>
      </c>
      <c r="D500" s="296">
        <f t="shared" si="54"/>
        <v>0</v>
      </c>
      <c r="E500" s="296">
        <f t="shared" si="54"/>
        <v>0</v>
      </c>
      <c r="F500" s="296">
        <f t="shared" si="54"/>
        <v>0</v>
      </c>
      <c r="G500" s="296">
        <f t="shared" si="54"/>
        <v>0</v>
      </c>
      <c r="H500" s="296">
        <f t="shared" si="54"/>
        <v>0</v>
      </c>
      <c r="I500" s="296">
        <f t="shared" si="54"/>
        <v>0</v>
      </c>
      <c r="J500" s="296">
        <f t="shared" si="54"/>
        <v>0</v>
      </c>
      <c r="L500" s="293">
        <f t="shared" si="53"/>
        <v>0</v>
      </c>
    </row>
    <row r="501" spans="1:12" x14ac:dyDescent="0.25">
      <c r="B501" s="293"/>
      <c r="C501" s="293"/>
      <c r="D501" s="293"/>
      <c r="E501" s="293"/>
      <c r="F501" s="293"/>
      <c r="G501" s="293"/>
      <c r="H501" s="293"/>
      <c r="I501" s="293"/>
      <c r="J501" s="293"/>
      <c r="L501" s="293">
        <f t="shared" si="53"/>
        <v>0</v>
      </c>
    </row>
    <row r="502" spans="1:12" ht="15.75" thickBot="1" x14ac:dyDescent="0.3">
      <c r="A502" s="47" t="s">
        <v>4268</v>
      </c>
      <c r="B502" s="301">
        <f>B485-B500</f>
        <v>200</v>
      </c>
      <c r="C502" s="301">
        <f t="shared" ref="C502:J502" si="55">C485-C500</f>
        <v>200</v>
      </c>
      <c r="D502" s="301">
        <f t="shared" si="55"/>
        <v>100</v>
      </c>
      <c r="E502" s="301">
        <f t="shared" si="55"/>
        <v>100</v>
      </c>
      <c r="F502" s="301">
        <f t="shared" si="55"/>
        <v>100</v>
      </c>
      <c r="G502" s="301">
        <f t="shared" si="55"/>
        <v>100</v>
      </c>
      <c r="H502" s="301">
        <f t="shared" si="55"/>
        <v>100</v>
      </c>
      <c r="I502" s="301">
        <f t="shared" si="55"/>
        <v>100</v>
      </c>
      <c r="J502" s="301">
        <f t="shared" si="55"/>
        <v>100</v>
      </c>
      <c r="L502" s="293"/>
    </row>
    <row r="503" spans="1:12" ht="15.75" thickTop="1" x14ac:dyDescent="0.25">
      <c r="B503" s="293"/>
      <c r="C503" s="293"/>
      <c r="D503" s="293"/>
      <c r="E503" s="293"/>
      <c r="F503" s="293"/>
      <c r="G503" s="293"/>
      <c r="H503" s="293"/>
      <c r="I503" s="293"/>
      <c r="J503" s="293"/>
      <c r="L503" s="293">
        <f t="shared" si="53"/>
        <v>0</v>
      </c>
    </row>
    <row r="504" spans="1:12" x14ac:dyDescent="0.25">
      <c r="A504" s="281"/>
      <c r="B504" s="316"/>
      <c r="C504" s="316"/>
      <c r="D504" s="316"/>
      <c r="E504" s="316"/>
      <c r="F504" s="316"/>
      <c r="G504" s="316"/>
      <c r="H504" s="316"/>
      <c r="I504" s="316"/>
      <c r="J504" s="316"/>
      <c r="L504" s="293">
        <f t="shared" si="53"/>
        <v>0</v>
      </c>
    </row>
    <row r="505" spans="1:12" x14ac:dyDescent="0.25">
      <c r="B505" s="293"/>
      <c r="C505" s="293"/>
      <c r="D505" s="293"/>
      <c r="E505" s="293"/>
      <c r="F505" s="293"/>
      <c r="G505" s="293"/>
      <c r="H505" s="293"/>
      <c r="I505" s="293"/>
      <c r="J505" s="293"/>
      <c r="L505" s="293">
        <f t="shared" si="53"/>
        <v>0</v>
      </c>
    </row>
    <row r="506" spans="1:12" x14ac:dyDescent="0.25">
      <c r="A506" s="280" t="s">
        <v>4335</v>
      </c>
      <c r="B506" s="293"/>
      <c r="C506" s="293"/>
      <c r="D506" s="293"/>
      <c r="E506" s="293"/>
      <c r="F506" s="293"/>
      <c r="G506" s="293"/>
      <c r="H506" s="293"/>
      <c r="I506" s="293"/>
      <c r="J506" s="293"/>
      <c r="L506" s="293">
        <f t="shared" si="53"/>
        <v>0</v>
      </c>
    </row>
    <row r="507" spans="1:12" x14ac:dyDescent="0.25">
      <c r="B507" s="293"/>
      <c r="C507" s="293"/>
      <c r="D507" s="293"/>
      <c r="E507" s="293"/>
      <c r="F507" s="293"/>
      <c r="G507" s="293"/>
      <c r="H507" s="293"/>
      <c r="I507" s="293"/>
      <c r="J507" s="293"/>
      <c r="L507" s="293">
        <f t="shared" si="53"/>
        <v>0</v>
      </c>
    </row>
    <row r="508" spans="1:12" x14ac:dyDescent="0.25">
      <c r="A508" s="47" t="s">
        <v>4260</v>
      </c>
      <c r="B508" s="293"/>
      <c r="C508" s="293"/>
      <c r="D508" s="293"/>
      <c r="E508" s="293"/>
      <c r="F508" s="293"/>
      <c r="G508" s="293"/>
      <c r="H508" s="293"/>
      <c r="I508" s="293"/>
      <c r="J508" s="293"/>
      <c r="L508" s="293">
        <f t="shared" si="53"/>
        <v>0</v>
      </c>
    </row>
    <row r="509" spans="1:12" x14ac:dyDescent="0.25">
      <c r="A509" t="s">
        <v>4262</v>
      </c>
      <c r="B509" s="293"/>
      <c r="C509" s="293"/>
      <c r="D509" s="293"/>
      <c r="E509" s="293"/>
      <c r="F509" s="293"/>
      <c r="G509" s="293"/>
      <c r="H509" s="293"/>
      <c r="I509" s="293"/>
      <c r="J509" s="293"/>
      <c r="L509" s="293">
        <f t="shared" si="53"/>
        <v>0</v>
      </c>
    </row>
    <row r="510" spans="1:12" x14ac:dyDescent="0.25">
      <c r="A510" t="s">
        <v>4261</v>
      </c>
      <c r="B510" s="293">
        <f>capitalrevdata!F12</f>
        <v>12800</v>
      </c>
      <c r="C510" s="293">
        <f>capitalrevdata!G12</f>
        <v>10200</v>
      </c>
      <c r="D510" s="293">
        <f>capitalrevdata!H12</f>
        <v>8500</v>
      </c>
      <c r="E510" s="293">
        <f>capitalrevdata!I12</f>
        <v>8500</v>
      </c>
      <c r="F510" s="293">
        <f>capitalrevdata!J12</f>
        <v>8500</v>
      </c>
      <c r="G510" s="293">
        <f>capitalrevdata!K12</f>
        <v>6800</v>
      </c>
      <c r="H510" s="293">
        <f>capitalrevdata!L12</f>
        <v>6800</v>
      </c>
      <c r="I510" s="293">
        <f>capitalrevdata!M12</f>
        <v>6800</v>
      </c>
      <c r="J510" s="293">
        <f>capitalrevdata!N12</f>
        <v>6800</v>
      </c>
      <c r="L510" s="293">
        <f t="shared" si="53"/>
        <v>6800</v>
      </c>
    </row>
    <row r="511" spans="1:12" x14ac:dyDescent="0.25">
      <c r="A511" t="s">
        <v>66</v>
      </c>
      <c r="B511" s="293"/>
      <c r="C511" s="293"/>
      <c r="D511" s="293"/>
      <c r="E511" s="293"/>
      <c r="F511" s="293"/>
      <c r="G511" s="293"/>
      <c r="H511" s="293"/>
      <c r="I511" s="293"/>
      <c r="J511" s="293"/>
      <c r="L511" s="293">
        <f t="shared" si="53"/>
        <v>0</v>
      </c>
    </row>
    <row r="512" spans="1:12" x14ac:dyDescent="0.25">
      <c r="B512" s="293"/>
      <c r="C512" s="293"/>
      <c r="D512" s="293"/>
      <c r="E512" s="293"/>
      <c r="F512" s="293"/>
      <c r="G512" s="293"/>
      <c r="H512" s="293"/>
      <c r="I512" s="293"/>
      <c r="J512" s="293"/>
      <c r="L512" s="293">
        <f t="shared" si="53"/>
        <v>0</v>
      </c>
    </row>
    <row r="513" spans="1:12" x14ac:dyDescent="0.25">
      <c r="B513" s="293"/>
      <c r="C513" s="293"/>
      <c r="D513" s="293"/>
      <c r="E513" s="293"/>
      <c r="F513" s="293"/>
      <c r="G513" s="293"/>
      <c r="H513" s="293"/>
      <c r="I513" s="293"/>
      <c r="J513" s="293"/>
      <c r="L513" s="293">
        <f t="shared" si="53"/>
        <v>0</v>
      </c>
    </row>
    <row r="514" spans="1:12" x14ac:dyDescent="0.25">
      <c r="B514" s="293"/>
      <c r="C514" s="293"/>
      <c r="D514" s="293"/>
      <c r="E514" s="293"/>
      <c r="F514" s="293"/>
      <c r="G514" s="293"/>
      <c r="H514" s="293"/>
      <c r="I514" s="293"/>
      <c r="J514" s="293"/>
      <c r="L514" s="293">
        <f t="shared" si="53"/>
        <v>0</v>
      </c>
    </row>
    <row r="515" spans="1:12" x14ac:dyDescent="0.25">
      <c r="B515" s="293"/>
      <c r="C515" s="293"/>
      <c r="D515" s="293"/>
      <c r="E515" s="293"/>
      <c r="F515" s="293"/>
      <c r="G515" s="293"/>
      <c r="H515" s="293"/>
      <c r="I515" s="293"/>
      <c r="J515" s="293"/>
      <c r="L515" s="293">
        <f t="shared" si="53"/>
        <v>0</v>
      </c>
    </row>
    <row r="516" spans="1:12" x14ac:dyDescent="0.25">
      <c r="A516" s="47" t="s">
        <v>4263</v>
      </c>
      <c r="B516" s="296">
        <f>SUM(B506:B515)</f>
        <v>12800</v>
      </c>
      <c r="C516" s="296">
        <f t="shared" ref="C516:J516" si="56">SUM(C506:C515)</f>
        <v>10200</v>
      </c>
      <c r="D516" s="296">
        <f t="shared" si="56"/>
        <v>8500</v>
      </c>
      <c r="E516" s="296">
        <f t="shared" si="56"/>
        <v>8500</v>
      </c>
      <c r="F516" s="296">
        <f t="shared" si="56"/>
        <v>8500</v>
      </c>
      <c r="G516" s="296">
        <f t="shared" si="56"/>
        <v>6800</v>
      </c>
      <c r="H516" s="296">
        <f t="shared" si="56"/>
        <v>6800</v>
      </c>
      <c r="I516" s="296">
        <f t="shared" si="56"/>
        <v>6800</v>
      </c>
      <c r="J516" s="296">
        <f t="shared" si="56"/>
        <v>6800</v>
      </c>
      <c r="L516" s="293"/>
    </row>
    <row r="517" spans="1:12" x14ac:dyDescent="0.25">
      <c r="B517" s="293"/>
      <c r="C517" s="293"/>
      <c r="D517" s="293"/>
      <c r="E517" s="293"/>
      <c r="F517" s="293"/>
      <c r="G517" s="293"/>
      <c r="H517" s="293"/>
      <c r="I517" s="293"/>
      <c r="J517" s="293"/>
      <c r="L517" s="293">
        <f t="shared" si="53"/>
        <v>0</v>
      </c>
    </row>
    <row r="518" spans="1:12" x14ac:dyDescent="0.25">
      <c r="A518" s="47" t="s">
        <v>4264</v>
      </c>
      <c r="B518" s="293"/>
      <c r="C518" s="293"/>
      <c r="D518" s="293"/>
      <c r="E518" s="293"/>
      <c r="F518" s="293"/>
      <c r="G518" s="293"/>
      <c r="H518" s="293"/>
      <c r="I518" s="293"/>
      <c r="J518" s="293"/>
      <c r="L518" s="293">
        <f t="shared" si="53"/>
        <v>0</v>
      </c>
    </row>
    <row r="519" spans="1:12" x14ac:dyDescent="0.25">
      <c r="A519" t="s">
        <v>87</v>
      </c>
      <c r="B519" s="293"/>
      <c r="C519" s="293"/>
      <c r="D519" s="293"/>
      <c r="E519" s="293"/>
      <c r="F519" s="293"/>
      <c r="G519" s="293"/>
      <c r="H519" s="293"/>
      <c r="I519" s="293"/>
      <c r="J519" s="293"/>
      <c r="L519" s="293">
        <f t="shared" si="53"/>
        <v>0</v>
      </c>
    </row>
    <row r="520" spans="1:12" x14ac:dyDescent="0.25">
      <c r="A520" t="s">
        <v>4265</v>
      </c>
      <c r="B520" s="293"/>
      <c r="C520" s="293"/>
      <c r="D520" s="293"/>
      <c r="E520" s="293"/>
      <c r="F520" s="293"/>
      <c r="G520" s="293"/>
      <c r="H520" s="293"/>
      <c r="I520" s="293"/>
      <c r="J520" s="293"/>
      <c r="L520" s="293">
        <f t="shared" si="53"/>
        <v>0</v>
      </c>
    </row>
    <row r="521" spans="1:12" x14ac:dyDescent="0.25">
      <c r="B521" s="293"/>
      <c r="C521" s="293"/>
      <c r="D521" s="293"/>
      <c r="E521" s="293"/>
      <c r="F521" s="293"/>
      <c r="G521" s="293"/>
      <c r="H521" s="293"/>
      <c r="I521" s="293"/>
      <c r="J521" s="293"/>
      <c r="L521" s="293">
        <f t="shared" si="53"/>
        <v>0</v>
      </c>
    </row>
    <row r="522" spans="1:12" x14ac:dyDescent="0.25">
      <c r="B522" s="293"/>
      <c r="C522" s="293"/>
      <c r="D522" s="293"/>
      <c r="E522" s="293"/>
      <c r="F522" s="293"/>
      <c r="G522" s="293"/>
      <c r="H522" s="293"/>
      <c r="I522" s="293"/>
      <c r="J522" s="293"/>
      <c r="L522" s="293">
        <f t="shared" si="53"/>
        <v>0</v>
      </c>
    </row>
    <row r="523" spans="1:12" x14ac:dyDescent="0.25">
      <c r="B523" s="293"/>
      <c r="C523" s="293"/>
      <c r="D523" s="293"/>
      <c r="E523" s="293"/>
      <c r="F523" s="293"/>
      <c r="G523" s="293"/>
      <c r="H523" s="293"/>
      <c r="I523" s="293"/>
      <c r="J523" s="293"/>
      <c r="L523" s="293">
        <f t="shared" si="53"/>
        <v>0</v>
      </c>
    </row>
    <row r="524" spans="1:12" x14ac:dyDescent="0.25">
      <c r="B524" s="293"/>
      <c r="C524" s="293"/>
      <c r="D524" s="293"/>
      <c r="E524" s="293"/>
      <c r="F524" s="293"/>
      <c r="G524" s="293"/>
      <c r="H524" s="293"/>
      <c r="I524" s="293"/>
      <c r="J524" s="293"/>
      <c r="L524" s="293">
        <f t="shared" si="53"/>
        <v>0</v>
      </c>
    </row>
    <row r="525" spans="1:12" x14ac:dyDescent="0.25">
      <c r="A525" t="s">
        <v>4266</v>
      </c>
      <c r="B525" s="293"/>
      <c r="C525" s="293"/>
      <c r="D525" s="293"/>
      <c r="E525" s="293"/>
      <c r="F525" s="293"/>
      <c r="G525" s="293"/>
      <c r="H525" s="293"/>
      <c r="I525" s="293"/>
      <c r="J525" s="293"/>
      <c r="L525" s="293">
        <f t="shared" si="53"/>
        <v>0</v>
      </c>
    </row>
    <row r="526" spans="1:12" x14ac:dyDescent="0.25">
      <c r="A526" t="s">
        <v>66</v>
      </c>
      <c r="B526" s="293"/>
      <c r="C526" s="293"/>
      <c r="D526" s="293"/>
      <c r="E526" s="293"/>
      <c r="F526" s="293"/>
      <c r="G526" s="293"/>
      <c r="H526" s="293"/>
      <c r="I526" s="293"/>
      <c r="J526" s="293"/>
      <c r="L526" s="293">
        <f t="shared" si="53"/>
        <v>0</v>
      </c>
    </row>
    <row r="527" spans="1:12" x14ac:dyDescent="0.25">
      <c r="B527" s="293"/>
      <c r="C527" s="293"/>
      <c r="D527" s="293"/>
      <c r="E527" s="293"/>
      <c r="F527" s="293"/>
      <c r="G527" s="293"/>
      <c r="H527" s="293"/>
      <c r="I527" s="293"/>
      <c r="J527" s="293"/>
      <c r="L527" s="293">
        <f t="shared" si="53"/>
        <v>0</v>
      </c>
    </row>
    <row r="528" spans="1:12" x14ac:dyDescent="0.25">
      <c r="B528" s="293"/>
      <c r="C528" s="293"/>
      <c r="D528" s="293"/>
      <c r="E528" s="293"/>
      <c r="F528" s="293"/>
      <c r="G528" s="293"/>
      <c r="H528" s="293"/>
      <c r="I528" s="293"/>
      <c r="J528" s="293"/>
      <c r="L528" s="293">
        <f t="shared" si="53"/>
        <v>0</v>
      </c>
    </row>
    <row r="529" spans="1:12" x14ac:dyDescent="0.25">
      <c r="B529" s="293"/>
      <c r="C529" s="293"/>
      <c r="D529" s="293"/>
      <c r="E529" s="293"/>
      <c r="F529" s="293"/>
      <c r="G529" s="293"/>
      <c r="H529" s="293"/>
      <c r="I529" s="293"/>
      <c r="J529" s="293"/>
      <c r="L529" s="293">
        <f t="shared" si="53"/>
        <v>0</v>
      </c>
    </row>
    <row r="530" spans="1:12" x14ac:dyDescent="0.25">
      <c r="B530" s="293"/>
      <c r="C530" s="293"/>
      <c r="D530" s="293"/>
      <c r="E530" s="293"/>
      <c r="F530" s="293"/>
      <c r="G530" s="293"/>
      <c r="H530" s="293"/>
      <c r="I530" s="293"/>
      <c r="J530" s="293"/>
      <c r="L530" s="293">
        <f t="shared" si="53"/>
        <v>0</v>
      </c>
    </row>
    <row r="531" spans="1:12" x14ac:dyDescent="0.25">
      <c r="A531" s="47" t="s">
        <v>4267</v>
      </c>
      <c r="B531" s="296">
        <f>SUM(B519:B530)</f>
        <v>0</v>
      </c>
      <c r="C531" s="296">
        <f t="shared" ref="C531:J531" si="57">SUM(C519:C530)</f>
        <v>0</v>
      </c>
      <c r="D531" s="296">
        <f t="shared" si="57"/>
        <v>0</v>
      </c>
      <c r="E531" s="296">
        <f t="shared" si="57"/>
        <v>0</v>
      </c>
      <c r="F531" s="296">
        <f t="shared" si="57"/>
        <v>0</v>
      </c>
      <c r="G531" s="296">
        <f t="shared" si="57"/>
        <v>0</v>
      </c>
      <c r="H531" s="296">
        <f t="shared" si="57"/>
        <v>0</v>
      </c>
      <c r="I531" s="296">
        <f t="shared" si="57"/>
        <v>0</v>
      </c>
      <c r="J531" s="296">
        <f t="shared" si="57"/>
        <v>0</v>
      </c>
      <c r="L531" s="293">
        <f t="shared" si="53"/>
        <v>0</v>
      </c>
    </row>
    <row r="532" spans="1:12" x14ac:dyDescent="0.25">
      <c r="B532" s="293"/>
      <c r="C532" s="293"/>
      <c r="D532" s="293"/>
      <c r="E532" s="293"/>
      <c r="F532" s="293"/>
      <c r="G532" s="293"/>
      <c r="H532" s="293"/>
      <c r="I532" s="293"/>
      <c r="J532" s="293"/>
      <c r="L532" s="293">
        <f t="shared" si="53"/>
        <v>0</v>
      </c>
    </row>
    <row r="533" spans="1:12" ht="15.75" thickBot="1" x14ac:dyDescent="0.3">
      <c r="A533" s="47" t="s">
        <v>4268</v>
      </c>
      <c r="B533" s="301">
        <f>B516-B531</f>
        <v>12800</v>
      </c>
      <c r="C533" s="301">
        <f t="shared" ref="C533:J533" si="58">C516-C531</f>
        <v>10200</v>
      </c>
      <c r="D533" s="301">
        <f t="shared" si="58"/>
        <v>8500</v>
      </c>
      <c r="E533" s="301">
        <f t="shared" si="58"/>
        <v>8500</v>
      </c>
      <c r="F533" s="301">
        <f t="shared" si="58"/>
        <v>8500</v>
      </c>
      <c r="G533" s="301">
        <f t="shared" si="58"/>
        <v>6800</v>
      </c>
      <c r="H533" s="301">
        <f t="shared" si="58"/>
        <v>6800</v>
      </c>
      <c r="I533" s="301">
        <f t="shared" si="58"/>
        <v>6800</v>
      </c>
      <c r="J533" s="301">
        <f t="shared" si="58"/>
        <v>6800</v>
      </c>
      <c r="L533" s="293"/>
    </row>
    <row r="534" spans="1:12" ht="15.75" thickTop="1" x14ac:dyDescent="0.25">
      <c r="B534" s="293"/>
      <c r="C534" s="293"/>
      <c r="D534" s="293"/>
      <c r="E534" s="293"/>
      <c r="F534" s="293"/>
      <c r="G534" s="293"/>
      <c r="H534" s="293"/>
      <c r="I534" s="293"/>
      <c r="J534" s="293"/>
      <c r="L534" s="293">
        <f t="shared" si="53"/>
        <v>0</v>
      </c>
    </row>
    <row r="535" spans="1:12" x14ac:dyDescent="0.25">
      <c r="A535" s="281"/>
      <c r="B535" s="316"/>
      <c r="C535" s="316"/>
      <c r="D535" s="316"/>
      <c r="E535" s="316"/>
      <c r="F535" s="316"/>
      <c r="G535" s="316"/>
      <c r="H535" s="316"/>
      <c r="I535" s="316"/>
      <c r="J535" s="316"/>
      <c r="L535" s="293">
        <f t="shared" si="53"/>
        <v>0</v>
      </c>
    </row>
    <row r="536" spans="1:12" x14ac:dyDescent="0.25">
      <c r="B536" s="293"/>
      <c r="C536" s="293"/>
      <c r="D536" s="293"/>
      <c r="E536" s="293"/>
      <c r="F536" s="293"/>
      <c r="G536" s="293"/>
      <c r="H536" s="293"/>
      <c r="I536" s="293"/>
      <c r="J536" s="293"/>
      <c r="L536" s="293">
        <f t="shared" si="53"/>
        <v>0</v>
      </c>
    </row>
    <row r="537" spans="1:12" x14ac:dyDescent="0.25">
      <c r="A537" s="280" t="s">
        <v>4340</v>
      </c>
      <c r="B537" s="293"/>
      <c r="C537" s="293"/>
      <c r="D537" s="293"/>
      <c r="E537" s="293"/>
      <c r="F537" s="293"/>
      <c r="G537" s="293"/>
      <c r="H537" s="293"/>
      <c r="I537" s="293"/>
      <c r="J537" s="293"/>
      <c r="L537" s="293">
        <f t="shared" si="53"/>
        <v>0</v>
      </c>
    </row>
    <row r="538" spans="1:12" x14ac:dyDescent="0.25">
      <c r="B538" s="293"/>
      <c r="C538" s="293"/>
      <c r="D538" s="293"/>
      <c r="E538" s="293"/>
      <c r="F538" s="293"/>
      <c r="G538" s="293"/>
      <c r="H538" s="293"/>
      <c r="I538" s="293"/>
      <c r="J538" s="293"/>
      <c r="L538" s="293">
        <f t="shared" si="53"/>
        <v>0</v>
      </c>
    </row>
    <row r="539" spans="1:12" x14ac:dyDescent="0.25">
      <c r="A539" s="47" t="s">
        <v>4260</v>
      </c>
      <c r="B539" s="293"/>
      <c r="C539" s="293"/>
      <c r="D539" s="293"/>
      <c r="E539" s="293"/>
      <c r="F539" s="293"/>
      <c r="G539" s="293"/>
      <c r="H539" s="293"/>
      <c r="I539" s="293"/>
      <c r="J539" s="293"/>
      <c r="L539" s="293">
        <f t="shared" si="53"/>
        <v>0</v>
      </c>
    </row>
    <row r="540" spans="1:12" x14ac:dyDescent="0.25">
      <c r="A540" t="s">
        <v>4262</v>
      </c>
      <c r="B540" s="293"/>
      <c r="C540" s="293"/>
      <c r="D540" s="293"/>
      <c r="E540" s="293"/>
      <c r="F540" s="293"/>
      <c r="G540" s="293"/>
      <c r="H540" s="293"/>
      <c r="I540" s="293"/>
      <c r="J540" s="293"/>
      <c r="L540" s="293">
        <f t="shared" si="53"/>
        <v>0</v>
      </c>
    </row>
    <row r="541" spans="1:12" x14ac:dyDescent="0.25">
      <c r="A541" t="s">
        <v>4261</v>
      </c>
      <c r="B541" s="293">
        <f>capitalrevdata!F13</f>
        <v>50400</v>
      </c>
      <c r="C541" s="293">
        <f>capitalrevdata!G13</f>
        <v>40300</v>
      </c>
      <c r="D541" s="293">
        <f>capitalrevdata!H13</f>
        <v>33600</v>
      </c>
      <c r="E541" s="293">
        <f>capitalrevdata!I13</f>
        <v>33600</v>
      </c>
      <c r="F541" s="293">
        <f>capitalrevdata!J13</f>
        <v>33600</v>
      </c>
      <c r="G541" s="293">
        <f>capitalrevdata!K13</f>
        <v>26900</v>
      </c>
      <c r="H541" s="293">
        <f>capitalrevdata!L13</f>
        <v>26900</v>
      </c>
      <c r="I541" s="293">
        <f>capitalrevdata!M13</f>
        <v>26900</v>
      </c>
      <c r="J541" s="293">
        <f>capitalrevdata!N13</f>
        <v>26900</v>
      </c>
      <c r="L541" s="293">
        <f t="shared" si="53"/>
        <v>26900</v>
      </c>
    </row>
    <row r="542" spans="1:12" x14ac:dyDescent="0.25">
      <c r="A542" t="s">
        <v>66</v>
      </c>
      <c r="B542" s="293"/>
      <c r="C542" s="293"/>
      <c r="D542" s="293"/>
      <c r="E542" s="293"/>
      <c r="F542" s="293"/>
      <c r="G542" s="293"/>
      <c r="H542" s="293"/>
      <c r="I542" s="293"/>
      <c r="J542" s="293"/>
      <c r="L542" s="293">
        <f t="shared" si="53"/>
        <v>0</v>
      </c>
    </row>
    <row r="543" spans="1:12" x14ac:dyDescent="0.25">
      <c r="B543" s="293"/>
      <c r="C543" s="293"/>
      <c r="D543" s="293"/>
      <c r="E543" s="293"/>
      <c r="F543" s="293"/>
      <c r="G543" s="293"/>
      <c r="H543" s="293"/>
      <c r="I543" s="293"/>
      <c r="J543" s="293"/>
      <c r="L543" s="293">
        <f t="shared" si="53"/>
        <v>0</v>
      </c>
    </row>
    <row r="544" spans="1:12" x14ac:dyDescent="0.25">
      <c r="B544" s="293"/>
      <c r="C544" s="293"/>
      <c r="D544" s="293"/>
      <c r="E544" s="293"/>
      <c r="F544" s="293"/>
      <c r="G544" s="293"/>
      <c r="H544" s="293"/>
      <c r="I544" s="293"/>
      <c r="J544" s="293"/>
      <c r="L544" s="293">
        <f t="shared" si="53"/>
        <v>0</v>
      </c>
    </row>
    <row r="545" spans="1:12" x14ac:dyDescent="0.25">
      <c r="B545" s="293"/>
      <c r="C545" s="293"/>
      <c r="D545" s="293"/>
      <c r="E545" s="293"/>
      <c r="F545" s="293"/>
      <c r="G545" s="293"/>
      <c r="H545" s="293"/>
      <c r="I545" s="293"/>
      <c r="J545" s="293"/>
      <c r="L545" s="293">
        <f t="shared" si="53"/>
        <v>0</v>
      </c>
    </row>
    <row r="546" spans="1:12" x14ac:dyDescent="0.25">
      <c r="B546" s="293"/>
      <c r="C546" s="293"/>
      <c r="D546" s="293"/>
      <c r="E546" s="293"/>
      <c r="F546" s="293"/>
      <c r="G546" s="293"/>
      <c r="H546" s="293"/>
      <c r="I546" s="293"/>
      <c r="J546" s="293"/>
      <c r="L546" s="293">
        <f t="shared" si="53"/>
        <v>0</v>
      </c>
    </row>
    <row r="547" spans="1:12" x14ac:dyDescent="0.25">
      <c r="A547" s="47" t="s">
        <v>4263</v>
      </c>
      <c r="B547" s="296">
        <f>SUM(B537:B546)</f>
        <v>50400</v>
      </c>
      <c r="C547" s="296">
        <f t="shared" ref="C547:J547" si="59">SUM(C537:C546)</f>
        <v>40300</v>
      </c>
      <c r="D547" s="296">
        <f t="shared" si="59"/>
        <v>33600</v>
      </c>
      <c r="E547" s="296">
        <f t="shared" si="59"/>
        <v>33600</v>
      </c>
      <c r="F547" s="296">
        <f t="shared" si="59"/>
        <v>33600</v>
      </c>
      <c r="G547" s="296">
        <f t="shared" si="59"/>
        <v>26900</v>
      </c>
      <c r="H547" s="296">
        <f t="shared" si="59"/>
        <v>26900</v>
      </c>
      <c r="I547" s="296">
        <f t="shared" si="59"/>
        <v>26900</v>
      </c>
      <c r="J547" s="296">
        <f t="shared" si="59"/>
        <v>26900</v>
      </c>
      <c r="L547" s="293"/>
    </row>
    <row r="548" spans="1:12" x14ac:dyDescent="0.25">
      <c r="B548" s="293"/>
      <c r="C548" s="293"/>
      <c r="D548" s="293"/>
      <c r="E548" s="293"/>
      <c r="F548" s="293"/>
      <c r="G548" s="293"/>
      <c r="H548" s="293"/>
      <c r="I548" s="293"/>
      <c r="J548" s="293"/>
      <c r="L548" s="293">
        <f t="shared" si="53"/>
        <v>0</v>
      </c>
    </row>
    <row r="549" spans="1:12" x14ac:dyDescent="0.25">
      <c r="A549" s="47" t="s">
        <v>4264</v>
      </c>
      <c r="B549" s="293"/>
      <c r="C549" s="293"/>
      <c r="D549" s="293"/>
      <c r="E549" s="293"/>
      <c r="F549" s="293"/>
      <c r="G549" s="293"/>
      <c r="H549" s="293"/>
      <c r="I549" s="293"/>
      <c r="J549" s="293"/>
      <c r="L549" s="293">
        <f t="shared" si="53"/>
        <v>0</v>
      </c>
    </row>
    <row r="550" spans="1:12" x14ac:dyDescent="0.25">
      <c r="A550" t="s">
        <v>87</v>
      </c>
      <c r="B550" s="293"/>
      <c r="C550" s="293"/>
      <c r="D550" s="293"/>
      <c r="E550" s="293"/>
      <c r="F550" s="293"/>
      <c r="G550" s="293"/>
      <c r="H550" s="293"/>
      <c r="I550" s="293"/>
      <c r="J550" s="293"/>
      <c r="L550" s="293">
        <f t="shared" si="53"/>
        <v>0</v>
      </c>
    </row>
    <row r="551" spans="1:12" x14ac:dyDescent="0.25">
      <c r="A551" t="s">
        <v>4265</v>
      </c>
      <c r="B551" s="293"/>
      <c r="C551" s="293"/>
      <c r="D551" s="293"/>
      <c r="E551" s="293"/>
      <c r="F551" s="293"/>
      <c r="G551" s="293"/>
      <c r="H551" s="293"/>
      <c r="I551" s="293"/>
      <c r="J551" s="293"/>
      <c r="L551" s="293">
        <f t="shared" si="53"/>
        <v>0</v>
      </c>
    </row>
    <row r="552" spans="1:12" x14ac:dyDescent="0.25">
      <c r="B552" s="293"/>
      <c r="C552" s="293"/>
      <c r="D552" s="293"/>
      <c r="E552" s="293"/>
      <c r="F552" s="293"/>
      <c r="G552" s="293"/>
      <c r="H552" s="293"/>
      <c r="I552" s="293"/>
      <c r="J552" s="293"/>
      <c r="L552" s="293">
        <f t="shared" si="53"/>
        <v>0</v>
      </c>
    </row>
    <row r="553" spans="1:12" x14ac:dyDescent="0.25">
      <c r="B553" s="293"/>
      <c r="C553" s="293"/>
      <c r="D553" s="293"/>
      <c r="E553" s="293"/>
      <c r="F553" s="293"/>
      <c r="G553" s="293"/>
      <c r="H553" s="293"/>
      <c r="I553" s="293"/>
      <c r="J553" s="293"/>
      <c r="L553" s="293">
        <f t="shared" si="53"/>
        <v>0</v>
      </c>
    </row>
    <row r="554" spans="1:12" x14ac:dyDescent="0.25">
      <c r="B554" s="293"/>
      <c r="C554" s="293"/>
      <c r="D554" s="293"/>
      <c r="E554" s="293"/>
      <c r="F554" s="293"/>
      <c r="G554" s="293"/>
      <c r="H554" s="293"/>
      <c r="I554" s="293"/>
      <c r="J554" s="293"/>
      <c r="L554" s="293">
        <f t="shared" si="53"/>
        <v>0</v>
      </c>
    </row>
    <row r="555" spans="1:12" x14ac:dyDescent="0.25">
      <c r="B555" s="293"/>
      <c r="C555" s="293"/>
      <c r="D555" s="293"/>
      <c r="E555" s="293"/>
      <c r="F555" s="293"/>
      <c r="G555" s="293"/>
      <c r="H555" s="293"/>
      <c r="I555" s="293"/>
      <c r="J555" s="293"/>
      <c r="L555" s="293">
        <f t="shared" si="53"/>
        <v>0</v>
      </c>
    </row>
    <row r="556" spans="1:12" x14ac:dyDescent="0.25">
      <c r="A556" t="s">
        <v>4266</v>
      </c>
      <c r="B556" s="293"/>
      <c r="C556" s="293"/>
      <c r="D556" s="293"/>
      <c r="E556" s="293"/>
      <c r="F556" s="293"/>
      <c r="G556" s="293"/>
      <c r="H556" s="293"/>
      <c r="I556" s="293"/>
      <c r="J556" s="293"/>
      <c r="L556" s="293">
        <f t="shared" ref="L556:L619" si="60">J556</f>
        <v>0</v>
      </c>
    </row>
    <row r="557" spans="1:12" x14ac:dyDescent="0.25">
      <c r="A557" t="s">
        <v>66</v>
      </c>
      <c r="B557" s="293"/>
      <c r="C557" s="293"/>
      <c r="D557" s="293"/>
      <c r="E557" s="293"/>
      <c r="F557" s="293"/>
      <c r="G557" s="293"/>
      <c r="H557" s="293"/>
      <c r="I557" s="293"/>
      <c r="J557" s="293"/>
      <c r="L557" s="293">
        <f t="shared" si="60"/>
        <v>0</v>
      </c>
    </row>
    <row r="558" spans="1:12" x14ac:dyDescent="0.25">
      <c r="B558" s="293"/>
      <c r="C558" s="293"/>
      <c r="D558" s="293"/>
      <c r="E558" s="293"/>
      <c r="F558" s="293"/>
      <c r="G558" s="293"/>
      <c r="H558" s="293"/>
      <c r="I558" s="293"/>
      <c r="J558" s="293"/>
      <c r="L558" s="293">
        <f t="shared" si="60"/>
        <v>0</v>
      </c>
    </row>
    <row r="559" spans="1:12" x14ac:dyDescent="0.25">
      <c r="B559" s="293"/>
      <c r="C559" s="293"/>
      <c r="D559" s="293"/>
      <c r="E559" s="293"/>
      <c r="F559" s="293"/>
      <c r="G559" s="293"/>
      <c r="H559" s="293"/>
      <c r="I559" s="293"/>
      <c r="J559" s="293"/>
      <c r="L559" s="293">
        <f t="shared" si="60"/>
        <v>0</v>
      </c>
    </row>
    <row r="560" spans="1:12" x14ac:dyDescent="0.25">
      <c r="B560" s="293"/>
      <c r="C560" s="293"/>
      <c r="D560" s="293"/>
      <c r="E560" s="293"/>
      <c r="F560" s="293"/>
      <c r="G560" s="293"/>
      <c r="H560" s="293"/>
      <c r="I560" s="293"/>
      <c r="J560" s="293"/>
      <c r="L560" s="293">
        <f t="shared" si="60"/>
        <v>0</v>
      </c>
    </row>
    <row r="561" spans="1:12" x14ac:dyDescent="0.25">
      <c r="B561" s="293"/>
      <c r="C561" s="293"/>
      <c r="D561" s="293"/>
      <c r="E561" s="293"/>
      <c r="F561" s="293"/>
      <c r="G561" s="293"/>
      <c r="H561" s="293"/>
      <c r="I561" s="293"/>
      <c r="J561" s="293"/>
      <c r="L561" s="293">
        <f t="shared" si="60"/>
        <v>0</v>
      </c>
    </row>
    <row r="562" spans="1:12" x14ac:dyDescent="0.25">
      <c r="A562" s="47" t="s">
        <v>4267</v>
      </c>
      <c r="B562" s="296">
        <f>SUM(B550:B561)</f>
        <v>0</v>
      </c>
      <c r="C562" s="296">
        <f t="shared" ref="C562:J562" si="61">SUM(C550:C561)</f>
        <v>0</v>
      </c>
      <c r="D562" s="296">
        <f t="shared" si="61"/>
        <v>0</v>
      </c>
      <c r="E562" s="296">
        <f t="shared" si="61"/>
        <v>0</v>
      </c>
      <c r="F562" s="296">
        <f t="shared" si="61"/>
        <v>0</v>
      </c>
      <c r="G562" s="296">
        <f t="shared" si="61"/>
        <v>0</v>
      </c>
      <c r="H562" s="296">
        <f t="shared" si="61"/>
        <v>0</v>
      </c>
      <c r="I562" s="296">
        <f t="shared" si="61"/>
        <v>0</v>
      </c>
      <c r="J562" s="296">
        <f t="shared" si="61"/>
        <v>0</v>
      </c>
      <c r="L562" s="293">
        <f t="shared" si="60"/>
        <v>0</v>
      </c>
    </row>
    <row r="563" spans="1:12" x14ac:dyDescent="0.25">
      <c r="B563" s="293"/>
      <c r="C563" s="293"/>
      <c r="D563" s="293"/>
      <c r="E563" s="293"/>
      <c r="F563" s="293"/>
      <c r="G563" s="293"/>
      <c r="H563" s="293"/>
      <c r="I563" s="293"/>
      <c r="J563" s="293"/>
      <c r="L563" s="293">
        <f t="shared" si="60"/>
        <v>0</v>
      </c>
    </row>
    <row r="564" spans="1:12" ht="15.75" thickBot="1" x14ac:dyDescent="0.3">
      <c r="A564" s="47" t="s">
        <v>4268</v>
      </c>
      <c r="B564" s="301">
        <f>B547-B562</f>
        <v>50400</v>
      </c>
      <c r="C564" s="301">
        <f t="shared" ref="C564:J564" si="62">C547-C562</f>
        <v>40300</v>
      </c>
      <c r="D564" s="301">
        <f t="shared" si="62"/>
        <v>33600</v>
      </c>
      <c r="E564" s="301">
        <f t="shared" si="62"/>
        <v>33600</v>
      </c>
      <c r="F564" s="301">
        <f t="shared" si="62"/>
        <v>33600</v>
      </c>
      <c r="G564" s="301">
        <f t="shared" si="62"/>
        <v>26900</v>
      </c>
      <c r="H564" s="301">
        <f t="shared" si="62"/>
        <v>26900</v>
      </c>
      <c r="I564" s="301">
        <f t="shared" si="62"/>
        <v>26900</v>
      </c>
      <c r="J564" s="301">
        <f t="shared" si="62"/>
        <v>26900</v>
      </c>
      <c r="L564" s="293"/>
    </row>
    <row r="565" spans="1:12" ht="15.75" thickTop="1" x14ac:dyDescent="0.25">
      <c r="B565" s="293"/>
      <c r="C565" s="293"/>
      <c r="D565" s="293"/>
      <c r="E565" s="293"/>
      <c r="F565" s="293"/>
      <c r="G565" s="293"/>
      <c r="H565" s="293"/>
      <c r="I565" s="293"/>
      <c r="J565" s="293"/>
      <c r="L565" s="293">
        <f t="shared" si="60"/>
        <v>0</v>
      </c>
    </row>
    <row r="566" spans="1:12" x14ac:dyDescent="0.25">
      <c r="A566" s="281"/>
      <c r="B566" s="316"/>
      <c r="C566" s="316"/>
      <c r="D566" s="316"/>
      <c r="E566" s="316"/>
      <c r="F566" s="316"/>
      <c r="G566" s="316"/>
      <c r="H566" s="316"/>
      <c r="I566" s="316"/>
      <c r="J566" s="316"/>
      <c r="L566" s="293">
        <f t="shared" si="60"/>
        <v>0</v>
      </c>
    </row>
    <row r="567" spans="1:12" x14ac:dyDescent="0.25">
      <c r="B567" s="293"/>
      <c r="C567" s="293"/>
      <c r="D567" s="293"/>
      <c r="E567" s="293"/>
      <c r="F567" s="293"/>
      <c r="G567" s="293"/>
      <c r="H567" s="293"/>
      <c r="I567" s="293"/>
      <c r="J567" s="293"/>
      <c r="L567" s="293">
        <f t="shared" si="60"/>
        <v>0</v>
      </c>
    </row>
    <row r="568" spans="1:12" x14ac:dyDescent="0.25">
      <c r="A568" s="280" t="s">
        <v>4341</v>
      </c>
      <c r="B568" s="293"/>
      <c r="C568" s="293"/>
      <c r="D568" s="293"/>
      <c r="E568" s="293"/>
      <c r="F568" s="293"/>
      <c r="G568" s="293"/>
      <c r="H568" s="293"/>
      <c r="I568" s="293"/>
      <c r="J568" s="293"/>
      <c r="L568" s="293">
        <f t="shared" si="60"/>
        <v>0</v>
      </c>
    </row>
    <row r="569" spans="1:12" x14ac:dyDescent="0.25">
      <c r="B569" s="293"/>
      <c r="C569" s="293"/>
      <c r="D569" s="293"/>
      <c r="E569" s="293"/>
      <c r="F569" s="293"/>
      <c r="G569" s="293"/>
      <c r="H569" s="293"/>
      <c r="I569" s="293"/>
      <c r="J569" s="293"/>
      <c r="L569" s="293">
        <f t="shared" si="60"/>
        <v>0</v>
      </c>
    </row>
    <row r="570" spans="1:12" x14ac:dyDescent="0.25">
      <c r="A570" s="47" t="s">
        <v>4260</v>
      </c>
      <c r="B570" s="293"/>
      <c r="C570" s="293"/>
      <c r="D570" s="293"/>
      <c r="E570" s="293"/>
      <c r="F570" s="293"/>
      <c r="G570" s="293"/>
      <c r="H570" s="293"/>
      <c r="I570" s="293"/>
      <c r="J570" s="293"/>
      <c r="L570" s="293">
        <f t="shared" si="60"/>
        <v>0</v>
      </c>
    </row>
    <row r="571" spans="1:12" x14ac:dyDescent="0.25">
      <c r="A571" t="s">
        <v>4262</v>
      </c>
      <c r="B571" s="293"/>
      <c r="C571" s="293"/>
      <c r="D571" s="293"/>
      <c r="E571" s="293"/>
      <c r="F571" s="293"/>
      <c r="G571" s="293"/>
      <c r="H571" s="293"/>
      <c r="I571" s="293"/>
      <c r="J571" s="293"/>
      <c r="L571" s="293">
        <f t="shared" si="60"/>
        <v>0</v>
      </c>
    </row>
    <row r="572" spans="1:12" x14ac:dyDescent="0.25">
      <c r="A572" t="s">
        <v>4261</v>
      </c>
      <c r="B572" s="293">
        <f>capitalrevdata!E14</f>
        <v>800</v>
      </c>
      <c r="C572" s="293">
        <f>capitalrevdata!F14</f>
        <v>700</v>
      </c>
      <c r="D572" s="293">
        <f>capitalrevdata!G14</f>
        <v>500</v>
      </c>
      <c r="E572" s="293">
        <f>capitalrevdata!H14</f>
        <v>400</v>
      </c>
      <c r="F572" s="293">
        <f>capitalrevdata!I14</f>
        <v>400</v>
      </c>
      <c r="G572" s="293">
        <f>capitalrevdata!J14</f>
        <v>400</v>
      </c>
      <c r="H572" s="293">
        <f>capitalrevdata!K14</f>
        <v>400</v>
      </c>
      <c r="I572" s="293">
        <f>capitalrevdata!L14</f>
        <v>400</v>
      </c>
      <c r="J572" s="293">
        <f>capitalrevdata!M14</f>
        <v>400</v>
      </c>
      <c r="L572" s="293">
        <f t="shared" si="60"/>
        <v>400</v>
      </c>
    </row>
    <row r="573" spans="1:12" x14ac:dyDescent="0.25">
      <c r="A573" t="s">
        <v>66</v>
      </c>
      <c r="B573" s="293"/>
      <c r="C573" s="293"/>
      <c r="D573" s="293"/>
      <c r="E573" s="293"/>
      <c r="F573" s="293"/>
      <c r="G573" s="293"/>
      <c r="H573" s="293"/>
      <c r="I573" s="293"/>
      <c r="J573" s="293"/>
      <c r="L573" s="293">
        <f t="shared" si="60"/>
        <v>0</v>
      </c>
    </row>
    <row r="574" spans="1:12" x14ac:dyDescent="0.25">
      <c r="B574" s="293"/>
      <c r="C574" s="293"/>
      <c r="D574" s="293"/>
      <c r="E574" s="293"/>
      <c r="F574" s="293"/>
      <c r="G574" s="293"/>
      <c r="H574" s="293"/>
      <c r="I574" s="293"/>
      <c r="J574" s="293"/>
      <c r="L574" s="293">
        <f t="shared" si="60"/>
        <v>0</v>
      </c>
    </row>
    <row r="575" spans="1:12" x14ac:dyDescent="0.25">
      <c r="B575" s="293"/>
      <c r="C575" s="293"/>
      <c r="D575" s="293"/>
      <c r="E575" s="293"/>
      <c r="F575" s="293"/>
      <c r="G575" s="293"/>
      <c r="H575" s="293"/>
      <c r="I575" s="293"/>
      <c r="J575" s="293"/>
      <c r="L575" s="293">
        <f t="shared" si="60"/>
        <v>0</v>
      </c>
    </row>
    <row r="576" spans="1:12" x14ac:dyDescent="0.25">
      <c r="B576" s="293"/>
      <c r="C576" s="293"/>
      <c r="D576" s="293"/>
      <c r="E576" s="293"/>
      <c r="F576" s="293"/>
      <c r="G576" s="293"/>
      <c r="H576" s="293"/>
      <c r="I576" s="293"/>
      <c r="J576" s="293"/>
      <c r="L576" s="293">
        <f t="shared" si="60"/>
        <v>0</v>
      </c>
    </row>
    <row r="577" spans="1:12" x14ac:dyDescent="0.25">
      <c r="B577" s="293"/>
      <c r="C577" s="293"/>
      <c r="D577" s="293"/>
      <c r="E577" s="293"/>
      <c r="F577" s="293"/>
      <c r="G577" s="293"/>
      <c r="H577" s="293"/>
      <c r="I577" s="293"/>
      <c r="J577" s="293"/>
      <c r="L577" s="293">
        <f t="shared" si="60"/>
        <v>0</v>
      </c>
    </row>
    <row r="578" spans="1:12" x14ac:dyDescent="0.25">
      <c r="A578" s="47" t="s">
        <v>4263</v>
      </c>
      <c r="B578" s="296">
        <f>SUM(B568:B577)</f>
        <v>800</v>
      </c>
      <c r="C578" s="296">
        <f t="shared" ref="C578:J578" si="63">SUM(C568:C577)</f>
        <v>700</v>
      </c>
      <c r="D578" s="296">
        <f t="shared" si="63"/>
        <v>500</v>
      </c>
      <c r="E578" s="296">
        <f t="shared" si="63"/>
        <v>400</v>
      </c>
      <c r="F578" s="296">
        <f t="shared" si="63"/>
        <v>400</v>
      </c>
      <c r="G578" s="296">
        <f t="shared" si="63"/>
        <v>400</v>
      </c>
      <c r="H578" s="296">
        <f t="shared" si="63"/>
        <v>400</v>
      </c>
      <c r="I578" s="296">
        <f t="shared" si="63"/>
        <v>400</v>
      </c>
      <c r="J578" s="296">
        <f t="shared" si="63"/>
        <v>400</v>
      </c>
      <c r="L578" s="293"/>
    </row>
    <row r="579" spans="1:12" x14ac:dyDescent="0.25">
      <c r="B579" s="293"/>
      <c r="C579" s="293"/>
      <c r="D579" s="293"/>
      <c r="E579" s="293"/>
      <c r="F579" s="293"/>
      <c r="G579" s="293"/>
      <c r="H579" s="293"/>
      <c r="I579" s="293"/>
      <c r="J579" s="293"/>
      <c r="L579" s="293">
        <f t="shared" si="60"/>
        <v>0</v>
      </c>
    </row>
    <row r="580" spans="1:12" x14ac:dyDescent="0.25">
      <c r="A580" s="47" t="s">
        <v>4264</v>
      </c>
      <c r="B580" s="293"/>
      <c r="C580" s="293"/>
      <c r="D580" s="293"/>
      <c r="E580" s="293"/>
      <c r="F580" s="293"/>
      <c r="G580" s="293"/>
      <c r="H580" s="293"/>
      <c r="I580" s="293"/>
      <c r="J580" s="293"/>
      <c r="L580" s="293">
        <f t="shared" si="60"/>
        <v>0</v>
      </c>
    </row>
    <row r="581" spans="1:12" x14ac:dyDescent="0.25">
      <c r="A581" t="s">
        <v>87</v>
      </c>
      <c r="B581" s="293"/>
      <c r="C581" s="293"/>
      <c r="D581" s="293"/>
      <c r="E581" s="293"/>
      <c r="F581" s="293"/>
      <c r="G581" s="293"/>
      <c r="H581" s="293"/>
      <c r="I581" s="293"/>
      <c r="J581" s="293"/>
      <c r="L581" s="293">
        <f t="shared" si="60"/>
        <v>0</v>
      </c>
    </row>
    <row r="582" spans="1:12" x14ac:dyDescent="0.25">
      <c r="A582" t="s">
        <v>4265</v>
      </c>
      <c r="B582" s="293"/>
      <c r="C582" s="293"/>
      <c r="D582" s="293"/>
      <c r="E582" s="293"/>
      <c r="F582" s="293"/>
      <c r="G582" s="293"/>
      <c r="H582" s="293"/>
      <c r="I582" s="293"/>
      <c r="J582" s="293"/>
      <c r="L582" s="293">
        <f t="shared" si="60"/>
        <v>0</v>
      </c>
    </row>
    <row r="583" spans="1:12" x14ac:dyDescent="0.25">
      <c r="B583" s="293"/>
      <c r="C583" s="293"/>
      <c r="D583" s="293"/>
      <c r="E583" s="293"/>
      <c r="F583" s="293"/>
      <c r="G583" s="293"/>
      <c r="H583" s="293"/>
      <c r="I583" s="293"/>
      <c r="J583" s="293"/>
      <c r="L583" s="293">
        <f t="shared" si="60"/>
        <v>0</v>
      </c>
    </row>
    <row r="584" spans="1:12" x14ac:dyDescent="0.25">
      <c r="B584" s="293"/>
      <c r="C584" s="293"/>
      <c r="D584" s="293"/>
      <c r="E584" s="293"/>
      <c r="F584" s="293"/>
      <c r="G584" s="293"/>
      <c r="H584" s="293"/>
      <c r="I584" s="293"/>
      <c r="J584" s="293"/>
      <c r="L584" s="293">
        <f t="shared" si="60"/>
        <v>0</v>
      </c>
    </row>
    <row r="585" spans="1:12" x14ac:dyDescent="0.25">
      <c r="B585" s="293"/>
      <c r="C585" s="293"/>
      <c r="D585" s="293"/>
      <c r="E585" s="293"/>
      <c r="F585" s="293"/>
      <c r="G585" s="293"/>
      <c r="H585" s="293"/>
      <c r="I585" s="293"/>
      <c r="J585" s="293"/>
      <c r="L585" s="293">
        <f t="shared" si="60"/>
        <v>0</v>
      </c>
    </row>
    <row r="586" spans="1:12" x14ac:dyDescent="0.25">
      <c r="B586" s="293"/>
      <c r="C586" s="293"/>
      <c r="D586" s="293"/>
      <c r="E586" s="293"/>
      <c r="F586" s="293"/>
      <c r="G586" s="293"/>
      <c r="H586" s="293"/>
      <c r="I586" s="293"/>
      <c r="J586" s="293"/>
      <c r="L586" s="293">
        <f t="shared" si="60"/>
        <v>0</v>
      </c>
    </row>
    <row r="587" spans="1:12" x14ac:dyDescent="0.25">
      <c r="A587" t="s">
        <v>4266</v>
      </c>
      <c r="B587" s="293"/>
      <c r="C587" s="293"/>
      <c r="D587" s="293"/>
      <c r="E587" s="293"/>
      <c r="F587" s="293"/>
      <c r="G587" s="293"/>
      <c r="H587" s="293"/>
      <c r="I587" s="293"/>
      <c r="J587" s="293"/>
      <c r="L587" s="293">
        <f t="shared" si="60"/>
        <v>0</v>
      </c>
    </row>
    <row r="588" spans="1:12" x14ac:dyDescent="0.25">
      <c r="A588" t="s">
        <v>66</v>
      </c>
      <c r="B588" s="293"/>
      <c r="C588" s="293"/>
      <c r="D588" s="293"/>
      <c r="E588" s="293"/>
      <c r="F588" s="293"/>
      <c r="G588" s="293"/>
      <c r="H588" s="293"/>
      <c r="I588" s="293"/>
      <c r="J588" s="293"/>
      <c r="L588" s="293">
        <f t="shared" si="60"/>
        <v>0</v>
      </c>
    </row>
    <row r="589" spans="1:12" x14ac:dyDescent="0.25">
      <c r="B589" s="293"/>
      <c r="C589" s="293"/>
      <c r="D589" s="293"/>
      <c r="E589" s="293"/>
      <c r="F589" s="293"/>
      <c r="G589" s="293"/>
      <c r="H589" s="293"/>
      <c r="I589" s="293"/>
      <c r="J589" s="293"/>
      <c r="L589" s="293">
        <f t="shared" si="60"/>
        <v>0</v>
      </c>
    </row>
    <row r="590" spans="1:12" x14ac:dyDescent="0.25">
      <c r="B590" s="293"/>
      <c r="C590" s="293"/>
      <c r="D590" s="293"/>
      <c r="E590" s="293"/>
      <c r="F590" s="293"/>
      <c r="G590" s="293"/>
      <c r="H590" s="293"/>
      <c r="I590" s="293"/>
      <c r="J590" s="293"/>
      <c r="L590" s="293">
        <f t="shared" si="60"/>
        <v>0</v>
      </c>
    </row>
    <row r="591" spans="1:12" x14ac:dyDescent="0.25">
      <c r="B591" s="293"/>
      <c r="C591" s="293"/>
      <c r="D591" s="293"/>
      <c r="E591" s="293"/>
      <c r="F591" s="293"/>
      <c r="G591" s="293"/>
      <c r="H591" s="293"/>
      <c r="I591" s="293"/>
      <c r="J591" s="293"/>
      <c r="L591" s="293">
        <f t="shared" si="60"/>
        <v>0</v>
      </c>
    </row>
    <row r="592" spans="1:12" x14ac:dyDescent="0.25">
      <c r="B592" s="293"/>
      <c r="C592" s="293"/>
      <c r="D592" s="293"/>
      <c r="E592" s="293"/>
      <c r="F592" s="293"/>
      <c r="G592" s="293"/>
      <c r="H592" s="293"/>
      <c r="I592" s="293"/>
      <c r="J592" s="293"/>
      <c r="L592" s="293">
        <f t="shared" si="60"/>
        <v>0</v>
      </c>
    </row>
    <row r="593" spans="1:12" x14ac:dyDescent="0.25">
      <c r="A593" s="47" t="s">
        <v>4267</v>
      </c>
      <c r="B593" s="296">
        <f>SUM(B581:B592)</f>
        <v>0</v>
      </c>
      <c r="C593" s="296">
        <f t="shared" ref="C593:J593" si="64">SUM(C581:C592)</f>
        <v>0</v>
      </c>
      <c r="D593" s="296">
        <f t="shared" si="64"/>
        <v>0</v>
      </c>
      <c r="E593" s="296">
        <f t="shared" si="64"/>
        <v>0</v>
      </c>
      <c r="F593" s="296">
        <f t="shared" si="64"/>
        <v>0</v>
      </c>
      <c r="G593" s="296">
        <f t="shared" si="64"/>
        <v>0</v>
      </c>
      <c r="H593" s="296">
        <f t="shared" si="64"/>
        <v>0</v>
      </c>
      <c r="I593" s="296">
        <f t="shared" si="64"/>
        <v>0</v>
      </c>
      <c r="J593" s="296">
        <f t="shared" si="64"/>
        <v>0</v>
      </c>
      <c r="L593" s="293">
        <f t="shared" si="60"/>
        <v>0</v>
      </c>
    </row>
    <row r="594" spans="1:12" x14ac:dyDescent="0.25">
      <c r="B594" s="293"/>
      <c r="C594" s="293"/>
      <c r="D594" s="293"/>
      <c r="E594" s="293"/>
      <c r="F594" s="293"/>
      <c r="G594" s="293"/>
      <c r="H594" s="293"/>
      <c r="I594" s="293"/>
      <c r="J594" s="293"/>
      <c r="L594" s="293">
        <f t="shared" si="60"/>
        <v>0</v>
      </c>
    </row>
    <row r="595" spans="1:12" ht="15.75" thickBot="1" x14ac:dyDescent="0.3">
      <c r="A595" s="47" t="s">
        <v>4268</v>
      </c>
      <c r="B595" s="301">
        <f>B578-B593</f>
        <v>800</v>
      </c>
      <c r="C595" s="301">
        <f t="shared" ref="C595:J595" si="65">C578-C593</f>
        <v>700</v>
      </c>
      <c r="D595" s="301">
        <f t="shared" si="65"/>
        <v>500</v>
      </c>
      <c r="E595" s="301">
        <f t="shared" si="65"/>
        <v>400</v>
      </c>
      <c r="F595" s="301">
        <f t="shared" si="65"/>
        <v>400</v>
      </c>
      <c r="G595" s="301">
        <f t="shared" si="65"/>
        <v>400</v>
      </c>
      <c r="H595" s="301">
        <f t="shared" si="65"/>
        <v>400</v>
      </c>
      <c r="I595" s="301">
        <f t="shared" si="65"/>
        <v>400</v>
      </c>
      <c r="J595" s="301">
        <f t="shared" si="65"/>
        <v>400</v>
      </c>
      <c r="L595" s="293"/>
    </row>
    <row r="596" spans="1:12" ht="15.75" thickTop="1" x14ac:dyDescent="0.25">
      <c r="B596" s="293"/>
      <c r="C596" s="293"/>
      <c r="D596" s="293"/>
      <c r="E596" s="293"/>
      <c r="F596" s="293"/>
      <c r="G596" s="293"/>
      <c r="H596" s="293"/>
      <c r="I596" s="293"/>
      <c r="J596" s="293"/>
      <c r="L596" s="293">
        <f t="shared" si="60"/>
        <v>0</v>
      </c>
    </row>
    <row r="597" spans="1:12" x14ac:dyDescent="0.25">
      <c r="A597" s="281"/>
      <c r="B597" s="316"/>
      <c r="C597" s="316"/>
      <c r="D597" s="316"/>
      <c r="E597" s="316"/>
      <c r="F597" s="316"/>
      <c r="G597" s="316"/>
      <c r="H597" s="316"/>
      <c r="I597" s="316"/>
      <c r="J597" s="316"/>
      <c r="L597" s="293">
        <f t="shared" si="60"/>
        <v>0</v>
      </c>
    </row>
    <row r="598" spans="1:12" x14ac:dyDescent="0.25">
      <c r="B598" s="293"/>
      <c r="C598" s="293"/>
      <c r="D598" s="293"/>
      <c r="E598" s="293"/>
      <c r="F598" s="293"/>
      <c r="G598" s="293"/>
      <c r="H598" s="293"/>
      <c r="I598" s="293"/>
      <c r="J598" s="293"/>
      <c r="L598" s="293">
        <f t="shared" si="60"/>
        <v>0</v>
      </c>
    </row>
    <row r="599" spans="1:12" x14ac:dyDescent="0.25">
      <c r="A599" s="280" t="s">
        <v>4342</v>
      </c>
      <c r="B599" s="293"/>
      <c r="C599" s="293"/>
      <c r="D599" s="293"/>
      <c r="E599" s="293"/>
      <c r="F599" s="293"/>
      <c r="G599" s="293"/>
      <c r="H599" s="293"/>
      <c r="I599" s="293"/>
      <c r="J599" s="293"/>
      <c r="L599" s="293">
        <f t="shared" si="60"/>
        <v>0</v>
      </c>
    </row>
    <row r="600" spans="1:12" x14ac:dyDescent="0.25">
      <c r="B600" s="293"/>
      <c r="C600" s="293"/>
      <c r="D600" s="293"/>
      <c r="E600" s="293"/>
      <c r="F600" s="293"/>
      <c r="G600" s="293"/>
      <c r="H600" s="293"/>
      <c r="I600" s="293"/>
      <c r="J600" s="293"/>
      <c r="L600" s="293">
        <f t="shared" si="60"/>
        <v>0</v>
      </c>
    </row>
    <row r="601" spans="1:12" x14ac:dyDescent="0.25">
      <c r="A601" s="47" t="s">
        <v>4260</v>
      </c>
      <c r="B601" s="293"/>
      <c r="C601" s="293"/>
      <c r="D601" s="293"/>
      <c r="E601" s="293"/>
      <c r="F601" s="293"/>
      <c r="G601" s="293"/>
      <c r="H601" s="293"/>
      <c r="I601" s="293"/>
      <c r="J601" s="293"/>
      <c r="L601" s="293">
        <f t="shared" si="60"/>
        <v>0</v>
      </c>
    </row>
    <row r="602" spans="1:12" x14ac:dyDescent="0.25">
      <c r="A602" t="s">
        <v>4262</v>
      </c>
      <c r="B602" s="293"/>
      <c r="C602" s="293"/>
      <c r="D602" s="293"/>
      <c r="E602" s="293"/>
      <c r="F602" s="293"/>
      <c r="G602" s="293"/>
      <c r="H602" s="293"/>
      <c r="I602" s="293"/>
      <c r="J602" s="293"/>
      <c r="L602" s="293">
        <f t="shared" si="60"/>
        <v>0</v>
      </c>
    </row>
    <row r="603" spans="1:12" x14ac:dyDescent="0.25">
      <c r="A603" t="s">
        <v>4261</v>
      </c>
      <c r="B603" s="293">
        <f>capitalrevdata!E15</f>
        <v>8400</v>
      </c>
      <c r="C603" s="293">
        <f>capitalrevdata!F15</f>
        <v>7000</v>
      </c>
      <c r="D603" s="293">
        <f>capitalrevdata!G15</f>
        <v>5600</v>
      </c>
      <c r="E603" s="293">
        <f>capitalrevdata!H15</f>
        <v>4700</v>
      </c>
      <c r="F603" s="293">
        <f>capitalrevdata!I15</f>
        <v>4700</v>
      </c>
      <c r="G603" s="293">
        <f>capitalrevdata!J15</f>
        <v>4700</v>
      </c>
      <c r="H603" s="293">
        <f>capitalrevdata!K15</f>
        <v>3700</v>
      </c>
      <c r="I603" s="293">
        <f>capitalrevdata!L15</f>
        <v>3700</v>
      </c>
      <c r="J603" s="293">
        <f>capitalrevdata!M15</f>
        <v>3700</v>
      </c>
      <c r="L603" s="293">
        <f t="shared" si="60"/>
        <v>3700</v>
      </c>
    </row>
    <row r="604" spans="1:12" x14ac:dyDescent="0.25">
      <c r="A604" t="s">
        <v>66</v>
      </c>
      <c r="B604" s="293"/>
      <c r="C604" s="293"/>
      <c r="D604" s="293"/>
      <c r="E604" s="293"/>
      <c r="F604" s="293"/>
      <c r="G604" s="293"/>
      <c r="H604" s="293"/>
      <c r="I604" s="293"/>
      <c r="J604" s="293"/>
      <c r="L604" s="293">
        <f t="shared" si="60"/>
        <v>0</v>
      </c>
    </row>
    <row r="605" spans="1:12" x14ac:dyDescent="0.25">
      <c r="B605" s="293"/>
      <c r="C605" s="293"/>
      <c r="D605" s="293"/>
      <c r="E605" s="293"/>
      <c r="F605" s="293"/>
      <c r="G605" s="293"/>
      <c r="H605" s="293"/>
      <c r="I605" s="293"/>
      <c r="J605" s="293"/>
      <c r="L605" s="293">
        <f t="shared" si="60"/>
        <v>0</v>
      </c>
    </row>
    <row r="606" spans="1:12" x14ac:dyDescent="0.25">
      <c r="B606" s="293"/>
      <c r="C606" s="293"/>
      <c r="D606" s="293"/>
      <c r="E606" s="293"/>
      <c r="F606" s="293"/>
      <c r="G606" s="293"/>
      <c r="H606" s="293"/>
      <c r="I606" s="293"/>
      <c r="J606" s="293"/>
      <c r="L606" s="293">
        <f t="shared" si="60"/>
        <v>0</v>
      </c>
    </row>
    <row r="607" spans="1:12" x14ac:dyDescent="0.25">
      <c r="B607" s="293"/>
      <c r="C607" s="293"/>
      <c r="D607" s="293"/>
      <c r="E607" s="293"/>
      <c r="F607" s="293"/>
      <c r="G607" s="293"/>
      <c r="H607" s="293"/>
      <c r="I607" s="293"/>
      <c r="J607" s="293"/>
      <c r="L607" s="293">
        <f t="shared" si="60"/>
        <v>0</v>
      </c>
    </row>
    <row r="608" spans="1:12" x14ac:dyDescent="0.25">
      <c r="B608" s="293"/>
      <c r="C608" s="293"/>
      <c r="D608" s="293"/>
      <c r="E608" s="293"/>
      <c r="F608" s="293"/>
      <c r="G608" s="293"/>
      <c r="H608" s="293"/>
      <c r="I608" s="293"/>
      <c r="J608" s="293"/>
      <c r="L608" s="293">
        <f t="shared" si="60"/>
        <v>0</v>
      </c>
    </row>
    <row r="609" spans="1:12" x14ac:dyDescent="0.25">
      <c r="A609" s="47" t="s">
        <v>4263</v>
      </c>
      <c r="B609" s="296">
        <f>SUM(B599:B608)</f>
        <v>8400</v>
      </c>
      <c r="C609" s="296">
        <f t="shared" ref="C609:J609" si="66">SUM(C599:C608)</f>
        <v>7000</v>
      </c>
      <c r="D609" s="296">
        <f t="shared" si="66"/>
        <v>5600</v>
      </c>
      <c r="E609" s="296">
        <f t="shared" si="66"/>
        <v>4700</v>
      </c>
      <c r="F609" s="296">
        <f t="shared" si="66"/>
        <v>4700</v>
      </c>
      <c r="G609" s="296">
        <f t="shared" si="66"/>
        <v>4700</v>
      </c>
      <c r="H609" s="296">
        <f t="shared" si="66"/>
        <v>3700</v>
      </c>
      <c r="I609" s="296">
        <f t="shared" si="66"/>
        <v>3700</v>
      </c>
      <c r="J609" s="296">
        <f t="shared" si="66"/>
        <v>3700</v>
      </c>
      <c r="L609" s="293"/>
    </row>
    <row r="610" spans="1:12" x14ac:dyDescent="0.25">
      <c r="B610" s="293"/>
      <c r="C610" s="293"/>
      <c r="D610" s="293"/>
      <c r="E610" s="293"/>
      <c r="F610" s="293"/>
      <c r="G610" s="293"/>
      <c r="H610" s="293"/>
      <c r="I610" s="293"/>
      <c r="J610" s="293"/>
      <c r="L610" s="293">
        <f t="shared" si="60"/>
        <v>0</v>
      </c>
    </row>
    <row r="611" spans="1:12" x14ac:dyDescent="0.25">
      <c r="A611" s="47" t="s">
        <v>4264</v>
      </c>
      <c r="B611" s="293"/>
      <c r="C611" s="293"/>
      <c r="D611" s="293"/>
      <c r="E611" s="293"/>
      <c r="F611" s="293"/>
      <c r="G611" s="293"/>
      <c r="H611" s="293"/>
      <c r="I611" s="293"/>
      <c r="J611" s="293"/>
      <c r="L611" s="293">
        <f t="shared" si="60"/>
        <v>0</v>
      </c>
    </row>
    <row r="612" spans="1:12" x14ac:dyDescent="0.25">
      <c r="A612" t="s">
        <v>87</v>
      </c>
      <c r="B612" s="293"/>
      <c r="C612" s="293"/>
      <c r="D612" s="293"/>
      <c r="E612" s="293"/>
      <c r="F612" s="293"/>
      <c r="G612" s="293"/>
      <c r="H612" s="293"/>
      <c r="I612" s="293"/>
      <c r="J612" s="293"/>
      <c r="L612" s="293">
        <f t="shared" si="60"/>
        <v>0</v>
      </c>
    </row>
    <row r="613" spans="1:12" x14ac:dyDescent="0.25">
      <c r="A613" t="s">
        <v>4265</v>
      </c>
      <c r="B613" s="293"/>
      <c r="C613" s="293"/>
      <c r="D613" s="293"/>
      <c r="E613" s="293"/>
      <c r="F613" s="293"/>
      <c r="G613" s="293"/>
      <c r="H613" s="293"/>
      <c r="I613" s="293"/>
      <c r="J613" s="293"/>
      <c r="L613" s="293">
        <f t="shared" si="60"/>
        <v>0</v>
      </c>
    </row>
    <row r="614" spans="1:12" x14ac:dyDescent="0.25">
      <c r="B614" s="293"/>
      <c r="C614" s="293"/>
      <c r="D614" s="293"/>
      <c r="E614" s="293"/>
      <c r="F614" s="293"/>
      <c r="G614" s="293"/>
      <c r="H614" s="293"/>
      <c r="I614" s="293"/>
      <c r="J614" s="293"/>
      <c r="L614" s="293">
        <f t="shared" si="60"/>
        <v>0</v>
      </c>
    </row>
    <row r="615" spans="1:12" x14ac:dyDescent="0.25">
      <c r="B615" s="293"/>
      <c r="C615" s="293"/>
      <c r="D615" s="293"/>
      <c r="E615" s="293"/>
      <c r="F615" s="293"/>
      <c r="G615" s="293"/>
      <c r="H615" s="293"/>
      <c r="I615" s="293"/>
      <c r="J615" s="293"/>
      <c r="L615" s="293">
        <f t="shared" si="60"/>
        <v>0</v>
      </c>
    </row>
    <row r="616" spans="1:12" x14ac:dyDescent="0.25">
      <c r="B616" s="293"/>
      <c r="C616" s="293"/>
      <c r="D616" s="293"/>
      <c r="E616" s="293"/>
      <c r="F616" s="293"/>
      <c r="G616" s="293"/>
      <c r="H616" s="293"/>
      <c r="I616" s="293"/>
      <c r="J616" s="293"/>
      <c r="L616" s="293">
        <f t="shared" si="60"/>
        <v>0</v>
      </c>
    </row>
    <row r="617" spans="1:12" x14ac:dyDescent="0.25">
      <c r="B617" s="293"/>
      <c r="C617" s="293"/>
      <c r="D617" s="293"/>
      <c r="E617" s="293"/>
      <c r="F617" s="293"/>
      <c r="G617" s="293"/>
      <c r="H617" s="293"/>
      <c r="I617" s="293"/>
      <c r="J617" s="293"/>
      <c r="L617" s="293">
        <f t="shared" si="60"/>
        <v>0</v>
      </c>
    </row>
    <row r="618" spans="1:12" x14ac:dyDescent="0.25">
      <c r="A618" t="s">
        <v>4266</v>
      </c>
      <c r="B618" s="293"/>
      <c r="C618" s="293"/>
      <c r="D618" s="293"/>
      <c r="E618" s="293"/>
      <c r="F618" s="293"/>
      <c r="G618" s="293"/>
      <c r="H618" s="293"/>
      <c r="I618" s="293"/>
      <c r="J618" s="293"/>
      <c r="L618" s="293">
        <f t="shared" si="60"/>
        <v>0</v>
      </c>
    </row>
    <row r="619" spans="1:12" x14ac:dyDescent="0.25">
      <c r="A619" t="s">
        <v>66</v>
      </c>
      <c r="B619" s="293"/>
      <c r="C619" s="293"/>
      <c r="D619" s="293"/>
      <c r="E619" s="293"/>
      <c r="F619" s="293"/>
      <c r="G619" s="293"/>
      <c r="H619" s="293"/>
      <c r="I619" s="293"/>
      <c r="J619" s="293"/>
      <c r="L619" s="293">
        <f t="shared" si="60"/>
        <v>0</v>
      </c>
    </row>
    <row r="620" spans="1:12" x14ac:dyDescent="0.25">
      <c r="B620" s="293"/>
      <c r="C620" s="293"/>
      <c r="D620" s="293"/>
      <c r="E620" s="293"/>
      <c r="F620" s="293"/>
      <c r="G620" s="293"/>
      <c r="H620" s="293"/>
      <c r="I620" s="293"/>
      <c r="J620" s="293"/>
      <c r="L620" s="293">
        <f t="shared" ref="L620:L683" si="67">J620</f>
        <v>0</v>
      </c>
    </row>
    <row r="621" spans="1:12" x14ac:dyDescent="0.25">
      <c r="B621" s="293"/>
      <c r="C621" s="293"/>
      <c r="D621" s="293"/>
      <c r="E621" s="293"/>
      <c r="F621" s="293"/>
      <c r="G621" s="293"/>
      <c r="H621" s="293"/>
      <c r="I621" s="293"/>
      <c r="J621" s="293"/>
      <c r="L621" s="293">
        <f t="shared" si="67"/>
        <v>0</v>
      </c>
    </row>
    <row r="622" spans="1:12" x14ac:dyDescent="0.25">
      <c r="B622" s="293"/>
      <c r="C622" s="293"/>
      <c r="D622" s="293"/>
      <c r="E622" s="293"/>
      <c r="F622" s="293"/>
      <c r="G622" s="293"/>
      <c r="H622" s="293"/>
      <c r="I622" s="293"/>
      <c r="J622" s="293"/>
      <c r="L622" s="293">
        <f t="shared" si="67"/>
        <v>0</v>
      </c>
    </row>
    <row r="623" spans="1:12" x14ac:dyDescent="0.25">
      <c r="B623" s="293"/>
      <c r="C623" s="293"/>
      <c r="D623" s="293"/>
      <c r="E623" s="293"/>
      <c r="F623" s="293"/>
      <c r="G623" s="293"/>
      <c r="H623" s="293"/>
      <c r="I623" s="293"/>
      <c r="J623" s="293"/>
      <c r="L623" s="293">
        <f t="shared" si="67"/>
        <v>0</v>
      </c>
    </row>
    <row r="624" spans="1:12" x14ac:dyDescent="0.25">
      <c r="A624" s="47" t="s">
        <v>4267</v>
      </c>
      <c r="B624" s="296">
        <f>SUM(B612:B623)</f>
        <v>0</v>
      </c>
      <c r="C624" s="296">
        <f t="shared" ref="C624:J624" si="68">SUM(C612:C623)</f>
        <v>0</v>
      </c>
      <c r="D624" s="296">
        <f t="shared" si="68"/>
        <v>0</v>
      </c>
      <c r="E624" s="296">
        <f t="shared" si="68"/>
        <v>0</v>
      </c>
      <c r="F624" s="296">
        <f t="shared" si="68"/>
        <v>0</v>
      </c>
      <c r="G624" s="296">
        <f t="shared" si="68"/>
        <v>0</v>
      </c>
      <c r="H624" s="296">
        <f t="shared" si="68"/>
        <v>0</v>
      </c>
      <c r="I624" s="296">
        <f t="shared" si="68"/>
        <v>0</v>
      </c>
      <c r="J624" s="296">
        <f t="shared" si="68"/>
        <v>0</v>
      </c>
      <c r="L624" s="293">
        <f t="shared" si="67"/>
        <v>0</v>
      </c>
    </row>
    <row r="625" spans="1:12" x14ac:dyDescent="0.25">
      <c r="B625" s="293"/>
      <c r="C625" s="293"/>
      <c r="D625" s="293"/>
      <c r="E625" s="293"/>
      <c r="F625" s="293"/>
      <c r="G625" s="293"/>
      <c r="H625" s="293"/>
      <c r="I625" s="293"/>
      <c r="J625" s="293"/>
      <c r="L625" s="293">
        <f t="shared" si="67"/>
        <v>0</v>
      </c>
    </row>
    <row r="626" spans="1:12" ht="15.75" thickBot="1" x14ac:dyDescent="0.3">
      <c r="A626" s="47" t="s">
        <v>4268</v>
      </c>
      <c r="B626" s="301">
        <f>B609-B624</f>
        <v>8400</v>
      </c>
      <c r="C626" s="301">
        <f t="shared" ref="C626:J626" si="69">C609-C624</f>
        <v>7000</v>
      </c>
      <c r="D626" s="301">
        <f t="shared" si="69"/>
        <v>5600</v>
      </c>
      <c r="E626" s="301">
        <f t="shared" si="69"/>
        <v>4700</v>
      </c>
      <c r="F626" s="301">
        <f t="shared" si="69"/>
        <v>4700</v>
      </c>
      <c r="G626" s="301">
        <f t="shared" si="69"/>
        <v>4700</v>
      </c>
      <c r="H626" s="301">
        <f t="shared" si="69"/>
        <v>3700</v>
      </c>
      <c r="I626" s="301">
        <f t="shared" si="69"/>
        <v>3700</v>
      </c>
      <c r="J626" s="301">
        <f t="shared" si="69"/>
        <v>3700</v>
      </c>
      <c r="L626" s="293"/>
    </row>
    <row r="627" spans="1:12" ht="15.75" thickTop="1" x14ac:dyDescent="0.25">
      <c r="B627" s="293"/>
      <c r="C627" s="293"/>
      <c r="D627" s="293"/>
      <c r="E627" s="293"/>
      <c r="F627" s="293"/>
      <c r="G627" s="293"/>
      <c r="H627" s="293"/>
      <c r="I627" s="293"/>
      <c r="J627" s="293"/>
      <c r="L627" s="293">
        <f t="shared" si="67"/>
        <v>0</v>
      </c>
    </row>
    <row r="628" spans="1:12" x14ac:dyDescent="0.25">
      <c r="A628" s="281"/>
      <c r="B628" s="316"/>
      <c r="C628" s="316"/>
      <c r="D628" s="316"/>
      <c r="E628" s="316"/>
      <c r="F628" s="316"/>
      <c r="G628" s="316"/>
      <c r="H628" s="316"/>
      <c r="I628" s="316"/>
      <c r="J628" s="316"/>
      <c r="L628" s="293">
        <f t="shared" si="67"/>
        <v>0</v>
      </c>
    </row>
    <row r="629" spans="1:12" x14ac:dyDescent="0.25">
      <c r="B629" s="293"/>
      <c r="C629" s="293"/>
      <c r="D629" s="293"/>
      <c r="E629" s="293"/>
      <c r="F629" s="293"/>
      <c r="G629" s="293"/>
      <c r="H629" s="293"/>
      <c r="I629" s="293"/>
      <c r="J629" s="293"/>
      <c r="L629" s="293">
        <f t="shared" si="67"/>
        <v>0</v>
      </c>
    </row>
    <row r="630" spans="1:12" x14ac:dyDescent="0.25">
      <c r="A630" s="280" t="s">
        <v>4336</v>
      </c>
      <c r="B630" s="293"/>
      <c r="C630" s="293"/>
      <c r="D630" s="293"/>
      <c r="E630" s="293"/>
      <c r="F630" s="293"/>
      <c r="G630" s="293"/>
      <c r="H630" s="293"/>
      <c r="I630" s="293"/>
      <c r="J630" s="293"/>
      <c r="L630" s="293">
        <f t="shared" si="67"/>
        <v>0</v>
      </c>
    </row>
    <row r="631" spans="1:12" x14ac:dyDescent="0.25">
      <c r="B631" s="293"/>
      <c r="C631" s="293"/>
      <c r="D631" s="293"/>
      <c r="E631" s="293"/>
      <c r="F631" s="293"/>
      <c r="G631" s="293"/>
      <c r="H631" s="293"/>
      <c r="I631" s="293"/>
      <c r="J631" s="293"/>
      <c r="L631" s="293">
        <f t="shared" si="67"/>
        <v>0</v>
      </c>
    </row>
    <row r="632" spans="1:12" x14ac:dyDescent="0.25">
      <c r="A632" s="47" t="s">
        <v>4260</v>
      </c>
      <c r="B632" s="293"/>
      <c r="C632" s="293"/>
      <c r="D632" s="293"/>
      <c r="E632" s="293"/>
      <c r="F632" s="293"/>
      <c r="G632" s="293"/>
      <c r="H632" s="293"/>
      <c r="I632" s="293"/>
      <c r="J632" s="293"/>
      <c r="L632" s="293">
        <f t="shared" si="67"/>
        <v>0</v>
      </c>
    </row>
    <row r="633" spans="1:12" x14ac:dyDescent="0.25">
      <c r="A633" t="s">
        <v>4262</v>
      </c>
      <c r="B633" s="293"/>
      <c r="C633" s="293"/>
      <c r="D633" s="293"/>
      <c r="E633" s="293"/>
      <c r="F633" s="293"/>
      <c r="G633" s="293"/>
      <c r="H633" s="293"/>
      <c r="I633" s="293"/>
      <c r="J633" s="293"/>
      <c r="L633" s="293">
        <f t="shared" si="67"/>
        <v>0</v>
      </c>
    </row>
    <row r="634" spans="1:12" x14ac:dyDescent="0.25">
      <c r="A634" t="s">
        <v>4261</v>
      </c>
      <c r="B634" s="293">
        <f>capitalrevdata!F50</f>
        <v>30800</v>
      </c>
      <c r="C634" s="293">
        <f>capitalrevdata!G50</f>
        <v>24700</v>
      </c>
      <c r="D634" s="293">
        <f>capitalrevdata!H50</f>
        <v>20600</v>
      </c>
      <c r="E634" s="293">
        <f>capitalrevdata!I50</f>
        <v>20600</v>
      </c>
      <c r="F634" s="293">
        <f>capitalrevdata!J50</f>
        <v>20600</v>
      </c>
      <c r="G634" s="293">
        <f>capitalrevdata!K50</f>
        <v>16400</v>
      </c>
      <c r="H634" s="293">
        <f>capitalrevdata!L50</f>
        <v>16400</v>
      </c>
      <c r="I634" s="293">
        <f>capitalrevdata!M50</f>
        <v>16400</v>
      </c>
      <c r="J634" s="293">
        <f>capitalrevdata!N50</f>
        <v>16400</v>
      </c>
      <c r="L634" s="293">
        <f t="shared" si="67"/>
        <v>16400</v>
      </c>
    </row>
    <row r="635" spans="1:12" x14ac:dyDescent="0.25">
      <c r="A635" t="s">
        <v>66</v>
      </c>
      <c r="B635" s="293"/>
      <c r="C635" s="293"/>
      <c r="D635" s="293"/>
      <c r="E635" s="293"/>
      <c r="F635" s="293"/>
      <c r="G635" s="293"/>
      <c r="H635" s="293"/>
      <c r="I635" s="293"/>
      <c r="J635" s="293"/>
      <c r="L635" s="293">
        <f t="shared" si="67"/>
        <v>0</v>
      </c>
    </row>
    <row r="636" spans="1:12" x14ac:dyDescent="0.25">
      <c r="B636" s="293"/>
      <c r="C636" s="293"/>
      <c r="D636" s="293"/>
      <c r="E636" s="293"/>
      <c r="F636" s="293"/>
      <c r="G636" s="293"/>
      <c r="H636" s="293"/>
      <c r="I636" s="293"/>
      <c r="J636" s="293"/>
      <c r="L636" s="293">
        <f t="shared" si="67"/>
        <v>0</v>
      </c>
    </row>
    <row r="637" spans="1:12" x14ac:dyDescent="0.25">
      <c r="B637" s="293"/>
      <c r="C637" s="293"/>
      <c r="D637" s="293"/>
      <c r="E637" s="293"/>
      <c r="F637" s="293"/>
      <c r="G637" s="293"/>
      <c r="H637" s="293"/>
      <c r="I637" s="293"/>
      <c r="J637" s="293"/>
      <c r="L637" s="293">
        <f t="shared" si="67"/>
        <v>0</v>
      </c>
    </row>
    <row r="638" spans="1:12" x14ac:dyDescent="0.25">
      <c r="B638" s="293"/>
      <c r="C638" s="293"/>
      <c r="D638" s="293"/>
      <c r="E638" s="293"/>
      <c r="F638" s="293"/>
      <c r="G638" s="293"/>
      <c r="H638" s="293"/>
      <c r="I638" s="293"/>
      <c r="J638" s="293"/>
      <c r="L638" s="293">
        <f t="shared" si="67"/>
        <v>0</v>
      </c>
    </row>
    <row r="639" spans="1:12" x14ac:dyDescent="0.25">
      <c r="B639" s="293"/>
      <c r="C639" s="293"/>
      <c r="D639" s="293"/>
      <c r="E639" s="293"/>
      <c r="F639" s="293"/>
      <c r="G639" s="293"/>
      <c r="H639" s="293"/>
      <c r="I639" s="293"/>
      <c r="J639" s="293"/>
      <c r="L639" s="293">
        <f t="shared" si="67"/>
        <v>0</v>
      </c>
    </row>
    <row r="640" spans="1:12" x14ac:dyDescent="0.25">
      <c r="A640" s="47" t="s">
        <v>4263</v>
      </c>
      <c r="B640" s="296">
        <f>SUM(B630:B639)</f>
        <v>30800</v>
      </c>
      <c r="C640" s="296">
        <f t="shared" ref="C640:J640" si="70">SUM(C630:C639)</f>
        <v>24700</v>
      </c>
      <c r="D640" s="296">
        <f t="shared" si="70"/>
        <v>20600</v>
      </c>
      <c r="E640" s="296">
        <f t="shared" si="70"/>
        <v>20600</v>
      </c>
      <c r="F640" s="296">
        <f t="shared" si="70"/>
        <v>20600</v>
      </c>
      <c r="G640" s="296">
        <f t="shared" si="70"/>
        <v>16400</v>
      </c>
      <c r="H640" s="296">
        <f t="shared" si="70"/>
        <v>16400</v>
      </c>
      <c r="I640" s="296">
        <f t="shared" si="70"/>
        <v>16400</v>
      </c>
      <c r="J640" s="296">
        <f t="shared" si="70"/>
        <v>16400</v>
      </c>
      <c r="L640" s="293"/>
    </row>
    <row r="641" spans="1:12" x14ac:dyDescent="0.25">
      <c r="B641" s="293"/>
      <c r="C641" s="293"/>
      <c r="D641" s="293"/>
      <c r="E641" s="293"/>
      <c r="F641" s="293"/>
      <c r="G641" s="293"/>
      <c r="H641" s="293"/>
      <c r="I641" s="293"/>
      <c r="J641" s="293"/>
      <c r="L641" s="293">
        <f t="shared" si="67"/>
        <v>0</v>
      </c>
    </row>
    <row r="642" spans="1:12" x14ac:dyDescent="0.25">
      <c r="A642" s="47" t="s">
        <v>4264</v>
      </c>
      <c r="B642" s="293"/>
      <c r="C642" s="293"/>
      <c r="D642" s="293"/>
      <c r="E642" s="293"/>
      <c r="F642" s="293"/>
      <c r="G642" s="293"/>
      <c r="H642" s="293"/>
      <c r="I642" s="293"/>
      <c r="J642" s="293"/>
      <c r="L642" s="293">
        <f t="shared" si="67"/>
        <v>0</v>
      </c>
    </row>
    <row r="643" spans="1:12" x14ac:dyDescent="0.25">
      <c r="A643" t="s">
        <v>87</v>
      </c>
      <c r="B643" s="293"/>
      <c r="C643" s="293"/>
      <c r="D643" s="293"/>
      <c r="E643" s="293"/>
      <c r="F643" s="293"/>
      <c r="G643" s="293"/>
      <c r="H643" s="293"/>
      <c r="I643" s="293"/>
      <c r="J643" s="293"/>
      <c r="L643" s="293">
        <f t="shared" si="67"/>
        <v>0</v>
      </c>
    </row>
    <row r="644" spans="1:12" x14ac:dyDescent="0.25">
      <c r="A644" t="s">
        <v>4265</v>
      </c>
      <c r="B644" s="293"/>
      <c r="C644" s="293"/>
      <c r="D644" s="293"/>
      <c r="E644" s="293"/>
      <c r="F644" s="293"/>
      <c r="G644" s="293"/>
      <c r="H644" s="293"/>
      <c r="I644" s="293"/>
      <c r="J644" s="293"/>
      <c r="L644" s="293">
        <f t="shared" si="67"/>
        <v>0</v>
      </c>
    </row>
    <row r="645" spans="1:12" x14ac:dyDescent="0.25">
      <c r="B645" s="293"/>
      <c r="C645" s="293"/>
      <c r="D645" s="293"/>
      <c r="E645" s="293"/>
      <c r="F645" s="293"/>
      <c r="G645" s="293"/>
      <c r="H645" s="293"/>
      <c r="I645" s="293"/>
      <c r="J645" s="293"/>
      <c r="L645" s="293">
        <f t="shared" si="67"/>
        <v>0</v>
      </c>
    </row>
    <row r="646" spans="1:12" x14ac:dyDescent="0.25">
      <c r="B646" s="293"/>
      <c r="C646" s="293"/>
      <c r="D646" s="293"/>
      <c r="E646" s="293"/>
      <c r="F646" s="293"/>
      <c r="G646" s="293"/>
      <c r="H646" s="293"/>
      <c r="I646" s="293"/>
      <c r="J646" s="293"/>
      <c r="L646" s="293">
        <f t="shared" si="67"/>
        <v>0</v>
      </c>
    </row>
    <row r="647" spans="1:12" x14ac:dyDescent="0.25">
      <c r="B647" s="293"/>
      <c r="C647" s="293"/>
      <c r="D647" s="293"/>
      <c r="E647" s="293"/>
      <c r="F647" s="293"/>
      <c r="G647" s="293"/>
      <c r="H647" s="293"/>
      <c r="I647" s="293"/>
      <c r="J647" s="293"/>
      <c r="L647" s="293">
        <f t="shared" si="67"/>
        <v>0</v>
      </c>
    </row>
    <row r="648" spans="1:12" x14ac:dyDescent="0.25">
      <c r="B648" s="293"/>
      <c r="C648" s="293"/>
      <c r="D648" s="293"/>
      <c r="E648" s="293"/>
      <c r="F648" s="293"/>
      <c r="G648" s="293"/>
      <c r="H648" s="293"/>
      <c r="I648" s="293"/>
      <c r="J648" s="293"/>
      <c r="L648" s="293">
        <f t="shared" si="67"/>
        <v>0</v>
      </c>
    </row>
    <row r="649" spans="1:12" x14ac:dyDescent="0.25">
      <c r="A649" t="s">
        <v>4266</v>
      </c>
      <c r="B649" s="293"/>
      <c r="C649" s="293"/>
      <c r="D649" s="293"/>
      <c r="E649" s="293"/>
      <c r="F649" s="293"/>
      <c r="G649" s="293"/>
      <c r="H649" s="293"/>
      <c r="I649" s="293"/>
      <c r="J649" s="293"/>
      <c r="L649" s="293">
        <f t="shared" si="67"/>
        <v>0</v>
      </c>
    </row>
    <row r="650" spans="1:12" x14ac:dyDescent="0.25">
      <c r="A650" t="s">
        <v>66</v>
      </c>
      <c r="B650" s="293"/>
      <c r="C650" s="293"/>
      <c r="D650" s="293"/>
      <c r="E650" s="293"/>
      <c r="F650" s="293"/>
      <c r="G650" s="293"/>
      <c r="H650" s="293"/>
      <c r="I650" s="293"/>
      <c r="J650" s="293"/>
      <c r="L650" s="293">
        <f t="shared" si="67"/>
        <v>0</v>
      </c>
    </row>
    <row r="651" spans="1:12" x14ac:dyDescent="0.25">
      <c r="B651" s="293"/>
      <c r="C651" s="293"/>
      <c r="D651" s="293"/>
      <c r="E651" s="293"/>
      <c r="F651" s="293"/>
      <c r="G651" s="293"/>
      <c r="H651" s="293"/>
      <c r="I651" s="293"/>
      <c r="J651" s="293"/>
      <c r="L651" s="293">
        <f t="shared" si="67"/>
        <v>0</v>
      </c>
    </row>
    <row r="652" spans="1:12" x14ac:dyDescent="0.25">
      <c r="B652" s="293"/>
      <c r="C652" s="293"/>
      <c r="D652" s="293"/>
      <c r="E652" s="293"/>
      <c r="F652" s="293"/>
      <c r="G652" s="293"/>
      <c r="H652" s="293"/>
      <c r="I652" s="293"/>
      <c r="J652" s="293"/>
      <c r="L652" s="293">
        <f t="shared" si="67"/>
        <v>0</v>
      </c>
    </row>
    <row r="653" spans="1:12" x14ac:dyDescent="0.25">
      <c r="B653" s="293"/>
      <c r="C653" s="293"/>
      <c r="D653" s="293"/>
      <c r="E653" s="293"/>
      <c r="F653" s="293"/>
      <c r="G653" s="293"/>
      <c r="H653" s="293"/>
      <c r="I653" s="293"/>
      <c r="J653" s="293"/>
      <c r="L653" s="293">
        <f t="shared" si="67"/>
        <v>0</v>
      </c>
    </row>
    <row r="654" spans="1:12" x14ac:dyDescent="0.25">
      <c r="B654" s="293"/>
      <c r="C654" s="293"/>
      <c r="D654" s="293"/>
      <c r="E654" s="293"/>
      <c r="F654" s="293"/>
      <c r="G654" s="293"/>
      <c r="H654" s="293"/>
      <c r="I654" s="293"/>
      <c r="J654" s="293"/>
      <c r="L654" s="293">
        <f t="shared" si="67"/>
        <v>0</v>
      </c>
    </row>
    <row r="655" spans="1:12" x14ac:dyDescent="0.25">
      <c r="A655" s="47" t="s">
        <v>4267</v>
      </c>
      <c r="B655" s="296">
        <f>SUM(B643:B654)</f>
        <v>0</v>
      </c>
      <c r="C655" s="296">
        <f t="shared" ref="C655:J655" si="71">SUM(C643:C654)</f>
        <v>0</v>
      </c>
      <c r="D655" s="296">
        <f t="shared" si="71"/>
        <v>0</v>
      </c>
      <c r="E655" s="296">
        <f t="shared" si="71"/>
        <v>0</v>
      </c>
      <c r="F655" s="296">
        <f t="shared" si="71"/>
        <v>0</v>
      </c>
      <c r="G655" s="296">
        <f t="shared" si="71"/>
        <v>0</v>
      </c>
      <c r="H655" s="296">
        <f t="shared" si="71"/>
        <v>0</v>
      </c>
      <c r="I655" s="296">
        <f t="shared" si="71"/>
        <v>0</v>
      </c>
      <c r="J655" s="296">
        <f t="shared" si="71"/>
        <v>0</v>
      </c>
      <c r="L655" s="293">
        <f t="shared" si="67"/>
        <v>0</v>
      </c>
    </row>
    <row r="656" spans="1:12" x14ac:dyDescent="0.25">
      <c r="B656" s="293"/>
      <c r="C656" s="293"/>
      <c r="D656" s="293"/>
      <c r="E656" s="293"/>
      <c r="F656" s="293"/>
      <c r="G656" s="293"/>
      <c r="H656" s="293"/>
      <c r="I656" s="293"/>
      <c r="J656" s="293"/>
      <c r="L656" s="293">
        <f t="shared" si="67"/>
        <v>0</v>
      </c>
    </row>
    <row r="657" spans="1:12" ht="15.75" thickBot="1" x14ac:dyDescent="0.3">
      <c r="A657" s="47" t="s">
        <v>4268</v>
      </c>
      <c r="B657" s="301">
        <f>B640-B655</f>
        <v>30800</v>
      </c>
      <c r="C657" s="301">
        <f t="shared" ref="C657:J657" si="72">C640-C655</f>
        <v>24700</v>
      </c>
      <c r="D657" s="301">
        <f t="shared" si="72"/>
        <v>20600</v>
      </c>
      <c r="E657" s="301">
        <f t="shared" si="72"/>
        <v>20600</v>
      </c>
      <c r="F657" s="301">
        <f t="shared" si="72"/>
        <v>20600</v>
      </c>
      <c r="G657" s="301">
        <f t="shared" si="72"/>
        <v>16400</v>
      </c>
      <c r="H657" s="301">
        <f t="shared" si="72"/>
        <v>16400</v>
      </c>
      <c r="I657" s="301">
        <f t="shared" si="72"/>
        <v>16400</v>
      </c>
      <c r="J657" s="301">
        <f t="shared" si="72"/>
        <v>16400</v>
      </c>
      <c r="L657" s="293"/>
    </row>
    <row r="658" spans="1:12" ht="15.75" thickTop="1" x14ac:dyDescent="0.25">
      <c r="B658" s="293"/>
      <c r="C658" s="293"/>
      <c r="D658" s="293"/>
      <c r="E658" s="293"/>
      <c r="F658" s="293"/>
      <c r="G658" s="293"/>
      <c r="H658" s="293"/>
      <c r="I658" s="293"/>
      <c r="J658" s="293"/>
      <c r="L658" s="293">
        <f t="shared" si="67"/>
        <v>0</v>
      </c>
    </row>
    <row r="659" spans="1:12" x14ac:dyDescent="0.25">
      <c r="A659" s="281"/>
      <c r="B659" s="316"/>
      <c r="C659" s="316"/>
      <c r="D659" s="316"/>
      <c r="E659" s="316"/>
      <c r="F659" s="316"/>
      <c r="G659" s="316"/>
      <c r="H659" s="316"/>
      <c r="I659" s="316"/>
      <c r="J659" s="316"/>
      <c r="L659" s="293">
        <f t="shared" si="67"/>
        <v>0</v>
      </c>
    </row>
    <row r="660" spans="1:12" x14ac:dyDescent="0.25">
      <c r="B660" s="293"/>
      <c r="C660" s="293"/>
      <c r="D660" s="293"/>
      <c r="E660" s="293"/>
      <c r="F660" s="293"/>
      <c r="G660" s="293"/>
      <c r="H660" s="293"/>
      <c r="I660" s="293"/>
      <c r="J660" s="293"/>
      <c r="L660" s="293">
        <f t="shared" si="67"/>
        <v>0</v>
      </c>
    </row>
    <row r="661" spans="1:12" x14ac:dyDescent="0.25">
      <c r="A661" s="280" t="s">
        <v>4337</v>
      </c>
      <c r="B661" s="293"/>
      <c r="C661" s="293"/>
      <c r="D661" s="293"/>
      <c r="E661" s="293"/>
      <c r="F661" s="293"/>
      <c r="G661" s="293"/>
      <c r="H661" s="293"/>
      <c r="I661" s="293"/>
      <c r="J661" s="293"/>
      <c r="L661" s="293">
        <f t="shared" si="67"/>
        <v>0</v>
      </c>
    </row>
    <row r="662" spans="1:12" x14ac:dyDescent="0.25">
      <c r="B662" s="293"/>
      <c r="C662" s="293"/>
      <c r="D662" s="293"/>
      <c r="E662" s="293"/>
      <c r="F662" s="293"/>
      <c r="G662" s="293"/>
      <c r="H662" s="293"/>
      <c r="I662" s="293"/>
      <c r="J662" s="293"/>
      <c r="L662" s="293">
        <f t="shared" si="67"/>
        <v>0</v>
      </c>
    </row>
    <row r="663" spans="1:12" x14ac:dyDescent="0.25">
      <c r="A663" s="47" t="s">
        <v>4260</v>
      </c>
      <c r="B663" s="293"/>
      <c r="C663" s="293"/>
      <c r="D663" s="293"/>
      <c r="E663" s="293"/>
      <c r="F663" s="293"/>
      <c r="G663" s="293"/>
      <c r="H663" s="293"/>
      <c r="I663" s="293"/>
      <c r="J663" s="293"/>
      <c r="L663" s="293">
        <f t="shared" si="67"/>
        <v>0</v>
      </c>
    </row>
    <row r="664" spans="1:12" x14ac:dyDescent="0.25">
      <c r="A664" t="s">
        <v>4262</v>
      </c>
      <c r="B664" s="293"/>
      <c r="C664" s="293"/>
      <c r="D664" s="293"/>
      <c r="E664" s="293"/>
      <c r="F664" s="293"/>
      <c r="G664" s="293"/>
      <c r="H664" s="293"/>
      <c r="I664" s="293"/>
      <c r="J664" s="293"/>
      <c r="L664" s="293">
        <f t="shared" si="67"/>
        <v>0</v>
      </c>
    </row>
    <row r="665" spans="1:12" x14ac:dyDescent="0.25">
      <c r="A665" t="s">
        <v>4261</v>
      </c>
      <c r="B665" s="293">
        <f>capitalrevdata!F51</f>
        <v>3600</v>
      </c>
      <c r="C665" s="293">
        <f>capitalrevdata!G51</f>
        <v>2900</v>
      </c>
      <c r="D665" s="293">
        <f>capitalrevdata!H51</f>
        <v>2400</v>
      </c>
      <c r="E665" s="293">
        <f>capitalrevdata!I51</f>
        <v>2400</v>
      </c>
      <c r="F665" s="293">
        <f>capitalrevdata!J51</f>
        <v>2400</v>
      </c>
      <c r="G665" s="293">
        <f>capitalrevdata!K51</f>
        <v>1900</v>
      </c>
      <c r="H665" s="293">
        <f>capitalrevdata!L51</f>
        <v>1900</v>
      </c>
      <c r="I665" s="293">
        <f>capitalrevdata!M51</f>
        <v>1900</v>
      </c>
      <c r="J665" s="293">
        <f>capitalrevdata!N51</f>
        <v>1900</v>
      </c>
      <c r="L665" s="293">
        <f t="shared" si="67"/>
        <v>1900</v>
      </c>
    </row>
    <row r="666" spans="1:12" x14ac:dyDescent="0.25">
      <c r="A666" t="s">
        <v>66</v>
      </c>
      <c r="B666" s="293"/>
      <c r="C666" s="293"/>
      <c r="D666" s="293"/>
      <c r="E666" s="293"/>
      <c r="F666" s="293"/>
      <c r="G666" s="293"/>
      <c r="H666" s="293"/>
      <c r="I666" s="293"/>
      <c r="J666" s="293"/>
      <c r="L666" s="293">
        <f t="shared" si="67"/>
        <v>0</v>
      </c>
    </row>
    <row r="667" spans="1:12" x14ac:dyDescent="0.25">
      <c r="B667" s="293"/>
      <c r="C667" s="293"/>
      <c r="D667" s="293"/>
      <c r="E667" s="293"/>
      <c r="F667" s="293"/>
      <c r="G667" s="293"/>
      <c r="H667" s="293"/>
      <c r="I667" s="293"/>
      <c r="J667" s="293"/>
      <c r="L667" s="293">
        <f t="shared" si="67"/>
        <v>0</v>
      </c>
    </row>
    <row r="668" spans="1:12" x14ac:dyDescent="0.25">
      <c r="B668" s="293"/>
      <c r="C668" s="293"/>
      <c r="D668" s="293"/>
      <c r="E668" s="293"/>
      <c r="F668" s="293"/>
      <c r="G668" s="293"/>
      <c r="H668" s="293"/>
      <c r="I668" s="293"/>
      <c r="J668" s="293"/>
      <c r="L668" s="293">
        <f t="shared" si="67"/>
        <v>0</v>
      </c>
    </row>
    <row r="669" spans="1:12" x14ac:dyDescent="0.25">
      <c r="B669" s="293"/>
      <c r="C669" s="293"/>
      <c r="D669" s="293"/>
      <c r="E669" s="293"/>
      <c r="F669" s="293"/>
      <c r="G669" s="293"/>
      <c r="H669" s="293"/>
      <c r="I669" s="293"/>
      <c r="J669" s="293"/>
      <c r="L669" s="293">
        <f t="shared" si="67"/>
        <v>0</v>
      </c>
    </row>
    <row r="670" spans="1:12" x14ac:dyDescent="0.25">
      <c r="B670" s="293"/>
      <c r="C670" s="293"/>
      <c r="D670" s="293"/>
      <c r="E670" s="293"/>
      <c r="F670" s="293"/>
      <c r="G670" s="293"/>
      <c r="H670" s="293"/>
      <c r="I670" s="293"/>
      <c r="J670" s="293"/>
      <c r="L670" s="293">
        <f t="shared" si="67"/>
        <v>0</v>
      </c>
    </row>
    <row r="671" spans="1:12" x14ac:dyDescent="0.25">
      <c r="A671" s="47" t="s">
        <v>4263</v>
      </c>
      <c r="B671" s="296">
        <f>SUM(B661:B670)</f>
        <v>3600</v>
      </c>
      <c r="C671" s="296">
        <f t="shared" ref="C671:J671" si="73">SUM(C661:C670)</f>
        <v>2900</v>
      </c>
      <c r="D671" s="296">
        <f t="shared" si="73"/>
        <v>2400</v>
      </c>
      <c r="E671" s="296">
        <f t="shared" si="73"/>
        <v>2400</v>
      </c>
      <c r="F671" s="296">
        <f t="shared" si="73"/>
        <v>2400</v>
      </c>
      <c r="G671" s="296">
        <f t="shared" si="73"/>
        <v>1900</v>
      </c>
      <c r="H671" s="296">
        <f t="shared" si="73"/>
        <v>1900</v>
      </c>
      <c r="I671" s="296">
        <f t="shared" si="73"/>
        <v>1900</v>
      </c>
      <c r="J671" s="296">
        <f t="shared" si="73"/>
        <v>1900</v>
      </c>
      <c r="L671" s="293"/>
    </row>
    <row r="672" spans="1:12" x14ac:dyDescent="0.25">
      <c r="B672" s="293"/>
      <c r="C672" s="293"/>
      <c r="D672" s="293"/>
      <c r="E672" s="293"/>
      <c r="F672" s="293"/>
      <c r="G672" s="293"/>
      <c r="H672" s="293"/>
      <c r="I672" s="293"/>
      <c r="J672" s="293"/>
      <c r="L672" s="293">
        <f t="shared" si="67"/>
        <v>0</v>
      </c>
    </row>
    <row r="673" spans="1:12" x14ac:dyDescent="0.25">
      <c r="A673" s="47" t="s">
        <v>4264</v>
      </c>
      <c r="B673" s="293"/>
      <c r="C673" s="293"/>
      <c r="D673" s="293"/>
      <c r="E673" s="293"/>
      <c r="F673" s="293"/>
      <c r="G673" s="293"/>
      <c r="H673" s="293"/>
      <c r="I673" s="293"/>
      <c r="J673" s="293"/>
      <c r="L673" s="293">
        <f t="shared" si="67"/>
        <v>0</v>
      </c>
    </row>
    <row r="674" spans="1:12" x14ac:dyDescent="0.25">
      <c r="A674" t="s">
        <v>87</v>
      </c>
      <c r="B674" s="293"/>
      <c r="C674" s="293"/>
      <c r="D674" s="293"/>
      <c r="E674" s="293"/>
      <c r="F674" s="293"/>
      <c r="G674" s="293"/>
      <c r="H674" s="293"/>
      <c r="I674" s="293"/>
      <c r="J674" s="293"/>
      <c r="L674" s="293">
        <f t="shared" si="67"/>
        <v>0</v>
      </c>
    </row>
    <row r="675" spans="1:12" x14ac:dyDescent="0.25">
      <c r="A675" t="s">
        <v>4265</v>
      </c>
      <c r="B675" s="293"/>
      <c r="C675" s="293"/>
      <c r="D675" s="293"/>
      <c r="E675" s="293"/>
      <c r="F675" s="293"/>
      <c r="G675" s="293"/>
      <c r="H675" s="293"/>
      <c r="I675" s="293"/>
      <c r="J675" s="293"/>
      <c r="L675" s="293">
        <f t="shared" si="67"/>
        <v>0</v>
      </c>
    </row>
    <row r="676" spans="1:12" x14ac:dyDescent="0.25">
      <c r="B676" s="293"/>
      <c r="C676" s="293"/>
      <c r="D676" s="293"/>
      <c r="E676" s="293"/>
      <c r="F676" s="293"/>
      <c r="G676" s="293"/>
      <c r="H676" s="293"/>
      <c r="I676" s="293"/>
      <c r="J676" s="293"/>
      <c r="L676" s="293">
        <f t="shared" si="67"/>
        <v>0</v>
      </c>
    </row>
    <row r="677" spans="1:12" x14ac:dyDescent="0.25">
      <c r="B677" s="293"/>
      <c r="C677" s="293"/>
      <c r="D677" s="293"/>
      <c r="E677" s="293"/>
      <c r="F677" s="293"/>
      <c r="G677" s="293"/>
      <c r="H677" s="293"/>
      <c r="I677" s="293"/>
      <c r="J677" s="293"/>
      <c r="L677" s="293">
        <f t="shared" si="67"/>
        <v>0</v>
      </c>
    </row>
    <row r="678" spans="1:12" x14ac:dyDescent="0.25">
      <c r="B678" s="293"/>
      <c r="C678" s="293"/>
      <c r="D678" s="293"/>
      <c r="E678" s="293"/>
      <c r="F678" s="293"/>
      <c r="G678" s="293"/>
      <c r="H678" s="293"/>
      <c r="I678" s="293"/>
      <c r="J678" s="293"/>
      <c r="L678" s="293">
        <f t="shared" si="67"/>
        <v>0</v>
      </c>
    </row>
    <row r="679" spans="1:12" x14ac:dyDescent="0.25">
      <c r="B679" s="293"/>
      <c r="C679" s="293"/>
      <c r="D679" s="293"/>
      <c r="E679" s="293"/>
      <c r="F679" s="293"/>
      <c r="G679" s="293"/>
      <c r="H679" s="293"/>
      <c r="I679" s="293"/>
      <c r="J679" s="293"/>
      <c r="L679" s="293">
        <f t="shared" si="67"/>
        <v>0</v>
      </c>
    </row>
    <row r="680" spans="1:12" x14ac:dyDescent="0.25">
      <c r="A680" t="s">
        <v>4266</v>
      </c>
      <c r="B680" s="293"/>
      <c r="C680" s="293"/>
      <c r="D680" s="293"/>
      <c r="E680" s="293"/>
      <c r="F680" s="293"/>
      <c r="G680" s="293"/>
      <c r="H680" s="293"/>
      <c r="I680" s="293"/>
      <c r="J680" s="293"/>
      <c r="L680" s="293">
        <f t="shared" si="67"/>
        <v>0</v>
      </c>
    </row>
    <row r="681" spans="1:12" x14ac:dyDescent="0.25">
      <c r="A681" t="s">
        <v>66</v>
      </c>
      <c r="B681" s="293"/>
      <c r="C681" s="293"/>
      <c r="D681" s="293"/>
      <c r="E681" s="293"/>
      <c r="F681" s="293"/>
      <c r="G681" s="293"/>
      <c r="H681" s="293"/>
      <c r="I681" s="293"/>
      <c r="J681" s="293"/>
      <c r="L681" s="293">
        <f t="shared" si="67"/>
        <v>0</v>
      </c>
    </row>
    <row r="682" spans="1:12" x14ac:dyDescent="0.25">
      <c r="B682" s="293"/>
      <c r="C682" s="293"/>
      <c r="D682" s="293"/>
      <c r="E682" s="293"/>
      <c r="F682" s="293"/>
      <c r="G682" s="293"/>
      <c r="H682" s="293"/>
      <c r="I682" s="293"/>
      <c r="J682" s="293"/>
      <c r="L682" s="293">
        <f t="shared" si="67"/>
        <v>0</v>
      </c>
    </row>
    <row r="683" spans="1:12" x14ac:dyDescent="0.25">
      <c r="B683" s="293"/>
      <c r="C683" s="293"/>
      <c r="D683" s="293"/>
      <c r="E683" s="293"/>
      <c r="F683" s="293"/>
      <c r="G683" s="293"/>
      <c r="H683" s="293"/>
      <c r="I683" s="293"/>
      <c r="J683" s="293"/>
      <c r="L683" s="293">
        <f t="shared" si="67"/>
        <v>0</v>
      </c>
    </row>
    <row r="684" spans="1:12" x14ac:dyDescent="0.25">
      <c r="B684" s="293"/>
      <c r="C684" s="293"/>
      <c r="D684" s="293"/>
      <c r="E684" s="293"/>
      <c r="F684" s="293"/>
      <c r="G684" s="293"/>
      <c r="H684" s="293"/>
      <c r="I684" s="293"/>
      <c r="J684" s="293"/>
      <c r="L684" s="293">
        <f t="shared" ref="L684:L747" si="74">J684</f>
        <v>0</v>
      </c>
    </row>
    <row r="685" spans="1:12" x14ac:dyDescent="0.25">
      <c r="B685" s="293"/>
      <c r="C685" s="293"/>
      <c r="D685" s="293"/>
      <c r="E685" s="293"/>
      <c r="F685" s="293"/>
      <c r="G685" s="293"/>
      <c r="H685" s="293"/>
      <c r="I685" s="293"/>
      <c r="J685" s="293"/>
      <c r="L685" s="293">
        <f t="shared" si="74"/>
        <v>0</v>
      </c>
    </row>
    <row r="686" spans="1:12" x14ac:dyDescent="0.25">
      <c r="A686" s="47" t="s">
        <v>4267</v>
      </c>
      <c r="B686" s="296">
        <f>SUM(B674:B685)</f>
        <v>0</v>
      </c>
      <c r="C686" s="296">
        <f t="shared" ref="C686:J686" si="75">SUM(C674:C685)</f>
        <v>0</v>
      </c>
      <c r="D686" s="296">
        <f t="shared" si="75"/>
        <v>0</v>
      </c>
      <c r="E686" s="296">
        <f t="shared" si="75"/>
        <v>0</v>
      </c>
      <c r="F686" s="296">
        <f t="shared" si="75"/>
        <v>0</v>
      </c>
      <c r="G686" s="296">
        <f t="shared" si="75"/>
        <v>0</v>
      </c>
      <c r="H686" s="296">
        <f t="shared" si="75"/>
        <v>0</v>
      </c>
      <c r="I686" s="296">
        <f t="shared" si="75"/>
        <v>0</v>
      </c>
      <c r="J686" s="296">
        <f t="shared" si="75"/>
        <v>0</v>
      </c>
      <c r="L686" s="293">
        <f t="shared" si="74"/>
        <v>0</v>
      </c>
    </row>
    <row r="687" spans="1:12" x14ac:dyDescent="0.25">
      <c r="B687" s="293"/>
      <c r="C687" s="293"/>
      <c r="D687" s="293"/>
      <c r="E687" s="293"/>
      <c r="F687" s="293"/>
      <c r="G687" s="293"/>
      <c r="H687" s="293"/>
      <c r="I687" s="293"/>
      <c r="J687" s="293"/>
      <c r="L687" s="293">
        <f t="shared" si="74"/>
        <v>0</v>
      </c>
    </row>
    <row r="688" spans="1:12" ht="15.75" thickBot="1" x14ac:dyDescent="0.3">
      <c r="A688" s="47" t="s">
        <v>4268</v>
      </c>
      <c r="B688" s="301">
        <f>B671-B686</f>
        <v>3600</v>
      </c>
      <c r="C688" s="301">
        <f t="shared" ref="C688:J688" si="76">C671-C686</f>
        <v>2900</v>
      </c>
      <c r="D688" s="301">
        <f t="shared" si="76"/>
        <v>2400</v>
      </c>
      <c r="E688" s="301">
        <f t="shared" si="76"/>
        <v>2400</v>
      </c>
      <c r="F688" s="301">
        <f t="shared" si="76"/>
        <v>2400</v>
      </c>
      <c r="G688" s="301">
        <f t="shared" si="76"/>
        <v>1900</v>
      </c>
      <c r="H688" s="301">
        <f t="shared" si="76"/>
        <v>1900</v>
      </c>
      <c r="I688" s="301">
        <f t="shared" si="76"/>
        <v>1900</v>
      </c>
      <c r="J688" s="301">
        <f t="shared" si="76"/>
        <v>1900</v>
      </c>
      <c r="L688" s="293"/>
    </row>
    <row r="689" spans="1:12" ht="15.75" thickTop="1" x14ac:dyDescent="0.25">
      <c r="B689" s="293"/>
      <c r="C689" s="293"/>
      <c r="D689" s="293"/>
      <c r="E689" s="293"/>
      <c r="F689" s="293"/>
      <c r="G689" s="293"/>
      <c r="H689" s="293"/>
      <c r="I689" s="293"/>
      <c r="J689" s="293"/>
      <c r="L689" s="293">
        <f t="shared" si="74"/>
        <v>0</v>
      </c>
    </row>
    <row r="690" spans="1:12" x14ac:dyDescent="0.25">
      <c r="A690" s="281"/>
      <c r="B690" s="316"/>
      <c r="C690" s="316"/>
      <c r="D690" s="316"/>
      <c r="E690" s="316"/>
      <c r="F690" s="316"/>
      <c r="G690" s="316"/>
      <c r="H690" s="316"/>
      <c r="I690" s="316"/>
      <c r="J690" s="316"/>
      <c r="L690" s="293">
        <f t="shared" si="74"/>
        <v>0</v>
      </c>
    </row>
    <row r="691" spans="1:12" x14ac:dyDescent="0.25">
      <c r="B691" s="293"/>
      <c r="C691" s="293"/>
      <c r="D691" s="293"/>
      <c r="E691" s="293"/>
      <c r="F691" s="293"/>
      <c r="G691" s="293"/>
      <c r="H691" s="293"/>
      <c r="I691" s="293"/>
      <c r="J691" s="293"/>
      <c r="L691" s="293">
        <f t="shared" si="74"/>
        <v>0</v>
      </c>
    </row>
    <row r="692" spans="1:12" x14ac:dyDescent="0.25">
      <c r="A692" s="280" t="s">
        <v>4338</v>
      </c>
      <c r="B692" s="293"/>
      <c r="C692" s="293"/>
      <c r="D692" s="293"/>
      <c r="E692" s="293"/>
      <c r="F692" s="293"/>
      <c r="G692" s="293"/>
      <c r="H692" s="293"/>
      <c r="I692" s="293"/>
      <c r="J692" s="293"/>
      <c r="L692" s="293">
        <f t="shared" si="74"/>
        <v>0</v>
      </c>
    </row>
    <row r="693" spans="1:12" x14ac:dyDescent="0.25">
      <c r="B693" s="293"/>
      <c r="C693" s="293"/>
      <c r="D693" s="293"/>
      <c r="E693" s="293"/>
      <c r="F693" s="293"/>
      <c r="G693" s="293"/>
      <c r="H693" s="293"/>
      <c r="I693" s="293"/>
      <c r="J693" s="293"/>
      <c r="L693" s="293">
        <f t="shared" si="74"/>
        <v>0</v>
      </c>
    </row>
    <row r="694" spans="1:12" x14ac:dyDescent="0.25">
      <c r="A694" s="47" t="s">
        <v>4260</v>
      </c>
      <c r="B694" s="293"/>
      <c r="C694" s="293"/>
      <c r="D694" s="293"/>
      <c r="E694" s="293"/>
      <c r="F694" s="293"/>
      <c r="G694" s="293"/>
      <c r="H694" s="293"/>
      <c r="I694" s="293"/>
      <c r="J694" s="293"/>
      <c r="L694" s="293">
        <f t="shared" si="74"/>
        <v>0</v>
      </c>
    </row>
    <row r="695" spans="1:12" x14ac:dyDescent="0.25">
      <c r="A695" t="s">
        <v>4262</v>
      </c>
      <c r="B695" s="293"/>
      <c r="C695" s="293"/>
      <c r="D695" s="293"/>
      <c r="E695" s="293"/>
      <c r="F695" s="293"/>
      <c r="G695" s="293"/>
      <c r="H695" s="293"/>
      <c r="I695" s="293"/>
      <c r="J695" s="293"/>
      <c r="L695" s="293">
        <f t="shared" si="74"/>
        <v>0</v>
      </c>
    </row>
    <row r="696" spans="1:12" x14ac:dyDescent="0.25">
      <c r="A696" t="s">
        <v>4261</v>
      </c>
      <c r="B696" s="293">
        <f>capitalrevdata!F52</f>
        <v>4500</v>
      </c>
      <c r="C696" s="293">
        <f>capitalrevdata!G52</f>
        <v>3600</v>
      </c>
      <c r="D696" s="293">
        <f>capitalrevdata!H52</f>
        <v>3000</v>
      </c>
      <c r="E696" s="293">
        <f>capitalrevdata!I52</f>
        <v>3000</v>
      </c>
      <c r="F696" s="293">
        <f>capitalrevdata!J52</f>
        <v>3000</v>
      </c>
      <c r="G696" s="293">
        <f>capitalrevdata!K52</f>
        <v>2400</v>
      </c>
      <c r="H696" s="293">
        <f>capitalrevdata!L52</f>
        <v>2400</v>
      </c>
      <c r="I696" s="293">
        <f>capitalrevdata!M52</f>
        <v>2400</v>
      </c>
      <c r="J696" s="293">
        <f>capitalrevdata!N52</f>
        <v>2400</v>
      </c>
      <c r="L696" s="293">
        <f t="shared" si="74"/>
        <v>2400</v>
      </c>
    </row>
    <row r="697" spans="1:12" x14ac:dyDescent="0.25">
      <c r="A697" t="s">
        <v>66</v>
      </c>
      <c r="B697" s="293"/>
      <c r="C697" s="293"/>
      <c r="D697" s="293"/>
      <c r="E697" s="293"/>
      <c r="F697" s="293"/>
      <c r="G697" s="293"/>
      <c r="H697" s="293"/>
      <c r="I697" s="293"/>
      <c r="J697" s="293"/>
      <c r="L697" s="293">
        <f t="shared" si="74"/>
        <v>0</v>
      </c>
    </row>
    <row r="698" spans="1:12" x14ac:dyDescent="0.25">
      <c r="B698" s="293"/>
      <c r="C698" s="293"/>
      <c r="D698" s="293"/>
      <c r="E698" s="293"/>
      <c r="F698" s="293"/>
      <c r="G698" s="293"/>
      <c r="H698" s="293"/>
      <c r="I698" s="293"/>
      <c r="J698" s="293"/>
      <c r="L698" s="293">
        <f t="shared" si="74"/>
        <v>0</v>
      </c>
    </row>
    <row r="699" spans="1:12" x14ac:dyDescent="0.25">
      <c r="B699" s="293"/>
      <c r="C699" s="293"/>
      <c r="D699" s="293"/>
      <c r="E699" s="293"/>
      <c r="F699" s="293"/>
      <c r="G699" s="293"/>
      <c r="H699" s="293"/>
      <c r="I699" s="293"/>
      <c r="J699" s="293"/>
      <c r="L699" s="293">
        <f t="shared" si="74"/>
        <v>0</v>
      </c>
    </row>
    <row r="700" spans="1:12" x14ac:dyDescent="0.25">
      <c r="B700" s="293"/>
      <c r="C700" s="293"/>
      <c r="D700" s="293"/>
      <c r="E700" s="293"/>
      <c r="F700" s="293"/>
      <c r="G700" s="293"/>
      <c r="H700" s="293"/>
      <c r="I700" s="293"/>
      <c r="J700" s="293"/>
      <c r="L700" s="293">
        <f t="shared" si="74"/>
        <v>0</v>
      </c>
    </row>
    <row r="701" spans="1:12" x14ac:dyDescent="0.25">
      <c r="B701" s="293"/>
      <c r="C701" s="293"/>
      <c r="D701" s="293"/>
      <c r="E701" s="293"/>
      <c r="F701" s="293"/>
      <c r="G701" s="293"/>
      <c r="H701" s="293"/>
      <c r="I701" s="293"/>
      <c r="J701" s="293"/>
      <c r="L701" s="293">
        <f t="shared" si="74"/>
        <v>0</v>
      </c>
    </row>
    <row r="702" spans="1:12" x14ac:dyDescent="0.25">
      <c r="A702" s="47" t="s">
        <v>4263</v>
      </c>
      <c r="B702" s="296">
        <f>SUM(B692:B701)</f>
        <v>4500</v>
      </c>
      <c r="C702" s="296">
        <f t="shared" ref="C702:J702" si="77">SUM(C692:C701)</f>
        <v>3600</v>
      </c>
      <c r="D702" s="296">
        <f t="shared" si="77"/>
        <v>3000</v>
      </c>
      <c r="E702" s="296">
        <f t="shared" si="77"/>
        <v>3000</v>
      </c>
      <c r="F702" s="296">
        <f t="shared" si="77"/>
        <v>3000</v>
      </c>
      <c r="G702" s="296">
        <f t="shared" si="77"/>
        <v>2400</v>
      </c>
      <c r="H702" s="296">
        <f t="shared" si="77"/>
        <v>2400</v>
      </c>
      <c r="I702" s="296">
        <f t="shared" si="77"/>
        <v>2400</v>
      </c>
      <c r="J702" s="296">
        <f t="shared" si="77"/>
        <v>2400</v>
      </c>
      <c r="L702" s="293"/>
    </row>
    <row r="703" spans="1:12" x14ac:dyDescent="0.25">
      <c r="B703" s="293"/>
      <c r="C703" s="293"/>
      <c r="D703" s="293"/>
      <c r="E703" s="293"/>
      <c r="F703" s="293"/>
      <c r="G703" s="293"/>
      <c r="H703" s="293"/>
      <c r="I703" s="293"/>
      <c r="J703" s="293"/>
      <c r="L703" s="293">
        <f t="shared" si="74"/>
        <v>0</v>
      </c>
    </row>
    <row r="704" spans="1:12" x14ac:dyDescent="0.25">
      <c r="A704" s="47" t="s">
        <v>4264</v>
      </c>
      <c r="B704" s="293"/>
      <c r="C704" s="293"/>
      <c r="D704" s="293"/>
      <c r="E704" s="293"/>
      <c r="F704" s="293"/>
      <c r="G704" s="293"/>
      <c r="H704" s="293"/>
      <c r="I704" s="293"/>
      <c r="J704" s="293"/>
      <c r="L704" s="293">
        <f t="shared" si="74"/>
        <v>0</v>
      </c>
    </row>
    <row r="705" spans="1:12" x14ac:dyDescent="0.25">
      <c r="A705" t="s">
        <v>87</v>
      </c>
      <c r="B705" s="293"/>
      <c r="C705" s="293"/>
      <c r="D705" s="293"/>
      <c r="E705" s="293"/>
      <c r="F705" s="293"/>
      <c r="G705" s="293"/>
      <c r="H705" s="293"/>
      <c r="I705" s="293"/>
      <c r="J705" s="293"/>
      <c r="L705" s="293">
        <f t="shared" si="74"/>
        <v>0</v>
      </c>
    </row>
    <row r="706" spans="1:12" x14ac:dyDescent="0.25">
      <c r="A706" t="s">
        <v>4265</v>
      </c>
      <c r="B706" s="293"/>
      <c r="C706" s="293"/>
      <c r="D706" s="293"/>
      <c r="E706" s="293"/>
      <c r="F706" s="293"/>
      <c r="G706" s="293"/>
      <c r="H706" s="293"/>
      <c r="I706" s="293"/>
      <c r="J706" s="293"/>
      <c r="L706" s="293">
        <f t="shared" si="74"/>
        <v>0</v>
      </c>
    </row>
    <row r="707" spans="1:12" x14ac:dyDescent="0.25">
      <c r="B707" s="293"/>
      <c r="C707" s="293"/>
      <c r="D707" s="293"/>
      <c r="E707" s="293"/>
      <c r="F707" s="293"/>
      <c r="G707" s="293"/>
      <c r="H707" s="293"/>
      <c r="I707" s="293"/>
      <c r="J707" s="293"/>
      <c r="L707" s="293">
        <f t="shared" si="74"/>
        <v>0</v>
      </c>
    </row>
    <row r="708" spans="1:12" x14ac:dyDescent="0.25">
      <c r="B708" s="293"/>
      <c r="C708" s="293"/>
      <c r="D708" s="293"/>
      <c r="E708" s="293"/>
      <c r="F708" s="293"/>
      <c r="G708" s="293"/>
      <c r="H708" s="293"/>
      <c r="I708" s="293"/>
      <c r="J708" s="293"/>
      <c r="L708" s="293">
        <f t="shared" si="74"/>
        <v>0</v>
      </c>
    </row>
    <row r="709" spans="1:12" x14ac:dyDescent="0.25">
      <c r="B709" s="293"/>
      <c r="C709" s="293"/>
      <c r="D709" s="293"/>
      <c r="E709" s="293"/>
      <c r="F709" s="293"/>
      <c r="G709" s="293"/>
      <c r="H709" s="293"/>
      <c r="I709" s="293"/>
      <c r="J709" s="293"/>
      <c r="L709" s="293">
        <f t="shared" si="74"/>
        <v>0</v>
      </c>
    </row>
    <row r="710" spans="1:12" x14ac:dyDescent="0.25">
      <c r="B710" s="293"/>
      <c r="C710" s="293"/>
      <c r="D710" s="293"/>
      <c r="E710" s="293"/>
      <c r="F710" s="293"/>
      <c r="G710" s="293"/>
      <c r="H710" s="293"/>
      <c r="I710" s="293"/>
      <c r="J710" s="293"/>
      <c r="L710" s="293">
        <f t="shared" si="74"/>
        <v>0</v>
      </c>
    </row>
    <row r="711" spans="1:12" x14ac:dyDescent="0.25">
      <c r="A711" t="s">
        <v>4266</v>
      </c>
      <c r="B711" s="293"/>
      <c r="C711" s="293"/>
      <c r="D711" s="293"/>
      <c r="E711" s="293"/>
      <c r="F711" s="293"/>
      <c r="G711" s="293"/>
      <c r="H711" s="293"/>
      <c r="I711" s="293"/>
      <c r="J711" s="293"/>
      <c r="L711" s="293">
        <f t="shared" si="74"/>
        <v>0</v>
      </c>
    </row>
    <row r="712" spans="1:12" x14ac:dyDescent="0.25">
      <c r="A712" t="s">
        <v>66</v>
      </c>
      <c r="B712" s="293"/>
      <c r="C712" s="293"/>
      <c r="D712" s="293"/>
      <c r="E712" s="293"/>
      <c r="F712" s="293"/>
      <c r="G712" s="293"/>
      <c r="H712" s="293"/>
      <c r="I712" s="293"/>
      <c r="J712" s="293"/>
      <c r="L712" s="293">
        <f t="shared" si="74"/>
        <v>0</v>
      </c>
    </row>
    <row r="713" spans="1:12" x14ac:dyDescent="0.25">
      <c r="B713" s="293"/>
      <c r="C713" s="293"/>
      <c r="D713" s="293"/>
      <c r="E713" s="293"/>
      <c r="F713" s="293"/>
      <c r="G713" s="293"/>
      <c r="H713" s="293"/>
      <c r="I713" s="293"/>
      <c r="J713" s="293"/>
      <c r="L713" s="293">
        <f t="shared" si="74"/>
        <v>0</v>
      </c>
    </row>
    <row r="714" spans="1:12" x14ac:dyDescent="0.25">
      <c r="B714" s="293"/>
      <c r="C714" s="293"/>
      <c r="D714" s="293"/>
      <c r="E714" s="293"/>
      <c r="F714" s="293"/>
      <c r="G714" s="293"/>
      <c r="H714" s="293"/>
      <c r="I714" s="293"/>
      <c r="J714" s="293"/>
      <c r="L714" s="293">
        <f t="shared" si="74"/>
        <v>0</v>
      </c>
    </row>
    <row r="715" spans="1:12" x14ac:dyDescent="0.25">
      <c r="B715" s="293"/>
      <c r="C715" s="293"/>
      <c r="D715" s="293"/>
      <c r="E715" s="293"/>
      <c r="F715" s="293"/>
      <c r="G715" s="293"/>
      <c r="H715" s="293"/>
      <c r="I715" s="293"/>
      <c r="J715" s="293"/>
      <c r="L715" s="293">
        <f t="shared" si="74"/>
        <v>0</v>
      </c>
    </row>
    <row r="716" spans="1:12" x14ac:dyDescent="0.25">
      <c r="B716" s="293"/>
      <c r="C716" s="293"/>
      <c r="D716" s="293"/>
      <c r="E716" s="293"/>
      <c r="F716" s="293"/>
      <c r="G716" s="293"/>
      <c r="H716" s="293"/>
      <c r="I716" s="293"/>
      <c r="J716" s="293"/>
      <c r="L716" s="293">
        <f t="shared" si="74"/>
        <v>0</v>
      </c>
    </row>
    <row r="717" spans="1:12" x14ac:dyDescent="0.25">
      <c r="A717" s="47" t="s">
        <v>4267</v>
      </c>
      <c r="B717" s="296">
        <f>SUM(B705:B716)</f>
        <v>0</v>
      </c>
      <c r="C717" s="296">
        <f t="shared" ref="C717:J717" si="78">SUM(C705:C716)</f>
        <v>0</v>
      </c>
      <c r="D717" s="296">
        <f t="shared" si="78"/>
        <v>0</v>
      </c>
      <c r="E717" s="296">
        <f t="shared" si="78"/>
        <v>0</v>
      </c>
      <c r="F717" s="296">
        <f t="shared" si="78"/>
        <v>0</v>
      </c>
      <c r="G717" s="296">
        <f t="shared" si="78"/>
        <v>0</v>
      </c>
      <c r="H717" s="296">
        <f t="shared" si="78"/>
        <v>0</v>
      </c>
      <c r="I717" s="296">
        <f t="shared" si="78"/>
        <v>0</v>
      </c>
      <c r="J717" s="296">
        <f t="shared" si="78"/>
        <v>0</v>
      </c>
      <c r="L717" s="293">
        <f t="shared" si="74"/>
        <v>0</v>
      </c>
    </row>
    <row r="718" spans="1:12" x14ac:dyDescent="0.25">
      <c r="B718" s="293"/>
      <c r="C718" s="293"/>
      <c r="D718" s="293"/>
      <c r="E718" s="293"/>
      <c r="F718" s="293"/>
      <c r="G718" s="293"/>
      <c r="H718" s="293"/>
      <c r="I718" s="293"/>
      <c r="J718" s="293"/>
      <c r="L718" s="293">
        <f t="shared" si="74"/>
        <v>0</v>
      </c>
    </row>
    <row r="719" spans="1:12" ht="15.75" thickBot="1" x14ac:dyDescent="0.3">
      <c r="A719" s="47" t="s">
        <v>4268</v>
      </c>
      <c r="B719" s="301">
        <f>B702-B717</f>
        <v>4500</v>
      </c>
      <c r="C719" s="301">
        <f t="shared" ref="C719:J719" si="79">C702-C717</f>
        <v>3600</v>
      </c>
      <c r="D719" s="301">
        <f t="shared" si="79"/>
        <v>3000</v>
      </c>
      <c r="E719" s="301">
        <f t="shared" si="79"/>
        <v>3000</v>
      </c>
      <c r="F719" s="301">
        <f t="shared" si="79"/>
        <v>3000</v>
      </c>
      <c r="G719" s="301">
        <f t="shared" si="79"/>
        <v>2400</v>
      </c>
      <c r="H719" s="301">
        <f t="shared" si="79"/>
        <v>2400</v>
      </c>
      <c r="I719" s="301">
        <f t="shared" si="79"/>
        <v>2400</v>
      </c>
      <c r="J719" s="301">
        <f t="shared" si="79"/>
        <v>2400</v>
      </c>
      <c r="L719" s="293"/>
    </row>
    <row r="720" spans="1:12" ht="15.75" thickTop="1" x14ac:dyDescent="0.25">
      <c r="B720" s="293"/>
      <c r="C720" s="293"/>
      <c r="D720" s="293"/>
      <c r="E720" s="293"/>
      <c r="F720" s="293"/>
      <c r="G720" s="293"/>
      <c r="H720" s="293"/>
      <c r="I720" s="293"/>
      <c r="J720" s="293"/>
      <c r="L720" s="293">
        <f t="shared" si="74"/>
        <v>0</v>
      </c>
    </row>
    <row r="721" spans="1:12" x14ac:dyDescent="0.25">
      <c r="A721" s="281"/>
      <c r="B721" s="316"/>
      <c r="C721" s="316"/>
      <c r="D721" s="316"/>
      <c r="E721" s="316"/>
      <c r="F721" s="316"/>
      <c r="G721" s="316"/>
      <c r="H721" s="316"/>
      <c r="I721" s="316"/>
      <c r="J721" s="316"/>
      <c r="L721" s="293">
        <f t="shared" si="74"/>
        <v>0</v>
      </c>
    </row>
    <row r="722" spans="1:12" x14ac:dyDescent="0.25">
      <c r="B722" s="293"/>
      <c r="C722" s="293"/>
      <c r="D722" s="293"/>
      <c r="E722" s="293"/>
      <c r="F722" s="293"/>
      <c r="G722" s="293"/>
      <c r="H722" s="293"/>
      <c r="I722" s="293"/>
      <c r="J722" s="293"/>
      <c r="L722" s="293">
        <f t="shared" si="74"/>
        <v>0</v>
      </c>
    </row>
    <row r="723" spans="1:12" x14ac:dyDescent="0.25">
      <c r="A723" s="280" t="s">
        <v>4339</v>
      </c>
      <c r="B723" s="293"/>
      <c r="C723" s="293"/>
      <c r="D723" s="293"/>
      <c r="E723" s="293"/>
      <c r="F723" s="293"/>
      <c r="G723" s="293"/>
      <c r="H723" s="293"/>
      <c r="I723" s="293"/>
      <c r="J723" s="293"/>
      <c r="L723" s="293">
        <f t="shared" si="74"/>
        <v>0</v>
      </c>
    </row>
    <row r="724" spans="1:12" x14ac:dyDescent="0.25">
      <c r="B724" s="293"/>
      <c r="C724" s="293"/>
      <c r="D724" s="293"/>
      <c r="E724" s="293"/>
      <c r="F724" s="293"/>
      <c r="G724" s="293"/>
      <c r="H724" s="293"/>
      <c r="I724" s="293"/>
      <c r="J724" s="293"/>
      <c r="L724" s="293">
        <f t="shared" si="74"/>
        <v>0</v>
      </c>
    </row>
    <row r="725" spans="1:12" x14ac:dyDescent="0.25">
      <c r="A725" s="47" t="s">
        <v>4260</v>
      </c>
      <c r="B725" s="293"/>
      <c r="C725" s="293"/>
      <c r="D725" s="293"/>
      <c r="E725" s="293"/>
      <c r="F725" s="293"/>
      <c r="G725" s="293"/>
      <c r="H725" s="293"/>
      <c r="I725" s="293"/>
      <c r="J725" s="293"/>
      <c r="L725" s="293">
        <f t="shared" si="74"/>
        <v>0</v>
      </c>
    </row>
    <row r="726" spans="1:12" x14ac:dyDescent="0.25">
      <c r="A726" t="s">
        <v>4262</v>
      </c>
      <c r="B726" s="293"/>
      <c r="C726" s="293"/>
      <c r="D726" s="293"/>
      <c r="E726" s="293"/>
      <c r="F726" s="293"/>
      <c r="G726" s="293"/>
      <c r="H726" s="293"/>
      <c r="I726" s="293"/>
      <c r="J726" s="293"/>
      <c r="L726" s="293">
        <f t="shared" si="74"/>
        <v>0</v>
      </c>
    </row>
    <row r="727" spans="1:12" x14ac:dyDescent="0.25">
      <c r="A727" t="s">
        <v>4261</v>
      </c>
      <c r="B727" s="293">
        <f>capitalrevdata!F53</f>
        <v>0</v>
      </c>
      <c r="C727" s="293">
        <f>capitalrevdata!G53</f>
        <v>0</v>
      </c>
      <c r="D727" s="293">
        <f>capitalrevdata!H53</f>
        <v>0</v>
      </c>
      <c r="E727" s="293">
        <f>capitalrevdata!I53</f>
        <v>0</v>
      </c>
      <c r="F727" s="293">
        <f>capitalrevdata!J53</f>
        <v>0</v>
      </c>
      <c r="G727" s="293">
        <f>capitalrevdata!K53</f>
        <v>0</v>
      </c>
      <c r="H727" s="293">
        <f>capitalrevdata!L53</f>
        <v>0</v>
      </c>
      <c r="I727" s="293">
        <f>capitalrevdata!M53</f>
        <v>0</v>
      </c>
      <c r="J727" s="293">
        <f>capitalrevdata!N53</f>
        <v>0</v>
      </c>
      <c r="L727" s="293">
        <f t="shared" si="74"/>
        <v>0</v>
      </c>
    </row>
    <row r="728" spans="1:12" x14ac:dyDescent="0.25">
      <c r="A728" t="s">
        <v>66</v>
      </c>
      <c r="B728" s="293"/>
      <c r="C728" s="293"/>
      <c r="D728" s="293"/>
      <c r="E728" s="293"/>
      <c r="F728" s="293"/>
      <c r="G728" s="293"/>
      <c r="H728" s="293"/>
      <c r="I728" s="293"/>
      <c r="J728" s="293"/>
      <c r="L728" s="293">
        <f t="shared" si="74"/>
        <v>0</v>
      </c>
    </row>
    <row r="729" spans="1:12" x14ac:dyDescent="0.25">
      <c r="B729" s="293"/>
      <c r="C729" s="293"/>
      <c r="D729" s="293"/>
      <c r="E729" s="293"/>
      <c r="F729" s="293"/>
      <c r="G729" s="293"/>
      <c r="H729" s="293"/>
      <c r="I729" s="293"/>
      <c r="J729" s="293"/>
      <c r="L729" s="293">
        <f t="shared" si="74"/>
        <v>0</v>
      </c>
    </row>
    <row r="730" spans="1:12" x14ac:dyDescent="0.25">
      <c r="B730" s="293"/>
      <c r="C730" s="293"/>
      <c r="D730" s="293"/>
      <c r="E730" s="293"/>
      <c r="F730" s="293"/>
      <c r="G730" s="293"/>
      <c r="H730" s="293"/>
      <c r="I730" s="293"/>
      <c r="J730" s="293"/>
      <c r="L730" s="293">
        <f t="shared" si="74"/>
        <v>0</v>
      </c>
    </row>
    <row r="731" spans="1:12" x14ac:dyDescent="0.25">
      <c r="B731" s="293"/>
      <c r="C731" s="293"/>
      <c r="D731" s="293"/>
      <c r="E731" s="293"/>
      <c r="F731" s="293"/>
      <c r="G731" s="293"/>
      <c r="H731" s="293"/>
      <c r="I731" s="293"/>
      <c r="J731" s="293"/>
      <c r="L731" s="293">
        <f t="shared" si="74"/>
        <v>0</v>
      </c>
    </row>
    <row r="732" spans="1:12" x14ac:dyDescent="0.25">
      <c r="B732" s="293"/>
      <c r="C732" s="293"/>
      <c r="D732" s="293"/>
      <c r="E732" s="293"/>
      <c r="F732" s="293"/>
      <c r="G732" s="293"/>
      <c r="H732" s="293"/>
      <c r="I732" s="293"/>
      <c r="J732" s="293"/>
      <c r="L732" s="293">
        <f t="shared" si="74"/>
        <v>0</v>
      </c>
    </row>
    <row r="733" spans="1:12" x14ac:dyDescent="0.25">
      <c r="A733" s="47" t="s">
        <v>4263</v>
      </c>
      <c r="B733" s="296">
        <f>SUM(B723:B732)</f>
        <v>0</v>
      </c>
      <c r="C733" s="296">
        <f t="shared" ref="C733:J733" si="80">SUM(C723:C732)</f>
        <v>0</v>
      </c>
      <c r="D733" s="296">
        <f t="shared" si="80"/>
        <v>0</v>
      </c>
      <c r="E733" s="296">
        <f t="shared" si="80"/>
        <v>0</v>
      </c>
      <c r="F733" s="296">
        <f t="shared" si="80"/>
        <v>0</v>
      </c>
      <c r="G733" s="296">
        <f t="shared" si="80"/>
        <v>0</v>
      </c>
      <c r="H733" s="296">
        <f t="shared" si="80"/>
        <v>0</v>
      </c>
      <c r="I733" s="296">
        <f t="shared" si="80"/>
        <v>0</v>
      </c>
      <c r="J733" s="296">
        <f t="shared" si="80"/>
        <v>0</v>
      </c>
      <c r="L733" s="293">
        <f t="shared" si="74"/>
        <v>0</v>
      </c>
    </row>
    <row r="734" spans="1:12" x14ac:dyDescent="0.25">
      <c r="B734" s="293"/>
      <c r="C734" s="293"/>
      <c r="D734" s="293"/>
      <c r="E734" s="293"/>
      <c r="F734" s="293"/>
      <c r="G734" s="293"/>
      <c r="H734" s="293"/>
      <c r="I734" s="293"/>
      <c r="J734" s="293"/>
      <c r="L734" s="293">
        <f t="shared" si="74"/>
        <v>0</v>
      </c>
    </row>
    <row r="735" spans="1:12" x14ac:dyDescent="0.25">
      <c r="A735" s="47" t="s">
        <v>4264</v>
      </c>
      <c r="B735" s="293"/>
      <c r="C735" s="293"/>
      <c r="D735" s="293"/>
      <c r="E735" s="293"/>
      <c r="F735" s="293"/>
      <c r="G735" s="293"/>
      <c r="H735" s="293"/>
      <c r="I735" s="293"/>
      <c r="J735" s="293"/>
      <c r="L735" s="293">
        <f t="shared" si="74"/>
        <v>0</v>
      </c>
    </row>
    <row r="736" spans="1:12" x14ac:dyDescent="0.25">
      <c r="A736" t="s">
        <v>87</v>
      </c>
      <c r="B736" s="293"/>
      <c r="C736" s="293"/>
      <c r="D736" s="293"/>
      <c r="E736" s="293"/>
      <c r="F736" s="293"/>
      <c r="G736" s="293"/>
      <c r="H736" s="293"/>
      <c r="I736" s="293"/>
      <c r="J736" s="293"/>
      <c r="L736" s="293">
        <f t="shared" si="74"/>
        <v>0</v>
      </c>
    </row>
    <row r="737" spans="1:12" x14ac:dyDescent="0.25">
      <c r="A737" t="s">
        <v>4265</v>
      </c>
      <c r="B737" s="293"/>
      <c r="C737" s="293"/>
      <c r="D737" s="293"/>
      <c r="E737" s="293"/>
      <c r="F737" s="293"/>
      <c r="G737" s="293"/>
      <c r="H737" s="293"/>
      <c r="I737" s="293"/>
      <c r="J737" s="293"/>
      <c r="L737" s="293">
        <f t="shared" si="74"/>
        <v>0</v>
      </c>
    </row>
    <row r="738" spans="1:12" x14ac:dyDescent="0.25">
      <c r="B738" s="293"/>
      <c r="C738" s="293"/>
      <c r="D738" s="293"/>
      <c r="E738" s="293"/>
      <c r="F738" s="293"/>
      <c r="G738" s="293"/>
      <c r="H738" s="293"/>
      <c r="I738" s="293"/>
      <c r="J738" s="293"/>
      <c r="L738" s="293">
        <f t="shared" si="74"/>
        <v>0</v>
      </c>
    </row>
    <row r="739" spans="1:12" x14ac:dyDescent="0.25">
      <c r="B739" s="293"/>
      <c r="C739" s="293"/>
      <c r="D739" s="293"/>
      <c r="E739" s="293"/>
      <c r="F739" s="293"/>
      <c r="G739" s="293"/>
      <c r="H739" s="293"/>
      <c r="I739" s="293"/>
      <c r="J739" s="293"/>
      <c r="L739" s="293">
        <f t="shared" si="74"/>
        <v>0</v>
      </c>
    </row>
    <row r="740" spans="1:12" x14ac:dyDescent="0.25">
      <c r="B740" s="293"/>
      <c r="C740" s="293"/>
      <c r="D740" s="293"/>
      <c r="E740" s="293"/>
      <c r="F740" s="293"/>
      <c r="G740" s="293"/>
      <c r="H740" s="293"/>
      <c r="I740" s="293"/>
      <c r="J740" s="293"/>
      <c r="L740" s="293">
        <f t="shared" si="74"/>
        <v>0</v>
      </c>
    </row>
    <row r="741" spans="1:12" x14ac:dyDescent="0.25">
      <c r="B741" s="293"/>
      <c r="C741" s="293"/>
      <c r="D741" s="293"/>
      <c r="E741" s="293"/>
      <c r="F741" s="293"/>
      <c r="G741" s="293"/>
      <c r="H741" s="293"/>
      <c r="I741" s="293"/>
      <c r="J741" s="293"/>
      <c r="L741" s="293">
        <f t="shared" si="74"/>
        <v>0</v>
      </c>
    </row>
    <row r="742" spans="1:12" x14ac:dyDescent="0.25">
      <c r="A742" t="s">
        <v>4266</v>
      </c>
      <c r="B742" s="293"/>
      <c r="C742" s="293"/>
      <c r="D742" s="293"/>
      <c r="E742" s="293"/>
      <c r="F742" s="293"/>
      <c r="G742" s="293"/>
      <c r="H742" s="293"/>
      <c r="I742" s="293"/>
      <c r="J742" s="293"/>
      <c r="L742" s="293">
        <f t="shared" si="74"/>
        <v>0</v>
      </c>
    </row>
    <row r="743" spans="1:12" x14ac:dyDescent="0.25">
      <c r="A743" t="s">
        <v>66</v>
      </c>
      <c r="B743" s="293"/>
      <c r="C743" s="293"/>
      <c r="D743" s="293"/>
      <c r="E743" s="293"/>
      <c r="F743" s="293"/>
      <c r="G743" s="293"/>
      <c r="H743" s="293"/>
      <c r="I743" s="293"/>
      <c r="J743" s="293"/>
      <c r="L743" s="293">
        <f t="shared" si="74"/>
        <v>0</v>
      </c>
    </row>
    <row r="744" spans="1:12" x14ac:dyDescent="0.25">
      <c r="B744" s="293"/>
      <c r="C744" s="293"/>
      <c r="D744" s="293"/>
      <c r="E744" s="293"/>
      <c r="F744" s="293"/>
      <c r="G744" s="293"/>
      <c r="H744" s="293"/>
      <c r="I744" s="293"/>
      <c r="J744" s="293"/>
      <c r="L744" s="293">
        <f t="shared" si="74"/>
        <v>0</v>
      </c>
    </row>
    <row r="745" spans="1:12" x14ac:dyDescent="0.25">
      <c r="B745" s="293"/>
      <c r="C745" s="293"/>
      <c r="D745" s="293"/>
      <c r="E745" s="293"/>
      <c r="F745" s="293"/>
      <c r="G745" s="293"/>
      <c r="H745" s="293"/>
      <c r="I745" s="293"/>
      <c r="J745" s="293"/>
      <c r="L745" s="293">
        <f t="shared" si="74"/>
        <v>0</v>
      </c>
    </row>
    <row r="746" spans="1:12" x14ac:dyDescent="0.25">
      <c r="B746" s="293"/>
      <c r="C746" s="293"/>
      <c r="D746" s="293"/>
      <c r="E746" s="293"/>
      <c r="F746" s="293"/>
      <c r="G746" s="293"/>
      <c r="H746" s="293"/>
      <c r="I746" s="293"/>
      <c r="J746" s="293"/>
      <c r="L746" s="293">
        <f t="shared" si="74"/>
        <v>0</v>
      </c>
    </row>
    <row r="747" spans="1:12" x14ac:dyDescent="0.25">
      <c r="B747" s="293"/>
      <c r="C747" s="293"/>
      <c r="D747" s="293"/>
      <c r="E747" s="293"/>
      <c r="F747" s="293"/>
      <c r="G747" s="293"/>
      <c r="H747" s="293"/>
      <c r="I747" s="293"/>
      <c r="J747" s="293"/>
      <c r="L747" s="293">
        <f t="shared" si="74"/>
        <v>0</v>
      </c>
    </row>
    <row r="748" spans="1:12" x14ac:dyDescent="0.25">
      <c r="A748" s="47" t="s">
        <v>4267</v>
      </c>
      <c r="B748" s="296">
        <f>SUM(B736:B747)</f>
        <v>0</v>
      </c>
      <c r="C748" s="296">
        <f t="shared" ref="C748:J748" si="81">SUM(C736:C747)</f>
        <v>0</v>
      </c>
      <c r="D748" s="296">
        <f t="shared" si="81"/>
        <v>0</v>
      </c>
      <c r="E748" s="296">
        <f t="shared" si="81"/>
        <v>0</v>
      </c>
      <c r="F748" s="296">
        <f t="shared" si="81"/>
        <v>0</v>
      </c>
      <c r="G748" s="296">
        <f t="shared" si="81"/>
        <v>0</v>
      </c>
      <c r="H748" s="296">
        <f t="shared" si="81"/>
        <v>0</v>
      </c>
      <c r="I748" s="296">
        <f t="shared" si="81"/>
        <v>0</v>
      </c>
      <c r="J748" s="296">
        <f t="shared" si="81"/>
        <v>0</v>
      </c>
      <c r="L748" s="293">
        <f t="shared" ref="L748:L811" si="82">J748</f>
        <v>0</v>
      </c>
    </row>
    <row r="749" spans="1:12" x14ac:dyDescent="0.25">
      <c r="B749" s="293"/>
      <c r="C749" s="293"/>
      <c r="D749" s="293"/>
      <c r="E749" s="293"/>
      <c r="F749" s="293"/>
      <c r="G749" s="293"/>
      <c r="H749" s="293"/>
      <c r="I749" s="293"/>
      <c r="J749" s="293"/>
      <c r="L749" s="293">
        <f t="shared" si="82"/>
        <v>0</v>
      </c>
    </row>
    <row r="750" spans="1:12" ht="15.75" thickBot="1" x14ac:dyDescent="0.3">
      <c r="A750" s="47" t="s">
        <v>4268</v>
      </c>
      <c r="B750" s="301">
        <f>B733-B748</f>
        <v>0</v>
      </c>
      <c r="C750" s="301">
        <f t="shared" ref="C750:J750" si="83">C733-C748</f>
        <v>0</v>
      </c>
      <c r="D750" s="301">
        <f t="shared" si="83"/>
        <v>0</v>
      </c>
      <c r="E750" s="301">
        <f t="shared" si="83"/>
        <v>0</v>
      </c>
      <c r="F750" s="301">
        <f t="shared" si="83"/>
        <v>0</v>
      </c>
      <c r="G750" s="301">
        <f t="shared" si="83"/>
        <v>0</v>
      </c>
      <c r="H750" s="301">
        <f t="shared" si="83"/>
        <v>0</v>
      </c>
      <c r="I750" s="301">
        <f t="shared" si="83"/>
        <v>0</v>
      </c>
      <c r="J750" s="301">
        <f t="shared" si="83"/>
        <v>0</v>
      </c>
      <c r="L750" s="293">
        <f t="shared" si="82"/>
        <v>0</v>
      </c>
    </row>
    <row r="751" spans="1:12" ht="15.75" thickTop="1" x14ac:dyDescent="0.25">
      <c r="B751" s="293"/>
      <c r="C751" s="293"/>
      <c r="D751" s="293"/>
      <c r="E751" s="293"/>
      <c r="F751" s="293"/>
      <c r="G751" s="293"/>
      <c r="H751" s="293"/>
      <c r="I751" s="293"/>
      <c r="J751" s="293"/>
      <c r="L751" s="293">
        <f t="shared" si="82"/>
        <v>0</v>
      </c>
    </row>
    <row r="752" spans="1:12" x14ac:dyDescent="0.25">
      <c r="A752" s="281"/>
      <c r="B752" s="316"/>
      <c r="C752" s="316"/>
      <c r="D752" s="316"/>
      <c r="E752" s="316"/>
      <c r="F752" s="316"/>
      <c r="G752" s="316"/>
      <c r="H752" s="316"/>
      <c r="I752" s="316"/>
      <c r="J752" s="316"/>
      <c r="L752" s="293">
        <f t="shared" si="82"/>
        <v>0</v>
      </c>
    </row>
    <row r="753" spans="1:12" x14ac:dyDescent="0.25">
      <c r="B753" s="293"/>
      <c r="C753" s="293"/>
      <c r="D753" s="293"/>
      <c r="E753" s="293"/>
      <c r="F753" s="293"/>
      <c r="G753" s="293"/>
      <c r="H753" s="293"/>
      <c r="I753" s="293"/>
      <c r="J753" s="293"/>
      <c r="L753" s="293">
        <f t="shared" si="82"/>
        <v>0</v>
      </c>
    </row>
    <row r="754" spans="1:12" x14ac:dyDescent="0.25">
      <c r="A754" s="280" t="s">
        <v>4343</v>
      </c>
      <c r="B754" s="293"/>
      <c r="C754" s="293"/>
      <c r="D754" s="293"/>
      <c r="E754" s="293"/>
      <c r="F754" s="293"/>
      <c r="G754" s="293"/>
      <c r="H754" s="293"/>
      <c r="I754" s="293"/>
      <c r="J754" s="293"/>
      <c r="L754" s="293">
        <f t="shared" si="82"/>
        <v>0</v>
      </c>
    </row>
    <row r="755" spans="1:12" x14ac:dyDescent="0.25">
      <c r="B755" s="293"/>
      <c r="C755" s="293"/>
      <c r="D755" s="293"/>
      <c r="E755" s="293"/>
      <c r="F755" s="293"/>
      <c r="G755" s="293"/>
      <c r="H755" s="293"/>
      <c r="I755" s="293"/>
      <c r="J755" s="293"/>
      <c r="L755" s="293">
        <f t="shared" si="82"/>
        <v>0</v>
      </c>
    </row>
    <row r="756" spans="1:12" x14ac:dyDescent="0.25">
      <c r="A756" s="47" t="s">
        <v>4260</v>
      </c>
      <c r="B756" s="293"/>
      <c r="C756" s="293"/>
      <c r="D756" s="293"/>
      <c r="E756" s="293"/>
      <c r="F756" s="293"/>
      <c r="G756" s="293"/>
      <c r="H756" s="293"/>
      <c r="I756" s="293"/>
      <c r="J756" s="293"/>
      <c r="L756" s="293">
        <f t="shared" si="82"/>
        <v>0</v>
      </c>
    </row>
    <row r="757" spans="1:12" x14ac:dyDescent="0.25">
      <c r="A757" t="s">
        <v>4262</v>
      </c>
      <c r="B757" s="293"/>
      <c r="C757" s="293"/>
      <c r="D757" s="293"/>
      <c r="E757" s="293"/>
      <c r="F757" s="293"/>
      <c r="G757" s="293"/>
      <c r="H757" s="293"/>
      <c r="I757" s="293"/>
      <c r="J757" s="293"/>
      <c r="L757" s="293">
        <f t="shared" si="82"/>
        <v>0</v>
      </c>
    </row>
    <row r="758" spans="1:12" x14ac:dyDescent="0.25">
      <c r="A758" t="s">
        <v>4261</v>
      </c>
      <c r="B758" s="293">
        <f>capitalrevdata!F27</f>
        <v>30100</v>
      </c>
      <c r="C758" s="293">
        <f>capitalrevdata!G27</f>
        <v>24100</v>
      </c>
      <c r="D758" s="293">
        <f>capitalrevdata!H27</f>
        <v>20100</v>
      </c>
      <c r="E758" s="293">
        <f>capitalrevdata!I27</f>
        <v>20100</v>
      </c>
      <c r="F758" s="293">
        <f>capitalrevdata!J27</f>
        <v>20100</v>
      </c>
      <c r="G758" s="293">
        <f>capitalrevdata!K27</f>
        <v>16000</v>
      </c>
      <c r="H758" s="293">
        <f>capitalrevdata!L27</f>
        <v>16000</v>
      </c>
      <c r="I758" s="293">
        <f>capitalrevdata!M27</f>
        <v>16000</v>
      </c>
      <c r="J758" s="293">
        <f>capitalrevdata!N27</f>
        <v>16000</v>
      </c>
      <c r="L758" s="293">
        <f t="shared" si="82"/>
        <v>16000</v>
      </c>
    </row>
    <row r="759" spans="1:12" x14ac:dyDescent="0.25">
      <c r="A759" t="s">
        <v>66</v>
      </c>
      <c r="B759" s="293"/>
      <c r="C759" s="293"/>
      <c r="D759" s="293"/>
      <c r="E759" s="293"/>
      <c r="F759" s="293"/>
      <c r="G759" s="293"/>
      <c r="H759" s="293"/>
      <c r="I759" s="293"/>
      <c r="J759" s="293"/>
      <c r="L759" s="293">
        <f t="shared" si="82"/>
        <v>0</v>
      </c>
    </row>
    <row r="760" spans="1:12" x14ac:dyDescent="0.25">
      <c r="B760" s="293"/>
      <c r="C760" s="293"/>
      <c r="D760" s="293"/>
      <c r="E760" s="293"/>
      <c r="F760" s="293"/>
      <c r="G760" s="293"/>
      <c r="H760" s="293"/>
      <c r="I760" s="293"/>
      <c r="J760" s="293"/>
      <c r="L760" s="293">
        <f t="shared" si="82"/>
        <v>0</v>
      </c>
    </row>
    <row r="761" spans="1:12" x14ac:dyDescent="0.25">
      <c r="B761" s="293"/>
      <c r="C761" s="293"/>
      <c r="D761" s="293"/>
      <c r="E761" s="293"/>
      <c r="F761" s="293"/>
      <c r="G761" s="293"/>
      <c r="H761" s="293"/>
      <c r="I761" s="293"/>
      <c r="J761" s="293"/>
      <c r="L761" s="293">
        <f t="shared" si="82"/>
        <v>0</v>
      </c>
    </row>
    <row r="762" spans="1:12" x14ac:dyDescent="0.25">
      <c r="B762" s="293"/>
      <c r="C762" s="293"/>
      <c r="D762" s="293"/>
      <c r="E762" s="293"/>
      <c r="F762" s="293"/>
      <c r="G762" s="293"/>
      <c r="H762" s="293"/>
      <c r="I762" s="293"/>
      <c r="J762" s="293"/>
      <c r="L762" s="293">
        <f t="shared" si="82"/>
        <v>0</v>
      </c>
    </row>
    <row r="763" spans="1:12" x14ac:dyDescent="0.25">
      <c r="B763" s="293"/>
      <c r="C763" s="293"/>
      <c r="D763" s="293"/>
      <c r="E763" s="293"/>
      <c r="F763" s="293"/>
      <c r="G763" s="293"/>
      <c r="H763" s="293"/>
      <c r="I763" s="293"/>
      <c r="J763" s="293"/>
      <c r="L763" s="293">
        <f t="shared" si="82"/>
        <v>0</v>
      </c>
    </row>
    <row r="764" spans="1:12" x14ac:dyDescent="0.25">
      <c r="A764" s="47" t="s">
        <v>4263</v>
      </c>
      <c r="B764" s="296">
        <f>SUM(B754:B763)</f>
        <v>30100</v>
      </c>
      <c r="C764" s="296">
        <f t="shared" ref="C764:J764" si="84">SUM(C754:C763)</f>
        <v>24100</v>
      </c>
      <c r="D764" s="296">
        <f t="shared" si="84"/>
        <v>20100</v>
      </c>
      <c r="E764" s="296">
        <f t="shared" si="84"/>
        <v>20100</v>
      </c>
      <c r="F764" s="296">
        <f t="shared" si="84"/>
        <v>20100</v>
      </c>
      <c r="G764" s="296">
        <f t="shared" si="84"/>
        <v>16000</v>
      </c>
      <c r="H764" s="296">
        <f t="shared" si="84"/>
        <v>16000</v>
      </c>
      <c r="I764" s="296">
        <f t="shared" si="84"/>
        <v>16000</v>
      </c>
      <c r="J764" s="296">
        <f t="shared" si="84"/>
        <v>16000</v>
      </c>
      <c r="L764" s="293"/>
    </row>
    <row r="765" spans="1:12" x14ac:dyDescent="0.25">
      <c r="B765" s="293"/>
      <c r="C765" s="293"/>
      <c r="D765" s="293"/>
      <c r="E765" s="293"/>
      <c r="F765" s="293"/>
      <c r="G765" s="293"/>
      <c r="H765" s="293"/>
      <c r="I765" s="293"/>
      <c r="J765" s="293"/>
      <c r="L765" s="293">
        <f t="shared" si="82"/>
        <v>0</v>
      </c>
    </row>
    <row r="766" spans="1:12" x14ac:dyDescent="0.25">
      <c r="A766" s="47" t="s">
        <v>4264</v>
      </c>
      <c r="B766" s="293"/>
      <c r="C766" s="293"/>
      <c r="D766" s="293"/>
      <c r="E766" s="293"/>
      <c r="F766" s="293"/>
      <c r="G766" s="293"/>
      <c r="H766" s="293"/>
      <c r="I766" s="293"/>
      <c r="J766" s="293"/>
      <c r="L766" s="293">
        <f t="shared" si="82"/>
        <v>0</v>
      </c>
    </row>
    <row r="767" spans="1:12" x14ac:dyDescent="0.25">
      <c r="A767" t="s">
        <v>87</v>
      </c>
      <c r="B767" s="293"/>
      <c r="C767" s="293"/>
      <c r="D767" s="293"/>
      <c r="E767" s="293"/>
      <c r="F767" s="293"/>
      <c r="G767" s="293"/>
      <c r="H767" s="293"/>
      <c r="I767" s="293"/>
      <c r="J767" s="293"/>
      <c r="L767" s="293">
        <f t="shared" si="82"/>
        <v>0</v>
      </c>
    </row>
    <row r="768" spans="1:12" x14ac:dyDescent="0.25">
      <c r="A768" t="s">
        <v>4265</v>
      </c>
      <c r="B768" s="293"/>
      <c r="C768" s="293"/>
      <c r="D768" s="293"/>
      <c r="E768" s="293"/>
      <c r="F768" s="293"/>
      <c r="G768" s="293"/>
      <c r="H768" s="293"/>
      <c r="I768" s="293"/>
      <c r="J768" s="293"/>
      <c r="L768" s="293">
        <f t="shared" si="82"/>
        <v>0</v>
      </c>
    </row>
    <row r="769" spans="1:12" x14ac:dyDescent="0.25">
      <c r="A769" t="s">
        <v>3806</v>
      </c>
      <c r="B769" s="293">
        <v>29900</v>
      </c>
      <c r="C769" s="293"/>
      <c r="D769" s="293"/>
      <c r="E769" s="293"/>
      <c r="F769" s="293"/>
      <c r="G769" s="293"/>
      <c r="H769" s="293"/>
      <c r="I769" s="293"/>
      <c r="J769" s="293"/>
      <c r="L769" s="293">
        <f t="shared" si="82"/>
        <v>0</v>
      </c>
    </row>
    <row r="770" spans="1:12" x14ac:dyDescent="0.25">
      <c r="B770" s="293"/>
      <c r="C770" s="293"/>
      <c r="D770" s="293"/>
      <c r="E770" s="293"/>
      <c r="F770" s="293"/>
      <c r="G770" s="293"/>
      <c r="H770" s="293"/>
      <c r="I770" s="293"/>
      <c r="J770" s="293"/>
      <c r="L770" s="293">
        <f t="shared" si="82"/>
        <v>0</v>
      </c>
    </row>
    <row r="771" spans="1:12" x14ac:dyDescent="0.25">
      <c r="B771" s="293"/>
      <c r="C771" s="293"/>
      <c r="D771" s="293"/>
      <c r="E771" s="293"/>
      <c r="F771" s="293"/>
      <c r="G771" s="293"/>
      <c r="H771" s="293"/>
      <c r="I771" s="293"/>
      <c r="J771" s="293"/>
      <c r="L771" s="293">
        <f t="shared" si="82"/>
        <v>0</v>
      </c>
    </row>
    <row r="772" spans="1:12" x14ac:dyDescent="0.25">
      <c r="B772" s="293"/>
      <c r="C772" s="293"/>
      <c r="D772" s="293"/>
      <c r="E772" s="293"/>
      <c r="F772" s="293"/>
      <c r="G772" s="293"/>
      <c r="H772" s="293"/>
      <c r="I772" s="293"/>
      <c r="J772" s="293"/>
      <c r="L772" s="293">
        <f t="shared" si="82"/>
        <v>0</v>
      </c>
    </row>
    <row r="773" spans="1:12" x14ac:dyDescent="0.25">
      <c r="A773" t="s">
        <v>4266</v>
      </c>
      <c r="B773" s="293"/>
      <c r="C773" s="293"/>
      <c r="D773" s="293"/>
      <c r="E773" s="293"/>
      <c r="F773" s="293"/>
      <c r="G773" s="293"/>
      <c r="H773" s="293"/>
      <c r="I773" s="293"/>
      <c r="J773" s="293"/>
      <c r="L773" s="293">
        <f t="shared" si="82"/>
        <v>0</v>
      </c>
    </row>
    <row r="774" spans="1:12" x14ac:dyDescent="0.25">
      <c r="A774" t="s">
        <v>66</v>
      </c>
      <c r="B774" s="293"/>
      <c r="C774" s="293"/>
      <c r="D774" s="293"/>
      <c r="E774" s="293"/>
      <c r="F774" s="293"/>
      <c r="G774" s="293"/>
      <c r="H774" s="293"/>
      <c r="I774" s="293"/>
      <c r="J774" s="293"/>
      <c r="L774" s="293">
        <f t="shared" si="82"/>
        <v>0</v>
      </c>
    </row>
    <row r="775" spans="1:12" x14ac:dyDescent="0.25">
      <c r="B775" s="293"/>
      <c r="C775" s="293"/>
      <c r="D775" s="293"/>
      <c r="E775" s="293"/>
      <c r="F775" s="293"/>
      <c r="G775" s="293"/>
      <c r="H775" s="293"/>
      <c r="I775" s="293"/>
      <c r="J775" s="293"/>
      <c r="L775" s="293">
        <f t="shared" si="82"/>
        <v>0</v>
      </c>
    </row>
    <row r="776" spans="1:12" x14ac:dyDescent="0.25">
      <c r="B776" s="293"/>
      <c r="C776" s="293"/>
      <c r="D776" s="293"/>
      <c r="E776" s="293"/>
      <c r="F776" s="293"/>
      <c r="G776" s="293"/>
      <c r="H776" s="293"/>
      <c r="I776" s="293"/>
      <c r="J776" s="293"/>
      <c r="L776" s="293">
        <f t="shared" si="82"/>
        <v>0</v>
      </c>
    </row>
    <row r="777" spans="1:12" x14ac:dyDescent="0.25">
      <c r="B777" s="293"/>
      <c r="C777" s="293"/>
      <c r="D777" s="293"/>
      <c r="E777" s="293"/>
      <c r="F777" s="293"/>
      <c r="G777" s="293"/>
      <c r="H777" s="293"/>
      <c r="I777" s="293"/>
      <c r="J777" s="293"/>
      <c r="L777" s="293">
        <f t="shared" si="82"/>
        <v>0</v>
      </c>
    </row>
    <row r="778" spans="1:12" x14ac:dyDescent="0.25">
      <c r="B778" s="293"/>
      <c r="C778" s="293"/>
      <c r="D778" s="293"/>
      <c r="E778" s="293"/>
      <c r="F778" s="293"/>
      <c r="G778" s="293"/>
      <c r="H778" s="293"/>
      <c r="I778" s="293"/>
      <c r="J778" s="293"/>
      <c r="L778" s="293">
        <f t="shared" si="82"/>
        <v>0</v>
      </c>
    </row>
    <row r="779" spans="1:12" x14ac:dyDescent="0.25">
      <c r="A779" s="47" t="s">
        <v>4267</v>
      </c>
      <c r="B779" s="296">
        <f>SUM(B767:B778)</f>
        <v>29900</v>
      </c>
      <c r="C779" s="296">
        <f t="shared" ref="C779:J779" si="85">SUM(C767:C778)</f>
        <v>0</v>
      </c>
      <c r="D779" s="296">
        <f t="shared" si="85"/>
        <v>0</v>
      </c>
      <c r="E779" s="296">
        <f t="shared" si="85"/>
        <v>0</v>
      </c>
      <c r="F779" s="296">
        <f t="shared" si="85"/>
        <v>0</v>
      </c>
      <c r="G779" s="296">
        <f t="shared" si="85"/>
        <v>0</v>
      </c>
      <c r="H779" s="296">
        <f t="shared" si="85"/>
        <v>0</v>
      </c>
      <c r="I779" s="296">
        <f t="shared" si="85"/>
        <v>0</v>
      </c>
      <c r="J779" s="296">
        <f t="shared" si="85"/>
        <v>0</v>
      </c>
      <c r="L779" s="293">
        <f t="shared" si="82"/>
        <v>0</v>
      </c>
    </row>
    <row r="780" spans="1:12" x14ac:dyDescent="0.25">
      <c r="B780" s="293"/>
      <c r="C780" s="293"/>
      <c r="D780" s="293"/>
      <c r="E780" s="293"/>
      <c r="F780" s="293"/>
      <c r="G780" s="293"/>
      <c r="H780" s="293"/>
      <c r="I780" s="293"/>
      <c r="J780" s="293"/>
      <c r="L780" s="293">
        <f t="shared" si="82"/>
        <v>0</v>
      </c>
    </row>
    <row r="781" spans="1:12" ht="15.75" thickBot="1" x14ac:dyDescent="0.3">
      <c r="A781" s="47" t="s">
        <v>4268</v>
      </c>
      <c r="B781" s="301">
        <f>B764-B779</f>
        <v>200</v>
      </c>
      <c r="C781" s="301">
        <f t="shared" ref="C781:J781" si="86">C764-C779</f>
        <v>24100</v>
      </c>
      <c r="D781" s="301">
        <f t="shared" si="86"/>
        <v>20100</v>
      </c>
      <c r="E781" s="301">
        <f t="shared" si="86"/>
        <v>20100</v>
      </c>
      <c r="F781" s="301">
        <f t="shared" si="86"/>
        <v>20100</v>
      </c>
      <c r="G781" s="301">
        <f t="shared" si="86"/>
        <v>16000</v>
      </c>
      <c r="H781" s="301">
        <f t="shared" si="86"/>
        <v>16000</v>
      </c>
      <c r="I781" s="301">
        <f t="shared" si="86"/>
        <v>16000</v>
      </c>
      <c r="J781" s="301">
        <f t="shared" si="86"/>
        <v>16000</v>
      </c>
      <c r="L781" s="293"/>
    </row>
    <row r="782" spans="1:12" ht="15.75" thickTop="1" x14ac:dyDescent="0.25">
      <c r="B782" s="293"/>
      <c r="C782" s="293"/>
      <c r="D782" s="293"/>
      <c r="E782" s="293"/>
      <c r="F782" s="293"/>
      <c r="G782" s="293"/>
      <c r="H782" s="293"/>
      <c r="I782" s="293"/>
      <c r="J782" s="293"/>
      <c r="L782" s="293">
        <f t="shared" si="82"/>
        <v>0</v>
      </c>
    </row>
    <row r="783" spans="1:12" x14ac:dyDescent="0.25">
      <c r="A783" s="281"/>
      <c r="B783" s="316"/>
      <c r="C783" s="316"/>
      <c r="D783" s="316"/>
      <c r="E783" s="316"/>
      <c r="F783" s="316"/>
      <c r="G783" s="316"/>
      <c r="H783" s="316"/>
      <c r="I783" s="316"/>
      <c r="J783" s="316"/>
      <c r="L783" s="293">
        <f t="shared" si="82"/>
        <v>0</v>
      </c>
    </row>
    <row r="784" spans="1:12" x14ac:dyDescent="0.25">
      <c r="B784" s="293"/>
      <c r="C784" s="293"/>
      <c r="D784" s="293"/>
      <c r="E784" s="293"/>
      <c r="F784" s="293"/>
      <c r="G784" s="293"/>
      <c r="H784" s="293"/>
      <c r="I784" s="293"/>
      <c r="J784" s="293"/>
      <c r="L784" s="293">
        <f t="shared" si="82"/>
        <v>0</v>
      </c>
    </row>
    <row r="785" spans="1:12" x14ac:dyDescent="0.25">
      <c r="A785" s="280" t="s">
        <v>4344</v>
      </c>
      <c r="B785" s="293"/>
      <c r="C785" s="293"/>
      <c r="D785" s="293"/>
      <c r="E785" s="293"/>
      <c r="F785" s="293"/>
      <c r="G785" s="293"/>
      <c r="H785" s="293"/>
      <c r="I785" s="293"/>
      <c r="J785" s="293"/>
      <c r="L785" s="293">
        <f t="shared" si="82"/>
        <v>0</v>
      </c>
    </row>
    <row r="786" spans="1:12" x14ac:dyDescent="0.25">
      <c r="B786" s="293"/>
      <c r="C786" s="293"/>
      <c r="D786" s="293"/>
      <c r="E786" s="293"/>
      <c r="F786" s="293"/>
      <c r="G786" s="293"/>
      <c r="H786" s="293"/>
      <c r="I786" s="293"/>
      <c r="J786" s="293"/>
      <c r="L786" s="293">
        <f t="shared" si="82"/>
        <v>0</v>
      </c>
    </row>
    <row r="787" spans="1:12" x14ac:dyDescent="0.25">
      <c r="A787" s="47" t="s">
        <v>4260</v>
      </c>
      <c r="B787" s="293"/>
      <c r="C787" s="293"/>
      <c r="D787" s="293"/>
      <c r="E787" s="293"/>
      <c r="F787" s="293"/>
      <c r="G787" s="293"/>
      <c r="H787" s="293"/>
      <c r="I787" s="293"/>
      <c r="J787" s="293"/>
      <c r="L787" s="293">
        <f t="shared" si="82"/>
        <v>0</v>
      </c>
    </row>
    <row r="788" spans="1:12" x14ac:dyDescent="0.25">
      <c r="A788" t="s">
        <v>4262</v>
      </c>
      <c r="B788" s="293"/>
      <c r="C788" s="293"/>
      <c r="D788" s="293"/>
      <c r="E788" s="293"/>
      <c r="F788" s="293"/>
      <c r="G788" s="293"/>
      <c r="H788" s="293"/>
      <c r="I788" s="293"/>
      <c r="J788" s="293"/>
      <c r="L788" s="293">
        <f t="shared" si="82"/>
        <v>0</v>
      </c>
    </row>
    <row r="789" spans="1:12" x14ac:dyDescent="0.25">
      <c r="A789" t="s">
        <v>4261</v>
      </c>
      <c r="B789" s="293">
        <f>capitalrevdata!F28</f>
        <v>12300</v>
      </c>
      <c r="C789" s="293">
        <f>capitalrevdata!G28</f>
        <v>9900</v>
      </c>
      <c r="D789" s="293">
        <f>capitalrevdata!H28</f>
        <v>8200</v>
      </c>
      <c r="E789" s="293">
        <f>capitalrevdata!I28</f>
        <v>8200</v>
      </c>
      <c r="F789" s="293">
        <f>capitalrevdata!J28</f>
        <v>8200</v>
      </c>
      <c r="G789" s="293">
        <f>capitalrevdata!K28</f>
        <v>6600</v>
      </c>
      <c r="H789" s="293">
        <f>capitalrevdata!L28</f>
        <v>6600</v>
      </c>
      <c r="I789" s="293">
        <f>capitalrevdata!M28</f>
        <v>6600</v>
      </c>
      <c r="J789" s="293">
        <f>capitalrevdata!N28</f>
        <v>6600</v>
      </c>
      <c r="L789" s="293">
        <f t="shared" si="82"/>
        <v>6600</v>
      </c>
    </row>
    <row r="790" spans="1:12" x14ac:dyDescent="0.25">
      <c r="A790" t="s">
        <v>66</v>
      </c>
      <c r="B790" s="293"/>
      <c r="C790" s="293"/>
      <c r="D790" s="293"/>
      <c r="E790" s="293"/>
      <c r="F790" s="293"/>
      <c r="G790" s="293"/>
      <c r="H790" s="293"/>
      <c r="I790" s="293"/>
      <c r="J790" s="293"/>
      <c r="L790" s="293">
        <f t="shared" si="82"/>
        <v>0</v>
      </c>
    </row>
    <row r="791" spans="1:12" x14ac:dyDescent="0.25">
      <c r="B791" s="293"/>
      <c r="C791" s="293"/>
      <c r="D791" s="293"/>
      <c r="E791" s="293"/>
      <c r="F791" s="293"/>
      <c r="G791" s="293"/>
      <c r="H791" s="293"/>
      <c r="I791" s="293"/>
      <c r="J791" s="293"/>
      <c r="L791" s="293">
        <f t="shared" si="82"/>
        <v>0</v>
      </c>
    </row>
    <row r="792" spans="1:12" x14ac:dyDescent="0.25">
      <c r="B792" s="293"/>
      <c r="C792" s="293"/>
      <c r="D792" s="293"/>
      <c r="E792" s="293"/>
      <c r="F792" s="293"/>
      <c r="G792" s="293"/>
      <c r="H792" s="293"/>
      <c r="I792" s="293"/>
      <c r="J792" s="293"/>
      <c r="L792" s="293">
        <f t="shared" si="82"/>
        <v>0</v>
      </c>
    </row>
    <row r="793" spans="1:12" x14ac:dyDescent="0.25">
      <c r="B793" s="293"/>
      <c r="C793" s="293"/>
      <c r="D793" s="293"/>
      <c r="E793" s="293"/>
      <c r="F793" s="293"/>
      <c r="G793" s="293"/>
      <c r="H793" s="293"/>
      <c r="I793" s="293"/>
      <c r="J793" s="293"/>
      <c r="L793" s="293">
        <f t="shared" si="82"/>
        <v>0</v>
      </c>
    </row>
    <row r="794" spans="1:12" x14ac:dyDescent="0.25">
      <c r="B794" s="293"/>
      <c r="C794" s="293"/>
      <c r="D794" s="293"/>
      <c r="E794" s="293"/>
      <c r="F794" s="293"/>
      <c r="G794" s="293"/>
      <c r="H794" s="293"/>
      <c r="I794" s="293"/>
      <c r="J794" s="293"/>
      <c r="L794" s="293">
        <f t="shared" si="82"/>
        <v>0</v>
      </c>
    </row>
    <row r="795" spans="1:12" x14ac:dyDescent="0.25">
      <c r="A795" s="47" t="s">
        <v>4263</v>
      </c>
      <c r="B795" s="296">
        <f>SUM(B785:B794)</f>
        <v>12300</v>
      </c>
      <c r="C795" s="296">
        <f t="shared" ref="C795:J795" si="87">SUM(C785:C794)</f>
        <v>9900</v>
      </c>
      <c r="D795" s="296">
        <f t="shared" si="87"/>
        <v>8200</v>
      </c>
      <c r="E795" s="296">
        <f t="shared" si="87"/>
        <v>8200</v>
      </c>
      <c r="F795" s="296">
        <f t="shared" si="87"/>
        <v>8200</v>
      </c>
      <c r="G795" s="296">
        <f t="shared" si="87"/>
        <v>6600</v>
      </c>
      <c r="H795" s="296">
        <f t="shared" si="87"/>
        <v>6600</v>
      </c>
      <c r="I795" s="296">
        <f t="shared" si="87"/>
        <v>6600</v>
      </c>
      <c r="J795" s="296">
        <f t="shared" si="87"/>
        <v>6600</v>
      </c>
      <c r="L795" s="293"/>
    </row>
    <row r="796" spans="1:12" x14ac:dyDescent="0.25">
      <c r="B796" s="293"/>
      <c r="C796" s="293"/>
      <c r="D796" s="293"/>
      <c r="E796" s="293"/>
      <c r="F796" s="293"/>
      <c r="G796" s="293"/>
      <c r="H796" s="293"/>
      <c r="I796" s="293"/>
      <c r="J796" s="293"/>
      <c r="L796" s="293">
        <f t="shared" si="82"/>
        <v>0</v>
      </c>
    </row>
    <row r="797" spans="1:12" x14ac:dyDescent="0.25">
      <c r="A797" s="47" t="s">
        <v>4264</v>
      </c>
      <c r="B797" s="293"/>
      <c r="C797" s="293"/>
      <c r="D797" s="293"/>
      <c r="E797" s="293"/>
      <c r="F797" s="293"/>
      <c r="G797" s="293"/>
      <c r="H797" s="293"/>
      <c r="I797" s="293"/>
      <c r="J797" s="293"/>
      <c r="L797" s="293">
        <f t="shared" si="82"/>
        <v>0</v>
      </c>
    </row>
    <row r="798" spans="1:12" x14ac:dyDescent="0.25">
      <c r="A798" t="s">
        <v>87</v>
      </c>
      <c r="B798" s="293"/>
      <c r="C798" s="293"/>
      <c r="D798" s="293"/>
      <c r="E798" s="293"/>
      <c r="F798" s="293"/>
      <c r="G798" s="293"/>
      <c r="H798" s="293"/>
      <c r="I798" s="293"/>
      <c r="J798" s="293"/>
      <c r="L798" s="293">
        <f t="shared" si="82"/>
        <v>0</v>
      </c>
    </row>
    <row r="799" spans="1:12" x14ac:dyDescent="0.25">
      <c r="A799" t="s">
        <v>4265</v>
      </c>
      <c r="B799" s="293"/>
      <c r="C799" s="293"/>
      <c r="D799" s="293"/>
      <c r="E799" s="293"/>
      <c r="F799" s="293"/>
      <c r="G799" s="293"/>
      <c r="H799" s="293"/>
      <c r="I799" s="293"/>
      <c r="J799" s="293"/>
      <c r="L799" s="293">
        <f t="shared" si="82"/>
        <v>0</v>
      </c>
    </row>
    <row r="800" spans="1:12" x14ac:dyDescent="0.25">
      <c r="B800" s="293"/>
      <c r="C800" s="293"/>
      <c r="D800" s="293"/>
      <c r="E800" s="293"/>
      <c r="F800" s="293"/>
      <c r="G800" s="293"/>
      <c r="H800" s="293"/>
      <c r="I800" s="293"/>
      <c r="J800" s="293"/>
      <c r="L800" s="293">
        <f t="shared" si="82"/>
        <v>0</v>
      </c>
    </row>
    <row r="801" spans="1:12" x14ac:dyDescent="0.25">
      <c r="B801" s="293"/>
      <c r="C801" s="293"/>
      <c r="D801" s="293"/>
      <c r="E801" s="293"/>
      <c r="F801" s="293"/>
      <c r="G801" s="293"/>
      <c r="H801" s="293"/>
      <c r="I801" s="293"/>
      <c r="J801" s="293"/>
      <c r="L801" s="293">
        <f t="shared" si="82"/>
        <v>0</v>
      </c>
    </row>
    <row r="802" spans="1:12" x14ac:dyDescent="0.25">
      <c r="B802" s="293"/>
      <c r="C802" s="293"/>
      <c r="D802" s="293"/>
      <c r="E802" s="293"/>
      <c r="F802" s="293"/>
      <c r="G802" s="293"/>
      <c r="H802" s="293"/>
      <c r="I802" s="293"/>
      <c r="J802" s="293"/>
      <c r="L802" s="293">
        <f t="shared" si="82"/>
        <v>0</v>
      </c>
    </row>
    <row r="803" spans="1:12" x14ac:dyDescent="0.25">
      <c r="B803" s="293"/>
      <c r="C803" s="293"/>
      <c r="D803" s="293"/>
      <c r="E803" s="293"/>
      <c r="F803" s="293"/>
      <c r="G803" s="293"/>
      <c r="H803" s="293"/>
      <c r="I803" s="293"/>
      <c r="J803" s="293"/>
      <c r="L803" s="293">
        <f t="shared" si="82"/>
        <v>0</v>
      </c>
    </row>
    <row r="804" spans="1:12" x14ac:dyDescent="0.25">
      <c r="A804" t="s">
        <v>4266</v>
      </c>
      <c r="B804" s="293"/>
      <c r="C804" s="293"/>
      <c r="D804" s="293"/>
      <c r="E804" s="293"/>
      <c r="F804" s="293"/>
      <c r="G804" s="293"/>
      <c r="H804" s="293"/>
      <c r="I804" s="293"/>
      <c r="J804" s="293"/>
      <c r="L804" s="293">
        <f t="shared" si="82"/>
        <v>0</v>
      </c>
    </row>
    <row r="805" spans="1:12" x14ac:dyDescent="0.25">
      <c r="A805" t="s">
        <v>66</v>
      </c>
      <c r="B805" s="293"/>
      <c r="C805" s="293"/>
      <c r="D805" s="293"/>
      <c r="E805" s="293"/>
      <c r="F805" s="293"/>
      <c r="G805" s="293"/>
      <c r="H805" s="293"/>
      <c r="I805" s="293"/>
      <c r="J805" s="293"/>
      <c r="L805" s="293">
        <f t="shared" si="82"/>
        <v>0</v>
      </c>
    </row>
    <row r="806" spans="1:12" x14ac:dyDescent="0.25">
      <c r="B806" s="293"/>
      <c r="C806" s="293"/>
      <c r="D806" s="293"/>
      <c r="E806" s="293"/>
      <c r="F806" s="293"/>
      <c r="G806" s="293"/>
      <c r="H806" s="293"/>
      <c r="I806" s="293"/>
      <c r="J806" s="293"/>
      <c r="L806" s="293">
        <f t="shared" si="82"/>
        <v>0</v>
      </c>
    </row>
    <row r="807" spans="1:12" x14ac:dyDescent="0.25">
      <c r="B807" s="293"/>
      <c r="C807" s="293"/>
      <c r="D807" s="293"/>
      <c r="E807" s="293"/>
      <c r="F807" s="293"/>
      <c r="G807" s="293"/>
      <c r="H807" s="293"/>
      <c r="I807" s="293"/>
      <c r="J807" s="293"/>
      <c r="L807" s="293">
        <f t="shared" si="82"/>
        <v>0</v>
      </c>
    </row>
    <row r="808" spans="1:12" x14ac:dyDescent="0.25">
      <c r="B808" s="293"/>
      <c r="C808" s="293"/>
      <c r="D808" s="293"/>
      <c r="E808" s="293"/>
      <c r="F808" s="293"/>
      <c r="G808" s="293"/>
      <c r="H808" s="293"/>
      <c r="I808" s="293"/>
      <c r="J808" s="293"/>
      <c r="L808" s="293">
        <f t="shared" si="82"/>
        <v>0</v>
      </c>
    </row>
    <row r="809" spans="1:12" x14ac:dyDescent="0.25">
      <c r="B809" s="293"/>
      <c r="C809" s="293"/>
      <c r="D809" s="293"/>
      <c r="E809" s="293"/>
      <c r="F809" s="293"/>
      <c r="G809" s="293"/>
      <c r="H809" s="293"/>
      <c r="I809" s="293"/>
      <c r="J809" s="293"/>
      <c r="L809" s="293">
        <f t="shared" si="82"/>
        <v>0</v>
      </c>
    </row>
    <row r="810" spans="1:12" x14ac:dyDescent="0.25">
      <c r="A810" s="47" t="s">
        <v>4267</v>
      </c>
      <c r="B810" s="296">
        <f>SUM(B798:B809)</f>
        <v>0</v>
      </c>
      <c r="C810" s="296">
        <f t="shared" ref="C810:J810" si="88">SUM(C798:C809)</f>
        <v>0</v>
      </c>
      <c r="D810" s="296">
        <f t="shared" si="88"/>
        <v>0</v>
      </c>
      <c r="E810" s="296">
        <f t="shared" si="88"/>
        <v>0</v>
      </c>
      <c r="F810" s="296">
        <f t="shared" si="88"/>
        <v>0</v>
      </c>
      <c r="G810" s="296">
        <f t="shared" si="88"/>
        <v>0</v>
      </c>
      <c r="H810" s="296">
        <f t="shared" si="88"/>
        <v>0</v>
      </c>
      <c r="I810" s="296">
        <f t="shared" si="88"/>
        <v>0</v>
      </c>
      <c r="J810" s="296">
        <f t="shared" si="88"/>
        <v>0</v>
      </c>
      <c r="L810" s="293">
        <f t="shared" si="82"/>
        <v>0</v>
      </c>
    </row>
    <row r="811" spans="1:12" x14ac:dyDescent="0.25">
      <c r="B811" s="293"/>
      <c r="C811" s="293"/>
      <c r="D811" s="293"/>
      <c r="E811" s="293"/>
      <c r="F811" s="293"/>
      <c r="G811" s="293"/>
      <c r="H811" s="293"/>
      <c r="I811" s="293"/>
      <c r="J811" s="293"/>
      <c r="L811" s="293">
        <f t="shared" si="82"/>
        <v>0</v>
      </c>
    </row>
    <row r="812" spans="1:12" ht="15.75" thickBot="1" x14ac:dyDescent="0.3">
      <c r="A812" s="47" t="s">
        <v>4268</v>
      </c>
      <c r="B812" s="301">
        <f>B795-B810</f>
        <v>12300</v>
      </c>
      <c r="C812" s="301">
        <f t="shared" ref="C812:J812" si="89">C795-C810</f>
        <v>9900</v>
      </c>
      <c r="D812" s="301">
        <f t="shared" si="89"/>
        <v>8200</v>
      </c>
      <c r="E812" s="301">
        <f t="shared" si="89"/>
        <v>8200</v>
      </c>
      <c r="F812" s="301">
        <f t="shared" si="89"/>
        <v>8200</v>
      </c>
      <c r="G812" s="301">
        <f t="shared" si="89"/>
        <v>6600</v>
      </c>
      <c r="H812" s="301">
        <f t="shared" si="89"/>
        <v>6600</v>
      </c>
      <c r="I812" s="301">
        <f t="shared" si="89"/>
        <v>6600</v>
      </c>
      <c r="J812" s="301">
        <f t="shared" si="89"/>
        <v>6600</v>
      </c>
      <c r="L812" s="293"/>
    </row>
    <row r="813" spans="1:12" ht="15.75" thickTop="1" x14ac:dyDescent="0.25">
      <c r="B813" s="293"/>
      <c r="C813" s="293"/>
      <c r="D813" s="293"/>
      <c r="E813" s="293"/>
      <c r="F813" s="293"/>
      <c r="G813" s="293"/>
      <c r="H813" s="293"/>
      <c r="I813" s="293"/>
      <c r="J813" s="293"/>
      <c r="L813" s="293">
        <f t="shared" ref="L813:L875" si="90">J813</f>
        <v>0</v>
      </c>
    </row>
    <row r="814" spans="1:12" x14ac:dyDescent="0.25">
      <c r="A814" s="281"/>
      <c r="B814" s="316"/>
      <c r="C814" s="316"/>
      <c r="D814" s="316"/>
      <c r="E814" s="316"/>
      <c r="F814" s="316"/>
      <c r="G814" s="316"/>
      <c r="H814" s="316"/>
      <c r="I814" s="316"/>
      <c r="J814" s="316"/>
      <c r="L814" s="293">
        <f t="shared" si="90"/>
        <v>0</v>
      </c>
    </row>
    <row r="815" spans="1:12" x14ac:dyDescent="0.25">
      <c r="B815" s="293"/>
      <c r="C815" s="293"/>
      <c r="D815" s="293"/>
      <c r="E815" s="293"/>
      <c r="F815" s="293"/>
      <c r="G815" s="293"/>
      <c r="H815" s="293"/>
      <c r="I815" s="293"/>
      <c r="J815" s="293"/>
      <c r="L815" s="293">
        <f t="shared" si="90"/>
        <v>0</v>
      </c>
    </row>
    <row r="816" spans="1:12" x14ac:dyDescent="0.25">
      <c r="A816" s="280" t="s">
        <v>4345</v>
      </c>
      <c r="B816" s="293"/>
      <c r="C816" s="293"/>
      <c r="D816" s="293"/>
      <c r="E816" s="293"/>
      <c r="F816" s="293"/>
      <c r="G816" s="293"/>
      <c r="H816" s="293"/>
      <c r="I816" s="293"/>
      <c r="J816" s="293"/>
      <c r="L816" s="293">
        <f t="shared" si="90"/>
        <v>0</v>
      </c>
    </row>
    <row r="817" spans="1:12" x14ac:dyDescent="0.25">
      <c r="B817" s="293"/>
      <c r="C817" s="293"/>
      <c r="D817" s="293"/>
      <c r="E817" s="293"/>
      <c r="F817" s="293"/>
      <c r="G817" s="293"/>
      <c r="H817" s="293"/>
      <c r="I817" s="293"/>
      <c r="J817" s="293"/>
      <c r="L817" s="293">
        <f t="shared" si="90"/>
        <v>0</v>
      </c>
    </row>
    <row r="818" spans="1:12" x14ac:dyDescent="0.25">
      <c r="A818" s="47" t="s">
        <v>4260</v>
      </c>
      <c r="B818" s="293"/>
      <c r="C818" s="293"/>
      <c r="D818" s="293"/>
      <c r="E818" s="293"/>
      <c r="F818" s="293"/>
      <c r="G818" s="293"/>
      <c r="H818" s="293"/>
      <c r="I818" s="293"/>
      <c r="J818" s="293"/>
      <c r="L818" s="293">
        <f t="shared" si="90"/>
        <v>0</v>
      </c>
    </row>
    <row r="819" spans="1:12" x14ac:dyDescent="0.25">
      <c r="A819" t="s">
        <v>4262</v>
      </c>
      <c r="B819" s="293"/>
      <c r="C819" s="293"/>
      <c r="D819" s="293"/>
      <c r="E819" s="293"/>
      <c r="F819" s="293"/>
      <c r="G819" s="293"/>
      <c r="H819" s="293"/>
      <c r="I819" s="293"/>
      <c r="J819" s="293"/>
      <c r="L819" s="293">
        <f t="shared" si="90"/>
        <v>0</v>
      </c>
    </row>
    <row r="820" spans="1:12" x14ac:dyDescent="0.25">
      <c r="A820" t="s">
        <v>4261</v>
      </c>
      <c r="B820" s="293">
        <f>capitalrevdata!F29</f>
        <v>4300</v>
      </c>
      <c r="C820" s="293">
        <f>capitalrevdata!G29</f>
        <v>3500</v>
      </c>
      <c r="D820" s="293">
        <f>capitalrevdata!H29</f>
        <v>2900</v>
      </c>
      <c r="E820" s="293">
        <f>capitalrevdata!I29</f>
        <v>2900</v>
      </c>
      <c r="F820" s="293">
        <f>capitalrevdata!J29</f>
        <v>2900</v>
      </c>
      <c r="G820" s="293">
        <f>capitalrevdata!K29</f>
        <v>2300</v>
      </c>
      <c r="H820" s="293">
        <f>capitalrevdata!L29</f>
        <v>2300</v>
      </c>
      <c r="I820" s="293">
        <f>capitalrevdata!M29</f>
        <v>2300</v>
      </c>
      <c r="J820" s="293">
        <f>capitalrevdata!N29</f>
        <v>2300</v>
      </c>
      <c r="L820" s="293">
        <f t="shared" si="90"/>
        <v>2300</v>
      </c>
    </row>
    <row r="821" spans="1:12" x14ac:dyDescent="0.25">
      <c r="A821" t="s">
        <v>66</v>
      </c>
      <c r="B821" s="293"/>
      <c r="C821" s="293"/>
      <c r="D821" s="293"/>
      <c r="E821" s="293"/>
      <c r="F821" s="293"/>
      <c r="G821" s="293"/>
      <c r="H821" s="293"/>
      <c r="I821" s="293"/>
      <c r="J821" s="293"/>
      <c r="L821" s="293">
        <f t="shared" si="90"/>
        <v>0</v>
      </c>
    </row>
    <row r="822" spans="1:12" x14ac:dyDescent="0.25">
      <c r="B822" s="293"/>
      <c r="C822" s="293"/>
      <c r="D822" s="293"/>
      <c r="E822" s="293"/>
      <c r="F822" s="293"/>
      <c r="G822" s="293"/>
      <c r="H822" s="293"/>
      <c r="I822" s="293"/>
      <c r="J822" s="293"/>
      <c r="L822" s="293">
        <f t="shared" si="90"/>
        <v>0</v>
      </c>
    </row>
    <row r="823" spans="1:12" x14ac:dyDescent="0.25">
      <c r="B823" s="293"/>
      <c r="C823" s="293"/>
      <c r="D823" s="293"/>
      <c r="E823" s="293"/>
      <c r="F823" s="293"/>
      <c r="G823" s="293"/>
      <c r="H823" s="293"/>
      <c r="I823" s="293"/>
      <c r="J823" s="293"/>
      <c r="L823" s="293">
        <f t="shared" si="90"/>
        <v>0</v>
      </c>
    </row>
    <row r="824" spans="1:12" x14ac:dyDescent="0.25">
      <c r="B824" s="293"/>
      <c r="C824" s="293"/>
      <c r="D824" s="293"/>
      <c r="E824" s="293"/>
      <c r="F824" s="293"/>
      <c r="G824" s="293"/>
      <c r="H824" s="293"/>
      <c r="I824" s="293"/>
      <c r="J824" s="293"/>
      <c r="L824" s="293">
        <f t="shared" si="90"/>
        <v>0</v>
      </c>
    </row>
    <row r="825" spans="1:12" x14ac:dyDescent="0.25">
      <c r="B825" s="293"/>
      <c r="C825" s="293"/>
      <c r="D825" s="293"/>
      <c r="E825" s="293"/>
      <c r="F825" s="293"/>
      <c r="G825" s="293"/>
      <c r="H825" s="293"/>
      <c r="I825" s="293"/>
      <c r="J825" s="293"/>
      <c r="L825" s="293">
        <f t="shared" si="90"/>
        <v>0</v>
      </c>
    </row>
    <row r="826" spans="1:12" x14ac:dyDescent="0.25">
      <c r="A826" s="47" t="s">
        <v>4263</v>
      </c>
      <c r="B826" s="296">
        <f>SUM(B816:B825)</f>
        <v>4300</v>
      </c>
      <c r="C826" s="296">
        <f t="shared" ref="C826:J826" si="91">SUM(C816:C825)</f>
        <v>3500</v>
      </c>
      <c r="D826" s="296">
        <f t="shared" si="91"/>
        <v>2900</v>
      </c>
      <c r="E826" s="296">
        <f t="shared" si="91"/>
        <v>2900</v>
      </c>
      <c r="F826" s="296">
        <f t="shared" si="91"/>
        <v>2900</v>
      </c>
      <c r="G826" s="296">
        <f t="shared" si="91"/>
        <v>2300</v>
      </c>
      <c r="H826" s="296">
        <f t="shared" si="91"/>
        <v>2300</v>
      </c>
      <c r="I826" s="296">
        <f t="shared" si="91"/>
        <v>2300</v>
      </c>
      <c r="J826" s="296">
        <f t="shared" si="91"/>
        <v>2300</v>
      </c>
      <c r="L826" s="293"/>
    </row>
    <row r="827" spans="1:12" x14ac:dyDescent="0.25">
      <c r="B827" s="293"/>
      <c r="C827" s="293"/>
      <c r="D827" s="293"/>
      <c r="E827" s="293"/>
      <c r="F827" s="293"/>
      <c r="G827" s="293"/>
      <c r="H827" s="293"/>
      <c r="I827" s="293"/>
      <c r="J827" s="293"/>
      <c r="L827" s="293">
        <f t="shared" si="90"/>
        <v>0</v>
      </c>
    </row>
    <row r="828" spans="1:12" x14ac:dyDescent="0.25">
      <c r="A828" s="47" t="s">
        <v>4264</v>
      </c>
      <c r="B828" s="293"/>
      <c r="C828" s="293"/>
      <c r="D828" s="293"/>
      <c r="E828" s="293"/>
      <c r="F828" s="293"/>
      <c r="G828" s="293"/>
      <c r="H828" s="293"/>
      <c r="I828" s="293"/>
      <c r="J828" s="293"/>
      <c r="L828" s="293">
        <f t="shared" si="90"/>
        <v>0</v>
      </c>
    </row>
    <row r="829" spans="1:12" x14ac:dyDescent="0.25">
      <c r="A829" t="s">
        <v>87</v>
      </c>
      <c r="B829" s="293"/>
      <c r="C829" s="293"/>
      <c r="D829" s="293"/>
      <c r="E829" s="293"/>
      <c r="F829" s="293"/>
      <c r="G829" s="293"/>
      <c r="H829" s="293"/>
      <c r="I829" s="293"/>
      <c r="J829" s="293"/>
      <c r="L829" s="293">
        <f t="shared" si="90"/>
        <v>0</v>
      </c>
    </row>
    <row r="830" spans="1:12" x14ac:dyDescent="0.25">
      <c r="A830" t="s">
        <v>4265</v>
      </c>
      <c r="B830" s="293"/>
      <c r="C830" s="293"/>
      <c r="D830" s="293"/>
      <c r="E830" s="293"/>
      <c r="F830" s="293"/>
      <c r="G830" s="293"/>
      <c r="H830" s="293"/>
      <c r="I830" s="293"/>
      <c r="J830" s="293"/>
      <c r="L830" s="293">
        <f t="shared" si="90"/>
        <v>0</v>
      </c>
    </row>
    <row r="831" spans="1:12" x14ac:dyDescent="0.25">
      <c r="B831" s="293"/>
      <c r="C831" s="293"/>
      <c r="D831" s="293"/>
      <c r="E831" s="293"/>
      <c r="F831" s="293"/>
      <c r="G831" s="293"/>
      <c r="H831" s="293"/>
      <c r="I831" s="293"/>
      <c r="J831" s="293"/>
      <c r="L831" s="293">
        <f t="shared" si="90"/>
        <v>0</v>
      </c>
    </row>
    <row r="832" spans="1:12" x14ac:dyDescent="0.25">
      <c r="B832" s="293"/>
      <c r="C832" s="293"/>
      <c r="D832" s="293"/>
      <c r="E832" s="293"/>
      <c r="F832" s="293"/>
      <c r="G832" s="293"/>
      <c r="H832" s="293"/>
      <c r="I832" s="293"/>
      <c r="J832" s="293"/>
      <c r="L832" s="293">
        <f t="shared" si="90"/>
        <v>0</v>
      </c>
    </row>
    <row r="833" spans="1:12" x14ac:dyDescent="0.25">
      <c r="B833" s="293"/>
      <c r="C833" s="293"/>
      <c r="D833" s="293"/>
      <c r="E833" s="293"/>
      <c r="F833" s="293"/>
      <c r="G833" s="293"/>
      <c r="H833" s="293"/>
      <c r="I833" s="293"/>
      <c r="J833" s="293"/>
      <c r="L833" s="293">
        <f t="shared" si="90"/>
        <v>0</v>
      </c>
    </row>
    <row r="834" spans="1:12" x14ac:dyDescent="0.25">
      <c r="B834" s="293"/>
      <c r="C834" s="293"/>
      <c r="D834" s="293"/>
      <c r="E834" s="293"/>
      <c r="F834" s="293"/>
      <c r="G834" s="293"/>
      <c r="H834" s="293"/>
      <c r="I834" s="293"/>
      <c r="J834" s="293"/>
      <c r="L834" s="293">
        <f t="shared" si="90"/>
        <v>0</v>
      </c>
    </row>
    <row r="835" spans="1:12" x14ac:dyDescent="0.25">
      <c r="A835" t="s">
        <v>4266</v>
      </c>
      <c r="B835" s="293"/>
      <c r="C835" s="293"/>
      <c r="D835" s="293"/>
      <c r="E835" s="293"/>
      <c r="F835" s="293"/>
      <c r="G835" s="293"/>
      <c r="H835" s="293"/>
      <c r="I835" s="293"/>
      <c r="J835" s="293"/>
      <c r="L835" s="293">
        <f t="shared" si="90"/>
        <v>0</v>
      </c>
    </row>
    <row r="836" spans="1:12" x14ac:dyDescent="0.25">
      <c r="A836" t="s">
        <v>66</v>
      </c>
      <c r="B836" s="293"/>
      <c r="C836" s="293"/>
      <c r="D836" s="293"/>
      <c r="E836" s="293"/>
      <c r="F836" s="293"/>
      <c r="G836" s="293"/>
      <c r="H836" s="293"/>
      <c r="I836" s="293"/>
      <c r="J836" s="293"/>
      <c r="L836" s="293">
        <f t="shared" si="90"/>
        <v>0</v>
      </c>
    </row>
    <row r="837" spans="1:12" x14ac:dyDescent="0.25">
      <c r="B837" s="293"/>
      <c r="C837" s="293"/>
      <c r="D837" s="293"/>
      <c r="E837" s="293"/>
      <c r="F837" s="293"/>
      <c r="G837" s="293"/>
      <c r="H837" s="293"/>
      <c r="I837" s="293"/>
      <c r="J837" s="293"/>
      <c r="L837" s="293">
        <f t="shared" si="90"/>
        <v>0</v>
      </c>
    </row>
    <row r="838" spans="1:12" x14ac:dyDescent="0.25">
      <c r="B838" s="293"/>
      <c r="C838" s="293"/>
      <c r="D838" s="293"/>
      <c r="E838" s="293"/>
      <c r="F838" s="293"/>
      <c r="G838" s="293"/>
      <c r="H838" s="293"/>
      <c r="I838" s="293"/>
      <c r="J838" s="293"/>
      <c r="L838" s="293">
        <f t="shared" si="90"/>
        <v>0</v>
      </c>
    </row>
    <row r="839" spans="1:12" x14ac:dyDescent="0.25">
      <c r="B839" s="293"/>
      <c r="C839" s="293"/>
      <c r="D839" s="293"/>
      <c r="E839" s="293"/>
      <c r="F839" s="293"/>
      <c r="G839" s="293"/>
      <c r="H839" s="293"/>
      <c r="I839" s="293"/>
      <c r="J839" s="293"/>
      <c r="L839" s="293">
        <f t="shared" si="90"/>
        <v>0</v>
      </c>
    </row>
    <row r="840" spans="1:12" x14ac:dyDescent="0.25">
      <c r="B840" s="293"/>
      <c r="C840" s="293"/>
      <c r="D840" s="293"/>
      <c r="E840" s="293"/>
      <c r="F840" s="293"/>
      <c r="G840" s="293"/>
      <c r="H840" s="293"/>
      <c r="I840" s="293"/>
      <c r="J840" s="293"/>
      <c r="L840" s="293">
        <f t="shared" si="90"/>
        <v>0</v>
      </c>
    </row>
    <row r="841" spans="1:12" x14ac:dyDescent="0.25">
      <c r="A841" s="47" t="s">
        <v>4267</v>
      </c>
      <c r="B841" s="296">
        <f>SUM(B829:B840)</f>
        <v>0</v>
      </c>
      <c r="C841" s="296">
        <f t="shared" ref="C841:J841" si="92">SUM(C829:C840)</f>
        <v>0</v>
      </c>
      <c r="D841" s="296">
        <f t="shared" si="92"/>
        <v>0</v>
      </c>
      <c r="E841" s="296">
        <f t="shared" si="92"/>
        <v>0</v>
      </c>
      <c r="F841" s="296">
        <f t="shared" si="92"/>
        <v>0</v>
      </c>
      <c r="G841" s="296">
        <f t="shared" si="92"/>
        <v>0</v>
      </c>
      <c r="H841" s="296">
        <f t="shared" si="92"/>
        <v>0</v>
      </c>
      <c r="I841" s="296">
        <f t="shared" si="92"/>
        <v>0</v>
      </c>
      <c r="J841" s="296">
        <f t="shared" si="92"/>
        <v>0</v>
      </c>
      <c r="L841" s="293">
        <f t="shared" si="90"/>
        <v>0</v>
      </c>
    </row>
    <row r="842" spans="1:12" x14ac:dyDescent="0.25">
      <c r="B842" s="293"/>
      <c r="C842" s="293"/>
      <c r="D842" s="293"/>
      <c r="E842" s="293"/>
      <c r="F842" s="293"/>
      <c r="G842" s="293"/>
      <c r="H842" s="293"/>
      <c r="I842" s="293"/>
      <c r="J842" s="293"/>
      <c r="L842" s="293">
        <f t="shared" si="90"/>
        <v>0</v>
      </c>
    </row>
    <row r="843" spans="1:12" ht="15.75" thickBot="1" x14ac:dyDescent="0.3">
      <c r="A843" s="47" t="s">
        <v>4268</v>
      </c>
      <c r="B843" s="301">
        <f>B826-B841</f>
        <v>4300</v>
      </c>
      <c r="C843" s="301">
        <f t="shared" ref="C843:J843" si="93">C826-C841</f>
        <v>3500</v>
      </c>
      <c r="D843" s="301">
        <f t="shared" si="93"/>
        <v>2900</v>
      </c>
      <c r="E843" s="301">
        <f t="shared" si="93"/>
        <v>2900</v>
      </c>
      <c r="F843" s="301">
        <f t="shared" si="93"/>
        <v>2900</v>
      </c>
      <c r="G843" s="301">
        <f t="shared" si="93"/>
        <v>2300</v>
      </c>
      <c r="H843" s="301">
        <f t="shared" si="93"/>
        <v>2300</v>
      </c>
      <c r="I843" s="301">
        <f t="shared" si="93"/>
        <v>2300</v>
      </c>
      <c r="J843" s="301">
        <f t="shared" si="93"/>
        <v>2300</v>
      </c>
      <c r="L843" s="293"/>
    </row>
    <row r="844" spans="1:12" ht="15.75" thickTop="1" x14ac:dyDescent="0.25">
      <c r="B844" s="293"/>
      <c r="C844" s="293"/>
      <c r="D844" s="293"/>
      <c r="E844" s="293"/>
      <c r="F844" s="293"/>
      <c r="G844" s="293"/>
      <c r="H844" s="293"/>
      <c r="I844" s="293"/>
      <c r="J844" s="293"/>
      <c r="L844" s="293">
        <f t="shared" si="90"/>
        <v>0</v>
      </c>
    </row>
    <row r="845" spans="1:12" x14ac:dyDescent="0.25">
      <c r="A845" s="281"/>
      <c r="B845" s="316"/>
      <c r="C845" s="316"/>
      <c r="D845" s="316"/>
      <c r="E845" s="316"/>
      <c r="F845" s="316"/>
      <c r="G845" s="316"/>
      <c r="H845" s="316"/>
      <c r="I845" s="316"/>
      <c r="J845" s="316"/>
      <c r="L845" s="293">
        <f t="shared" si="90"/>
        <v>0</v>
      </c>
    </row>
    <row r="846" spans="1:12" x14ac:dyDescent="0.25">
      <c r="B846" s="293"/>
      <c r="C846" s="293"/>
      <c r="D846" s="293"/>
      <c r="E846" s="293"/>
      <c r="F846" s="293"/>
      <c r="G846" s="293"/>
      <c r="H846" s="293"/>
      <c r="I846" s="293"/>
      <c r="J846" s="293"/>
      <c r="L846" s="293">
        <f t="shared" si="90"/>
        <v>0</v>
      </c>
    </row>
    <row r="847" spans="1:12" x14ac:dyDescent="0.25">
      <c r="A847" s="280" t="s">
        <v>4346</v>
      </c>
      <c r="B847" s="293"/>
      <c r="C847" s="293"/>
      <c r="D847" s="293"/>
      <c r="E847" s="293"/>
      <c r="F847" s="293"/>
      <c r="G847" s="293"/>
      <c r="H847" s="293"/>
      <c r="I847" s="293"/>
      <c r="J847" s="293"/>
      <c r="L847" s="293">
        <f t="shared" si="90"/>
        <v>0</v>
      </c>
    </row>
    <row r="848" spans="1:12" x14ac:dyDescent="0.25">
      <c r="B848" s="293"/>
      <c r="C848" s="293"/>
      <c r="D848" s="293"/>
      <c r="E848" s="293"/>
      <c r="F848" s="293"/>
      <c r="G848" s="293"/>
      <c r="H848" s="293"/>
      <c r="I848" s="293"/>
      <c r="J848" s="293"/>
      <c r="L848" s="293">
        <f t="shared" si="90"/>
        <v>0</v>
      </c>
    </row>
    <row r="849" spans="1:12" x14ac:dyDescent="0.25">
      <c r="A849" s="47" t="s">
        <v>4260</v>
      </c>
      <c r="B849" s="293"/>
      <c r="C849" s="293"/>
      <c r="D849" s="293"/>
      <c r="E849" s="293"/>
      <c r="F849" s="293"/>
      <c r="G849" s="293"/>
      <c r="H849" s="293"/>
      <c r="I849" s="293"/>
      <c r="J849" s="293"/>
      <c r="L849" s="293">
        <f t="shared" si="90"/>
        <v>0</v>
      </c>
    </row>
    <row r="850" spans="1:12" x14ac:dyDescent="0.25">
      <c r="A850" t="s">
        <v>4262</v>
      </c>
      <c r="B850" s="293"/>
      <c r="C850" s="293"/>
      <c r="D850" s="293"/>
      <c r="E850" s="293"/>
      <c r="F850" s="293"/>
      <c r="G850" s="293"/>
      <c r="H850" s="293"/>
      <c r="I850" s="293"/>
      <c r="J850" s="293"/>
      <c r="L850" s="293">
        <f t="shared" si="90"/>
        <v>0</v>
      </c>
    </row>
    <row r="851" spans="1:12" x14ac:dyDescent="0.25">
      <c r="A851" t="s">
        <v>4261</v>
      </c>
      <c r="B851" s="293">
        <f>capitalrevdata!F30</f>
        <v>300</v>
      </c>
      <c r="C851" s="293">
        <f>capitalrevdata!G30</f>
        <v>300</v>
      </c>
      <c r="D851" s="293">
        <f>capitalrevdata!H30</f>
        <v>200</v>
      </c>
      <c r="E851" s="293">
        <f>capitalrevdata!I30</f>
        <v>200</v>
      </c>
      <c r="F851" s="293">
        <f>capitalrevdata!J30</f>
        <v>200</v>
      </c>
      <c r="G851" s="293">
        <f>capitalrevdata!K30</f>
        <v>200</v>
      </c>
      <c r="H851" s="293">
        <f>capitalrevdata!L30</f>
        <v>200</v>
      </c>
      <c r="I851" s="293">
        <f>capitalrevdata!M30</f>
        <v>200</v>
      </c>
      <c r="J851" s="293">
        <f>capitalrevdata!N30</f>
        <v>200</v>
      </c>
      <c r="L851" s="293">
        <f t="shared" si="90"/>
        <v>200</v>
      </c>
    </row>
    <row r="852" spans="1:12" x14ac:dyDescent="0.25">
      <c r="A852" t="s">
        <v>66</v>
      </c>
      <c r="B852" s="293"/>
      <c r="C852" s="293"/>
      <c r="D852" s="293"/>
      <c r="E852" s="293"/>
      <c r="F852" s="293"/>
      <c r="G852" s="293"/>
      <c r="H852" s="293"/>
      <c r="I852" s="293"/>
      <c r="J852" s="293"/>
      <c r="L852" s="293">
        <f t="shared" si="90"/>
        <v>0</v>
      </c>
    </row>
    <row r="853" spans="1:12" x14ac:dyDescent="0.25">
      <c r="B853" s="293"/>
      <c r="C853" s="293"/>
      <c r="D853" s="293"/>
      <c r="E853" s="293"/>
      <c r="F853" s="293"/>
      <c r="G853" s="293"/>
      <c r="H853" s="293"/>
      <c r="I853" s="293"/>
      <c r="J853" s="293"/>
      <c r="L853" s="293">
        <f t="shared" si="90"/>
        <v>0</v>
      </c>
    </row>
    <row r="854" spans="1:12" x14ac:dyDescent="0.25">
      <c r="B854" s="293"/>
      <c r="C854" s="293"/>
      <c r="D854" s="293"/>
      <c r="E854" s="293"/>
      <c r="F854" s="293"/>
      <c r="G854" s="293"/>
      <c r="H854" s="293"/>
      <c r="I854" s="293"/>
      <c r="J854" s="293"/>
      <c r="L854" s="293">
        <f t="shared" si="90"/>
        <v>0</v>
      </c>
    </row>
    <row r="855" spans="1:12" x14ac:dyDescent="0.25">
      <c r="B855" s="293"/>
      <c r="C855" s="293"/>
      <c r="D855" s="293"/>
      <c r="E855" s="293"/>
      <c r="F855" s="293"/>
      <c r="G855" s="293"/>
      <c r="H855" s="293"/>
      <c r="I855" s="293"/>
      <c r="J855" s="293"/>
      <c r="L855" s="293">
        <f t="shared" si="90"/>
        <v>0</v>
      </c>
    </row>
    <row r="856" spans="1:12" x14ac:dyDescent="0.25">
      <c r="B856" s="293"/>
      <c r="C856" s="293"/>
      <c r="D856" s="293"/>
      <c r="E856" s="293"/>
      <c r="F856" s="293"/>
      <c r="G856" s="293"/>
      <c r="H856" s="293"/>
      <c r="I856" s="293"/>
      <c r="J856" s="293"/>
      <c r="L856" s="293">
        <f t="shared" si="90"/>
        <v>0</v>
      </c>
    </row>
    <row r="857" spans="1:12" x14ac:dyDescent="0.25">
      <c r="A857" s="47" t="s">
        <v>4263</v>
      </c>
      <c r="B857" s="296">
        <f>SUM(B847:B856)</f>
        <v>300</v>
      </c>
      <c r="C857" s="296">
        <f t="shared" ref="C857:J857" si="94">SUM(C847:C856)</f>
        <v>300</v>
      </c>
      <c r="D857" s="296">
        <f t="shared" si="94"/>
        <v>200</v>
      </c>
      <c r="E857" s="296">
        <f t="shared" si="94"/>
        <v>200</v>
      </c>
      <c r="F857" s="296">
        <f t="shared" si="94"/>
        <v>200</v>
      </c>
      <c r="G857" s="296">
        <f t="shared" si="94"/>
        <v>200</v>
      </c>
      <c r="H857" s="296">
        <f t="shared" si="94"/>
        <v>200</v>
      </c>
      <c r="I857" s="296">
        <f t="shared" si="94"/>
        <v>200</v>
      </c>
      <c r="J857" s="296">
        <f t="shared" si="94"/>
        <v>200</v>
      </c>
      <c r="L857" s="293"/>
    </row>
    <row r="858" spans="1:12" x14ac:dyDescent="0.25">
      <c r="B858" s="293"/>
      <c r="C858" s="293"/>
      <c r="D858" s="293"/>
      <c r="E858" s="293"/>
      <c r="F858" s="293"/>
      <c r="G858" s="293"/>
      <c r="H858" s="293"/>
      <c r="I858" s="293"/>
      <c r="J858" s="293"/>
      <c r="L858" s="293">
        <f t="shared" si="90"/>
        <v>0</v>
      </c>
    </row>
    <row r="859" spans="1:12" x14ac:dyDescent="0.25">
      <c r="A859" s="47" t="s">
        <v>4264</v>
      </c>
      <c r="B859" s="293"/>
      <c r="C859" s="293"/>
      <c r="D859" s="293"/>
      <c r="E859" s="293"/>
      <c r="F859" s="293"/>
      <c r="G859" s="293"/>
      <c r="H859" s="293"/>
      <c r="I859" s="293"/>
      <c r="J859" s="293"/>
      <c r="L859" s="293">
        <f t="shared" si="90"/>
        <v>0</v>
      </c>
    </row>
    <row r="860" spans="1:12" x14ac:dyDescent="0.25">
      <c r="A860" t="s">
        <v>87</v>
      </c>
      <c r="B860" s="293"/>
      <c r="C860" s="293"/>
      <c r="D860" s="293"/>
      <c r="E860" s="293"/>
      <c r="F860" s="293"/>
      <c r="G860" s="293"/>
      <c r="H860" s="293"/>
      <c r="I860" s="293"/>
      <c r="J860" s="293"/>
      <c r="L860" s="293">
        <f t="shared" si="90"/>
        <v>0</v>
      </c>
    </row>
    <row r="861" spans="1:12" x14ac:dyDescent="0.25">
      <c r="A861" t="s">
        <v>4265</v>
      </c>
      <c r="B861" s="293"/>
      <c r="C861" s="293"/>
      <c r="D861" s="293"/>
      <c r="E861" s="293"/>
      <c r="F861" s="293"/>
      <c r="G861" s="293"/>
      <c r="H861" s="293"/>
      <c r="I861" s="293"/>
      <c r="J861" s="293"/>
      <c r="L861" s="293">
        <f t="shared" si="90"/>
        <v>0</v>
      </c>
    </row>
    <row r="862" spans="1:12" x14ac:dyDescent="0.25">
      <c r="B862" s="293"/>
      <c r="C862" s="293"/>
      <c r="D862" s="293"/>
      <c r="E862" s="293"/>
      <c r="F862" s="293"/>
      <c r="G862" s="293"/>
      <c r="H862" s="293"/>
      <c r="I862" s="293"/>
      <c r="J862" s="293"/>
      <c r="L862" s="293">
        <f t="shared" si="90"/>
        <v>0</v>
      </c>
    </row>
    <row r="863" spans="1:12" x14ac:dyDescent="0.25">
      <c r="B863" s="293"/>
      <c r="C863" s="293"/>
      <c r="D863" s="293"/>
      <c r="E863" s="293"/>
      <c r="F863" s="293"/>
      <c r="G863" s="293"/>
      <c r="H863" s="293"/>
      <c r="I863" s="293"/>
      <c r="J863" s="293"/>
      <c r="L863" s="293">
        <f t="shared" si="90"/>
        <v>0</v>
      </c>
    </row>
    <row r="864" spans="1:12" x14ac:dyDescent="0.25">
      <c r="B864" s="293"/>
      <c r="C864" s="293"/>
      <c r="D864" s="293"/>
      <c r="E864" s="293"/>
      <c r="F864" s="293"/>
      <c r="G864" s="293"/>
      <c r="H864" s="293"/>
      <c r="I864" s="293"/>
      <c r="J864" s="293"/>
      <c r="L864" s="293">
        <f t="shared" si="90"/>
        <v>0</v>
      </c>
    </row>
    <row r="865" spans="1:12" x14ac:dyDescent="0.25">
      <c r="B865" s="293"/>
      <c r="C865" s="293"/>
      <c r="D865" s="293"/>
      <c r="E865" s="293"/>
      <c r="F865" s="293"/>
      <c r="G865" s="293"/>
      <c r="H865" s="293"/>
      <c r="I865" s="293"/>
      <c r="J865" s="293"/>
      <c r="L865" s="293">
        <f t="shared" si="90"/>
        <v>0</v>
      </c>
    </row>
    <row r="866" spans="1:12" x14ac:dyDescent="0.25">
      <c r="A866" t="s">
        <v>4266</v>
      </c>
      <c r="B866" s="293"/>
      <c r="C866" s="293"/>
      <c r="D866" s="293"/>
      <c r="E866" s="293"/>
      <c r="F866" s="293"/>
      <c r="G866" s="293"/>
      <c r="H866" s="293"/>
      <c r="I866" s="293"/>
      <c r="J866" s="293"/>
      <c r="L866" s="293">
        <f t="shared" si="90"/>
        <v>0</v>
      </c>
    </row>
    <row r="867" spans="1:12" x14ac:dyDescent="0.25">
      <c r="A867" t="s">
        <v>66</v>
      </c>
      <c r="B867" s="293"/>
      <c r="C867" s="293"/>
      <c r="D867" s="293"/>
      <c r="E867" s="293"/>
      <c r="F867" s="293"/>
      <c r="G867" s="293"/>
      <c r="H867" s="293"/>
      <c r="I867" s="293"/>
      <c r="J867" s="293"/>
      <c r="L867" s="293">
        <f t="shared" si="90"/>
        <v>0</v>
      </c>
    </row>
    <row r="868" spans="1:12" x14ac:dyDescent="0.25">
      <c r="B868" s="293"/>
      <c r="C868" s="293"/>
      <c r="D868" s="293"/>
      <c r="E868" s="293"/>
      <c r="F868" s="293"/>
      <c r="G868" s="293"/>
      <c r="H868" s="293"/>
      <c r="I868" s="293"/>
      <c r="J868" s="293"/>
      <c r="L868" s="293">
        <f t="shared" si="90"/>
        <v>0</v>
      </c>
    </row>
    <row r="869" spans="1:12" x14ac:dyDescent="0.25">
      <c r="B869" s="293"/>
      <c r="C869" s="293"/>
      <c r="D869" s="293"/>
      <c r="E869" s="293"/>
      <c r="F869" s="293"/>
      <c r="G869" s="293"/>
      <c r="H869" s="293"/>
      <c r="I869" s="293"/>
      <c r="J869" s="293"/>
      <c r="L869" s="293">
        <f t="shared" si="90"/>
        <v>0</v>
      </c>
    </row>
    <row r="870" spans="1:12" x14ac:dyDescent="0.25">
      <c r="B870" s="293"/>
      <c r="C870" s="293"/>
      <c r="D870" s="293"/>
      <c r="E870" s="293"/>
      <c r="F870" s="293"/>
      <c r="G870" s="293"/>
      <c r="H870" s="293"/>
      <c r="I870" s="293"/>
      <c r="J870" s="293"/>
      <c r="L870" s="293">
        <f t="shared" si="90"/>
        <v>0</v>
      </c>
    </row>
    <row r="871" spans="1:12" x14ac:dyDescent="0.25">
      <c r="B871" s="293"/>
      <c r="C871" s="293"/>
      <c r="D871" s="293"/>
      <c r="E871" s="293"/>
      <c r="F871" s="293"/>
      <c r="G871" s="293"/>
      <c r="H871" s="293"/>
      <c r="I871" s="293"/>
      <c r="J871" s="293"/>
      <c r="L871" s="293">
        <f t="shared" si="90"/>
        <v>0</v>
      </c>
    </row>
    <row r="872" spans="1:12" x14ac:dyDescent="0.25">
      <c r="A872" s="47" t="s">
        <v>4267</v>
      </c>
      <c r="B872" s="296">
        <f>SUM(B860:B871)</f>
        <v>0</v>
      </c>
      <c r="C872" s="296">
        <f t="shared" ref="C872:J872" si="95">SUM(C860:C871)</f>
        <v>0</v>
      </c>
      <c r="D872" s="296">
        <f t="shared" si="95"/>
        <v>0</v>
      </c>
      <c r="E872" s="296">
        <f t="shared" si="95"/>
        <v>0</v>
      </c>
      <c r="F872" s="296">
        <f t="shared" si="95"/>
        <v>0</v>
      </c>
      <c r="G872" s="296">
        <f t="shared" si="95"/>
        <v>0</v>
      </c>
      <c r="H872" s="296">
        <f t="shared" si="95"/>
        <v>0</v>
      </c>
      <c r="I872" s="296">
        <f t="shared" si="95"/>
        <v>0</v>
      </c>
      <c r="J872" s="296">
        <f t="shared" si="95"/>
        <v>0</v>
      </c>
      <c r="L872" s="293">
        <f t="shared" si="90"/>
        <v>0</v>
      </c>
    </row>
    <row r="873" spans="1:12" x14ac:dyDescent="0.25">
      <c r="B873" s="293"/>
      <c r="C873" s="293"/>
      <c r="D873" s="293"/>
      <c r="E873" s="293"/>
      <c r="F873" s="293"/>
      <c r="G873" s="293"/>
      <c r="H873" s="293"/>
      <c r="I873" s="293"/>
      <c r="J873" s="293"/>
      <c r="L873" s="293">
        <f t="shared" si="90"/>
        <v>0</v>
      </c>
    </row>
    <row r="874" spans="1:12" ht="15.75" thickBot="1" x14ac:dyDescent="0.3">
      <c r="A874" s="47" t="s">
        <v>4268</v>
      </c>
      <c r="B874" s="301">
        <f>B857-B872</f>
        <v>300</v>
      </c>
      <c r="C874" s="301">
        <f t="shared" ref="C874:J874" si="96">C857-C872</f>
        <v>300</v>
      </c>
      <c r="D874" s="301">
        <f t="shared" si="96"/>
        <v>200</v>
      </c>
      <c r="E874" s="301">
        <f t="shared" si="96"/>
        <v>200</v>
      </c>
      <c r="F874" s="301">
        <f t="shared" si="96"/>
        <v>200</v>
      </c>
      <c r="G874" s="301">
        <f t="shared" si="96"/>
        <v>200</v>
      </c>
      <c r="H874" s="301">
        <f t="shared" si="96"/>
        <v>200</v>
      </c>
      <c r="I874" s="301">
        <f t="shared" si="96"/>
        <v>200</v>
      </c>
      <c r="J874" s="301">
        <f t="shared" si="96"/>
        <v>200</v>
      </c>
      <c r="L874" s="293"/>
    </row>
    <row r="875" spans="1:12" ht="15.75" thickTop="1" x14ac:dyDescent="0.25">
      <c r="B875" s="293"/>
      <c r="C875" s="293"/>
      <c r="D875" s="293"/>
      <c r="E875" s="293"/>
      <c r="F875" s="293"/>
      <c r="G875" s="293"/>
      <c r="H875" s="293"/>
      <c r="I875" s="293"/>
      <c r="J875" s="293"/>
      <c r="L875" s="293">
        <f t="shared" si="90"/>
        <v>0</v>
      </c>
    </row>
    <row r="876" spans="1:12" x14ac:dyDescent="0.25">
      <c r="A876" s="281"/>
      <c r="B876" s="316"/>
      <c r="C876" s="316"/>
      <c r="D876" s="316"/>
      <c r="E876" s="316"/>
      <c r="F876" s="316"/>
      <c r="G876" s="316"/>
      <c r="H876" s="316"/>
      <c r="I876" s="316"/>
      <c r="J876" s="316"/>
      <c r="L876" s="293">
        <f t="shared" ref="L876:L939" si="97">J876</f>
        <v>0</v>
      </c>
    </row>
    <row r="877" spans="1:12" x14ac:dyDescent="0.25">
      <c r="B877" s="293"/>
      <c r="C877" s="293"/>
      <c r="D877" s="293"/>
      <c r="E877" s="293"/>
      <c r="F877" s="293"/>
      <c r="G877" s="293"/>
      <c r="H877" s="293"/>
      <c r="I877" s="293"/>
      <c r="J877" s="293"/>
      <c r="L877" s="293">
        <f t="shared" si="97"/>
        <v>0</v>
      </c>
    </row>
    <row r="878" spans="1:12" x14ac:dyDescent="0.25">
      <c r="A878" s="280" t="s">
        <v>4347</v>
      </c>
      <c r="B878" s="293"/>
      <c r="C878" s="293"/>
      <c r="D878" s="293"/>
      <c r="E878" s="293"/>
      <c r="F878" s="293"/>
      <c r="G878" s="293"/>
      <c r="H878" s="293"/>
      <c r="I878" s="293"/>
      <c r="J878" s="293"/>
      <c r="L878" s="293">
        <f t="shared" si="97"/>
        <v>0</v>
      </c>
    </row>
    <row r="879" spans="1:12" x14ac:dyDescent="0.25">
      <c r="B879" s="293"/>
      <c r="C879" s="293"/>
      <c r="D879" s="293"/>
      <c r="E879" s="293"/>
      <c r="F879" s="293"/>
      <c r="G879" s="293"/>
      <c r="H879" s="293"/>
      <c r="I879" s="293"/>
      <c r="J879" s="293"/>
      <c r="L879" s="293">
        <f t="shared" si="97"/>
        <v>0</v>
      </c>
    </row>
    <row r="880" spans="1:12" x14ac:dyDescent="0.25">
      <c r="A880" s="47" t="s">
        <v>4260</v>
      </c>
      <c r="B880" s="293"/>
      <c r="C880" s="293"/>
      <c r="D880" s="293"/>
      <c r="E880" s="293"/>
      <c r="F880" s="293"/>
      <c r="G880" s="293"/>
      <c r="H880" s="293"/>
      <c r="I880" s="293"/>
      <c r="J880" s="293"/>
      <c r="L880" s="293">
        <f t="shared" si="97"/>
        <v>0</v>
      </c>
    </row>
    <row r="881" spans="1:12" x14ac:dyDescent="0.25">
      <c r="A881" t="s">
        <v>4262</v>
      </c>
      <c r="B881" s="293"/>
      <c r="C881" s="293"/>
      <c r="D881" s="293"/>
      <c r="E881" s="293"/>
      <c r="F881" s="293"/>
      <c r="G881" s="293"/>
      <c r="H881" s="293"/>
      <c r="I881" s="293"/>
      <c r="J881" s="293"/>
      <c r="L881" s="293">
        <f t="shared" si="97"/>
        <v>0</v>
      </c>
    </row>
    <row r="882" spans="1:12" x14ac:dyDescent="0.25">
      <c r="A882" t="s">
        <v>4261</v>
      </c>
      <c r="B882" s="293">
        <f>capitalrevdata!F31</f>
        <v>4400</v>
      </c>
      <c r="C882" s="293">
        <f>capitalrevdata!G31</f>
        <v>3500</v>
      </c>
      <c r="D882" s="293">
        <f>capitalrevdata!H31</f>
        <v>2900</v>
      </c>
      <c r="E882" s="293">
        <f>capitalrevdata!I31</f>
        <v>2900</v>
      </c>
      <c r="F882" s="293">
        <f>capitalrevdata!J31</f>
        <v>2900</v>
      </c>
      <c r="G882" s="293">
        <f>capitalrevdata!K31</f>
        <v>2400</v>
      </c>
      <c r="H882" s="293">
        <f>capitalrevdata!L31</f>
        <v>2400</v>
      </c>
      <c r="I882" s="293">
        <f>capitalrevdata!M31</f>
        <v>2400</v>
      </c>
      <c r="J882" s="293">
        <f>capitalrevdata!N31</f>
        <v>2400</v>
      </c>
      <c r="L882" s="293">
        <f t="shared" si="97"/>
        <v>2400</v>
      </c>
    </row>
    <row r="883" spans="1:12" x14ac:dyDescent="0.25">
      <c r="A883" t="s">
        <v>66</v>
      </c>
      <c r="B883" s="293"/>
      <c r="C883" s="293"/>
      <c r="D883" s="293"/>
      <c r="E883" s="293"/>
      <c r="F883" s="293"/>
      <c r="G883" s="293"/>
      <c r="H883" s="293"/>
      <c r="I883" s="293"/>
      <c r="J883" s="293"/>
      <c r="L883" s="293">
        <f t="shared" si="97"/>
        <v>0</v>
      </c>
    </row>
    <row r="884" spans="1:12" x14ac:dyDescent="0.25">
      <c r="B884" s="293"/>
      <c r="C884" s="293"/>
      <c r="D884" s="293"/>
      <c r="E884" s="293"/>
      <c r="F884" s="293"/>
      <c r="G884" s="293"/>
      <c r="H884" s="293"/>
      <c r="I884" s="293"/>
      <c r="J884" s="293"/>
      <c r="L884" s="293">
        <f t="shared" si="97"/>
        <v>0</v>
      </c>
    </row>
    <row r="885" spans="1:12" x14ac:dyDescent="0.25">
      <c r="B885" s="293"/>
      <c r="C885" s="293"/>
      <c r="D885" s="293"/>
      <c r="E885" s="293"/>
      <c r="F885" s="293"/>
      <c r="G885" s="293"/>
      <c r="H885" s="293"/>
      <c r="I885" s="293"/>
      <c r="J885" s="293"/>
      <c r="L885" s="293">
        <f t="shared" si="97"/>
        <v>0</v>
      </c>
    </row>
    <row r="886" spans="1:12" x14ac:dyDescent="0.25">
      <c r="B886" s="293"/>
      <c r="C886" s="293"/>
      <c r="D886" s="293"/>
      <c r="E886" s="293"/>
      <c r="F886" s="293"/>
      <c r="G886" s="293"/>
      <c r="H886" s="293"/>
      <c r="I886" s="293"/>
      <c r="J886" s="293"/>
      <c r="L886" s="293">
        <f t="shared" si="97"/>
        <v>0</v>
      </c>
    </row>
    <row r="887" spans="1:12" x14ac:dyDescent="0.25">
      <c r="B887" s="293"/>
      <c r="C887" s="293"/>
      <c r="D887" s="293"/>
      <c r="E887" s="293"/>
      <c r="F887" s="293"/>
      <c r="G887" s="293"/>
      <c r="H887" s="293"/>
      <c r="I887" s="293"/>
      <c r="J887" s="293"/>
      <c r="L887" s="293">
        <f t="shared" si="97"/>
        <v>0</v>
      </c>
    </row>
    <row r="888" spans="1:12" x14ac:dyDescent="0.25">
      <c r="A888" s="47" t="s">
        <v>4263</v>
      </c>
      <c r="B888" s="296">
        <f>SUM(B878:B887)</f>
        <v>4400</v>
      </c>
      <c r="C888" s="296">
        <f t="shared" ref="C888:J888" si="98">SUM(C878:C887)</f>
        <v>3500</v>
      </c>
      <c r="D888" s="296">
        <f t="shared" si="98"/>
        <v>2900</v>
      </c>
      <c r="E888" s="296">
        <f t="shared" si="98"/>
        <v>2900</v>
      </c>
      <c r="F888" s="296">
        <f t="shared" si="98"/>
        <v>2900</v>
      </c>
      <c r="G888" s="296">
        <f t="shared" si="98"/>
        <v>2400</v>
      </c>
      <c r="H888" s="296">
        <f t="shared" si="98"/>
        <v>2400</v>
      </c>
      <c r="I888" s="296">
        <f t="shared" si="98"/>
        <v>2400</v>
      </c>
      <c r="J888" s="296">
        <f t="shared" si="98"/>
        <v>2400</v>
      </c>
      <c r="L888" s="293"/>
    </row>
    <row r="889" spans="1:12" x14ac:dyDescent="0.25">
      <c r="B889" s="293"/>
      <c r="C889" s="293"/>
      <c r="D889" s="293"/>
      <c r="E889" s="293"/>
      <c r="F889" s="293"/>
      <c r="G889" s="293"/>
      <c r="H889" s="293"/>
      <c r="I889" s="293"/>
      <c r="J889" s="293"/>
      <c r="L889" s="293">
        <f t="shared" si="97"/>
        <v>0</v>
      </c>
    </row>
    <row r="890" spans="1:12" x14ac:dyDescent="0.25">
      <c r="A890" s="47" t="s">
        <v>4264</v>
      </c>
      <c r="B890" s="293"/>
      <c r="C890" s="293"/>
      <c r="D890" s="293"/>
      <c r="E890" s="293"/>
      <c r="F890" s="293"/>
      <c r="G890" s="293"/>
      <c r="H890" s="293"/>
      <c r="I890" s="293"/>
      <c r="J890" s="293"/>
      <c r="L890" s="293">
        <f t="shared" si="97"/>
        <v>0</v>
      </c>
    </row>
    <row r="891" spans="1:12" x14ac:dyDescent="0.25">
      <c r="A891" t="s">
        <v>87</v>
      </c>
      <c r="B891" s="293"/>
      <c r="C891" s="293"/>
      <c r="D891" s="293"/>
      <c r="E891" s="293"/>
      <c r="F891" s="293"/>
      <c r="G891" s="293"/>
      <c r="H891" s="293"/>
      <c r="I891" s="293"/>
      <c r="J891" s="293"/>
      <c r="L891" s="293">
        <f t="shared" si="97"/>
        <v>0</v>
      </c>
    </row>
    <row r="892" spans="1:12" x14ac:dyDescent="0.25">
      <c r="A892" t="s">
        <v>4265</v>
      </c>
      <c r="B892" s="293"/>
      <c r="C892" s="293"/>
      <c r="D892" s="293"/>
      <c r="E892" s="293"/>
      <c r="F892" s="293"/>
      <c r="G892" s="293"/>
      <c r="H892" s="293"/>
      <c r="I892" s="293"/>
      <c r="J892" s="293"/>
      <c r="L892" s="293">
        <f t="shared" si="97"/>
        <v>0</v>
      </c>
    </row>
    <row r="893" spans="1:12" x14ac:dyDescent="0.25">
      <c r="B893" s="293"/>
      <c r="C893" s="293"/>
      <c r="D893" s="293"/>
      <c r="E893" s="293"/>
      <c r="F893" s="293"/>
      <c r="G893" s="293"/>
      <c r="H893" s="293"/>
      <c r="I893" s="293"/>
      <c r="J893" s="293"/>
      <c r="L893" s="293">
        <f t="shared" si="97"/>
        <v>0</v>
      </c>
    </row>
    <row r="894" spans="1:12" x14ac:dyDescent="0.25">
      <c r="B894" s="293"/>
      <c r="C894" s="293"/>
      <c r="D894" s="293"/>
      <c r="E894" s="293"/>
      <c r="F894" s="293"/>
      <c r="G894" s="293"/>
      <c r="H894" s="293"/>
      <c r="I894" s="293"/>
      <c r="J894" s="293"/>
      <c r="L894" s="293">
        <f t="shared" si="97"/>
        <v>0</v>
      </c>
    </row>
    <row r="895" spans="1:12" x14ac:dyDescent="0.25">
      <c r="B895" s="293"/>
      <c r="C895" s="293"/>
      <c r="D895" s="293"/>
      <c r="E895" s="293"/>
      <c r="F895" s="293"/>
      <c r="G895" s="293"/>
      <c r="H895" s="293"/>
      <c r="I895" s="293"/>
      <c r="J895" s="293"/>
      <c r="L895" s="293">
        <f t="shared" si="97"/>
        <v>0</v>
      </c>
    </row>
    <row r="896" spans="1:12" x14ac:dyDescent="0.25">
      <c r="B896" s="293"/>
      <c r="C896" s="293"/>
      <c r="D896" s="293"/>
      <c r="E896" s="293"/>
      <c r="F896" s="293"/>
      <c r="G896" s="293"/>
      <c r="H896" s="293"/>
      <c r="I896" s="293"/>
      <c r="J896" s="293"/>
      <c r="L896" s="293">
        <f t="shared" si="97"/>
        <v>0</v>
      </c>
    </row>
    <row r="897" spans="1:12" x14ac:dyDescent="0.25">
      <c r="A897" t="s">
        <v>4266</v>
      </c>
      <c r="B897" s="293"/>
      <c r="C897" s="293"/>
      <c r="D897" s="293"/>
      <c r="E897" s="293"/>
      <c r="F897" s="293"/>
      <c r="G897" s="293"/>
      <c r="H897" s="293"/>
      <c r="I897" s="293"/>
      <c r="J897" s="293"/>
      <c r="L897" s="293">
        <f t="shared" si="97"/>
        <v>0</v>
      </c>
    </row>
    <row r="898" spans="1:12" x14ac:dyDescent="0.25">
      <c r="A898" t="s">
        <v>66</v>
      </c>
      <c r="B898" s="293"/>
      <c r="C898" s="293"/>
      <c r="D898" s="293"/>
      <c r="E898" s="293"/>
      <c r="F898" s="293"/>
      <c r="G898" s="293"/>
      <c r="H898" s="293"/>
      <c r="I898" s="293"/>
      <c r="J898" s="293"/>
      <c r="L898" s="293">
        <f t="shared" si="97"/>
        <v>0</v>
      </c>
    </row>
    <row r="899" spans="1:12" x14ac:dyDescent="0.25">
      <c r="B899" s="293"/>
      <c r="C899" s="293"/>
      <c r="D899" s="293"/>
      <c r="E899" s="293"/>
      <c r="F899" s="293"/>
      <c r="G899" s="293"/>
      <c r="H899" s="293"/>
      <c r="I899" s="293"/>
      <c r="J899" s="293"/>
      <c r="L899" s="293">
        <f t="shared" si="97"/>
        <v>0</v>
      </c>
    </row>
    <row r="900" spans="1:12" x14ac:dyDescent="0.25">
      <c r="B900" s="293"/>
      <c r="C900" s="293"/>
      <c r="D900" s="293"/>
      <c r="E900" s="293"/>
      <c r="F900" s="293"/>
      <c r="G900" s="293"/>
      <c r="H900" s="293"/>
      <c r="I900" s="293"/>
      <c r="J900" s="293"/>
      <c r="L900" s="293">
        <f t="shared" si="97"/>
        <v>0</v>
      </c>
    </row>
    <row r="901" spans="1:12" x14ac:dyDescent="0.25">
      <c r="B901" s="293"/>
      <c r="C901" s="293"/>
      <c r="D901" s="293"/>
      <c r="E901" s="293"/>
      <c r="F901" s="293"/>
      <c r="G901" s="293"/>
      <c r="H901" s="293"/>
      <c r="I901" s="293"/>
      <c r="J901" s="293"/>
      <c r="L901" s="293">
        <f t="shared" si="97"/>
        <v>0</v>
      </c>
    </row>
    <row r="902" spans="1:12" x14ac:dyDescent="0.25">
      <c r="B902" s="293"/>
      <c r="C902" s="293"/>
      <c r="D902" s="293"/>
      <c r="E902" s="293"/>
      <c r="F902" s="293"/>
      <c r="G902" s="293"/>
      <c r="H902" s="293"/>
      <c r="I902" s="293"/>
      <c r="J902" s="293"/>
      <c r="L902" s="293">
        <f t="shared" si="97"/>
        <v>0</v>
      </c>
    </row>
    <row r="903" spans="1:12" x14ac:dyDescent="0.25">
      <c r="A903" s="47" t="s">
        <v>4267</v>
      </c>
      <c r="B903" s="296">
        <f>SUM(B891:B902)</f>
        <v>0</v>
      </c>
      <c r="C903" s="296">
        <f t="shared" ref="C903:J903" si="99">SUM(C891:C902)</f>
        <v>0</v>
      </c>
      <c r="D903" s="296">
        <f t="shared" si="99"/>
        <v>0</v>
      </c>
      <c r="E903" s="296">
        <f t="shared" si="99"/>
        <v>0</v>
      </c>
      <c r="F903" s="296">
        <f t="shared" si="99"/>
        <v>0</v>
      </c>
      <c r="G903" s="296">
        <f t="shared" si="99"/>
        <v>0</v>
      </c>
      <c r="H903" s="296">
        <f t="shared" si="99"/>
        <v>0</v>
      </c>
      <c r="I903" s="296">
        <f t="shared" si="99"/>
        <v>0</v>
      </c>
      <c r="J903" s="296">
        <f t="shared" si="99"/>
        <v>0</v>
      </c>
      <c r="L903" s="293">
        <f t="shared" si="97"/>
        <v>0</v>
      </c>
    </row>
    <row r="904" spans="1:12" x14ac:dyDescent="0.25">
      <c r="B904" s="293"/>
      <c r="C904" s="293"/>
      <c r="D904" s="293"/>
      <c r="E904" s="293"/>
      <c r="F904" s="293"/>
      <c r="G904" s="293"/>
      <c r="H904" s="293"/>
      <c r="I904" s="293"/>
      <c r="J904" s="293"/>
      <c r="L904" s="293">
        <f t="shared" si="97"/>
        <v>0</v>
      </c>
    </row>
    <row r="905" spans="1:12" ht="15.75" thickBot="1" x14ac:dyDescent="0.3">
      <c r="A905" s="47" t="s">
        <v>4268</v>
      </c>
      <c r="B905" s="301">
        <f>B888-B903</f>
        <v>4400</v>
      </c>
      <c r="C905" s="301">
        <f t="shared" ref="C905:J905" si="100">C888-C903</f>
        <v>3500</v>
      </c>
      <c r="D905" s="301">
        <f t="shared" si="100"/>
        <v>2900</v>
      </c>
      <c r="E905" s="301">
        <f t="shared" si="100"/>
        <v>2900</v>
      </c>
      <c r="F905" s="301">
        <f t="shared" si="100"/>
        <v>2900</v>
      </c>
      <c r="G905" s="301">
        <f t="shared" si="100"/>
        <v>2400</v>
      </c>
      <c r="H905" s="301">
        <f t="shared" si="100"/>
        <v>2400</v>
      </c>
      <c r="I905" s="301">
        <f t="shared" si="100"/>
        <v>2400</v>
      </c>
      <c r="J905" s="301">
        <f t="shared" si="100"/>
        <v>2400</v>
      </c>
      <c r="L905" s="293"/>
    </row>
    <row r="906" spans="1:12" ht="15.75" thickTop="1" x14ac:dyDescent="0.25">
      <c r="B906" s="293"/>
      <c r="C906" s="293"/>
      <c r="D906" s="293"/>
      <c r="E906" s="293"/>
      <c r="F906" s="293"/>
      <c r="G906" s="293"/>
      <c r="H906" s="293"/>
      <c r="I906" s="293"/>
      <c r="J906" s="293"/>
      <c r="L906" s="293">
        <f t="shared" si="97"/>
        <v>0</v>
      </c>
    </row>
    <row r="907" spans="1:12" x14ac:dyDescent="0.25">
      <c r="A907" s="281"/>
      <c r="B907" s="316"/>
      <c r="C907" s="316"/>
      <c r="D907" s="316"/>
      <c r="E907" s="316"/>
      <c r="F907" s="316"/>
      <c r="G907" s="316"/>
      <c r="H907" s="316"/>
      <c r="I907" s="316"/>
      <c r="J907" s="316"/>
      <c r="L907" s="293">
        <f t="shared" si="97"/>
        <v>0</v>
      </c>
    </row>
    <row r="908" spans="1:12" x14ac:dyDescent="0.25">
      <c r="B908" s="293"/>
      <c r="C908" s="293"/>
      <c r="D908" s="293"/>
      <c r="E908" s="293"/>
      <c r="F908" s="293"/>
      <c r="G908" s="293"/>
      <c r="H908" s="293"/>
      <c r="I908" s="293"/>
      <c r="J908" s="293"/>
      <c r="L908" s="293">
        <f t="shared" si="97"/>
        <v>0</v>
      </c>
    </row>
    <row r="909" spans="1:12" x14ac:dyDescent="0.25">
      <c r="A909" s="280" t="s">
        <v>4348</v>
      </c>
      <c r="B909" s="293"/>
      <c r="C909" s="293"/>
      <c r="D909" s="293"/>
      <c r="E909" s="293"/>
      <c r="F909" s="293"/>
      <c r="G909" s="293"/>
      <c r="H909" s="293"/>
      <c r="I909" s="293"/>
      <c r="J909" s="293"/>
      <c r="L909" s="293">
        <f t="shared" si="97"/>
        <v>0</v>
      </c>
    </row>
    <row r="910" spans="1:12" x14ac:dyDescent="0.25">
      <c r="B910" s="293"/>
      <c r="C910" s="293"/>
      <c r="D910" s="293"/>
      <c r="E910" s="293"/>
      <c r="F910" s="293"/>
      <c r="G910" s="293"/>
      <c r="H910" s="293"/>
      <c r="I910" s="293"/>
      <c r="J910" s="293"/>
      <c r="L910" s="293">
        <f t="shared" si="97"/>
        <v>0</v>
      </c>
    </row>
    <row r="911" spans="1:12" x14ac:dyDescent="0.25">
      <c r="A911" s="47" t="s">
        <v>4260</v>
      </c>
      <c r="B911" s="293"/>
      <c r="C911" s="293"/>
      <c r="D911" s="293"/>
      <c r="E911" s="293"/>
      <c r="F911" s="293"/>
      <c r="G911" s="293"/>
      <c r="H911" s="293"/>
      <c r="I911" s="293"/>
      <c r="J911" s="293"/>
      <c r="L911" s="293">
        <f t="shared" si="97"/>
        <v>0</v>
      </c>
    </row>
    <row r="912" spans="1:12" x14ac:dyDescent="0.25">
      <c r="A912" t="s">
        <v>4262</v>
      </c>
      <c r="B912" s="293"/>
      <c r="C912" s="293"/>
      <c r="D912" s="293"/>
      <c r="E912" s="293"/>
      <c r="F912" s="293"/>
      <c r="G912" s="293"/>
      <c r="H912" s="293"/>
      <c r="I912" s="293"/>
      <c r="J912" s="293"/>
      <c r="L912" s="293">
        <f t="shared" si="97"/>
        <v>0</v>
      </c>
    </row>
    <row r="913" spans="1:12" x14ac:dyDescent="0.25">
      <c r="A913" t="s">
        <v>4261</v>
      </c>
      <c r="B913" s="293">
        <f>capitalrevdata!F32</f>
        <v>800</v>
      </c>
      <c r="C913" s="293">
        <f>capitalrevdata!G32</f>
        <v>600</v>
      </c>
      <c r="D913" s="293">
        <f>capitalrevdata!H32</f>
        <v>500</v>
      </c>
      <c r="E913" s="293">
        <f>capitalrevdata!I32</f>
        <v>500</v>
      </c>
      <c r="F913" s="293">
        <f>capitalrevdata!J32</f>
        <v>500</v>
      </c>
      <c r="G913" s="293">
        <f>capitalrevdata!K32</f>
        <v>400</v>
      </c>
      <c r="H913" s="293">
        <f>capitalrevdata!L32</f>
        <v>400</v>
      </c>
      <c r="I913" s="293">
        <f>capitalrevdata!M32</f>
        <v>400</v>
      </c>
      <c r="J913" s="293">
        <f>capitalrevdata!N32</f>
        <v>400</v>
      </c>
      <c r="L913" s="293">
        <f t="shared" si="97"/>
        <v>400</v>
      </c>
    </row>
    <row r="914" spans="1:12" x14ac:dyDescent="0.25">
      <c r="A914" t="s">
        <v>66</v>
      </c>
      <c r="B914" s="293"/>
      <c r="C914" s="293"/>
      <c r="D914" s="293"/>
      <c r="E914" s="293"/>
      <c r="F914" s="293"/>
      <c r="G914" s="293"/>
      <c r="H914" s="293"/>
      <c r="I914" s="293"/>
      <c r="J914" s="293"/>
      <c r="L914" s="293">
        <f t="shared" si="97"/>
        <v>0</v>
      </c>
    </row>
    <row r="915" spans="1:12" x14ac:dyDescent="0.25">
      <c r="B915" s="293"/>
      <c r="C915" s="293"/>
      <c r="D915" s="293"/>
      <c r="E915" s="293"/>
      <c r="F915" s="293"/>
      <c r="G915" s="293"/>
      <c r="H915" s="293"/>
      <c r="I915" s="293"/>
      <c r="J915" s="293"/>
      <c r="L915" s="293">
        <f t="shared" si="97"/>
        <v>0</v>
      </c>
    </row>
    <row r="916" spans="1:12" x14ac:dyDescent="0.25">
      <c r="B916" s="293"/>
      <c r="C916" s="293"/>
      <c r="D916" s="293"/>
      <c r="E916" s="293"/>
      <c r="F916" s="293"/>
      <c r="G916" s="293"/>
      <c r="H916" s="293"/>
      <c r="I916" s="293"/>
      <c r="J916" s="293"/>
      <c r="L916" s="293">
        <f t="shared" si="97"/>
        <v>0</v>
      </c>
    </row>
    <row r="917" spans="1:12" x14ac:dyDescent="0.25">
      <c r="B917" s="293"/>
      <c r="C917" s="293"/>
      <c r="D917" s="293"/>
      <c r="E917" s="293"/>
      <c r="F917" s="293"/>
      <c r="G917" s="293"/>
      <c r="H917" s="293"/>
      <c r="I917" s="293"/>
      <c r="J917" s="293"/>
      <c r="L917" s="293">
        <f t="shared" si="97"/>
        <v>0</v>
      </c>
    </row>
    <row r="918" spans="1:12" x14ac:dyDescent="0.25">
      <c r="B918" s="293"/>
      <c r="C918" s="293"/>
      <c r="D918" s="293"/>
      <c r="E918" s="293"/>
      <c r="F918" s="293"/>
      <c r="G918" s="293"/>
      <c r="H918" s="293"/>
      <c r="I918" s="293"/>
      <c r="J918" s="293"/>
      <c r="L918" s="293">
        <f t="shared" si="97"/>
        <v>0</v>
      </c>
    </row>
    <row r="919" spans="1:12" x14ac:dyDescent="0.25">
      <c r="A919" s="47" t="s">
        <v>4263</v>
      </c>
      <c r="B919" s="296">
        <f>SUM(B909:B918)</f>
        <v>800</v>
      </c>
      <c r="C919" s="296">
        <f t="shared" ref="C919:J919" si="101">SUM(C909:C918)</f>
        <v>600</v>
      </c>
      <c r="D919" s="296">
        <f t="shared" si="101"/>
        <v>500</v>
      </c>
      <c r="E919" s="296">
        <f t="shared" si="101"/>
        <v>500</v>
      </c>
      <c r="F919" s="296">
        <f t="shared" si="101"/>
        <v>500</v>
      </c>
      <c r="G919" s="296">
        <f t="shared" si="101"/>
        <v>400</v>
      </c>
      <c r="H919" s="296">
        <f t="shared" si="101"/>
        <v>400</v>
      </c>
      <c r="I919" s="296">
        <f t="shared" si="101"/>
        <v>400</v>
      </c>
      <c r="J919" s="296">
        <f t="shared" si="101"/>
        <v>400</v>
      </c>
      <c r="L919" s="293"/>
    </row>
    <row r="920" spans="1:12" x14ac:dyDescent="0.25">
      <c r="B920" s="293"/>
      <c r="C920" s="293"/>
      <c r="D920" s="293"/>
      <c r="E920" s="293"/>
      <c r="F920" s="293"/>
      <c r="G920" s="293"/>
      <c r="H920" s="293"/>
      <c r="I920" s="293"/>
      <c r="J920" s="293"/>
      <c r="L920" s="293">
        <f t="shared" si="97"/>
        <v>0</v>
      </c>
    </row>
    <row r="921" spans="1:12" x14ac:dyDescent="0.25">
      <c r="A921" s="47" t="s">
        <v>4264</v>
      </c>
      <c r="B921" s="293"/>
      <c r="C921" s="293"/>
      <c r="D921" s="293"/>
      <c r="E921" s="293"/>
      <c r="F921" s="293"/>
      <c r="G921" s="293"/>
      <c r="H921" s="293"/>
      <c r="I921" s="293"/>
      <c r="J921" s="293"/>
      <c r="L921" s="293">
        <f t="shared" si="97"/>
        <v>0</v>
      </c>
    </row>
    <row r="922" spans="1:12" x14ac:dyDescent="0.25">
      <c r="A922" t="s">
        <v>87</v>
      </c>
      <c r="B922" s="293"/>
      <c r="C922" s="293"/>
      <c r="D922" s="293"/>
      <c r="E922" s="293"/>
      <c r="F922" s="293"/>
      <c r="G922" s="293"/>
      <c r="H922" s="293"/>
      <c r="I922" s="293"/>
      <c r="J922" s="293"/>
      <c r="L922" s="293">
        <f t="shared" si="97"/>
        <v>0</v>
      </c>
    </row>
    <row r="923" spans="1:12" x14ac:dyDescent="0.25">
      <c r="A923" t="s">
        <v>4265</v>
      </c>
      <c r="B923" s="293"/>
      <c r="C923" s="293"/>
      <c r="D923" s="293"/>
      <c r="E923" s="293"/>
      <c r="F923" s="293"/>
      <c r="G923" s="293"/>
      <c r="H923" s="293"/>
      <c r="I923" s="293"/>
      <c r="J923" s="293"/>
      <c r="L923" s="293">
        <f t="shared" si="97"/>
        <v>0</v>
      </c>
    </row>
    <row r="924" spans="1:12" x14ac:dyDescent="0.25">
      <c r="B924" s="293"/>
      <c r="C924" s="293"/>
      <c r="D924" s="293"/>
      <c r="E924" s="293"/>
      <c r="F924" s="293"/>
      <c r="G924" s="293"/>
      <c r="H924" s="293"/>
      <c r="I924" s="293"/>
      <c r="J924" s="293"/>
      <c r="L924" s="293">
        <f t="shared" si="97"/>
        <v>0</v>
      </c>
    </row>
    <row r="925" spans="1:12" x14ac:dyDescent="0.25">
      <c r="B925" s="293"/>
      <c r="C925" s="293"/>
      <c r="D925" s="293"/>
      <c r="E925" s="293"/>
      <c r="F925" s="293"/>
      <c r="G925" s="293"/>
      <c r="H925" s="293"/>
      <c r="I925" s="293"/>
      <c r="J925" s="293"/>
      <c r="L925" s="293">
        <f t="shared" si="97"/>
        <v>0</v>
      </c>
    </row>
    <row r="926" spans="1:12" x14ac:dyDescent="0.25">
      <c r="B926" s="293"/>
      <c r="C926" s="293"/>
      <c r="D926" s="293"/>
      <c r="E926" s="293"/>
      <c r="F926" s="293"/>
      <c r="G926" s="293"/>
      <c r="H926" s="293"/>
      <c r="I926" s="293"/>
      <c r="J926" s="293"/>
      <c r="L926" s="293">
        <f t="shared" si="97"/>
        <v>0</v>
      </c>
    </row>
    <row r="927" spans="1:12" x14ac:dyDescent="0.25">
      <c r="B927" s="293"/>
      <c r="C927" s="293"/>
      <c r="D927" s="293"/>
      <c r="E927" s="293"/>
      <c r="F927" s="293"/>
      <c r="G927" s="293"/>
      <c r="H927" s="293"/>
      <c r="I927" s="293"/>
      <c r="J927" s="293"/>
      <c r="L927" s="293">
        <f t="shared" si="97"/>
        <v>0</v>
      </c>
    </row>
    <row r="928" spans="1:12" x14ac:dyDescent="0.25">
      <c r="A928" t="s">
        <v>4266</v>
      </c>
      <c r="B928" s="293"/>
      <c r="C928" s="293"/>
      <c r="D928" s="293"/>
      <c r="E928" s="293"/>
      <c r="F928" s="293"/>
      <c r="G928" s="293"/>
      <c r="H928" s="293"/>
      <c r="I928" s="293"/>
      <c r="J928" s="293"/>
      <c r="L928" s="293">
        <f t="shared" si="97"/>
        <v>0</v>
      </c>
    </row>
    <row r="929" spans="1:12" x14ac:dyDescent="0.25">
      <c r="A929" t="s">
        <v>66</v>
      </c>
      <c r="B929" s="293"/>
      <c r="C929" s="293"/>
      <c r="D929" s="293"/>
      <c r="E929" s="293"/>
      <c r="F929" s="293"/>
      <c r="G929" s="293"/>
      <c r="H929" s="293"/>
      <c r="I929" s="293"/>
      <c r="J929" s="293"/>
      <c r="L929" s="293">
        <f t="shared" si="97"/>
        <v>0</v>
      </c>
    </row>
    <row r="930" spans="1:12" x14ac:dyDescent="0.25">
      <c r="B930" s="293"/>
      <c r="C930" s="293"/>
      <c r="D930" s="293"/>
      <c r="E930" s="293"/>
      <c r="F930" s="293"/>
      <c r="G930" s="293"/>
      <c r="H930" s="293"/>
      <c r="I930" s="293"/>
      <c r="J930" s="293"/>
      <c r="L930" s="293">
        <f t="shared" si="97"/>
        <v>0</v>
      </c>
    </row>
    <row r="931" spans="1:12" x14ac:dyDescent="0.25">
      <c r="B931" s="293"/>
      <c r="C931" s="293"/>
      <c r="D931" s="293"/>
      <c r="E931" s="293"/>
      <c r="F931" s="293"/>
      <c r="G931" s="293"/>
      <c r="H931" s="293"/>
      <c r="I931" s="293"/>
      <c r="J931" s="293"/>
      <c r="L931" s="293">
        <f t="shared" si="97"/>
        <v>0</v>
      </c>
    </row>
    <row r="932" spans="1:12" x14ac:dyDescent="0.25">
      <c r="B932" s="293"/>
      <c r="C932" s="293"/>
      <c r="D932" s="293"/>
      <c r="E932" s="293"/>
      <c r="F932" s="293"/>
      <c r="G932" s="293"/>
      <c r="H932" s="293"/>
      <c r="I932" s="293"/>
      <c r="J932" s="293"/>
      <c r="L932" s="293">
        <f t="shared" si="97"/>
        <v>0</v>
      </c>
    </row>
    <row r="933" spans="1:12" x14ac:dyDescent="0.25">
      <c r="B933" s="293"/>
      <c r="C933" s="293"/>
      <c r="D933" s="293"/>
      <c r="E933" s="293"/>
      <c r="F933" s="293"/>
      <c r="G933" s="293"/>
      <c r="H933" s="293"/>
      <c r="I933" s="293"/>
      <c r="J933" s="293"/>
      <c r="L933" s="293">
        <f t="shared" si="97"/>
        <v>0</v>
      </c>
    </row>
    <row r="934" spans="1:12" x14ac:dyDescent="0.25">
      <c r="A934" s="47" t="s">
        <v>4267</v>
      </c>
      <c r="B934" s="296">
        <f>SUM(B922:B933)</f>
        <v>0</v>
      </c>
      <c r="C934" s="296">
        <f t="shared" ref="C934:J934" si="102">SUM(C922:C933)</f>
        <v>0</v>
      </c>
      <c r="D934" s="296">
        <f t="shared" si="102"/>
        <v>0</v>
      </c>
      <c r="E934" s="296">
        <f t="shared" si="102"/>
        <v>0</v>
      </c>
      <c r="F934" s="296">
        <f t="shared" si="102"/>
        <v>0</v>
      </c>
      <c r="G934" s="296">
        <f t="shared" si="102"/>
        <v>0</v>
      </c>
      <c r="H934" s="296">
        <f t="shared" si="102"/>
        <v>0</v>
      </c>
      <c r="I934" s="296">
        <f t="shared" si="102"/>
        <v>0</v>
      </c>
      <c r="J934" s="296">
        <f t="shared" si="102"/>
        <v>0</v>
      </c>
      <c r="L934" s="293">
        <f t="shared" si="97"/>
        <v>0</v>
      </c>
    </row>
    <row r="935" spans="1:12" x14ac:dyDescent="0.25">
      <c r="B935" s="293"/>
      <c r="C935" s="293"/>
      <c r="D935" s="293"/>
      <c r="E935" s="293"/>
      <c r="F935" s="293"/>
      <c r="G935" s="293"/>
      <c r="H935" s="293"/>
      <c r="I935" s="293"/>
      <c r="J935" s="293"/>
      <c r="L935" s="293">
        <f t="shared" si="97"/>
        <v>0</v>
      </c>
    </row>
    <row r="936" spans="1:12" ht="15.75" thickBot="1" x14ac:dyDescent="0.3">
      <c r="A936" s="47" t="s">
        <v>4268</v>
      </c>
      <c r="B936" s="301">
        <f>B919-B934</f>
        <v>800</v>
      </c>
      <c r="C936" s="301">
        <f t="shared" ref="C936:J936" si="103">C919-C934</f>
        <v>600</v>
      </c>
      <c r="D936" s="301">
        <f t="shared" si="103"/>
        <v>500</v>
      </c>
      <c r="E936" s="301">
        <f t="shared" si="103"/>
        <v>500</v>
      </c>
      <c r="F936" s="301">
        <f t="shared" si="103"/>
        <v>500</v>
      </c>
      <c r="G936" s="301">
        <f t="shared" si="103"/>
        <v>400</v>
      </c>
      <c r="H936" s="301">
        <f t="shared" si="103"/>
        <v>400</v>
      </c>
      <c r="I936" s="301">
        <f t="shared" si="103"/>
        <v>400</v>
      </c>
      <c r="J936" s="301">
        <f t="shared" si="103"/>
        <v>400</v>
      </c>
      <c r="L936" s="293"/>
    </row>
    <row r="937" spans="1:12" ht="15.75" thickTop="1" x14ac:dyDescent="0.25">
      <c r="B937" s="293"/>
      <c r="C937" s="293"/>
      <c r="D937" s="293"/>
      <c r="E937" s="293"/>
      <c r="F937" s="293"/>
      <c r="G937" s="293"/>
      <c r="H937" s="293"/>
      <c r="I937" s="293"/>
      <c r="J937" s="293"/>
      <c r="L937" s="293">
        <f t="shared" si="97"/>
        <v>0</v>
      </c>
    </row>
    <row r="938" spans="1:12" x14ac:dyDescent="0.25">
      <c r="A938" s="281"/>
      <c r="B938" s="316"/>
      <c r="C938" s="316"/>
      <c r="D938" s="316"/>
      <c r="E938" s="316"/>
      <c r="F938" s="316"/>
      <c r="G938" s="316"/>
      <c r="H938" s="316"/>
      <c r="I938" s="316"/>
      <c r="J938" s="316"/>
      <c r="L938" s="293">
        <f t="shared" si="97"/>
        <v>0</v>
      </c>
    </row>
    <row r="939" spans="1:12" x14ac:dyDescent="0.25">
      <c r="B939" s="293"/>
      <c r="C939" s="293"/>
      <c r="D939" s="293"/>
      <c r="E939" s="293"/>
      <c r="F939" s="293"/>
      <c r="G939" s="293"/>
      <c r="H939" s="293"/>
      <c r="I939" s="293"/>
      <c r="J939" s="293"/>
      <c r="L939" s="293">
        <f t="shared" si="97"/>
        <v>0</v>
      </c>
    </row>
    <row r="940" spans="1:12" x14ac:dyDescent="0.25">
      <c r="A940" s="280" t="s">
        <v>4394</v>
      </c>
      <c r="B940" s="293"/>
      <c r="C940" s="293"/>
      <c r="D940" s="293"/>
      <c r="E940" s="293"/>
      <c r="F940" s="293"/>
      <c r="G940" s="293"/>
      <c r="H940" s="293"/>
      <c r="I940" s="293"/>
      <c r="J940" s="293"/>
      <c r="L940" s="293">
        <f t="shared" ref="L940:L1003" si="104">J940</f>
        <v>0</v>
      </c>
    </row>
    <row r="941" spans="1:12" x14ac:dyDescent="0.25">
      <c r="B941" s="293"/>
      <c r="C941" s="293"/>
      <c r="D941" s="293"/>
      <c r="E941" s="293"/>
      <c r="F941" s="293"/>
      <c r="G941" s="293"/>
      <c r="H941" s="293"/>
      <c r="I941" s="293"/>
      <c r="J941" s="293"/>
      <c r="L941" s="293">
        <f t="shared" si="104"/>
        <v>0</v>
      </c>
    </row>
    <row r="942" spans="1:12" x14ac:dyDescent="0.25">
      <c r="A942" s="47" t="s">
        <v>4260</v>
      </c>
      <c r="B942" s="293"/>
      <c r="C942" s="293"/>
      <c r="D942" s="293"/>
      <c r="E942" s="293"/>
      <c r="F942" s="293"/>
      <c r="G942" s="293"/>
      <c r="H942" s="293"/>
      <c r="I942" s="293"/>
      <c r="J942" s="293"/>
      <c r="L942" s="293">
        <f t="shared" si="104"/>
        <v>0</v>
      </c>
    </row>
    <row r="943" spans="1:12" x14ac:dyDescent="0.25">
      <c r="A943" t="s">
        <v>4262</v>
      </c>
      <c r="B943" s="293"/>
      <c r="C943" s="293"/>
      <c r="D943" s="293"/>
      <c r="E943" s="293"/>
      <c r="F943" s="293"/>
      <c r="G943" s="293"/>
      <c r="H943" s="293"/>
      <c r="I943" s="293"/>
      <c r="J943" s="293"/>
      <c r="L943" s="293">
        <f t="shared" si="104"/>
        <v>0</v>
      </c>
    </row>
    <row r="944" spans="1:12" x14ac:dyDescent="0.25">
      <c r="A944" t="s">
        <v>4261</v>
      </c>
      <c r="B944" s="293">
        <f>capitalrevdata!F33</f>
        <v>6100</v>
      </c>
      <c r="C944" s="293">
        <f>capitalrevdata!G33</f>
        <v>4900</v>
      </c>
      <c r="D944" s="293">
        <f>capitalrevdata!H33</f>
        <v>4100</v>
      </c>
      <c r="E944" s="293">
        <f>capitalrevdata!I33</f>
        <v>4100</v>
      </c>
      <c r="F944" s="293">
        <f>capitalrevdata!J33</f>
        <v>4100</v>
      </c>
      <c r="G944" s="293">
        <f>capitalrevdata!K33</f>
        <v>3200</v>
      </c>
      <c r="H944" s="293">
        <f>capitalrevdata!L33</f>
        <v>3200</v>
      </c>
      <c r="I944" s="293">
        <f>capitalrevdata!M33</f>
        <v>3200</v>
      </c>
      <c r="J944" s="293">
        <f>capitalrevdata!N33</f>
        <v>3200</v>
      </c>
      <c r="L944" s="293">
        <f t="shared" si="104"/>
        <v>3200</v>
      </c>
    </row>
    <row r="945" spans="1:12" x14ac:dyDescent="0.25">
      <c r="A945" t="s">
        <v>66</v>
      </c>
      <c r="B945" s="293"/>
      <c r="C945" s="293"/>
      <c r="D945" s="293"/>
      <c r="E945" s="293"/>
      <c r="F945" s="293"/>
      <c r="G945" s="293"/>
      <c r="H945" s="293"/>
      <c r="I945" s="293"/>
      <c r="J945" s="293"/>
      <c r="L945" s="293">
        <f t="shared" si="104"/>
        <v>0</v>
      </c>
    </row>
    <row r="946" spans="1:12" x14ac:dyDescent="0.25">
      <c r="B946" s="293"/>
      <c r="C946" s="293"/>
      <c r="D946" s="293"/>
      <c r="E946" s="293"/>
      <c r="F946" s="293"/>
      <c r="G946" s="293"/>
      <c r="H946" s="293"/>
      <c r="I946" s="293"/>
      <c r="J946" s="293"/>
      <c r="L946" s="293">
        <f t="shared" si="104"/>
        <v>0</v>
      </c>
    </row>
    <row r="947" spans="1:12" x14ac:dyDescent="0.25">
      <c r="B947" s="293"/>
      <c r="C947" s="293"/>
      <c r="D947" s="293"/>
      <c r="E947" s="293"/>
      <c r="F947" s="293"/>
      <c r="G947" s="293"/>
      <c r="H947" s="293"/>
      <c r="I947" s="293"/>
      <c r="J947" s="293"/>
      <c r="L947" s="293">
        <f t="shared" si="104"/>
        <v>0</v>
      </c>
    </row>
    <row r="948" spans="1:12" x14ac:dyDescent="0.25">
      <c r="B948" s="293"/>
      <c r="C948" s="293"/>
      <c r="D948" s="293"/>
      <c r="E948" s="293"/>
      <c r="F948" s="293"/>
      <c r="G948" s="293"/>
      <c r="H948" s="293"/>
      <c r="I948" s="293"/>
      <c r="J948" s="293"/>
      <c r="L948" s="293">
        <f t="shared" si="104"/>
        <v>0</v>
      </c>
    </row>
    <row r="949" spans="1:12" x14ac:dyDescent="0.25">
      <c r="B949" s="293"/>
      <c r="C949" s="293"/>
      <c r="D949" s="293"/>
      <c r="E949" s="293"/>
      <c r="F949" s="293"/>
      <c r="G949" s="293"/>
      <c r="H949" s="293"/>
      <c r="I949" s="293"/>
      <c r="J949" s="293"/>
      <c r="L949" s="293">
        <f t="shared" si="104"/>
        <v>0</v>
      </c>
    </row>
    <row r="950" spans="1:12" x14ac:dyDescent="0.25">
      <c r="A950" s="47" t="s">
        <v>4263</v>
      </c>
      <c r="B950" s="296">
        <f>SUM(B940:B949)</f>
        <v>6100</v>
      </c>
      <c r="C950" s="296">
        <f t="shared" ref="C950:J950" si="105">SUM(C940:C949)</f>
        <v>4900</v>
      </c>
      <c r="D950" s="296">
        <f t="shared" si="105"/>
        <v>4100</v>
      </c>
      <c r="E950" s="296">
        <f t="shared" si="105"/>
        <v>4100</v>
      </c>
      <c r="F950" s="296">
        <f t="shared" si="105"/>
        <v>4100</v>
      </c>
      <c r="G950" s="296">
        <f t="shared" si="105"/>
        <v>3200</v>
      </c>
      <c r="H950" s="296">
        <f t="shared" si="105"/>
        <v>3200</v>
      </c>
      <c r="I950" s="296">
        <f t="shared" si="105"/>
        <v>3200</v>
      </c>
      <c r="J950" s="296">
        <f t="shared" si="105"/>
        <v>3200</v>
      </c>
      <c r="L950" s="293"/>
    </row>
    <row r="951" spans="1:12" x14ac:dyDescent="0.25">
      <c r="B951" s="293"/>
      <c r="C951" s="293"/>
      <c r="D951" s="293"/>
      <c r="E951" s="293"/>
      <c r="F951" s="293"/>
      <c r="G951" s="293"/>
      <c r="H951" s="293"/>
      <c r="I951" s="293"/>
      <c r="J951" s="293"/>
      <c r="L951" s="293">
        <f t="shared" si="104"/>
        <v>0</v>
      </c>
    </row>
    <row r="952" spans="1:12" x14ac:dyDescent="0.25">
      <c r="A952" s="47" t="s">
        <v>4264</v>
      </c>
      <c r="B952" s="293"/>
      <c r="C952" s="293"/>
      <c r="D952" s="293"/>
      <c r="E952" s="293"/>
      <c r="F952" s="293"/>
      <c r="G952" s="293"/>
      <c r="H952" s="293"/>
      <c r="I952" s="293"/>
      <c r="J952" s="293"/>
      <c r="L952" s="293">
        <f t="shared" si="104"/>
        <v>0</v>
      </c>
    </row>
    <row r="953" spans="1:12" x14ac:dyDescent="0.25">
      <c r="A953" t="s">
        <v>87</v>
      </c>
      <c r="B953" s="293"/>
      <c r="C953" s="293"/>
      <c r="D953" s="293"/>
      <c r="E953" s="293"/>
      <c r="F953" s="293"/>
      <c r="G953" s="293"/>
      <c r="H953" s="293"/>
      <c r="I953" s="293"/>
      <c r="J953" s="293"/>
      <c r="L953" s="293">
        <f t="shared" si="104"/>
        <v>0</v>
      </c>
    </row>
    <row r="954" spans="1:12" x14ac:dyDescent="0.25">
      <c r="A954" t="s">
        <v>4265</v>
      </c>
      <c r="B954" s="293"/>
      <c r="C954" s="293"/>
      <c r="D954" s="293"/>
      <c r="E954" s="293"/>
      <c r="F954" s="293"/>
      <c r="G954" s="293"/>
      <c r="H954" s="293"/>
      <c r="I954" s="293"/>
      <c r="J954" s="293"/>
      <c r="L954" s="293">
        <f t="shared" si="104"/>
        <v>0</v>
      </c>
    </row>
    <row r="955" spans="1:12" x14ac:dyDescent="0.25">
      <c r="B955" s="293"/>
      <c r="C955" s="293"/>
      <c r="D955" s="293"/>
      <c r="E955" s="293"/>
      <c r="F955" s="293"/>
      <c r="G955" s="293"/>
      <c r="H955" s="293"/>
      <c r="I955" s="293"/>
      <c r="J955" s="293"/>
      <c r="L955" s="293">
        <f t="shared" si="104"/>
        <v>0</v>
      </c>
    </row>
    <row r="956" spans="1:12" x14ac:dyDescent="0.25">
      <c r="B956" s="293"/>
      <c r="C956" s="293"/>
      <c r="D956" s="293"/>
      <c r="E956" s="293"/>
      <c r="F956" s="293"/>
      <c r="G956" s="293"/>
      <c r="H956" s="293"/>
      <c r="I956" s="293"/>
      <c r="J956" s="293"/>
      <c r="L956" s="293">
        <f t="shared" si="104"/>
        <v>0</v>
      </c>
    </row>
    <row r="957" spans="1:12" x14ac:dyDescent="0.25">
      <c r="B957" s="293"/>
      <c r="C957" s="293"/>
      <c r="D957" s="293"/>
      <c r="E957" s="293"/>
      <c r="F957" s="293"/>
      <c r="G957" s="293"/>
      <c r="H957" s="293"/>
      <c r="I957" s="293"/>
      <c r="J957" s="293"/>
      <c r="L957" s="293">
        <f t="shared" si="104"/>
        <v>0</v>
      </c>
    </row>
    <row r="958" spans="1:12" x14ac:dyDescent="0.25">
      <c r="B958" s="293"/>
      <c r="C958" s="293"/>
      <c r="D958" s="293"/>
      <c r="E958" s="293"/>
      <c r="F958" s="293"/>
      <c r="G958" s="293"/>
      <c r="H958" s="293"/>
      <c r="I958" s="293"/>
      <c r="J958" s="293"/>
      <c r="L958" s="293">
        <f t="shared" si="104"/>
        <v>0</v>
      </c>
    </row>
    <row r="959" spans="1:12" x14ac:dyDescent="0.25">
      <c r="A959" t="s">
        <v>4266</v>
      </c>
      <c r="B959" s="293"/>
      <c r="C959" s="293"/>
      <c r="D959" s="293"/>
      <c r="E959" s="293"/>
      <c r="F959" s="293"/>
      <c r="G959" s="293"/>
      <c r="H959" s="293"/>
      <c r="I959" s="293"/>
      <c r="J959" s="293"/>
      <c r="L959" s="293">
        <f t="shared" si="104"/>
        <v>0</v>
      </c>
    </row>
    <row r="960" spans="1:12" x14ac:dyDescent="0.25">
      <c r="A960" t="s">
        <v>66</v>
      </c>
      <c r="B960" s="293"/>
      <c r="C960" s="293"/>
      <c r="D960" s="293"/>
      <c r="E960" s="293"/>
      <c r="F960" s="293"/>
      <c r="G960" s="293"/>
      <c r="H960" s="293"/>
      <c r="I960" s="293"/>
      <c r="J960" s="293"/>
      <c r="L960" s="293">
        <f t="shared" si="104"/>
        <v>0</v>
      </c>
    </row>
    <row r="961" spans="1:12" x14ac:dyDescent="0.25">
      <c r="B961" s="293"/>
      <c r="C961" s="293"/>
      <c r="D961" s="293"/>
      <c r="E961" s="293"/>
      <c r="F961" s="293"/>
      <c r="G961" s="293"/>
      <c r="H961" s="293"/>
      <c r="I961" s="293"/>
      <c r="J961" s="293"/>
      <c r="L961" s="293">
        <f t="shared" si="104"/>
        <v>0</v>
      </c>
    </row>
    <row r="962" spans="1:12" x14ac:dyDescent="0.25">
      <c r="B962" s="293"/>
      <c r="C962" s="293"/>
      <c r="D962" s="293"/>
      <c r="E962" s="293"/>
      <c r="F962" s="293"/>
      <c r="G962" s="293"/>
      <c r="H962" s="293"/>
      <c r="I962" s="293"/>
      <c r="J962" s="293"/>
      <c r="L962" s="293">
        <f t="shared" si="104"/>
        <v>0</v>
      </c>
    </row>
    <row r="963" spans="1:12" x14ac:dyDescent="0.25">
      <c r="B963" s="293"/>
      <c r="C963" s="293"/>
      <c r="D963" s="293"/>
      <c r="E963" s="293"/>
      <c r="F963" s="293"/>
      <c r="G963" s="293"/>
      <c r="H963" s="293"/>
      <c r="I963" s="293"/>
      <c r="J963" s="293"/>
      <c r="L963" s="293">
        <f t="shared" si="104"/>
        <v>0</v>
      </c>
    </row>
    <row r="964" spans="1:12" x14ac:dyDescent="0.25">
      <c r="B964" s="293"/>
      <c r="C964" s="293"/>
      <c r="D964" s="293"/>
      <c r="E964" s="293"/>
      <c r="F964" s="293"/>
      <c r="G964" s="293"/>
      <c r="H964" s="293"/>
      <c r="I964" s="293"/>
      <c r="J964" s="293"/>
      <c r="L964" s="293">
        <f t="shared" si="104"/>
        <v>0</v>
      </c>
    </row>
    <row r="965" spans="1:12" x14ac:dyDescent="0.25">
      <c r="A965" s="47" t="s">
        <v>4267</v>
      </c>
      <c r="B965" s="296">
        <f>SUM(B953:B964)</f>
        <v>0</v>
      </c>
      <c r="C965" s="296">
        <f t="shared" ref="C965:J965" si="106">SUM(C953:C964)</f>
        <v>0</v>
      </c>
      <c r="D965" s="296">
        <f t="shared" si="106"/>
        <v>0</v>
      </c>
      <c r="E965" s="296">
        <f t="shared" si="106"/>
        <v>0</v>
      </c>
      <c r="F965" s="296">
        <f t="shared" si="106"/>
        <v>0</v>
      </c>
      <c r="G965" s="296">
        <f t="shared" si="106"/>
        <v>0</v>
      </c>
      <c r="H965" s="296">
        <f t="shared" si="106"/>
        <v>0</v>
      </c>
      <c r="I965" s="296">
        <f t="shared" si="106"/>
        <v>0</v>
      </c>
      <c r="J965" s="296">
        <f t="shared" si="106"/>
        <v>0</v>
      </c>
      <c r="L965" s="293">
        <f t="shared" si="104"/>
        <v>0</v>
      </c>
    </row>
    <row r="966" spans="1:12" x14ac:dyDescent="0.25">
      <c r="B966" s="293"/>
      <c r="C966" s="293"/>
      <c r="D966" s="293"/>
      <c r="E966" s="293"/>
      <c r="F966" s="293"/>
      <c r="G966" s="293"/>
      <c r="H966" s="293"/>
      <c r="I966" s="293"/>
      <c r="J966" s="293"/>
      <c r="L966" s="293">
        <f t="shared" si="104"/>
        <v>0</v>
      </c>
    </row>
    <row r="967" spans="1:12" ht="15.75" thickBot="1" x14ac:dyDescent="0.3">
      <c r="A967" s="47" t="s">
        <v>4268</v>
      </c>
      <c r="B967" s="301">
        <f>B950-B965</f>
        <v>6100</v>
      </c>
      <c r="C967" s="301">
        <f t="shared" ref="C967:J967" si="107">C950-C965</f>
        <v>4900</v>
      </c>
      <c r="D967" s="301">
        <f t="shared" si="107"/>
        <v>4100</v>
      </c>
      <c r="E967" s="301">
        <f t="shared" si="107"/>
        <v>4100</v>
      </c>
      <c r="F967" s="301">
        <f t="shared" si="107"/>
        <v>4100</v>
      </c>
      <c r="G967" s="301">
        <f t="shared" si="107"/>
        <v>3200</v>
      </c>
      <c r="H967" s="301">
        <f t="shared" si="107"/>
        <v>3200</v>
      </c>
      <c r="I967" s="301">
        <f t="shared" si="107"/>
        <v>3200</v>
      </c>
      <c r="J967" s="301">
        <f t="shared" si="107"/>
        <v>3200</v>
      </c>
      <c r="L967" s="293"/>
    </row>
    <row r="968" spans="1:12" ht="15.75" thickTop="1" x14ac:dyDescent="0.25">
      <c r="B968" s="293"/>
      <c r="C968" s="293"/>
      <c r="D968" s="293"/>
      <c r="E968" s="293"/>
      <c r="F968" s="293"/>
      <c r="G968" s="293"/>
      <c r="H968" s="293"/>
      <c r="I968" s="293"/>
      <c r="J968" s="293"/>
      <c r="L968" s="293">
        <f t="shared" si="104"/>
        <v>0</v>
      </c>
    </row>
    <row r="969" spans="1:12" x14ac:dyDescent="0.25">
      <c r="A969" s="281"/>
      <c r="B969" s="316"/>
      <c r="C969" s="316"/>
      <c r="D969" s="316"/>
      <c r="E969" s="316"/>
      <c r="F969" s="316"/>
      <c r="G969" s="316"/>
      <c r="H969" s="316"/>
      <c r="I969" s="316"/>
      <c r="J969" s="316"/>
      <c r="L969" s="293">
        <f t="shared" si="104"/>
        <v>0</v>
      </c>
    </row>
    <row r="970" spans="1:12" x14ac:dyDescent="0.25">
      <c r="B970" s="293"/>
      <c r="C970" s="293"/>
      <c r="D970" s="293"/>
      <c r="E970" s="293"/>
      <c r="F970" s="293"/>
      <c r="G970" s="293"/>
      <c r="H970" s="293"/>
      <c r="I970" s="293"/>
      <c r="J970" s="293"/>
      <c r="L970" s="293">
        <f t="shared" si="104"/>
        <v>0</v>
      </c>
    </row>
    <row r="971" spans="1:12" x14ac:dyDescent="0.25">
      <c r="A971" s="280" t="s">
        <v>4349</v>
      </c>
      <c r="B971" s="293"/>
      <c r="C971" s="293"/>
      <c r="D971" s="293"/>
      <c r="E971" s="293"/>
      <c r="F971" s="293"/>
      <c r="G971" s="293"/>
      <c r="H971" s="293"/>
      <c r="I971" s="293"/>
      <c r="J971" s="293"/>
      <c r="L971" s="293">
        <f t="shared" si="104"/>
        <v>0</v>
      </c>
    </row>
    <row r="972" spans="1:12" x14ac:dyDescent="0.25">
      <c r="B972" s="293"/>
      <c r="C972" s="293"/>
      <c r="D972" s="293"/>
      <c r="E972" s="293"/>
      <c r="F972" s="293"/>
      <c r="G972" s="293"/>
      <c r="H972" s="293"/>
      <c r="I972" s="293"/>
      <c r="J972" s="293"/>
      <c r="L972" s="293">
        <f t="shared" si="104"/>
        <v>0</v>
      </c>
    </row>
    <row r="973" spans="1:12" x14ac:dyDescent="0.25">
      <c r="A973" s="47" t="s">
        <v>4260</v>
      </c>
      <c r="B973" s="293"/>
      <c r="C973" s="293"/>
      <c r="D973" s="293"/>
      <c r="E973" s="293"/>
      <c r="F973" s="293"/>
      <c r="G973" s="293"/>
      <c r="H973" s="293"/>
      <c r="I973" s="293"/>
      <c r="J973" s="293"/>
      <c r="L973" s="293">
        <f t="shared" si="104"/>
        <v>0</v>
      </c>
    </row>
    <row r="974" spans="1:12" x14ac:dyDescent="0.25">
      <c r="A974" t="s">
        <v>4262</v>
      </c>
      <c r="B974" s="293"/>
      <c r="C974" s="293"/>
      <c r="D974" s="293"/>
      <c r="E974" s="293"/>
      <c r="F974" s="293"/>
      <c r="G974" s="293"/>
      <c r="H974" s="293"/>
      <c r="I974" s="293"/>
      <c r="J974" s="293"/>
      <c r="L974" s="293">
        <f t="shared" si="104"/>
        <v>0</v>
      </c>
    </row>
    <row r="975" spans="1:12" x14ac:dyDescent="0.25">
      <c r="A975" t="s">
        <v>4261</v>
      </c>
      <c r="B975" s="293">
        <f>capitalrevdata!F34</f>
        <v>1000</v>
      </c>
      <c r="C975" s="293">
        <f>capitalrevdata!G34</f>
        <v>800</v>
      </c>
      <c r="D975" s="293">
        <f>capitalrevdata!H34</f>
        <v>700</v>
      </c>
      <c r="E975" s="293">
        <f>capitalrevdata!I34</f>
        <v>700</v>
      </c>
      <c r="F975" s="293">
        <f>capitalrevdata!J34</f>
        <v>700</v>
      </c>
      <c r="G975" s="293">
        <f>capitalrevdata!K34</f>
        <v>500</v>
      </c>
      <c r="H975" s="293">
        <f>capitalrevdata!L34</f>
        <v>500</v>
      </c>
      <c r="I975" s="293">
        <f>capitalrevdata!M34</f>
        <v>500</v>
      </c>
      <c r="J975" s="293">
        <f>capitalrevdata!N34</f>
        <v>500</v>
      </c>
      <c r="L975" s="293">
        <f t="shared" si="104"/>
        <v>500</v>
      </c>
    </row>
    <row r="976" spans="1:12" x14ac:dyDescent="0.25">
      <c r="A976" t="s">
        <v>66</v>
      </c>
      <c r="B976" s="293"/>
      <c r="C976" s="293"/>
      <c r="D976" s="293"/>
      <c r="E976" s="293"/>
      <c r="F976" s="293"/>
      <c r="G976" s="293"/>
      <c r="H976" s="293"/>
      <c r="I976" s="293"/>
      <c r="J976" s="293"/>
      <c r="L976" s="293">
        <f t="shared" si="104"/>
        <v>0</v>
      </c>
    </row>
    <row r="977" spans="1:12" x14ac:dyDescent="0.25">
      <c r="B977" s="293"/>
      <c r="C977" s="293"/>
      <c r="D977" s="293"/>
      <c r="E977" s="293"/>
      <c r="F977" s="293"/>
      <c r="G977" s="293"/>
      <c r="H977" s="293"/>
      <c r="I977" s="293"/>
      <c r="J977" s="293"/>
      <c r="L977" s="293">
        <f t="shared" si="104"/>
        <v>0</v>
      </c>
    </row>
    <row r="978" spans="1:12" x14ac:dyDescent="0.25">
      <c r="B978" s="293"/>
      <c r="C978" s="293"/>
      <c r="D978" s="293"/>
      <c r="E978" s="293"/>
      <c r="F978" s="293"/>
      <c r="G978" s="293"/>
      <c r="H978" s="293"/>
      <c r="I978" s="293"/>
      <c r="J978" s="293"/>
      <c r="L978" s="293">
        <f t="shared" si="104"/>
        <v>0</v>
      </c>
    </row>
    <row r="979" spans="1:12" x14ac:dyDescent="0.25">
      <c r="B979" s="293"/>
      <c r="C979" s="293"/>
      <c r="D979" s="293"/>
      <c r="E979" s="293"/>
      <c r="F979" s="293"/>
      <c r="G979" s="293"/>
      <c r="H979" s="293"/>
      <c r="I979" s="293"/>
      <c r="J979" s="293"/>
      <c r="L979" s="293">
        <f t="shared" si="104"/>
        <v>0</v>
      </c>
    </row>
    <row r="980" spans="1:12" x14ac:dyDescent="0.25">
      <c r="B980" s="293"/>
      <c r="C980" s="293"/>
      <c r="D980" s="293"/>
      <c r="E980" s="293"/>
      <c r="F980" s="293"/>
      <c r="G980" s="293"/>
      <c r="H980" s="293"/>
      <c r="I980" s="293"/>
      <c r="J980" s="293"/>
      <c r="L980" s="293">
        <f t="shared" si="104"/>
        <v>0</v>
      </c>
    </row>
    <row r="981" spans="1:12" x14ac:dyDescent="0.25">
      <c r="A981" s="47" t="s">
        <v>4263</v>
      </c>
      <c r="B981" s="296">
        <f>SUM(B971:B980)</f>
        <v>1000</v>
      </c>
      <c r="C981" s="296">
        <f t="shared" ref="C981:J981" si="108">SUM(C971:C980)</f>
        <v>800</v>
      </c>
      <c r="D981" s="296">
        <f t="shared" si="108"/>
        <v>700</v>
      </c>
      <c r="E981" s="296">
        <f t="shared" si="108"/>
        <v>700</v>
      </c>
      <c r="F981" s="296">
        <f t="shared" si="108"/>
        <v>700</v>
      </c>
      <c r="G981" s="296">
        <f t="shared" si="108"/>
        <v>500</v>
      </c>
      <c r="H981" s="296">
        <f t="shared" si="108"/>
        <v>500</v>
      </c>
      <c r="I981" s="296">
        <f t="shared" si="108"/>
        <v>500</v>
      </c>
      <c r="J981" s="296">
        <f t="shared" si="108"/>
        <v>500</v>
      </c>
      <c r="L981" s="293"/>
    </row>
    <row r="982" spans="1:12" x14ac:dyDescent="0.25">
      <c r="B982" s="293"/>
      <c r="C982" s="293"/>
      <c r="D982" s="293"/>
      <c r="E982" s="293"/>
      <c r="F982" s="293"/>
      <c r="G982" s="293"/>
      <c r="H982" s="293"/>
      <c r="I982" s="293"/>
      <c r="J982" s="293"/>
      <c r="L982" s="293">
        <f t="shared" si="104"/>
        <v>0</v>
      </c>
    </row>
    <row r="983" spans="1:12" x14ac:dyDescent="0.25">
      <c r="A983" s="47" t="s">
        <v>4264</v>
      </c>
      <c r="B983" s="293"/>
      <c r="C983" s="293"/>
      <c r="D983" s="293"/>
      <c r="E983" s="293"/>
      <c r="F983" s="293"/>
      <c r="G983" s="293"/>
      <c r="H983" s="293"/>
      <c r="I983" s="293"/>
      <c r="J983" s="293"/>
      <c r="L983" s="293">
        <f t="shared" si="104"/>
        <v>0</v>
      </c>
    </row>
    <row r="984" spans="1:12" x14ac:dyDescent="0.25">
      <c r="A984" t="s">
        <v>87</v>
      </c>
      <c r="B984" s="293"/>
      <c r="C984" s="293"/>
      <c r="D984" s="293"/>
      <c r="E984" s="293"/>
      <c r="F984" s="293"/>
      <c r="G984" s="293"/>
      <c r="H984" s="293"/>
      <c r="I984" s="293"/>
      <c r="J984" s="293"/>
      <c r="L984" s="293">
        <f t="shared" si="104"/>
        <v>0</v>
      </c>
    </row>
    <row r="985" spans="1:12" x14ac:dyDescent="0.25">
      <c r="A985" t="s">
        <v>4265</v>
      </c>
      <c r="B985" s="293"/>
      <c r="C985" s="293"/>
      <c r="D985" s="293"/>
      <c r="E985" s="293"/>
      <c r="F985" s="293"/>
      <c r="G985" s="293"/>
      <c r="H985" s="293"/>
      <c r="I985" s="293"/>
      <c r="J985" s="293"/>
      <c r="L985" s="293">
        <f t="shared" si="104"/>
        <v>0</v>
      </c>
    </row>
    <row r="986" spans="1:12" x14ac:dyDescent="0.25">
      <c r="B986" s="293"/>
      <c r="C986" s="293"/>
      <c r="D986" s="293"/>
      <c r="E986" s="293"/>
      <c r="F986" s="293"/>
      <c r="G986" s="293"/>
      <c r="H986" s="293"/>
      <c r="I986" s="293"/>
      <c r="J986" s="293"/>
      <c r="L986" s="293">
        <f t="shared" si="104"/>
        <v>0</v>
      </c>
    </row>
    <row r="987" spans="1:12" x14ac:dyDescent="0.25">
      <c r="B987" s="293"/>
      <c r="C987" s="293"/>
      <c r="D987" s="293"/>
      <c r="E987" s="293"/>
      <c r="F987" s="293"/>
      <c r="G987" s="293"/>
      <c r="H987" s="293"/>
      <c r="I987" s="293"/>
      <c r="J987" s="293"/>
      <c r="L987" s="293">
        <f t="shared" si="104"/>
        <v>0</v>
      </c>
    </row>
    <row r="988" spans="1:12" x14ac:dyDescent="0.25">
      <c r="B988" s="293"/>
      <c r="C988" s="293"/>
      <c r="D988" s="293"/>
      <c r="E988" s="293"/>
      <c r="F988" s="293"/>
      <c r="G988" s="293"/>
      <c r="H988" s="293"/>
      <c r="I988" s="293"/>
      <c r="J988" s="293"/>
      <c r="L988" s="293">
        <f t="shared" si="104"/>
        <v>0</v>
      </c>
    </row>
    <row r="989" spans="1:12" x14ac:dyDescent="0.25">
      <c r="B989" s="293"/>
      <c r="C989" s="293"/>
      <c r="D989" s="293"/>
      <c r="E989" s="293"/>
      <c r="F989" s="293"/>
      <c r="G989" s="293"/>
      <c r="H989" s="293"/>
      <c r="I989" s="293"/>
      <c r="J989" s="293"/>
      <c r="L989" s="293">
        <f t="shared" si="104"/>
        <v>0</v>
      </c>
    </row>
    <row r="990" spans="1:12" x14ac:dyDescent="0.25">
      <c r="A990" t="s">
        <v>4266</v>
      </c>
      <c r="B990" s="293"/>
      <c r="C990" s="293"/>
      <c r="D990" s="293"/>
      <c r="E990" s="293"/>
      <c r="F990" s="293"/>
      <c r="G990" s="293"/>
      <c r="H990" s="293"/>
      <c r="I990" s="293"/>
      <c r="J990" s="293"/>
      <c r="L990" s="293">
        <f t="shared" si="104"/>
        <v>0</v>
      </c>
    </row>
    <row r="991" spans="1:12" x14ac:dyDescent="0.25">
      <c r="A991" t="s">
        <v>66</v>
      </c>
      <c r="B991" s="293"/>
      <c r="C991" s="293"/>
      <c r="D991" s="293"/>
      <c r="E991" s="293"/>
      <c r="F991" s="293"/>
      <c r="G991" s="293"/>
      <c r="H991" s="293"/>
      <c r="I991" s="293"/>
      <c r="J991" s="293"/>
      <c r="L991" s="293">
        <f t="shared" si="104"/>
        <v>0</v>
      </c>
    </row>
    <row r="992" spans="1:12" x14ac:dyDescent="0.25">
      <c r="B992" s="293"/>
      <c r="C992" s="293"/>
      <c r="D992" s="293"/>
      <c r="E992" s="293"/>
      <c r="F992" s="293"/>
      <c r="G992" s="293"/>
      <c r="H992" s="293"/>
      <c r="I992" s="293"/>
      <c r="J992" s="293"/>
      <c r="L992" s="293">
        <f t="shared" si="104"/>
        <v>0</v>
      </c>
    </row>
    <row r="993" spans="1:12" x14ac:dyDescent="0.25">
      <c r="B993" s="293"/>
      <c r="C993" s="293"/>
      <c r="D993" s="293"/>
      <c r="E993" s="293"/>
      <c r="F993" s="293"/>
      <c r="G993" s="293"/>
      <c r="H993" s="293"/>
      <c r="I993" s="293"/>
      <c r="J993" s="293"/>
      <c r="L993" s="293">
        <f t="shared" si="104"/>
        <v>0</v>
      </c>
    </row>
    <row r="994" spans="1:12" x14ac:dyDescent="0.25">
      <c r="B994" s="293"/>
      <c r="C994" s="293"/>
      <c r="D994" s="293"/>
      <c r="E994" s="293"/>
      <c r="F994" s="293"/>
      <c r="G994" s="293"/>
      <c r="H994" s="293"/>
      <c r="I994" s="293"/>
      <c r="J994" s="293"/>
      <c r="L994" s="293">
        <f t="shared" si="104"/>
        <v>0</v>
      </c>
    </row>
    <row r="995" spans="1:12" x14ac:dyDescent="0.25">
      <c r="B995" s="293"/>
      <c r="C995" s="293"/>
      <c r="D995" s="293"/>
      <c r="E995" s="293"/>
      <c r="F995" s="293"/>
      <c r="G995" s="293"/>
      <c r="H995" s="293"/>
      <c r="I995" s="293"/>
      <c r="J995" s="293"/>
      <c r="L995" s="293">
        <f t="shared" si="104"/>
        <v>0</v>
      </c>
    </row>
    <row r="996" spans="1:12" x14ac:dyDescent="0.25">
      <c r="A996" s="47" t="s">
        <v>4267</v>
      </c>
      <c r="B996" s="296">
        <f>SUM(B984:B995)</f>
        <v>0</v>
      </c>
      <c r="C996" s="296">
        <f t="shared" ref="C996:J996" si="109">SUM(C984:C995)</f>
        <v>0</v>
      </c>
      <c r="D996" s="296">
        <f t="shared" si="109"/>
        <v>0</v>
      </c>
      <c r="E996" s="296">
        <f t="shared" si="109"/>
        <v>0</v>
      </c>
      <c r="F996" s="296">
        <f t="shared" si="109"/>
        <v>0</v>
      </c>
      <c r="G996" s="296">
        <f t="shared" si="109"/>
        <v>0</v>
      </c>
      <c r="H996" s="296">
        <f t="shared" si="109"/>
        <v>0</v>
      </c>
      <c r="I996" s="296">
        <f t="shared" si="109"/>
        <v>0</v>
      </c>
      <c r="J996" s="296">
        <f t="shared" si="109"/>
        <v>0</v>
      </c>
      <c r="L996" s="293">
        <f t="shared" si="104"/>
        <v>0</v>
      </c>
    </row>
    <row r="997" spans="1:12" x14ac:dyDescent="0.25">
      <c r="B997" s="293"/>
      <c r="C997" s="293"/>
      <c r="D997" s="293"/>
      <c r="E997" s="293"/>
      <c r="F997" s="293"/>
      <c r="G997" s="293"/>
      <c r="H997" s="293"/>
      <c r="I997" s="293"/>
      <c r="J997" s="293"/>
      <c r="L997" s="293">
        <f t="shared" si="104"/>
        <v>0</v>
      </c>
    </row>
    <row r="998" spans="1:12" ht="15.75" thickBot="1" x14ac:dyDescent="0.3">
      <c r="A998" s="47" t="s">
        <v>4268</v>
      </c>
      <c r="B998" s="301">
        <f>B981-B996</f>
        <v>1000</v>
      </c>
      <c r="C998" s="301">
        <f t="shared" ref="C998:J998" si="110">C981-C996</f>
        <v>800</v>
      </c>
      <c r="D998" s="301">
        <f t="shared" si="110"/>
        <v>700</v>
      </c>
      <c r="E998" s="301">
        <f t="shared" si="110"/>
        <v>700</v>
      </c>
      <c r="F998" s="301">
        <f t="shared" si="110"/>
        <v>700</v>
      </c>
      <c r="G998" s="301">
        <f t="shared" si="110"/>
        <v>500</v>
      </c>
      <c r="H998" s="301">
        <f t="shared" si="110"/>
        <v>500</v>
      </c>
      <c r="I998" s="301">
        <f t="shared" si="110"/>
        <v>500</v>
      </c>
      <c r="J998" s="301">
        <f t="shared" si="110"/>
        <v>500</v>
      </c>
      <c r="L998" s="293"/>
    </row>
    <row r="999" spans="1:12" ht="15.75" thickTop="1" x14ac:dyDescent="0.25">
      <c r="B999" s="293"/>
      <c r="C999" s="293"/>
      <c r="D999" s="293"/>
      <c r="E999" s="293"/>
      <c r="F999" s="293"/>
      <c r="G999" s="293"/>
      <c r="H999" s="293"/>
      <c r="I999" s="293"/>
      <c r="J999" s="293"/>
      <c r="L999" s="293">
        <f t="shared" si="104"/>
        <v>0</v>
      </c>
    </row>
    <row r="1000" spans="1:12" x14ac:dyDescent="0.25">
      <c r="A1000" s="281"/>
      <c r="B1000" s="316"/>
      <c r="C1000" s="316"/>
      <c r="D1000" s="316"/>
      <c r="E1000" s="316"/>
      <c r="F1000" s="316"/>
      <c r="G1000" s="316"/>
      <c r="H1000" s="316"/>
      <c r="I1000" s="316"/>
      <c r="J1000" s="316"/>
      <c r="L1000" s="293">
        <f t="shared" si="104"/>
        <v>0</v>
      </c>
    </row>
    <row r="1001" spans="1:12" x14ac:dyDescent="0.25">
      <c r="B1001" s="293"/>
      <c r="C1001" s="293"/>
      <c r="D1001" s="293"/>
      <c r="E1001" s="293"/>
      <c r="F1001" s="293"/>
      <c r="G1001" s="293"/>
      <c r="H1001" s="293"/>
      <c r="I1001" s="293"/>
      <c r="J1001" s="293"/>
      <c r="L1001" s="293">
        <f t="shared" si="104"/>
        <v>0</v>
      </c>
    </row>
    <row r="1002" spans="1:12" x14ac:dyDescent="0.25">
      <c r="A1002" s="280" t="s">
        <v>4350</v>
      </c>
      <c r="B1002" s="293"/>
      <c r="C1002" s="293"/>
      <c r="D1002" s="293"/>
      <c r="E1002" s="293"/>
      <c r="F1002" s="293"/>
      <c r="G1002" s="293"/>
      <c r="H1002" s="293"/>
      <c r="I1002" s="293"/>
      <c r="J1002" s="293"/>
      <c r="L1002" s="293">
        <f t="shared" si="104"/>
        <v>0</v>
      </c>
    </row>
    <row r="1003" spans="1:12" x14ac:dyDescent="0.25">
      <c r="B1003" s="293"/>
      <c r="C1003" s="293"/>
      <c r="D1003" s="293"/>
      <c r="E1003" s="293"/>
      <c r="F1003" s="293"/>
      <c r="G1003" s="293"/>
      <c r="H1003" s="293"/>
      <c r="I1003" s="293"/>
      <c r="J1003" s="293"/>
      <c r="L1003" s="293">
        <f t="shared" si="104"/>
        <v>0</v>
      </c>
    </row>
    <row r="1004" spans="1:12" x14ac:dyDescent="0.25">
      <c r="A1004" s="47" t="s">
        <v>4260</v>
      </c>
      <c r="B1004" s="293"/>
      <c r="C1004" s="293"/>
      <c r="D1004" s="293"/>
      <c r="E1004" s="293"/>
      <c r="F1004" s="293"/>
      <c r="G1004" s="293"/>
      <c r="H1004" s="293"/>
      <c r="I1004" s="293"/>
      <c r="J1004" s="293"/>
      <c r="L1004" s="293">
        <f t="shared" ref="L1004:L1067" si="111">J1004</f>
        <v>0</v>
      </c>
    </row>
    <row r="1005" spans="1:12" x14ac:dyDescent="0.25">
      <c r="A1005" t="s">
        <v>4262</v>
      </c>
      <c r="B1005" s="293"/>
      <c r="C1005" s="293"/>
      <c r="D1005" s="293"/>
      <c r="E1005" s="293"/>
      <c r="F1005" s="293"/>
      <c r="G1005" s="293"/>
      <c r="H1005" s="293"/>
      <c r="I1005" s="293"/>
      <c r="J1005" s="293"/>
      <c r="L1005" s="293">
        <f t="shared" si="111"/>
        <v>0</v>
      </c>
    </row>
    <row r="1006" spans="1:12" x14ac:dyDescent="0.25">
      <c r="A1006" t="s">
        <v>4261</v>
      </c>
      <c r="B1006" s="293">
        <f>capitalrevdata!F36</f>
        <v>235800</v>
      </c>
      <c r="C1006" s="293">
        <f>capitalrevdata!G36</f>
        <v>188700</v>
      </c>
      <c r="D1006" s="293">
        <f>capitalrevdata!H36</f>
        <v>157200</v>
      </c>
      <c r="E1006" s="293">
        <f>capitalrevdata!I36</f>
        <v>157200</v>
      </c>
      <c r="F1006" s="293">
        <f>capitalrevdata!J36</f>
        <v>157200</v>
      </c>
      <c r="G1006" s="293">
        <f>capitalrevdata!K36</f>
        <v>125800</v>
      </c>
      <c r="H1006" s="293">
        <f>capitalrevdata!L36</f>
        <v>125800</v>
      </c>
      <c r="I1006" s="293">
        <f>capitalrevdata!M36</f>
        <v>125800</v>
      </c>
      <c r="J1006" s="293">
        <f>capitalrevdata!N36</f>
        <v>125800</v>
      </c>
      <c r="L1006" s="293">
        <f t="shared" si="111"/>
        <v>125800</v>
      </c>
    </row>
    <row r="1007" spans="1:12" x14ac:dyDescent="0.25">
      <c r="A1007" t="s">
        <v>66</v>
      </c>
      <c r="B1007" s="293"/>
      <c r="C1007" s="293"/>
      <c r="D1007" s="293"/>
      <c r="E1007" s="293"/>
      <c r="F1007" s="293"/>
      <c r="G1007" s="293"/>
      <c r="H1007" s="293"/>
      <c r="I1007" s="293"/>
      <c r="J1007" s="293"/>
      <c r="L1007" s="293">
        <f t="shared" si="111"/>
        <v>0</v>
      </c>
    </row>
    <row r="1008" spans="1:12" x14ac:dyDescent="0.25">
      <c r="B1008" s="293"/>
      <c r="C1008" s="293"/>
      <c r="D1008" s="293"/>
      <c r="E1008" s="293"/>
      <c r="F1008" s="293"/>
      <c r="G1008" s="293"/>
      <c r="H1008" s="293"/>
      <c r="I1008" s="293"/>
      <c r="J1008" s="293"/>
      <c r="L1008" s="293">
        <f t="shared" si="111"/>
        <v>0</v>
      </c>
    </row>
    <row r="1009" spans="1:12" x14ac:dyDescent="0.25">
      <c r="A1009" t="s">
        <v>4436</v>
      </c>
      <c r="B1009" s="293">
        <f>-ROUND((operatingdata!F167*0.5),-2)</f>
        <v>267400</v>
      </c>
      <c r="C1009" s="293">
        <f>-ROUND((operatingdata!G167*0.5),-2)</f>
        <v>265300</v>
      </c>
      <c r="D1009" s="293">
        <f>-ROUND((operatingdata!H167*0.5),-2)</f>
        <v>314800</v>
      </c>
      <c r="E1009" s="293">
        <f>-ROUND((operatingdata!I167*0.5),-2)</f>
        <v>325600</v>
      </c>
      <c r="F1009" s="293">
        <f>-ROUND((operatingdata!J167*0.5),-2)</f>
        <v>337900</v>
      </c>
      <c r="G1009" s="293">
        <f>-ROUND((operatingdata!K167*0.5),-2)</f>
        <v>364400</v>
      </c>
      <c r="H1009" s="293">
        <f>-ROUND((operatingdata!L167*0.5),-2)</f>
        <v>396400</v>
      </c>
      <c r="I1009" s="293">
        <f>-ROUND((operatingdata!M167*0.5),-2)</f>
        <v>434600</v>
      </c>
      <c r="J1009" s="293">
        <f>-ROUND((operatingdata!N167*0.5),-2)</f>
        <v>516900</v>
      </c>
      <c r="L1009" s="293">
        <f t="shared" si="111"/>
        <v>516900</v>
      </c>
    </row>
    <row r="1010" spans="1:12" x14ac:dyDescent="0.25">
      <c r="B1010" s="293"/>
      <c r="C1010" s="293"/>
      <c r="D1010" s="293"/>
      <c r="E1010" s="293"/>
      <c r="F1010" s="293"/>
      <c r="G1010" s="293"/>
      <c r="H1010" s="293"/>
      <c r="I1010" s="293"/>
      <c r="J1010" s="293"/>
      <c r="L1010" s="293">
        <f t="shared" si="111"/>
        <v>0</v>
      </c>
    </row>
    <row r="1011" spans="1:12" x14ac:dyDescent="0.25">
      <c r="B1011" s="293"/>
      <c r="C1011" s="293"/>
      <c r="D1011" s="293"/>
      <c r="E1011" s="293"/>
      <c r="F1011" s="293"/>
      <c r="G1011" s="293"/>
      <c r="H1011" s="293"/>
      <c r="I1011" s="293"/>
      <c r="J1011" s="293"/>
      <c r="L1011" s="293">
        <f t="shared" si="111"/>
        <v>0</v>
      </c>
    </row>
    <row r="1012" spans="1:12" x14ac:dyDescent="0.25">
      <c r="A1012" s="47" t="s">
        <v>4263</v>
      </c>
      <c r="B1012" s="296">
        <f>SUM(B1002:B1011)</f>
        <v>503200</v>
      </c>
      <c r="C1012" s="296">
        <f t="shared" ref="C1012:J1012" si="112">SUM(C1002:C1011)</f>
        <v>454000</v>
      </c>
      <c r="D1012" s="296">
        <f t="shared" si="112"/>
        <v>472000</v>
      </c>
      <c r="E1012" s="296">
        <f t="shared" si="112"/>
        <v>482800</v>
      </c>
      <c r="F1012" s="296">
        <f t="shared" si="112"/>
        <v>495100</v>
      </c>
      <c r="G1012" s="296">
        <f t="shared" si="112"/>
        <v>490200</v>
      </c>
      <c r="H1012" s="296">
        <f t="shared" si="112"/>
        <v>522200</v>
      </c>
      <c r="I1012" s="296">
        <f t="shared" si="112"/>
        <v>560400</v>
      </c>
      <c r="J1012" s="296">
        <f t="shared" si="112"/>
        <v>642700</v>
      </c>
      <c r="L1012" s="293"/>
    </row>
    <row r="1013" spans="1:12" x14ac:dyDescent="0.25">
      <c r="B1013" s="293"/>
      <c r="C1013" s="293"/>
      <c r="D1013" s="293"/>
      <c r="E1013" s="293"/>
      <c r="F1013" s="293"/>
      <c r="G1013" s="293"/>
      <c r="H1013" s="293"/>
      <c r="I1013" s="293"/>
      <c r="J1013" s="293"/>
      <c r="L1013" s="293">
        <f t="shared" si="111"/>
        <v>0</v>
      </c>
    </row>
    <row r="1014" spans="1:12" x14ac:dyDescent="0.25">
      <c r="A1014" s="47" t="s">
        <v>4264</v>
      </c>
      <c r="B1014" s="293"/>
      <c r="C1014" s="293"/>
      <c r="D1014" s="293"/>
      <c r="E1014" s="293"/>
      <c r="F1014" s="293"/>
      <c r="G1014" s="293"/>
      <c r="H1014" s="293"/>
      <c r="I1014" s="293"/>
      <c r="J1014" s="293"/>
      <c r="L1014" s="293">
        <f t="shared" si="111"/>
        <v>0</v>
      </c>
    </row>
    <row r="1015" spans="1:12" x14ac:dyDescent="0.25">
      <c r="A1015" t="s">
        <v>87</v>
      </c>
      <c r="B1015" s="293"/>
      <c r="C1015" s="293"/>
      <c r="D1015" s="293"/>
      <c r="E1015" s="293"/>
      <c r="F1015" s="293"/>
      <c r="G1015" s="293"/>
      <c r="H1015" s="293"/>
      <c r="I1015" s="293"/>
      <c r="J1015" s="293"/>
      <c r="L1015" s="293">
        <f t="shared" si="111"/>
        <v>0</v>
      </c>
    </row>
    <row r="1016" spans="1:12" x14ac:dyDescent="0.25">
      <c r="A1016" t="s">
        <v>4265</v>
      </c>
      <c r="B1016" s="293"/>
      <c r="C1016" s="293"/>
      <c r="D1016" s="293"/>
      <c r="E1016" s="293"/>
      <c r="F1016" s="293"/>
      <c r="G1016" s="293"/>
      <c r="H1016" s="293"/>
      <c r="I1016" s="293"/>
      <c r="J1016" s="293"/>
      <c r="L1016" s="293">
        <f t="shared" si="111"/>
        <v>0</v>
      </c>
    </row>
    <row r="1017" spans="1:12" x14ac:dyDescent="0.25">
      <c r="B1017" s="293"/>
      <c r="C1017" s="293"/>
      <c r="D1017" s="293"/>
      <c r="E1017" s="293"/>
      <c r="F1017" s="293"/>
      <c r="G1017" s="293"/>
      <c r="H1017" s="293"/>
      <c r="I1017" s="293"/>
      <c r="J1017" s="293"/>
      <c r="L1017" s="293">
        <f t="shared" si="111"/>
        <v>0</v>
      </c>
    </row>
    <row r="1018" spans="1:12" x14ac:dyDescent="0.25">
      <c r="B1018" s="293"/>
      <c r="C1018" s="293"/>
      <c r="D1018" s="293"/>
      <c r="E1018" s="293"/>
      <c r="F1018" s="293"/>
      <c r="G1018" s="293"/>
      <c r="H1018" s="293"/>
      <c r="I1018" s="293"/>
      <c r="J1018" s="293"/>
      <c r="L1018" s="293">
        <f t="shared" si="111"/>
        <v>0</v>
      </c>
    </row>
    <row r="1019" spans="1:12" x14ac:dyDescent="0.25">
      <c r="B1019" s="293"/>
      <c r="C1019" s="293"/>
      <c r="D1019" s="293"/>
      <c r="E1019" s="293"/>
      <c r="F1019" s="293"/>
      <c r="G1019" s="293"/>
      <c r="H1019" s="293"/>
      <c r="I1019" s="293"/>
      <c r="J1019" s="293"/>
      <c r="L1019" s="293">
        <f t="shared" si="111"/>
        <v>0</v>
      </c>
    </row>
    <row r="1020" spans="1:12" x14ac:dyDescent="0.25">
      <c r="B1020" s="293"/>
      <c r="C1020" s="293"/>
      <c r="D1020" s="293"/>
      <c r="E1020" s="293"/>
      <c r="F1020" s="293"/>
      <c r="G1020" s="293"/>
      <c r="H1020" s="293"/>
      <c r="I1020" s="293"/>
      <c r="J1020" s="293"/>
      <c r="L1020" s="293">
        <f t="shared" si="111"/>
        <v>0</v>
      </c>
    </row>
    <row r="1021" spans="1:12" x14ac:dyDescent="0.25">
      <c r="A1021" t="s">
        <v>4266</v>
      </c>
      <c r="B1021" s="293"/>
      <c r="C1021" s="293"/>
      <c r="D1021" s="293"/>
      <c r="E1021" s="293"/>
      <c r="F1021" s="293"/>
      <c r="G1021" s="293"/>
      <c r="H1021" s="293"/>
      <c r="I1021" s="293"/>
      <c r="J1021" s="293"/>
      <c r="L1021" s="293">
        <f t="shared" si="111"/>
        <v>0</v>
      </c>
    </row>
    <row r="1022" spans="1:12" x14ac:dyDescent="0.25">
      <c r="A1022" t="s">
        <v>66</v>
      </c>
      <c r="B1022" s="293"/>
      <c r="C1022" s="293"/>
      <c r="D1022" s="293"/>
      <c r="E1022" s="293"/>
      <c r="F1022" s="293"/>
      <c r="G1022" s="293"/>
      <c r="H1022" s="293"/>
      <c r="I1022" s="293"/>
      <c r="J1022" s="293"/>
      <c r="L1022" s="293">
        <f t="shared" si="111"/>
        <v>0</v>
      </c>
    </row>
    <row r="1023" spans="1:12" x14ac:dyDescent="0.25">
      <c r="B1023" s="293"/>
      <c r="C1023" s="293"/>
      <c r="D1023" s="293"/>
      <c r="E1023" s="293"/>
      <c r="F1023" s="293"/>
      <c r="G1023" s="293"/>
      <c r="H1023" s="293"/>
      <c r="I1023" s="293"/>
      <c r="J1023" s="293"/>
      <c r="L1023" s="293">
        <f t="shared" si="111"/>
        <v>0</v>
      </c>
    </row>
    <row r="1024" spans="1:12" x14ac:dyDescent="0.25">
      <c r="B1024" s="293"/>
      <c r="C1024" s="293"/>
      <c r="D1024" s="293"/>
      <c r="E1024" s="293"/>
      <c r="F1024" s="293"/>
      <c r="G1024" s="293"/>
      <c r="H1024" s="293"/>
      <c r="I1024" s="293"/>
      <c r="J1024" s="293"/>
      <c r="L1024" s="293">
        <f t="shared" si="111"/>
        <v>0</v>
      </c>
    </row>
    <row r="1025" spans="1:12" x14ac:dyDescent="0.25">
      <c r="B1025" s="293"/>
      <c r="C1025" s="293"/>
      <c r="D1025" s="293"/>
      <c r="E1025" s="293"/>
      <c r="F1025" s="293"/>
      <c r="G1025" s="293"/>
      <c r="H1025" s="293"/>
      <c r="I1025" s="293"/>
      <c r="J1025" s="293"/>
      <c r="L1025" s="293">
        <f t="shared" si="111"/>
        <v>0</v>
      </c>
    </row>
    <row r="1026" spans="1:12" x14ac:dyDescent="0.25">
      <c r="B1026" s="293"/>
      <c r="C1026" s="293"/>
      <c r="D1026" s="293"/>
      <c r="E1026" s="293"/>
      <c r="F1026" s="293"/>
      <c r="G1026" s="293"/>
      <c r="H1026" s="293"/>
      <c r="I1026" s="293"/>
      <c r="J1026" s="293"/>
      <c r="L1026" s="293">
        <f t="shared" si="111"/>
        <v>0</v>
      </c>
    </row>
    <row r="1027" spans="1:12" x14ac:dyDescent="0.25">
      <c r="A1027" s="47" t="s">
        <v>4267</v>
      </c>
      <c r="B1027" s="296">
        <f>SUM(B1015:B1026)</f>
        <v>0</v>
      </c>
      <c r="C1027" s="296">
        <f t="shared" ref="C1027:J1027" si="113">SUM(C1015:C1026)</f>
        <v>0</v>
      </c>
      <c r="D1027" s="296">
        <f t="shared" si="113"/>
        <v>0</v>
      </c>
      <c r="E1027" s="296">
        <f t="shared" si="113"/>
        <v>0</v>
      </c>
      <c r="F1027" s="296">
        <f t="shared" si="113"/>
        <v>0</v>
      </c>
      <c r="G1027" s="296">
        <f t="shared" si="113"/>
        <v>0</v>
      </c>
      <c r="H1027" s="296">
        <f t="shared" si="113"/>
        <v>0</v>
      </c>
      <c r="I1027" s="296">
        <f t="shared" si="113"/>
        <v>0</v>
      </c>
      <c r="J1027" s="296">
        <f t="shared" si="113"/>
        <v>0</v>
      </c>
      <c r="L1027" s="293">
        <f t="shared" si="111"/>
        <v>0</v>
      </c>
    </row>
    <row r="1028" spans="1:12" x14ac:dyDescent="0.25">
      <c r="B1028" s="293"/>
      <c r="C1028" s="293"/>
      <c r="D1028" s="293"/>
      <c r="E1028" s="293"/>
      <c r="F1028" s="293"/>
      <c r="G1028" s="293"/>
      <c r="H1028" s="293"/>
      <c r="I1028" s="293"/>
      <c r="J1028" s="293"/>
      <c r="L1028" s="293">
        <f t="shared" si="111"/>
        <v>0</v>
      </c>
    </row>
    <row r="1029" spans="1:12" ht="15.75" thickBot="1" x14ac:dyDescent="0.3">
      <c r="A1029" s="47" t="s">
        <v>4268</v>
      </c>
      <c r="B1029" s="301">
        <f>B1012-B1027</f>
        <v>503200</v>
      </c>
      <c r="C1029" s="301">
        <f t="shared" ref="C1029:J1029" si="114">C1012-C1027</f>
        <v>454000</v>
      </c>
      <c r="D1029" s="301">
        <f t="shared" si="114"/>
        <v>472000</v>
      </c>
      <c r="E1029" s="301">
        <f t="shared" si="114"/>
        <v>482800</v>
      </c>
      <c r="F1029" s="301">
        <f t="shared" si="114"/>
        <v>495100</v>
      </c>
      <c r="G1029" s="301">
        <f t="shared" si="114"/>
        <v>490200</v>
      </c>
      <c r="H1029" s="301">
        <f t="shared" si="114"/>
        <v>522200</v>
      </c>
      <c r="I1029" s="301">
        <f t="shared" si="114"/>
        <v>560400</v>
      </c>
      <c r="J1029" s="301">
        <f t="shared" si="114"/>
        <v>642700</v>
      </c>
      <c r="L1029" s="293"/>
    </row>
    <row r="1030" spans="1:12" ht="15.75" thickTop="1" x14ac:dyDescent="0.25">
      <c r="B1030" s="293"/>
      <c r="C1030" s="293"/>
      <c r="D1030" s="293"/>
      <c r="E1030" s="293"/>
      <c r="F1030" s="293"/>
      <c r="G1030" s="293"/>
      <c r="H1030" s="293"/>
      <c r="I1030" s="293"/>
      <c r="J1030" s="293"/>
      <c r="L1030" s="293">
        <f t="shared" si="111"/>
        <v>0</v>
      </c>
    </row>
    <row r="1031" spans="1:12" x14ac:dyDescent="0.25">
      <c r="A1031" s="281"/>
      <c r="B1031" s="316"/>
      <c r="C1031" s="316"/>
      <c r="D1031" s="316"/>
      <c r="E1031" s="316"/>
      <c r="F1031" s="316"/>
      <c r="G1031" s="316"/>
      <c r="H1031" s="316"/>
      <c r="I1031" s="316"/>
      <c r="J1031" s="316"/>
      <c r="L1031" s="293">
        <f t="shared" si="111"/>
        <v>0</v>
      </c>
    </row>
    <row r="1032" spans="1:12" x14ac:dyDescent="0.25">
      <c r="B1032" s="293"/>
      <c r="C1032" s="293"/>
      <c r="D1032" s="293"/>
      <c r="E1032" s="293"/>
      <c r="F1032" s="293"/>
      <c r="G1032" s="293"/>
      <c r="H1032" s="293"/>
      <c r="I1032" s="293"/>
      <c r="J1032" s="293"/>
      <c r="L1032" s="293">
        <f t="shared" si="111"/>
        <v>0</v>
      </c>
    </row>
    <row r="1033" spans="1:12" x14ac:dyDescent="0.25">
      <c r="A1033" s="280" t="s">
        <v>4351</v>
      </c>
      <c r="B1033" s="293"/>
      <c r="C1033" s="293"/>
      <c r="D1033" s="293"/>
      <c r="E1033" s="293"/>
      <c r="F1033" s="293"/>
      <c r="G1033" s="293"/>
      <c r="H1033" s="293"/>
      <c r="I1033" s="293"/>
      <c r="J1033" s="293"/>
      <c r="L1033" s="293">
        <f t="shared" si="111"/>
        <v>0</v>
      </c>
    </row>
    <row r="1034" spans="1:12" x14ac:dyDescent="0.25">
      <c r="B1034" s="293"/>
      <c r="C1034" s="293"/>
      <c r="D1034" s="293"/>
      <c r="E1034" s="293"/>
      <c r="F1034" s="293"/>
      <c r="G1034" s="293"/>
      <c r="H1034" s="293"/>
      <c r="I1034" s="293"/>
      <c r="J1034" s="293"/>
      <c r="L1034" s="293">
        <f t="shared" si="111"/>
        <v>0</v>
      </c>
    </row>
    <row r="1035" spans="1:12" x14ac:dyDescent="0.25">
      <c r="A1035" s="47" t="s">
        <v>4260</v>
      </c>
      <c r="B1035" s="293"/>
      <c r="C1035" s="293"/>
      <c r="D1035" s="293"/>
      <c r="E1035" s="293"/>
      <c r="F1035" s="293"/>
      <c r="G1035" s="293"/>
      <c r="H1035" s="293"/>
      <c r="I1035" s="293"/>
      <c r="J1035" s="293"/>
      <c r="L1035" s="293">
        <f t="shared" si="111"/>
        <v>0</v>
      </c>
    </row>
    <row r="1036" spans="1:12" x14ac:dyDescent="0.25">
      <c r="A1036" t="s">
        <v>4262</v>
      </c>
      <c r="B1036" s="293"/>
      <c r="C1036" s="293"/>
      <c r="D1036" s="293"/>
      <c r="E1036" s="293"/>
      <c r="F1036" s="293"/>
      <c r="G1036" s="293"/>
      <c r="H1036" s="293"/>
      <c r="I1036" s="293"/>
      <c r="J1036" s="293"/>
      <c r="L1036" s="293">
        <f t="shared" si="111"/>
        <v>0</v>
      </c>
    </row>
    <row r="1037" spans="1:12" x14ac:dyDescent="0.25">
      <c r="A1037" t="s">
        <v>4261</v>
      </c>
      <c r="B1037" s="293">
        <f>capitalrevdata!F37</f>
        <v>71600</v>
      </c>
      <c r="C1037" s="293">
        <f>capitalrevdata!G37</f>
        <v>57300</v>
      </c>
      <c r="D1037" s="293">
        <f>capitalrevdata!H37</f>
        <v>47700</v>
      </c>
      <c r="E1037" s="293">
        <f>capitalrevdata!I37</f>
        <v>47700</v>
      </c>
      <c r="F1037" s="293">
        <f>capitalrevdata!J37</f>
        <v>47700</v>
      </c>
      <c r="G1037" s="293">
        <f>capitalrevdata!K37</f>
        <v>38200</v>
      </c>
      <c r="H1037" s="293">
        <f>capitalrevdata!L37</f>
        <v>38200</v>
      </c>
      <c r="I1037" s="293">
        <f>capitalrevdata!M37</f>
        <v>38200</v>
      </c>
      <c r="J1037" s="293">
        <f>capitalrevdata!N37</f>
        <v>38200</v>
      </c>
      <c r="L1037" s="293">
        <f t="shared" si="111"/>
        <v>38200</v>
      </c>
    </row>
    <row r="1038" spans="1:12" x14ac:dyDescent="0.25">
      <c r="A1038" t="s">
        <v>66</v>
      </c>
      <c r="B1038" s="293"/>
      <c r="C1038" s="293"/>
      <c r="D1038" s="293"/>
      <c r="E1038" s="293"/>
      <c r="F1038" s="293"/>
      <c r="G1038" s="293"/>
      <c r="H1038" s="293"/>
      <c r="I1038" s="293"/>
      <c r="J1038" s="293"/>
      <c r="L1038" s="293">
        <f t="shared" si="111"/>
        <v>0</v>
      </c>
    </row>
    <row r="1039" spans="1:12" x14ac:dyDescent="0.25">
      <c r="B1039" s="293"/>
      <c r="C1039" s="293"/>
      <c r="D1039" s="293"/>
      <c r="E1039" s="293"/>
      <c r="F1039" s="293"/>
      <c r="G1039" s="293"/>
      <c r="H1039" s="293"/>
      <c r="I1039" s="293"/>
      <c r="J1039" s="293"/>
      <c r="L1039" s="293">
        <f t="shared" si="111"/>
        <v>0</v>
      </c>
    </row>
    <row r="1040" spans="1:12" x14ac:dyDescent="0.25">
      <c r="B1040" s="293"/>
      <c r="C1040" s="293"/>
      <c r="D1040" s="293"/>
      <c r="E1040" s="293"/>
      <c r="F1040" s="293"/>
      <c r="G1040" s="293"/>
      <c r="H1040" s="293"/>
      <c r="I1040" s="293"/>
      <c r="J1040" s="293"/>
      <c r="L1040" s="293">
        <f t="shared" si="111"/>
        <v>0</v>
      </c>
    </row>
    <row r="1041" spans="1:12" x14ac:dyDescent="0.25">
      <c r="B1041" s="293"/>
      <c r="C1041" s="293"/>
      <c r="D1041" s="293"/>
      <c r="E1041" s="293"/>
      <c r="F1041" s="293"/>
      <c r="G1041" s="293"/>
      <c r="H1041" s="293"/>
      <c r="I1041" s="293"/>
      <c r="J1041" s="293"/>
      <c r="L1041" s="293">
        <f t="shared" si="111"/>
        <v>0</v>
      </c>
    </row>
    <row r="1042" spans="1:12" x14ac:dyDescent="0.25">
      <c r="B1042" s="293"/>
      <c r="C1042" s="293"/>
      <c r="D1042" s="293"/>
      <c r="E1042" s="293"/>
      <c r="F1042" s="293"/>
      <c r="G1042" s="293"/>
      <c r="H1042" s="293"/>
      <c r="I1042" s="293"/>
      <c r="J1042" s="293"/>
      <c r="L1042" s="293">
        <f t="shared" si="111"/>
        <v>0</v>
      </c>
    </row>
    <row r="1043" spans="1:12" x14ac:dyDescent="0.25">
      <c r="A1043" s="47" t="s">
        <v>4263</v>
      </c>
      <c r="B1043" s="296">
        <f>SUM(B1033:B1042)</f>
        <v>71600</v>
      </c>
      <c r="C1043" s="296">
        <f t="shared" ref="C1043:J1043" si="115">SUM(C1033:C1042)</f>
        <v>57300</v>
      </c>
      <c r="D1043" s="296">
        <f t="shared" si="115"/>
        <v>47700</v>
      </c>
      <c r="E1043" s="296">
        <f t="shared" si="115"/>
        <v>47700</v>
      </c>
      <c r="F1043" s="296">
        <f t="shared" si="115"/>
        <v>47700</v>
      </c>
      <c r="G1043" s="296">
        <f t="shared" si="115"/>
        <v>38200</v>
      </c>
      <c r="H1043" s="296">
        <f t="shared" si="115"/>
        <v>38200</v>
      </c>
      <c r="I1043" s="296">
        <f t="shared" si="115"/>
        <v>38200</v>
      </c>
      <c r="J1043" s="296">
        <f t="shared" si="115"/>
        <v>38200</v>
      </c>
      <c r="L1043" s="293"/>
    </row>
    <row r="1044" spans="1:12" x14ac:dyDescent="0.25">
      <c r="B1044" s="293"/>
      <c r="C1044" s="293"/>
      <c r="D1044" s="293"/>
      <c r="E1044" s="293"/>
      <c r="F1044" s="293"/>
      <c r="G1044" s="293"/>
      <c r="H1044" s="293"/>
      <c r="I1044" s="293"/>
      <c r="J1044" s="293"/>
      <c r="L1044" s="293">
        <f t="shared" si="111"/>
        <v>0</v>
      </c>
    </row>
    <row r="1045" spans="1:12" x14ac:dyDescent="0.25">
      <c r="A1045" s="47" t="s">
        <v>4264</v>
      </c>
      <c r="B1045" s="293"/>
      <c r="C1045" s="293"/>
      <c r="D1045" s="293"/>
      <c r="E1045" s="293"/>
      <c r="F1045" s="293"/>
      <c r="G1045" s="293"/>
      <c r="H1045" s="293"/>
      <c r="I1045" s="293"/>
      <c r="J1045" s="293"/>
      <c r="L1045" s="293">
        <f t="shared" si="111"/>
        <v>0</v>
      </c>
    </row>
    <row r="1046" spans="1:12" x14ac:dyDescent="0.25">
      <c r="A1046" t="s">
        <v>87</v>
      </c>
      <c r="B1046" s="293"/>
      <c r="C1046" s="293"/>
      <c r="D1046" s="293"/>
      <c r="E1046" s="293"/>
      <c r="F1046" s="293"/>
      <c r="G1046" s="293"/>
      <c r="H1046" s="293"/>
      <c r="I1046" s="293"/>
      <c r="J1046" s="293"/>
      <c r="L1046" s="293">
        <f t="shared" si="111"/>
        <v>0</v>
      </c>
    </row>
    <row r="1047" spans="1:12" x14ac:dyDescent="0.25">
      <c r="A1047" t="s">
        <v>4265</v>
      </c>
      <c r="B1047" s="293"/>
      <c r="C1047" s="293"/>
      <c r="D1047" s="293"/>
      <c r="E1047" s="293"/>
      <c r="F1047" s="293"/>
      <c r="G1047" s="293"/>
      <c r="H1047" s="293"/>
      <c r="I1047" s="293"/>
      <c r="J1047" s="293"/>
      <c r="L1047" s="293">
        <f t="shared" si="111"/>
        <v>0</v>
      </c>
    </row>
    <row r="1048" spans="1:12" x14ac:dyDescent="0.25">
      <c r="B1048" s="293"/>
      <c r="C1048" s="293"/>
      <c r="D1048" s="293"/>
      <c r="E1048" s="293"/>
      <c r="F1048" s="293"/>
      <c r="G1048" s="293"/>
      <c r="H1048" s="293"/>
      <c r="I1048" s="293"/>
      <c r="J1048" s="293"/>
      <c r="L1048" s="293">
        <f t="shared" si="111"/>
        <v>0</v>
      </c>
    </row>
    <row r="1049" spans="1:12" x14ac:dyDescent="0.25">
      <c r="B1049" s="293"/>
      <c r="C1049" s="293"/>
      <c r="D1049" s="293"/>
      <c r="E1049" s="293"/>
      <c r="F1049" s="293"/>
      <c r="G1049" s="293"/>
      <c r="H1049" s="293"/>
      <c r="I1049" s="293"/>
      <c r="J1049" s="293"/>
      <c r="L1049" s="293">
        <f t="shared" si="111"/>
        <v>0</v>
      </c>
    </row>
    <row r="1050" spans="1:12" x14ac:dyDescent="0.25">
      <c r="B1050" s="293"/>
      <c r="C1050" s="293"/>
      <c r="D1050" s="293"/>
      <c r="E1050" s="293"/>
      <c r="F1050" s="293"/>
      <c r="G1050" s="293"/>
      <c r="H1050" s="293"/>
      <c r="I1050" s="293"/>
      <c r="J1050" s="293"/>
      <c r="L1050" s="293">
        <f t="shared" si="111"/>
        <v>0</v>
      </c>
    </row>
    <row r="1051" spans="1:12" x14ac:dyDescent="0.25">
      <c r="B1051" s="293"/>
      <c r="C1051" s="293"/>
      <c r="D1051" s="293"/>
      <c r="E1051" s="293"/>
      <c r="F1051" s="293"/>
      <c r="G1051" s="293"/>
      <c r="H1051" s="293"/>
      <c r="I1051" s="293"/>
      <c r="J1051" s="293"/>
      <c r="L1051" s="293">
        <f t="shared" si="111"/>
        <v>0</v>
      </c>
    </row>
    <row r="1052" spans="1:12" x14ac:dyDescent="0.25">
      <c r="A1052" t="s">
        <v>4266</v>
      </c>
      <c r="B1052" s="293"/>
      <c r="C1052" s="293"/>
      <c r="D1052" s="293"/>
      <c r="E1052" s="293"/>
      <c r="F1052" s="293"/>
      <c r="G1052" s="293"/>
      <c r="H1052" s="293"/>
      <c r="I1052" s="293"/>
      <c r="J1052" s="293"/>
      <c r="L1052" s="293">
        <f t="shared" si="111"/>
        <v>0</v>
      </c>
    </row>
    <row r="1053" spans="1:12" x14ac:dyDescent="0.25">
      <c r="A1053" t="s">
        <v>66</v>
      </c>
      <c r="B1053" s="293"/>
      <c r="C1053" s="293"/>
      <c r="D1053" s="293"/>
      <c r="E1053" s="293"/>
      <c r="F1053" s="293"/>
      <c r="G1053" s="293"/>
      <c r="H1053" s="293"/>
      <c r="I1053" s="293"/>
      <c r="J1053" s="293"/>
      <c r="L1053" s="293">
        <f t="shared" si="111"/>
        <v>0</v>
      </c>
    </row>
    <row r="1054" spans="1:12" x14ac:dyDescent="0.25">
      <c r="B1054" s="293"/>
      <c r="C1054" s="293"/>
      <c r="D1054" s="293"/>
      <c r="E1054" s="293"/>
      <c r="F1054" s="293"/>
      <c r="G1054" s="293"/>
      <c r="H1054" s="293"/>
      <c r="I1054" s="293"/>
      <c r="J1054" s="293"/>
      <c r="L1054" s="293">
        <f t="shared" si="111"/>
        <v>0</v>
      </c>
    </row>
    <row r="1055" spans="1:12" x14ac:dyDescent="0.25">
      <c r="B1055" s="293"/>
      <c r="C1055" s="293"/>
      <c r="D1055" s="293"/>
      <c r="E1055" s="293"/>
      <c r="F1055" s="293"/>
      <c r="G1055" s="293"/>
      <c r="H1055" s="293"/>
      <c r="I1055" s="293"/>
      <c r="J1055" s="293"/>
      <c r="L1055" s="293">
        <f t="shared" si="111"/>
        <v>0</v>
      </c>
    </row>
    <row r="1056" spans="1:12" x14ac:dyDescent="0.25">
      <c r="B1056" s="293"/>
      <c r="C1056" s="293"/>
      <c r="D1056" s="293"/>
      <c r="E1056" s="293"/>
      <c r="F1056" s="293"/>
      <c r="G1056" s="293"/>
      <c r="H1056" s="293"/>
      <c r="I1056" s="293"/>
      <c r="J1056" s="293"/>
      <c r="L1056" s="293">
        <f t="shared" si="111"/>
        <v>0</v>
      </c>
    </row>
    <row r="1057" spans="1:12" x14ac:dyDescent="0.25">
      <c r="B1057" s="293"/>
      <c r="C1057" s="293"/>
      <c r="D1057" s="293"/>
      <c r="E1057" s="293"/>
      <c r="F1057" s="293"/>
      <c r="G1057" s="293"/>
      <c r="H1057" s="293"/>
      <c r="I1057" s="293"/>
      <c r="J1057" s="293"/>
      <c r="L1057" s="293">
        <f t="shared" si="111"/>
        <v>0</v>
      </c>
    </row>
    <row r="1058" spans="1:12" x14ac:dyDescent="0.25">
      <c r="A1058" s="47" t="s">
        <v>4267</v>
      </c>
      <c r="B1058" s="296">
        <f>SUM(B1046:B1057)</f>
        <v>0</v>
      </c>
      <c r="C1058" s="296">
        <f t="shared" ref="C1058:J1058" si="116">SUM(C1046:C1057)</f>
        <v>0</v>
      </c>
      <c r="D1058" s="296">
        <f t="shared" si="116"/>
        <v>0</v>
      </c>
      <c r="E1058" s="296">
        <f t="shared" si="116"/>
        <v>0</v>
      </c>
      <c r="F1058" s="296">
        <f t="shared" si="116"/>
        <v>0</v>
      </c>
      <c r="G1058" s="296">
        <f t="shared" si="116"/>
        <v>0</v>
      </c>
      <c r="H1058" s="296">
        <f t="shared" si="116"/>
        <v>0</v>
      </c>
      <c r="I1058" s="296">
        <f t="shared" si="116"/>
        <v>0</v>
      </c>
      <c r="J1058" s="296">
        <f t="shared" si="116"/>
        <v>0</v>
      </c>
      <c r="L1058" s="293">
        <f t="shared" si="111"/>
        <v>0</v>
      </c>
    </row>
    <row r="1059" spans="1:12" x14ac:dyDescent="0.25">
      <c r="B1059" s="293"/>
      <c r="C1059" s="293"/>
      <c r="D1059" s="293"/>
      <c r="E1059" s="293"/>
      <c r="F1059" s="293"/>
      <c r="G1059" s="293"/>
      <c r="H1059" s="293"/>
      <c r="I1059" s="293"/>
      <c r="J1059" s="293"/>
      <c r="L1059" s="293">
        <f t="shared" si="111"/>
        <v>0</v>
      </c>
    </row>
    <row r="1060" spans="1:12" ht="15.75" thickBot="1" x14ac:dyDescent="0.3">
      <c r="A1060" s="47" t="s">
        <v>4268</v>
      </c>
      <c r="B1060" s="301">
        <f>B1043-B1058</f>
        <v>71600</v>
      </c>
      <c r="C1060" s="301">
        <f t="shared" ref="C1060:J1060" si="117">C1043-C1058</f>
        <v>57300</v>
      </c>
      <c r="D1060" s="301">
        <f t="shared" si="117"/>
        <v>47700</v>
      </c>
      <c r="E1060" s="301">
        <f t="shared" si="117"/>
        <v>47700</v>
      </c>
      <c r="F1060" s="301">
        <f t="shared" si="117"/>
        <v>47700</v>
      </c>
      <c r="G1060" s="301">
        <f t="shared" si="117"/>
        <v>38200</v>
      </c>
      <c r="H1060" s="301">
        <f t="shared" si="117"/>
        <v>38200</v>
      </c>
      <c r="I1060" s="301">
        <f t="shared" si="117"/>
        <v>38200</v>
      </c>
      <c r="J1060" s="301">
        <f t="shared" si="117"/>
        <v>38200</v>
      </c>
      <c r="L1060" s="293"/>
    </row>
    <row r="1061" spans="1:12" ht="15.75" thickTop="1" x14ac:dyDescent="0.25">
      <c r="B1061" s="293"/>
      <c r="C1061" s="293"/>
      <c r="D1061" s="293"/>
      <c r="E1061" s="293"/>
      <c r="F1061" s="293"/>
      <c r="G1061" s="293"/>
      <c r="H1061" s="293"/>
      <c r="I1061" s="293"/>
      <c r="J1061" s="293"/>
      <c r="L1061" s="293">
        <f t="shared" si="111"/>
        <v>0</v>
      </c>
    </row>
    <row r="1062" spans="1:12" x14ac:dyDescent="0.25">
      <c r="A1062" s="281"/>
      <c r="B1062" s="316"/>
      <c r="C1062" s="316"/>
      <c r="D1062" s="316"/>
      <c r="E1062" s="316"/>
      <c r="F1062" s="316"/>
      <c r="G1062" s="316"/>
      <c r="H1062" s="316"/>
      <c r="I1062" s="316"/>
      <c r="J1062" s="316"/>
      <c r="L1062" s="293">
        <f t="shared" si="111"/>
        <v>0</v>
      </c>
    </row>
    <row r="1063" spans="1:12" x14ac:dyDescent="0.25">
      <c r="B1063" s="293"/>
      <c r="C1063" s="293"/>
      <c r="D1063" s="293"/>
      <c r="E1063" s="293"/>
      <c r="F1063" s="293"/>
      <c r="G1063" s="293"/>
      <c r="H1063" s="293"/>
      <c r="I1063" s="293"/>
      <c r="J1063" s="293"/>
      <c r="L1063" s="293">
        <f t="shared" si="111"/>
        <v>0</v>
      </c>
    </row>
    <row r="1064" spans="1:12" x14ac:dyDescent="0.25">
      <c r="A1064" s="280" t="s">
        <v>4352</v>
      </c>
      <c r="B1064" s="293"/>
      <c r="C1064" s="293"/>
      <c r="D1064" s="293"/>
      <c r="E1064" s="293"/>
      <c r="F1064" s="293"/>
      <c r="G1064" s="293"/>
      <c r="H1064" s="293"/>
      <c r="I1064" s="293"/>
      <c r="J1064" s="293"/>
      <c r="L1064" s="293">
        <f t="shared" si="111"/>
        <v>0</v>
      </c>
    </row>
    <row r="1065" spans="1:12" x14ac:dyDescent="0.25">
      <c r="B1065" s="293"/>
      <c r="C1065" s="293"/>
      <c r="D1065" s="293"/>
      <c r="E1065" s="293"/>
      <c r="F1065" s="293"/>
      <c r="G1065" s="293"/>
      <c r="H1065" s="293"/>
      <c r="I1065" s="293"/>
      <c r="J1065" s="293"/>
      <c r="L1065" s="293">
        <f t="shared" si="111"/>
        <v>0</v>
      </c>
    </row>
    <row r="1066" spans="1:12" x14ac:dyDescent="0.25">
      <c r="A1066" s="47" t="s">
        <v>4260</v>
      </c>
      <c r="B1066" s="293"/>
      <c r="C1066" s="293"/>
      <c r="D1066" s="293"/>
      <c r="E1066" s="293"/>
      <c r="F1066" s="293"/>
      <c r="G1066" s="293"/>
      <c r="H1066" s="293"/>
      <c r="I1066" s="293"/>
      <c r="J1066" s="293"/>
      <c r="L1066" s="293">
        <f t="shared" si="111"/>
        <v>0</v>
      </c>
    </row>
    <row r="1067" spans="1:12" x14ac:dyDescent="0.25">
      <c r="A1067" t="s">
        <v>4262</v>
      </c>
      <c r="B1067" s="293"/>
      <c r="C1067" s="293"/>
      <c r="D1067" s="293"/>
      <c r="E1067" s="293"/>
      <c r="F1067" s="293"/>
      <c r="G1067" s="293"/>
      <c r="H1067" s="293"/>
      <c r="I1067" s="293"/>
      <c r="J1067" s="293"/>
      <c r="L1067" s="293">
        <f t="shared" si="111"/>
        <v>0</v>
      </c>
    </row>
    <row r="1068" spans="1:12" x14ac:dyDescent="0.25">
      <c r="A1068" t="s">
        <v>4261</v>
      </c>
      <c r="B1068" s="293">
        <f>capitalrevdata!F38</f>
        <v>64300</v>
      </c>
      <c r="C1068" s="293">
        <f>capitalrevdata!G38</f>
        <v>51400</v>
      </c>
      <c r="D1068" s="293">
        <f>capitalrevdata!H38</f>
        <v>42800</v>
      </c>
      <c r="E1068" s="293">
        <f>capitalrevdata!I38</f>
        <v>42800</v>
      </c>
      <c r="F1068" s="293">
        <f>capitalrevdata!J38</f>
        <v>42800</v>
      </c>
      <c r="G1068" s="293">
        <f>capitalrevdata!K38</f>
        <v>34300</v>
      </c>
      <c r="H1068" s="293">
        <f>capitalrevdata!L38</f>
        <v>34300</v>
      </c>
      <c r="I1068" s="293">
        <f>capitalrevdata!M38</f>
        <v>34300</v>
      </c>
      <c r="J1068" s="293">
        <f>capitalrevdata!N38</f>
        <v>34300</v>
      </c>
      <c r="L1068" s="293">
        <f t="shared" ref="L1068:L1131" si="118">J1068</f>
        <v>34300</v>
      </c>
    </row>
    <row r="1069" spans="1:12" x14ac:dyDescent="0.25">
      <c r="A1069" t="s">
        <v>66</v>
      </c>
      <c r="B1069" s="293"/>
      <c r="C1069" s="293"/>
      <c r="D1069" s="293"/>
      <c r="E1069" s="293"/>
      <c r="F1069" s="293"/>
      <c r="G1069" s="293"/>
      <c r="H1069" s="293"/>
      <c r="I1069" s="293"/>
      <c r="J1069" s="293"/>
      <c r="L1069" s="293">
        <f t="shared" si="118"/>
        <v>0</v>
      </c>
    </row>
    <row r="1070" spans="1:12" x14ac:dyDescent="0.25">
      <c r="B1070" s="293"/>
      <c r="C1070" s="293"/>
      <c r="D1070" s="293"/>
      <c r="E1070" s="293"/>
      <c r="F1070" s="293"/>
      <c r="G1070" s="293"/>
      <c r="H1070" s="293"/>
      <c r="I1070" s="293"/>
      <c r="J1070" s="293"/>
      <c r="L1070" s="293">
        <f t="shared" si="118"/>
        <v>0</v>
      </c>
    </row>
    <row r="1071" spans="1:12" x14ac:dyDescent="0.25">
      <c r="B1071" s="293"/>
      <c r="C1071" s="293"/>
      <c r="D1071" s="293"/>
      <c r="E1071" s="293"/>
      <c r="F1071" s="293"/>
      <c r="G1071" s="293"/>
      <c r="H1071" s="293"/>
      <c r="I1071" s="293"/>
      <c r="J1071" s="293"/>
      <c r="L1071" s="293">
        <f t="shared" si="118"/>
        <v>0</v>
      </c>
    </row>
    <row r="1072" spans="1:12" x14ac:dyDescent="0.25">
      <c r="B1072" s="293"/>
      <c r="C1072" s="293"/>
      <c r="D1072" s="293"/>
      <c r="E1072" s="293"/>
      <c r="F1072" s="293"/>
      <c r="G1072" s="293"/>
      <c r="H1072" s="293"/>
      <c r="I1072" s="293"/>
      <c r="J1072" s="293"/>
      <c r="L1072" s="293">
        <f t="shared" si="118"/>
        <v>0</v>
      </c>
    </row>
    <row r="1073" spans="1:12" x14ac:dyDescent="0.25">
      <c r="B1073" s="293"/>
      <c r="C1073" s="293"/>
      <c r="D1073" s="293"/>
      <c r="E1073" s="293"/>
      <c r="F1073" s="293"/>
      <c r="G1073" s="293"/>
      <c r="H1073" s="293"/>
      <c r="I1073" s="293"/>
      <c r="J1073" s="293"/>
      <c r="L1073" s="293">
        <f t="shared" si="118"/>
        <v>0</v>
      </c>
    </row>
    <row r="1074" spans="1:12" x14ac:dyDescent="0.25">
      <c r="A1074" s="47" t="s">
        <v>4263</v>
      </c>
      <c r="B1074" s="296">
        <f>SUM(B1064:B1073)</f>
        <v>64300</v>
      </c>
      <c r="C1074" s="296">
        <f t="shared" ref="C1074:J1074" si="119">SUM(C1064:C1073)</f>
        <v>51400</v>
      </c>
      <c r="D1074" s="296">
        <f t="shared" si="119"/>
        <v>42800</v>
      </c>
      <c r="E1074" s="296">
        <f t="shared" si="119"/>
        <v>42800</v>
      </c>
      <c r="F1074" s="296">
        <f t="shared" si="119"/>
        <v>42800</v>
      </c>
      <c r="G1074" s="296">
        <f t="shared" si="119"/>
        <v>34300</v>
      </c>
      <c r="H1074" s="296">
        <f t="shared" si="119"/>
        <v>34300</v>
      </c>
      <c r="I1074" s="296">
        <f t="shared" si="119"/>
        <v>34300</v>
      </c>
      <c r="J1074" s="296">
        <f t="shared" si="119"/>
        <v>34300</v>
      </c>
      <c r="L1074" s="293"/>
    </row>
    <row r="1075" spans="1:12" x14ac:dyDescent="0.25">
      <c r="B1075" s="293"/>
      <c r="C1075" s="293"/>
      <c r="D1075" s="293"/>
      <c r="E1075" s="293"/>
      <c r="F1075" s="293"/>
      <c r="G1075" s="293"/>
      <c r="H1075" s="293"/>
      <c r="I1075" s="293"/>
      <c r="J1075" s="293"/>
      <c r="L1075" s="293">
        <f t="shared" si="118"/>
        <v>0</v>
      </c>
    </row>
    <row r="1076" spans="1:12" x14ac:dyDescent="0.25">
      <c r="A1076" s="47" t="s">
        <v>4264</v>
      </c>
      <c r="B1076" s="293"/>
      <c r="C1076" s="293"/>
      <c r="D1076" s="293"/>
      <c r="E1076" s="293"/>
      <c r="F1076" s="293"/>
      <c r="G1076" s="293"/>
      <c r="H1076" s="293"/>
      <c r="I1076" s="293"/>
      <c r="J1076" s="293"/>
      <c r="L1076" s="293">
        <f t="shared" si="118"/>
        <v>0</v>
      </c>
    </row>
    <row r="1077" spans="1:12" x14ac:dyDescent="0.25">
      <c r="A1077" t="s">
        <v>87</v>
      </c>
      <c r="B1077" s="293"/>
      <c r="C1077" s="293"/>
      <c r="D1077" s="293"/>
      <c r="E1077" s="293"/>
      <c r="F1077" s="293"/>
      <c r="G1077" s="293"/>
      <c r="H1077" s="293"/>
      <c r="I1077" s="293"/>
      <c r="J1077" s="293"/>
      <c r="L1077" s="293">
        <f t="shared" si="118"/>
        <v>0</v>
      </c>
    </row>
    <row r="1078" spans="1:12" x14ac:dyDescent="0.25">
      <c r="A1078" t="s">
        <v>4265</v>
      </c>
      <c r="B1078" s="293"/>
      <c r="C1078" s="293"/>
      <c r="D1078" s="293"/>
      <c r="E1078" s="293"/>
      <c r="F1078" s="293"/>
      <c r="G1078" s="293"/>
      <c r="H1078" s="293"/>
      <c r="I1078" s="293"/>
      <c r="J1078" s="293"/>
      <c r="L1078" s="293">
        <f t="shared" si="118"/>
        <v>0</v>
      </c>
    </row>
    <row r="1079" spans="1:12" x14ac:dyDescent="0.25">
      <c r="A1079" t="s">
        <v>4516</v>
      </c>
      <c r="B1079" s="293">
        <f>capitalexpdata!G359</f>
        <v>441200</v>
      </c>
      <c r="C1079" s="293"/>
      <c r="D1079" s="293"/>
      <c r="E1079" s="293"/>
      <c r="F1079" s="293"/>
      <c r="G1079" s="293"/>
      <c r="H1079" s="293"/>
      <c r="I1079" s="293"/>
      <c r="J1079" s="293"/>
      <c r="L1079" s="293">
        <f t="shared" si="118"/>
        <v>0</v>
      </c>
    </row>
    <row r="1080" spans="1:12" x14ac:dyDescent="0.25">
      <c r="B1080" s="293"/>
      <c r="C1080" s="293"/>
      <c r="D1080" s="293"/>
      <c r="E1080" s="293"/>
      <c r="F1080" s="293"/>
      <c r="G1080" s="293"/>
      <c r="H1080" s="293"/>
      <c r="I1080" s="293"/>
      <c r="J1080" s="293"/>
      <c r="L1080" s="293">
        <f t="shared" si="118"/>
        <v>0</v>
      </c>
    </row>
    <row r="1081" spans="1:12" x14ac:dyDescent="0.25">
      <c r="B1081" s="293"/>
      <c r="C1081" s="293"/>
      <c r="D1081" s="293"/>
      <c r="E1081" s="293"/>
      <c r="F1081" s="293"/>
      <c r="G1081" s="293"/>
      <c r="H1081" s="293"/>
      <c r="I1081" s="293"/>
      <c r="J1081" s="293"/>
      <c r="L1081" s="293">
        <f t="shared" si="118"/>
        <v>0</v>
      </c>
    </row>
    <row r="1082" spans="1:12" x14ac:dyDescent="0.25">
      <c r="B1082" s="293"/>
      <c r="C1082" s="293"/>
      <c r="D1082" s="293"/>
      <c r="E1082" s="293"/>
      <c r="F1082" s="293"/>
      <c r="G1082" s="293"/>
      <c r="H1082" s="293"/>
      <c r="I1082" s="293"/>
      <c r="J1082" s="293"/>
      <c r="L1082" s="293">
        <f t="shared" si="118"/>
        <v>0</v>
      </c>
    </row>
    <row r="1083" spans="1:12" x14ac:dyDescent="0.25">
      <c r="A1083" t="s">
        <v>4266</v>
      </c>
      <c r="B1083" s="293"/>
      <c r="C1083" s="293"/>
      <c r="D1083" s="293"/>
      <c r="E1083" s="293"/>
      <c r="F1083" s="293"/>
      <c r="G1083" s="293"/>
      <c r="H1083" s="293"/>
      <c r="I1083" s="293"/>
      <c r="J1083" s="293"/>
      <c r="L1083" s="293">
        <f t="shared" si="118"/>
        <v>0</v>
      </c>
    </row>
    <row r="1084" spans="1:12" x14ac:dyDescent="0.25">
      <c r="A1084" t="s">
        <v>66</v>
      </c>
      <c r="B1084" s="293"/>
      <c r="C1084" s="293"/>
      <c r="D1084" s="293"/>
      <c r="E1084" s="293"/>
      <c r="F1084" s="293"/>
      <c r="G1084" s="293"/>
      <c r="H1084" s="293"/>
      <c r="I1084" s="293"/>
      <c r="J1084" s="293"/>
      <c r="L1084" s="293">
        <f t="shared" si="118"/>
        <v>0</v>
      </c>
    </row>
    <row r="1085" spans="1:12" x14ac:dyDescent="0.25">
      <c r="B1085" s="293"/>
      <c r="C1085" s="293"/>
      <c r="D1085" s="293"/>
      <c r="E1085" s="293"/>
      <c r="F1085" s="293"/>
      <c r="G1085" s="293"/>
      <c r="H1085" s="293"/>
      <c r="I1085" s="293"/>
      <c r="J1085" s="293"/>
      <c r="L1085" s="293">
        <f t="shared" si="118"/>
        <v>0</v>
      </c>
    </row>
    <row r="1086" spans="1:12" x14ac:dyDescent="0.25">
      <c r="B1086" s="293"/>
      <c r="C1086" s="293"/>
      <c r="D1086" s="293"/>
      <c r="E1086" s="293"/>
      <c r="F1086" s="293"/>
      <c r="G1086" s="293"/>
      <c r="H1086" s="293"/>
      <c r="I1086" s="293"/>
      <c r="J1086" s="293"/>
      <c r="L1086" s="293">
        <f t="shared" si="118"/>
        <v>0</v>
      </c>
    </row>
    <row r="1087" spans="1:12" x14ac:dyDescent="0.25">
      <c r="B1087" s="293"/>
      <c r="C1087" s="293"/>
      <c r="D1087" s="293"/>
      <c r="E1087" s="293"/>
      <c r="F1087" s="293"/>
      <c r="G1087" s="293"/>
      <c r="H1087" s="293"/>
      <c r="I1087" s="293"/>
      <c r="J1087" s="293"/>
      <c r="L1087" s="293">
        <f t="shared" si="118"/>
        <v>0</v>
      </c>
    </row>
    <row r="1088" spans="1:12" x14ac:dyDescent="0.25">
      <c r="B1088" s="293"/>
      <c r="C1088" s="293"/>
      <c r="D1088" s="293"/>
      <c r="E1088" s="293"/>
      <c r="F1088" s="293"/>
      <c r="G1088" s="293"/>
      <c r="H1088" s="293"/>
      <c r="I1088" s="293"/>
      <c r="J1088" s="293"/>
      <c r="L1088" s="293">
        <f t="shared" si="118"/>
        <v>0</v>
      </c>
    </row>
    <row r="1089" spans="1:12" x14ac:dyDescent="0.25">
      <c r="A1089" s="47" t="s">
        <v>4267</v>
      </c>
      <c r="B1089" s="296">
        <f>SUM(B1077:B1088)</f>
        <v>441200</v>
      </c>
      <c r="C1089" s="296">
        <f t="shared" ref="C1089:J1089" si="120">SUM(C1077:C1088)</f>
        <v>0</v>
      </c>
      <c r="D1089" s="296">
        <f t="shared" si="120"/>
        <v>0</v>
      </c>
      <c r="E1089" s="296">
        <f t="shared" si="120"/>
        <v>0</v>
      </c>
      <c r="F1089" s="296">
        <f t="shared" si="120"/>
        <v>0</v>
      </c>
      <c r="G1089" s="296">
        <f t="shared" si="120"/>
        <v>0</v>
      </c>
      <c r="H1089" s="296">
        <f t="shared" si="120"/>
        <v>0</v>
      </c>
      <c r="I1089" s="296">
        <f t="shared" si="120"/>
        <v>0</v>
      </c>
      <c r="J1089" s="296">
        <f t="shared" si="120"/>
        <v>0</v>
      </c>
      <c r="L1089" s="293">
        <f t="shared" si="118"/>
        <v>0</v>
      </c>
    </row>
    <row r="1090" spans="1:12" x14ac:dyDescent="0.25">
      <c r="B1090" s="293"/>
      <c r="C1090" s="293"/>
      <c r="D1090" s="293"/>
      <c r="E1090" s="293"/>
      <c r="F1090" s="293"/>
      <c r="G1090" s="293"/>
      <c r="H1090" s="293"/>
      <c r="I1090" s="293"/>
      <c r="J1090" s="293"/>
      <c r="L1090" s="293">
        <f t="shared" si="118"/>
        <v>0</v>
      </c>
    </row>
    <row r="1091" spans="1:12" ht="15.75" thickBot="1" x14ac:dyDescent="0.3">
      <c r="A1091" s="47" t="s">
        <v>4268</v>
      </c>
      <c r="B1091" s="301">
        <f>B1074-B1089</f>
        <v>-376900</v>
      </c>
      <c r="C1091" s="301">
        <f t="shared" ref="C1091:J1091" si="121">C1074-C1089</f>
        <v>51400</v>
      </c>
      <c r="D1091" s="301">
        <f t="shared" si="121"/>
        <v>42800</v>
      </c>
      <c r="E1091" s="301">
        <f t="shared" si="121"/>
        <v>42800</v>
      </c>
      <c r="F1091" s="301">
        <f t="shared" si="121"/>
        <v>42800</v>
      </c>
      <c r="G1091" s="301">
        <f t="shared" si="121"/>
        <v>34300</v>
      </c>
      <c r="H1091" s="301">
        <f t="shared" si="121"/>
        <v>34300</v>
      </c>
      <c r="I1091" s="301">
        <f t="shared" si="121"/>
        <v>34300</v>
      </c>
      <c r="J1091" s="301">
        <f t="shared" si="121"/>
        <v>34300</v>
      </c>
      <c r="L1091" s="293"/>
    </row>
    <row r="1092" spans="1:12" ht="15.75" thickTop="1" x14ac:dyDescent="0.25">
      <c r="B1092" s="293"/>
      <c r="C1092" s="293"/>
      <c r="D1092" s="293"/>
      <c r="E1092" s="293"/>
      <c r="F1092" s="293"/>
      <c r="G1092" s="293"/>
      <c r="H1092" s="293"/>
      <c r="I1092" s="293"/>
      <c r="J1092" s="293"/>
      <c r="L1092" s="293">
        <f t="shared" si="118"/>
        <v>0</v>
      </c>
    </row>
    <row r="1093" spans="1:12" x14ac:dyDescent="0.25">
      <c r="A1093" s="281"/>
      <c r="B1093" s="316"/>
      <c r="C1093" s="316"/>
      <c r="D1093" s="316"/>
      <c r="E1093" s="316"/>
      <c r="F1093" s="316"/>
      <c r="G1093" s="316"/>
      <c r="H1093" s="316"/>
      <c r="I1093" s="316"/>
      <c r="J1093" s="316"/>
      <c r="L1093" s="293">
        <f t="shared" si="118"/>
        <v>0</v>
      </c>
    </row>
    <row r="1094" spans="1:12" x14ac:dyDescent="0.25">
      <c r="B1094" s="293"/>
      <c r="C1094" s="293"/>
      <c r="D1094" s="293"/>
      <c r="E1094" s="293"/>
      <c r="F1094" s="293"/>
      <c r="G1094" s="293"/>
      <c r="H1094" s="293"/>
      <c r="I1094" s="293"/>
      <c r="J1094" s="293"/>
      <c r="L1094" s="293">
        <f t="shared" si="118"/>
        <v>0</v>
      </c>
    </row>
    <row r="1095" spans="1:12" x14ac:dyDescent="0.25">
      <c r="A1095" s="280" t="s">
        <v>4353</v>
      </c>
      <c r="B1095" s="293"/>
      <c r="C1095" s="293"/>
      <c r="D1095" s="293"/>
      <c r="E1095" s="293"/>
      <c r="F1095" s="293"/>
      <c r="G1095" s="293"/>
      <c r="H1095" s="293"/>
      <c r="I1095" s="293"/>
      <c r="J1095" s="293"/>
      <c r="L1095" s="293">
        <f t="shared" si="118"/>
        <v>0</v>
      </c>
    </row>
    <row r="1096" spans="1:12" x14ac:dyDescent="0.25">
      <c r="B1096" s="293"/>
      <c r="C1096" s="293"/>
      <c r="D1096" s="293"/>
      <c r="E1096" s="293"/>
      <c r="F1096" s="293"/>
      <c r="G1096" s="293"/>
      <c r="H1096" s="293"/>
      <c r="I1096" s="293"/>
      <c r="J1096" s="293"/>
      <c r="L1096" s="293">
        <f t="shared" si="118"/>
        <v>0</v>
      </c>
    </row>
    <row r="1097" spans="1:12" x14ac:dyDescent="0.25">
      <c r="A1097" s="47" t="s">
        <v>4260</v>
      </c>
      <c r="B1097" s="293"/>
      <c r="C1097" s="293"/>
      <c r="D1097" s="293"/>
      <c r="E1097" s="293"/>
      <c r="F1097" s="293"/>
      <c r="G1097" s="293"/>
      <c r="H1097" s="293"/>
      <c r="I1097" s="293"/>
      <c r="J1097" s="293"/>
      <c r="L1097" s="293">
        <f t="shared" si="118"/>
        <v>0</v>
      </c>
    </row>
    <row r="1098" spans="1:12" x14ac:dyDescent="0.25">
      <c r="A1098" t="s">
        <v>4262</v>
      </c>
      <c r="B1098" s="293"/>
      <c r="C1098" s="293"/>
      <c r="D1098" s="293"/>
      <c r="E1098" s="293"/>
      <c r="F1098" s="293"/>
      <c r="G1098" s="293"/>
      <c r="H1098" s="293"/>
      <c r="I1098" s="293"/>
      <c r="J1098" s="293"/>
      <c r="L1098" s="293">
        <f t="shared" si="118"/>
        <v>0</v>
      </c>
    </row>
    <row r="1099" spans="1:12" x14ac:dyDescent="0.25">
      <c r="A1099" t="s">
        <v>4261</v>
      </c>
      <c r="B1099" s="293">
        <f>capitalrevdata!F39</f>
        <v>7300</v>
      </c>
      <c r="C1099" s="293">
        <f>capitalrevdata!G39</f>
        <v>5800</v>
      </c>
      <c r="D1099" s="293">
        <f>capitalrevdata!H39</f>
        <v>4800</v>
      </c>
      <c r="E1099" s="293">
        <f>capitalrevdata!I39</f>
        <v>4800</v>
      </c>
      <c r="F1099" s="293">
        <f>capitalrevdata!J39</f>
        <v>4800</v>
      </c>
      <c r="G1099" s="293">
        <f>capitalrevdata!K39</f>
        <v>3900</v>
      </c>
      <c r="H1099" s="293">
        <f>capitalrevdata!L39</f>
        <v>3900</v>
      </c>
      <c r="I1099" s="293">
        <f>capitalrevdata!M39</f>
        <v>3900</v>
      </c>
      <c r="J1099" s="293">
        <f>capitalrevdata!N39</f>
        <v>3900</v>
      </c>
      <c r="L1099" s="293">
        <f t="shared" si="118"/>
        <v>3900</v>
      </c>
    </row>
    <row r="1100" spans="1:12" x14ac:dyDescent="0.25">
      <c r="A1100" t="s">
        <v>66</v>
      </c>
      <c r="B1100" s="293"/>
      <c r="C1100" s="293"/>
      <c r="D1100" s="293"/>
      <c r="E1100" s="293"/>
      <c r="F1100" s="293"/>
      <c r="G1100" s="293"/>
      <c r="H1100" s="293"/>
      <c r="I1100" s="293"/>
      <c r="J1100" s="293"/>
      <c r="L1100" s="293">
        <f t="shared" si="118"/>
        <v>0</v>
      </c>
    </row>
    <row r="1101" spans="1:12" x14ac:dyDescent="0.25">
      <c r="B1101" s="293"/>
      <c r="C1101" s="293"/>
      <c r="D1101" s="293"/>
      <c r="E1101" s="293"/>
      <c r="F1101" s="293"/>
      <c r="G1101" s="293"/>
      <c r="H1101" s="293"/>
      <c r="I1101" s="293"/>
      <c r="J1101" s="293"/>
      <c r="L1101" s="293">
        <f t="shared" si="118"/>
        <v>0</v>
      </c>
    </row>
    <row r="1102" spans="1:12" x14ac:dyDescent="0.25">
      <c r="B1102" s="293"/>
      <c r="C1102" s="293"/>
      <c r="D1102" s="293"/>
      <c r="E1102" s="293"/>
      <c r="F1102" s="293"/>
      <c r="G1102" s="293"/>
      <c r="H1102" s="293"/>
      <c r="I1102" s="293"/>
      <c r="J1102" s="293"/>
      <c r="L1102" s="293">
        <f t="shared" si="118"/>
        <v>0</v>
      </c>
    </row>
    <row r="1103" spans="1:12" x14ac:dyDescent="0.25">
      <c r="B1103" s="293"/>
      <c r="C1103" s="293"/>
      <c r="D1103" s="293"/>
      <c r="E1103" s="293"/>
      <c r="F1103" s="293"/>
      <c r="G1103" s="293"/>
      <c r="H1103" s="293"/>
      <c r="I1103" s="293"/>
      <c r="J1103" s="293"/>
      <c r="L1103" s="293">
        <f t="shared" si="118"/>
        <v>0</v>
      </c>
    </row>
    <row r="1104" spans="1:12" x14ac:dyDescent="0.25">
      <c r="B1104" s="293"/>
      <c r="C1104" s="293"/>
      <c r="D1104" s="293"/>
      <c r="E1104" s="293"/>
      <c r="F1104" s="293"/>
      <c r="G1104" s="293"/>
      <c r="H1104" s="293"/>
      <c r="I1104" s="293"/>
      <c r="J1104" s="293"/>
      <c r="L1104" s="293">
        <f t="shared" si="118"/>
        <v>0</v>
      </c>
    </row>
    <row r="1105" spans="1:12" x14ac:dyDescent="0.25">
      <c r="A1105" s="47" t="s">
        <v>4263</v>
      </c>
      <c r="B1105" s="296">
        <f>SUM(B1095:B1104)</f>
        <v>7300</v>
      </c>
      <c r="C1105" s="296">
        <f t="shared" ref="C1105:J1105" si="122">SUM(C1095:C1104)</f>
        <v>5800</v>
      </c>
      <c r="D1105" s="296">
        <f t="shared" si="122"/>
        <v>4800</v>
      </c>
      <c r="E1105" s="296">
        <f t="shared" si="122"/>
        <v>4800</v>
      </c>
      <c r="F1105" s="296">
        <f t="shared" si="122"/>
        <v>4800</v>
      </c>
      <c r="G1105" s="296">
        <f t="shared" si="122"/>
        <v>3900</v>
      </c>
      <c r="H1105" s="296">
        <f t="shared" si="122"/>
        <v>3900</v>
      </c>
      <c r="I1105" s="296">
        <f t="shared" si="122"/>
        <v>3900</v>
      </c>
      <c r="J1105" s="296">
        <f t="shared" si="122"/>
        <v>3900</v>
      </c>
      <c r="L1105" s="293"/>
    </row>
    <row r="1106" spans="1:12" x14ac:dyDescent="0.25">
      <c r="B1106" s="293"/>
      <c r="C1106" s="293"/>
      <c r="D1106" s="293"/>
      <c r="E1106" s="293"/>
      <c r="F1106" s="293"/>
      <c r="G1106" s="293"/>
      <c r="H1106" s="293"/>
      <c r="I1106" s="293"/>
      <c r="J1106" s="293"/>
      <c r="L1106" s="293">
        <f t="shared" si="118"/>
        <v>0</v>
      </c>
    </row>
    <row r="1107" spans="1:12" x14ac:dyDescent="0.25">
      <c r="A1107" s="47" t="s">
        <v>4264</v>
      </c>
      <c r="B1107" s="293"/>
      <c r="C1107" s="293"/>
      <c r="D1107" s="293"/>
      <c r="E1107" s="293"/>
      <c r="F1107" s="293"/>
      <c r="G1107" s="293"/>
      <c r="H1107" s="293"/>
      <c r="I1107" s="293"/>
      <c r="J1107" s="293"/>
      <c r="L1107" s="293">
        <f t="shared" si="118"/>
        <v>0</v>
      </c>
    </row>
    <row r="1108" spans="1:12" x14ac:dyDescent="0.25">
      <c r="A1108" t="s">
        <v>87</v>
      </c>
      <c r="B1108" s="293"/>
      <c r="C1108" s="293"/>
      <c r="D1108" s="293"/>
      <c r="E1108" s="293"/>
      <c r="F1108" s="293"/>
      <c r="G1108" s="293"/>
      <c r="H1108" s="293"/>
      <c r="I1108" s="293"/>
      <c r="J1108" s="293"/>
      <c r="L1108" s="293">
        <f t="shared" si="118"/>
        <v>0</v>
      </c>
    </row>
    <row r="1109" spans="1:12" x14ac:dyDescent="0.25">
      <c r="A1109" t="s">
        <v>4265</v>
      </c>
      <c r="B1109" s="293"/>
      <c r="C1109" s="293"/>
      <c r="D1109" s="293"/>
      <c r="E1109" s="293"/>
      <c r="F1109" s="293"/>
      <c r="G1109" s="293"/>
      <c r="H1109" s="293"/>
      <c r="I1109" s="293"/>
      <c r="J1109" s="293"/>
      <c r="L1109" s="293">
        <f t="shared" si="118"/>
        <v>0</v>
      </c>
    </row>
    <row r="1110" spans="1:12" x14ac:dyDescent="0.25">
      <c r="B1110" s="293"/>
      <c r="C1110" s="293"/>
      <c r="D1110" s="293"/>
      <c r="E1110" s="293"/>
      <c r="F1110" s="293"/>
      <c r="G1110" s="293"/>
      <c r="H1110" s="293"/>
      <c r="I1110" s="293"/>
      <c r="J1110" s="293"/>
      <c r="L1110" s="293">
        <f t="shared" si="118"/>
        <v>0</v>
      </c>
    </row>
    <row r="1111" spans="1:12" x14ac:dyDescent="0.25">
      <c r="B1111" s="293"/>
      <c r="C1111" s="293"/>
      <c r="D1111" s="293"/>
      <c r="E1111" s="293"/>
      <c r="F1111" s="293"/>
      <c r="G1111" s="293"/>
      <c r="H1111" s="293"/>
      <c r="I1111" s="293"/>
      <c r="J1111" s="293"/>
      <c r="L1111" s="293">
        <f t="shared" si="118"/>
        <v>0</v>
      </c>
    </row>
    <row r="1112" spans="1:12" x14ac:dyDescent="0.25">
      <c r="B1112" s="293"/>
      <c r="C1112" s="293"/>
      <c r="D1112" s="293"/>
      <c r="E1112" s="293"/>
      <c r="F1112" s="293"/>
      <c r="G1112" s="293"/>
      <c r="H1112" s="293"/>
      <c r="I1112" s="293"/>
      <c r="J1112" s="293"/>
      <c r="L1112" s="293">
        <f t="shared" si="118"/>
        <v>0</v>
      </c>
    </row>
    <row r="1113" spans="1:12" x14ac:dyDescent="0.25">
      <c r="B1113" s="293"/>
      <c r="C1113" s="293"/>
      <c r="D1113" s="293"/>
      <c r="E1113" s="293"/>
      <c r="F1113" s="293"/>
      <c r="G1113" s="293"/>
      <c r="H1113" s="293"/>
      <c r="I1113" s="293"/>
      <c r="J1113" s="293"/>
      <c r="L1113" s="293">
        <f t="shared" si="118"/>
        <v>0</v>
      </c>
    </row>
    <row r="1114" spans="1:12" x14ac:dyDescent="0.25">
      <c r="A1114" t="s">
        <v>4266</v>
      </c>
      <c r="B1114" s="293"/>
      <c r="C1114" s="293"/>
      <c r="D1114" s="293"/>
      <c r="E1114" s="293"/>
      <c r="F1114" s="293"/>
      <c r="G1114" s="293"/>
      <c r="H1114" s="293"/>
      <c r="I1114" s="293"/>
      <c r="J1114" s="293"/>
      <c r="L1114" s="293">
        <f t="shared" si="118"/>
        <v>0</v>
      </c>
    </row>
    <row r="1115" spans="1:12" x14ac:dyDescent="0.25">
      <c r="A1115" t="s">
        <v>66</v>
      </c>
      <c r="B1115" s="293"/>
      <c r="C1115" s="293"/>
      <c r="D1115" s="293"/>
      <c r="E1115" s="293"/>
      <c r="F1115" s="293"/>
      <c r="G1115" s="293"/>
      <c r="H1115" s="293"/>
      <c r="I1115" s="293"/>
      <c r="J1115" s="293"/>
      <c r="L1115" s="293">
        <f t="shared" si="118"/>
        <v>0</v>
      </c>
    </row>
    <row r="1116" spans="1:12" x14ac:dyDescent="0.25">
      <c r="B1116" s="293"/>
      <c r="C1116" s="293"/>
      <c r="D1116" s="293"/>
      <c r="E1116" s="293"/>
      <c r="F1116" s="293"/>
      <c r="G1116" s="293"/>
      <c r="H1116" s="293"/>
      <c r="I1116" s="293"/>
      <c r="J1116" s="293"/>
      <c r="L1116" s="293">
        <f t="shared" si="118"/>
        <v>0</v>
      </c>
    </row>
    <row r="1117" spans="1:12" x14ac:dyDescent="0.25">
      <c r="B1117" s="293"/>
      <c r="C1117" s="293"/>
      <c r="D1117" s="293"/>
      <c r="E1117" s="293"/>
      <c r="F1117" s="293"/>
      <c r="G1117" s="293"/>
      <c r="H1117" s="293"/>
      <c r="I1117" s="293"/>
      <c r="J1117" s="293"/>
      <c r="L1117" s="293">
        <f t="shared" si="118"/>
        <v>0</v>
      </c>
    </row>
    <row r="1118" spans="1:12" x14ac:dyDescent="0.25">
      <c r="B1118" s="293"/>
      <c r="C1118" s="293"/>
      <c r="D1118" s="293"/>
      <c r="E1118" s="293"/>
      <c r="F1118" s="293"/>
      <c r="G1118" s="293"/>
      <c r="H1118" s="293"/>
      <c r="I1118" s="293"/>
      <c r="J1118" s="293"/>
      <c r="L1118" s="293">
        <f t="shared" si="118"/>
        <v>0</v>
      </c>
    </row>
    <row r="1119" spans="1:12" x14ac:dyDescent="0.25">
      <c r="B1119" s="293"/>
      <c r="C1119" s="293"/>
      <c r="D1119" s="293"/>
      <c r="E1119" s="293"/>
      <c r="F1119" s="293"/>
      <c r="G1119" s="293"/>
      <c r="H1119" s="293"/>
      <c r="I1119" s="293"/>
      <c r="J1119" s="293"/>
      <c r="L1119" s="293">
        <f t="shared" si="118"/>
        <v>0</v>
      </c>
    </row>
    <row r="1120" spans="1:12" x14ac:dyDescent="0.25">
      <c r="A1120" s="47" t="s">
        <v>4267</v>
      </c>
      <c r="B1120" s="296">
        <f>SUM(B1108:B1119)</f>
        <v>0</v>
      </c>
      <c r="C1120" s="296">
        <f t="shared" ref="C1120:J1120" si="123">SUM(C1108:C1119)</f>
        <v>0</v>
      </c>
      <c r="D1120" s="296">
        <f t="shared" si="123"/>
        <v>0</v>
      </c>
      <c r="E1120" s="296">
        <f t="shared" si="123"/>
        <v>0</v>
      </c>
      <c r="F1120" s="296">
        <f t="shared" si="123"/>
        <v>0</v>
      </c>
      <c r="G1120" s="296">
        <f t="shared" si="123"/>
        <v>0</v>
      </c>
      <c r="H1120" s="296">
        <f t="shared" si="123"/>
        <v>0</v>
      </c>
      <c r="I1120" s="296">
        <f t="shared" si="123"/>
        <v>0</v>
      </c>
      <c r="J1120" s="296">
        <f t="shared" si="123"/>
        <v>0</v>
      </c>
      <c r="L1120" s="293">
        <f t="shared" si="118"/>
        <v>0</v>
      </c>
    </row>
    <row r="1121" spans="1:12" x14ac:dyDescent="0.25">
      <c r="B1121" s="293"/>
      <c r="C1121" s="293"/>
      <c r="D1121" s="293"/>
      <c r="E1121" s="293"/>
      <c r="F1121" s="293"/>
      <c r="G1121" s="293"/>
      <c r="H1121" s="293"/>
      <c r="I1121" s="293"/>
      <c r="J1121" s="293"/>
      <c r="L1121" s="293">
        <f t="shared" si="118"/>
        <v>0</v>
      </c>
    </row>
    <row r="1122" spans="1:12" ht="15.75" thickBot="1" x14ac:dyDescent="0.3">
      <c r="A1122" s="47" t="s">
        <v>4268</v>
      </c>
      <c r="B1122" s="301">
        <f>B1105-B1120</f>
        <v>7300</v>
      </c>
      <c r="C1122" s="301">
        <f t="shared" ref="C1122:J1122" si="124">C1105-C1120</f>
        <v>5800</v>
      </c>
      <c r="D1122" s="301">
        <f t="shared" si="124"/>
        <v>4800</v>
      </c>
      <c r="E1122" s="301">
        <f t="shared" si="124"/>
        <v>4800</v>
      </c>
      <c r="F1122" s="301">
        <f t="shared" si="124"/>
        <v>4800</v>
      </c>
      <c r="G1122" s="301">
        <f t="shared" si="124"/>
        <v>3900</v>
      </c>
      <c r="H1122" s="301">
        <f t="shared" si="124"/>
        <v>3900</v>
      </c>
      <c r="I1122" s="301">
        <f t="shared" si="124"/>
        <v>3900</v>
      </c>
      <c r="J1122" s="301">
        <f t="shared" si="124"/>
        <v>3900</v>
      </c>
      <c r="L1122" s="293"/>
    </row>
    <row r="1123" spans="1:12" ht="15.75" thickTop="1" x14ac:dyDescent="0.25">
      <c r="B1123" s="293"/>
      <c r="C1123" s="293"/>
      <c r="D1123" s="293"/>
      <c r="E1123" s="293"/>
      <c r="F1123" s="293"/>
      <c r="G1123" s="293"/>
      <c r="H1123" s="293"/>
      <c r="I1123" s="293"/>
      <c r="J1123" s="293"/>
      <c r="L1123" s="293">
        <f t="shared" si="118"/>
        <v>0</v>
      </c>
    </row>
    <row r="1124" spans="1:12" x14ac:dyDescent="0.25">
      <c r="A1124" s="281"/>
      <c r="B1124" s="316"/>
      <c r="C1124" s="316"/>
      <c r="D1124" s="316"/>
      <c r="E1124" s="316"/>
      <c r="F1124" s="316"/>
      <c r="G1124" s="316"/>
      <c r="H1124" s="316"/>
      <c r="I1124" s="316"/>
      <c r="J1124" s="316"/>
      <c r="L1124" s="293">
        <f t="shared" si="118"/>
        <v>0</v>
      </c>
    </row>
    <row r="1125" spans="1:12" x14ac:dyDescent="0.25">
      <c r="B1125" s="293"/>
      <c r="C1125" s="293"/>
      <c r="D1125" s="293"/>
      <c r="E1125" s="293"/>
      <c r="F1125" s="293"/>
      <c r="G1125" s="293"/>
      <c r="H1125" s="293"/>
      <c r="I1125" s="293"/>
      <c r="J1125" s="293"/>
      <c r="L1125" s="293">
        <f t="shared" si="118"/>
        <v>0</v>
      </c>
    </row>
    <row r="1126" spans="1:12" x14ac:dyDescent="0.25">
      <c r="A1126" s="280" t="s">
        <v>4354</v>
      </c>
      <c r="B1126" s="293"/>
      <c r="C1126" s="293"/>
      <c r="D1126" s="293"/>
      <c r="E1126" s="293"/>
      <c r="F1126" s="293"/>
      <c r="G1126" s="293"/>
      <c r="H1126" s="293"/>
      <c r="I1126" s="293"/>
      <c r="J1126" s="293"/>
      <c r="L1126" s="293">
        <f t="shared" si="118"/>
        <v>0</v>
      </c>
    </row>
    <row r="1127" spans="1:12" x14ac:dyDescent="0.25">
      <c r="B1127" s="293"/>
      <c r="C1127" s="293"/>
      <c r="D1127" s="293"/>
      <c r="E1127" s="293"/>
      <c r="F1127" s="293"/>
      <c r="G1127" s="293"/>
      <c r="H1127" s="293"/>
      <c r="I1127" s="293"/>
      <c r="J1127" s="293"/>
      <c r="L1127" s="293">
        <f t="shared" si="118"/>
        <v>0</v>
      </c>
    </row>
    <row r="1128" spans="1:12" x14ac:dyDescent="0.25">
      <c r="A1128" s="47" t="s">
        <v>4260</v>
      </c>
      <c r="B1128" s="293"/>
      <c r="C1128" s="293"/>
      <c r="D1128" s="293"/>
      <c r="E1128" s="293"/>
      <c r="F1128" s="293"/>
      <c r="G1128" s="293"/>
      <c r="H1128" s="293"/>
      <c r="I1128" s="293"/>
      <c r="J1128" s="293"/>
      <c r="L1128" s="293">
        <f t="shared" si="118"/>
        <v>0</v>
      </c>
    </row>
    <row r="1129" spans="1:12" x14ac:dyDescent="0.25">
      <c r="A1129" t="s">
        <v>4262</v>
      </c>
      <c r="B1129" s="293"/>
      <c r="C1129" s="293"/>
      <c r="D1129" s="293"/>
      <c r="E1129" s="293"/>
      <c r="F1129" s="293"/>
      <c r="G1129" s="293"/>
      <c r="H1129" s="293"/>
      <c r="I1129" s="293"/>
      <c r="J1129" s="293"/>
      <c r="L1129" s="293">
        <f t="shared" si="118"/>
        <v>0</v>
      </c>
    </row>
    <row r="1130" spans="1:12" x14ac:dyDescent="0.25">
      <c r="A1130" t="s">
        <v>4261</v>
      </c>
      <c r="B1130" s="293">
        <f>capitalrevdata!F40</f>
        <v>55900</v>
      </c>
      <c r="C1130" s="293">
        <f>capitalrevdata!G40</f>
        <v>44700</v>
      </c>
      <c r="D1130" s="293">
        <f>capitalrevdata!H40</f>
        <v>37300</v>
      </c>
      <c r="E1130" s="293">
        <f>capitalrevdata!I40</f>
        <v>37300</v>
      </c>
      <c r="F1130" s="293">
        <f>capitalrevdata!J40</f>
        <v>37300</v>
      </c>
      <c r="G1130" s="293">
        <f>capitalrevdata!K40</f>
        <v>29800</v>
      </c>
      <c r="H1130" s="293">
        <f>capitalrevdata!L40</f>
        <v>29800</v>
      </c>
      <c r="I1130" s="293">
        <f>capitalrevdata!M40</f>
        <v>29800</v>
      </c>
      <c r="J1130" s="293">
        <f>capitalrevdata!N40</f>
        <v>29800</v>
      </c>
      <c r="L1130" s="293">
        <f t="shared" si="118"/>
        <v>29800</v>
      </c>
    </row>
    <row r="1131" spans="1:12" x14ac:dyDescent="0.25">
      <c r="A1131" t="s">
        <v>66</v>
      </c>
      <c r="B1131" s="293"/>
      <c r="C1131" s="293"/>
      <c r="D1131" s="293"/>
      <c r="E1131" s="293"/>
      <c r="F1131" s="293"/>
      <c r="G1131" s="293"/>
      <c r="H1131" s="293"/>
      <c r="I1131" s="293"/>
      <c r="J1131" s="293"/>
      <c r="L1131" s="293">
        <f t="shared" si="118"/>
        <v>0</v>
      </c>
    </row>
    <row r="1132" spans="1:12" x14ac:dyDescent="0.25">
      <c r="B1132" s="293"/>
      <c r="C1132" s="293"/>
      <c r="D1132" s="293"/>
      <c r="E1132" s="293"/>
      <c r="F1132" s="293"/>
      <c r="G1132" s="293"/>
      <c r="H1132" s="293"/>
      <c r="I1132" s="293"/>
      <c r="J1132" s="293"/>
      <c r="L1132" s="293">
        <f t="shared" ref="L1132:L1195" si="125">J1132</f>
        <v>0</v>
      </c>
    </row>
    <row r="1133" spans="1:12" x14ac:dyDescent="0.25">
      <c r="B1133" s="293"/>
      <c r="C1133" s="293"/>
      <c r="D1133" s="293"/>
      <c r="E1133" s="293"/>
      <c r="F1133" s="293"/>
      <c r="G1133" s="293"/>
      <c r="H1133" s="293"/>
      <c r="I1133" s="293"/>
      <c r="J1133" s="293"/>
      <c r="L1133" s="293">
        <f t="shared" si="125"/>
        <v>0</v>
      </c>
    </row>
    <row r="1134" spans="1:12" x14ac:dyDescent="0.25">
      <c r="B1134" s="293"/>
      <c r="C1134" s="293"/>
      <c r="D1134" s="293"/>
      <c r="E1134" s="293"/>
      <c r="F1134" s="293"/>
      <c r="G1134" s="293"/>
      <c r="H1134" s="293"/>
      <c r="I1134" s="293"/>
      <c r="J1134" s="293"/>
      <c r="L1134" s="293">
        <f t="shared" si="125"/>
        <v>0</v>
      </c>
    </row>
    <row r="1135" spans="1:12" x14ac:dyDescent="0.25">
      <c r="B1135" s="293"/>
      <c r="C1135" s="293"/>
      <c r="D1135" s="293"/>
      <c r="E1135" s="293"/>
      <c r="F1135" s="293"/>
      <c r="G1135" s="293"/>
      <c r="H1135" s="293"/>
      <c r="I1135" s="293"/>
      <c r="J1135" s="293"/>
      <c r="L1135" s="293">
        <f t="shared" si="125"/>
        <v>0</v>
      </c>
    </row>
    <row r="1136" spans="1:12" x14ac:dyDescent="0.25">
      <c r="A1136" s="47" t="s">
        <v>4263</v>
      </c>
      <c r="B1136" s="296">
        <f>SUM(B1126:B1135)</f>
        <v>55900</v>
      </c>
      <c r="C1136" s="296">
        <f t="shared" ref="C1136:J1136" si="126">SUM(C1126:C1135)</f>
        <v>44700</v>
      </c>
      <c r="D1136" s="296">
        <f t="shared" si="126"/>
        <v>37300</v>
      </c>
      <c r="E1136" s="296">
        <f t="shared" si="126"/>
        <v>37300</v>
      </c>
      <c r="F1136" s="296">
        <f t="shared" si="126"/>
        <v>37300</v>
      </c>
      <c r="G1136" s="296">
        <f t="shared" si="126"/>
        <v>29800</v>
      </c>
      <c r="H1136" s="296">
        <f t="shared" si="126"/>
        <v>29800</v>
      </c>
      <c r="I1136" s="296">
        <f t="shared" si="126"/>
        <v>29800</v>
      </c>
      <c r="J1136" s="296">
        <f t="shared" si="126"/>
        <v>29800</v>
      </c>
      <c r="L1136" s="293"/>
    </row>
    <row r="1137" spans="1:12" x14ac:dyDescent="0.25">
      <c r="B1137" s="293"/>
      <c r="C1137" s="293"/>
      <c r="D1137" s="293"/>
      <c r="E1137" s="293"/>
      <c r="F1137" s="293"/>
      <c r="G1137" s="293"/>
      <c r="H1137" s="293"/>
      <c r="I1137" s="293"/>
      <c r="J1137" s="293"/>
      <c r="L1137" s="293">
        <f t="shared" si="125"/>
        <v>0</v>
      </c>
    </row>
    <row r="1138" spans="1:12" x14ac:dyDescent="0.25">
      <c r="A1138" s="47" t="s">
        <v>4264</v>
      </c>
      <c r="B1138" s="293"/>
      <c r="C1138" s="293"/>
      <c r="D1138" s="293"/>
      <c r="E1138" s="293"/>
      <c r="F1138" s="293"/>
      <c r="G1138" s="293"/>
      <c r="H1138" s="293"/>
      <c r="I1138" s="293"/>
      <c r="J1138" s="293"/>
      <c r="L1138" s="293">
        <f t="shared" si="125"/>
        <v>0</v>
      </c>
    </row>
    <row r="1139" spans="1:12" x14ac:dyDescent="0.25">
      <c r="A1139" t="s">
        <v>87</v>
      </c>
      <c r="B1139" s="293"/>
      <c r="C1139" s="293"/>
      <c r="D1139" s="293"/>
      <c r="E1139" s="293"/>
      <c r="F1139" s="293"/>
      <c r="G1139" s="293"/>
      <c r="H1139" s="293"/>
      <c r="I1139" s="293"/>
      <c r="J1139" s="293"/>
      <c r="L1139" s="293">
        <f t="shared" si="125"/>
        <v>0</v>
      </c>
    </row>
    <row r="1140" spans="1:12" x14ac:dyDescent="0.25">
      <c r="A1140" t="s">
        <v>4265</v>
      </c>
      <c r="B1140" s="293"/>
      <c r="C1140" s="293"/>
      <c r="D1140" s="293"/>
      <c r="E1140" s="293"/>
      <c r="F1140" s="293"/>
      <c r="G1140" s="293"/>
      <c r="H1140" s="293"/>
      <c r="I1140" s="293"/>
      <c r="J1140" s="293"/>
      <c r="L1140" s="293">
        <f t="shared" si="125"/>
        <v>0</v>
      </c>
    </row>
    <row r="1141" spans="1:12" x14ac:dyDescent="0.25">
      <c r="B1141" s="293"/>
      <c r="C1141" s="293"/>
      <c r="D1141" s="293"/>
      <c r="E1141" s="293"/>
      <c r="F1141" s="293"/>
      <c r="G1141" s="293"/>
      <c r="H1141" s="293"/>
      <c r="I1141" s="293"/>
      <c r="J1141" s="293"/>
      <c r="L1141" s="293">
        <f t="shared" si="125"/>
        <v>0</v>
      </c>
    </row>
    <row r="1142" spans="1:12" x14ac:dyDescent="0.25">
      <c r="B1142" s="293"/>
      <c r="C1142" s="293"/>
      <c r="D1142" s="293"/>
      <c r="E1142" s="293"/>
      <c r="F1142" s="293"/>
      <c r="G1142" s="293"/>
      <c r="H1142" s="293"/>
      <c r="I1142" s="293"/>
      <c r="J1142" s="293"/>
      <c r="L1142" s="293">
        <f t="shared" si="125"/>
        <v>0</v>
      </c>
    </row>
    <row r="1143" spans="1:12" x14ac:dyDescent="0.25">
      <c r="B1143" s="293"/>
      <c r="C1143" s="293"/>
      <c r="D1143" s="293"/>
      <c r="E1143" s="293"/>
      <c r="F1143" s="293"/>
      <c r="G1143" s="293"/>
      <c r="H1143" s="293"/>
      <c r="I1143" s="293"/>
      <c r="J1143" s="293"/>
      <c r="L1143" s="293">
        <f t="shared" si="125"/>
        <v>0</v>
      </c>
    </row>
    <row r="1144" spans="1:12" x14ac:dyDescent="0.25">
      <c r="B1144" s="293"/>
      <c r="C1144" s="293"/>
      <c r="D1144" s="293"/>
      <c r="E1144" s="293"/>
      <c r="F1144" s="293"/>
      <c r="G1144" s="293"/>
      <c r="H1144" s="293"/>
      <c r="I1144" s="293"/>
      <c r="J1144" s="293"/>
      <c r="L1144" s="293">
        <f t="shared" si="125"/>
        <v>0</v>
      </c>
    </row>
    <row r="1145" spans="1:12" x14ac:dyDescent="0.25">
      <c r="A1145" t="s">
        <v>4266</v>
      </c>
      <c r="B1145" s="293"/>
      <c r="C1145" s="293"/>
      <c r="D1145" s="293"/>
      <c r="E1145" s="293"/>
      <c r="F1145" s="293"/>
      <c r="G1145" s="293"/>
      <c r="H1145" s="293"/>
      <c r="I1145" s="293"/>
      <c r="J1145" s="293"/>
      <c r="L1145" s="293">
        <f t="shared" si="125"/>
        <v>0</v>
      </c>
    </row>
    <row r="1146" spans="1:12" x14ac:dyDescent="0.25">
      <c r="A1146" t="s">
        <v>66</v>
      </c>
      <c r="B1146" s="293"/>
      <c r="C1146" s="293"/>
      <c r="D1146" s="293"/>
      <c r="E1146" s="293"/>
      <c r="F1146" s="293"/>
      <c r="G1146" s="293"/>
      <c r="H1146" s="293"/>
      <c r="I1146" s="293"/>
      <c r="J1146" s="293"/>
      <c r="L1146" s="293">
        <f t="shared" si="125"/>
        <v>0</v>
      </c>
    </row>
    <row r="1147" spans="1:12" x14ac:dyDescent="0.25">
      <c r="B1147" s="293"/>
      <c r="C1147" s="293"/>
      <c r="D1147" s="293"/>
      <c r="E1147" s="293"/>
      <c r="F1147" s="293"/>
      <c r="G1147" s="293"/>
      <c r="H1147" s="293"/>
      <c r="I1147" s="293"/>
      <c r="J1147" s="293"/>
      <c r="L1147" s="293">
        <f t="shared" si="125"/>
        <v>0</v>
      </c>
    </row>
    <row r="1148" spans="1:12" x14ac:dyDescent="0.25">
      <c r="B1148" s="293"/>
      <c r="C1148" s="293"/>
      <c r="D1148" s="293"/>
      <c r="E1148" s="293"/>
      <c r="F1148" s="293"/>
      <c r="G1148" s="293"/>
      <c r="H1148" s="293"/>
      <c r="I1148" s="293"/>
      <c r="J1148" s="293"/>
      <c r="L1148" s="293">
        <f t="shared" si="125"/>
        <v>0</v>
      </c>
    </row>
    <row r="1149" spans="1:12" x14ac:dyDescent="0.25">
      <c r="B1149" s="293"/>
      <c r="C1149" s="293"/>
      <c r="D1149" s="293"/>
      <c r="E1149" s="293"/>
      <c r="F1149" s="293"/>
      <c r="G1149" s="293"/>
      <c r="H1149" s="293"/>
      <c r="I1149" s="293"/>
      <c r="J1149" s="293"/>
      <c r="L1149" s="293">
        <f t="shared" si="125"/>
        <v>0</v>
      </c>
    </row>
    <row r="1150" spans="1:12" x14ac:dyDescent="0.25">
      <c r="B1150" s="293"/>
      <c r="C1150" s="293"/>
      <c r="D1150" s="293"/>
      <c r="E1150" s="293"/>
      <c r="F1150" s="293"/>
      <c r="G1150" s="293"/>
      <c r="H1150" s="293"/>
      <c r="I1150" s="293"/>
      <c r="J1150" s="293"/>
      <c r="L1150" s="293">
        <f t="shared" si="125"/>
        <v>0</v>
      </c>
    </row>
    <row r="1151" spans="1:12" x14ac:dyDescent="0.25">
      <c r="A1151" s="47" t="s">
        <v>4267</v>
      </c>
      <c r="B1151" s="296">
        <f>SUM(B1139:B1150)</f>
        <v>0</v>
      </c>
      <c r="C1151" s="296">
        <f t="shared" ref="C1151:J1151" si="127">SUM(C1139:C1150)</f>
        <v>0</v>
      </c>
      <c r="D1151" s="296">
        <f t="shared" si="127"/>
        <v>0</v>
      </c>
      <c r="E1151" s="296">
        <f t="shared" si="127"/>
        <v>0</v>
      </c>
      <c r="F1151" s="296">
        <f t="shared" si="127"/>
        <v>0</v>
      </c>
      <c r="G1151" s="296">
        <f t="shared" si="127"/>
        <v>0</v>
      </c>
      <c r="H1151" s="296">
        <f t="shared" si="127"/>
        <v>0</v>
      </c>
      <c r="I1151" s="296">
        <f t="shared" si="127"/>
        <v>0</v>
      </c>
      <c r="J1151" s="296">
        <f t="shared" si="127"/>
        <v>0</v>
      </c>
      <c r="L1151" s="293">
        <f t="shared" si="125"/>
        <v>0</v>
      </c>
    </row>
    <row r="1152" spans="1:12" x14ac:dyDescent="0.25">
      <c r="B1152" s="293"/>
      <c r="C1152" s="293"/>
      <c r="D1152" s="293"/>
      <c r="E1152" s="293"/>
      <c r="F1152" s="293"/>
      <c r="G1152" s="293"/>
      <c r="H1152" s="293"/>
      <c r="I1152" s="293"/>
      <c r="J1152" s="293"/>
      <c r="L1152" s="293">
        <f t="shared" si="125"/>
        <v>0</v>
      </c>
    </row>
    <row r="1153" spans="1:12" ht="15.75" thickBot="1" x14ac:dyDescent="0.3">
      <c r="A1153" s="47" t="s">
        <v>4268</v>
      </c>
      <c r="B1153" s="301">
        <f>B1136-B1151</f>
        <v>55900</v>
      </c>
      <c r="C1153" s="301">
        <f t="shared" ref="C1153:J1153" si="128">C1136-C1151</f>
        <v>44700</v>
      </c>
      <c r="D1153" s="301">
        <f t="shared" si="128"/>
        <v>37300</v>
      </c>
      <c r="E1153" s="301">
        <f t="shared" si="128"/>
        <v>37300</v>
      </c>
      <c r="F1153" s="301">
        <f t="shared" si="128"/>
        <v>37300</v>
      </c>
      <c r="G1153" s="301">
        <f t="shared" si="128"/>
        <v>29800</v>
      </c>
      <c r="H1153" s="301">
        <f t="shared" si="128"/>
        <v>29800</v>
      </c>
      <c r="I1153" s="301">
        <f t="shared" si="128"/>
        <v>29800</v>
      </c>
      <c r="J1153" s="301">
        <f t="shared" si="128"/>
        <v>29800</v>
      </c>
      <c r="L1153" s="293"/>
    </row>
    <row r="1154" spans="1:12" ht="15.75" thickTop="1" x14ac:dyDescent="0.25">
      <c r="B1154" s="293"/>
      <c r="C1154" s="293"/>
      <c r="D1154" s="293"/>
      <c r="E1154" s="293"/>
      <c r="F1154" s="293"/>
      <c r="G1154" s="293"/>
      <c r="H1154" s="293"/>
      <c r="I1154" s="293"/>
      <c r="J1154" s="293"/>
      <c r="L1154" s="293">
        <f t="shared" si="125"/>
        <v>0</v>
      </c>
    </row>
    <row r="1155" spans="1:12" x14ac:dyDescent="0.25">
      <c r="A1155" s="281"/>
      <c r="B1155" s="316"/>
      <c r="C1155" s="316"/>
      <c r="D1155" s="316"/>
      <c r="E1155" s="316"/>
      <c r="F1155" s="316"/>
      <c r="G1155" s="316"/>
      <c r="H1155" s="316"/>
      <c r="I1155" s="316"/>
      <c r="J1155" s="316"/>
      <c r="L1155" s="293">
        <f t="shared" si="125"/>
        <v>0</v>
      </c>
    </row>
    <row r="1156" spans="1:12" x14ac:dyDescent="0.25">
      <c r="B1156" s="293"/>
      <c r="C1156" s="293"/>
      <c r="D1156" s="293"/>
      <c r="E1156" s="293"/>
      <c r="F1156" s="293"/>
      <c r="G1156" s="293"/>
      <c r="H1156" s="293"/>
      <c r="I1156" s="293"/>
      <c r="J1156" s="293"/>
      <c r="L1156" s="293">
        <f t="shared" si="125"/>
        <v>0</v>
      </c>
    </row>
    <row r="1157" spans="1:12" x14ac:dyDescent="0.25">
      <c r="A1157" s="280" t="s">
        <v>4355</v>
      </c>
      <c r="B1157" s="293"/>
      <c r="C1157" s="293"/>
      <c r="D1157" s="293"/>
      <c r="E1157" s="293"/>
      <c r="F1157" s="293"/>
      <c r="G1157" s="293"/>
      <c r="H1157" s="293"/>
      <c r="I1157" s="293"/>
      <c r="J1157" s="293"/>
      <c r="L1157" s="293">
        <f t="shared" si="125"/>
        <v>0</v>
      </c>
    </row>
    <row r="1158" spans="1:12" x14ac:dyDescent="0.25">
      <c r="B1158" s="293"/>
      <c r="C1158" s="293"/>
      <c r="D1158" s="293"/>
      <c r="E1158" s="293"/>
      <c r="F1158" s="293"/>
      <c r="G1158" s="293"/>
      <c r="H1158" s="293"/>
      <c r="I1158" s="293"/>
      <c r="J1158" s="293"/>
      <c r="L1158" s="293">
        <f t="shared" si="125"/>
        <v>0</v>
      </c>
    </row>
    <row r="1159" spans="1:12" x14ac:dyDescent="0.25">
      <c r="A1159" s="47" t="s">
        <v>4260</v>
      </c>
      <c r="B1159" s="293"/>
      <c r="C1159" s="293"/>
      <c r="D1159" s="293"/>
      <c r="E1159" s="293"/>
      <c r="F1159" s="293"/>
      <c r="G1159" s="293"/>
      <c r="H1159" s="293"/>
      <c r="I1159" s="293"/>
      <c r="J1159" s="293"/>
      <c r="L1159" s="293">
        <f t="shared" si="125"/>
        <v>0</v>
      </c>
    </row>
    <row r="1160" spans="1:12" x14ac:dyDescent="0.25">
      <c r="A1160" t="s">
        <v>4262</v>
      </c>
      <c r="B1160" s="293"/>
      <c r="C1160" s="293"/>
      <c r="D1160" s="293"/>
      <c r="E1160" s="293"/>
      <c r="F1160" s="293"/>
      <c r="G1160" s="293"/>
      <c r="H1160" s="293"/>
      <c r="I1160" s="293"/>
      <c r="J1160" s="293"/>
      <c r="L1160" s="293">
        <f t="shared" si="125"/>
        <v>0</v>
      </c>
    </row>
    <row r="1161" spans="1:12" x14ac:dyDescent="0.25">
      <c r="A1161" t="s">
        <v>4261</v>
      </c>
      <c r="B1161" s="293">
        <f>capitalrevdata!F43</f>
        <v>31800</v>
      </c>
      <c r="C1161" s="293">
        <f>capitalrevdata!G43</f>
        <v>25500</v>
      </c>
      <c r="D1161" s="293">
        <f>capitalrevdata!H43</f>
        <v>21200</v>
      </c>
      <c r="E1161" s="293">
        <f>capitalrevdata!I43</f>
        <v>21200</v>
      </c>
      <c r="F1161" s="293">
        <f>capitalrevdata!J43</f>
        <v>21200</v>
      </c>
      <c r="G1161" s="293">
        <f>capitalrevdata!K43</f>
        <v>17000</v>
      </c>
      <c r="H1161" s="293">
        <f>capitalrevdata!L43</f>
        <v>17000</v>
      </c>
      <c r="I1161" s="293">
        <f>capitalrevdata!M43</f>
        <v>17000</v>
      </c>
      <c r="J1161" s="293">
        <f>capitalrevdata!N43</f>
        <v>17000</v>
      </c>
      <c r="L1161" s="293">
        <f t="shared" si="125"/>
        <v>17000</v>
      </c>
    </row>
    <row r="1162" spans="1:12" x14ac:dyDescent="0.25">
      <c r="A1162" t="s">
        <v>66</v>
      </c>
      <c r="B1162" s="293"/>
      <c r="C1162" s="293"/>
      <c r="D1162" s="293"/>
      <c r="E1162" s="293"/>
      <c r="F1162" s="293"/>
      <c r="G1162" s="293"/>
      <c r="H1162" s="293"/>
      <c r="I1162" s="293"/>
      <c r="J1162" s="293"/>
      <c r="L1162" s="293">
        <f t="shared" si="125"/>
        <v>0</v>
      </c>
    </row>
    <row r="1163" spans="1:12" x14ac:dyDescent="0.25">
      <c r="B1163" s="293"/>
      <c r="C1163" s="293"/>
      <c r="D1163" s="293"/>
      <c r="E1163" s="293"/>
      <c r="F1163" s="293"/>
      <c r="G1163" s="293"/>
      <c r="H1163" s="293"/>
      <c r="I1163" s="293"/>
      <c r="J1163" s="293"/>
      <c r="L1163" s="293">
        <f t="shared" si="125"/>
        <v>0</v>
      </c>
    </row>
    <row r="1164" spans="1:12" x14ac:dyDescent="0.25">
      <c r="B1164" s="293"/>
      <c r="C1164" s="293"/>
      <c r="D1164" s="293"/>
      <c r="E1164" s="293"/>
      <c r="F1164" s="293"/>
      <c r="G1164" s="293"/>
      <c r="H1164" s="293"/>
      <c r="I1164" s="293"/>
      <c r="J1164" s="293"/>
      <c r="L1164" s="293">
        <f t="shared" si="125"/>
        <v>0</v>
      </c>
    </row>
    <row r="1165" spans="1:12" x14ac:dyDescent="0.25">
      <c r="B1165" s="293"/>
      <c r="C1165" s="293"/>
      <c r="D1165" s="293"/>
      <c r="E1165" s="293"/>
      <c r="F1165" s="293"/>
      <c r="G1165" s="293"/>
      <c r="H1165" s="293"/>
      <c r="I1165" s="293"/>
      <c r="J1165" s="293"/>
      <c r="L1165" s="293">
        <f t="shared" si="125"/>
        <v>0</v>
      </c>
    </row>
    <row r="1166" spans="1:12" x14ac:dyDescent="0.25">
      <c r="B1166" s="293"/>
      <c r="C1166" s="293"/>
      <c r="D1166" s="293"/>
      <c r="E1166" s="293"/>
      <c r="F1166" s="293"/>
      <c r="G1166" s="293"/>
      <c r="H1166" s="293"/>
      <c r="I1166" s="293"/>
      <c r="J1166" s="293"/>
      <c r="L1166" s="293">
        <f t="shared" si="125"/>
        <v>0</v>
      </c>
    </row>
    <row r="1167" spans="1:12" x14ac:dyDescent="0.25">
      <c r="A1167" s="47" t="s">
        <v>4263</v>
      </c>
      <c r="B1167" s="296">
        <f>SUM(B1157:B1166)</f>
        <v>31800</v>
      </c>
      <c r="C1167" s="296">
        <f t="shared" ref="C1167:J1167" si="129">SUM(C1157:C1166)</f>
        <v>25500</v>
      </c>
      <c r="D1167" s="296">
        <f t="shared" si="129"/>
        <v>21200</v>
      </c>
      <c r="E1167" s="296">
        <f t="shared" si="129"/>
        <v>21200</v>
      </c>
      <c r="F1167" s="296">
        <f t="shared" si="129"/>
        <v>21200</v>
      </c>
      <c r="G1167" s="296">
        <f t="shared" si="129"/>
        <v>17000</v>
      </c>
      <c r="H1167" s="296">
        <f t="shared" si="129"/>
        <v>17000</v>
      </c>
      <c r="I1167" s="296">
        <f t="shared" si="129"/>
        <v>17000</v>
      </c>
      <c r="J1167" s="296">
        <f t="shared" si="129"/>
        <v>17000</v>
      </c>
      <c r="L1167" s="293"/>
    </row>
    <row r="1168" spans="1:12" x14ac:dyDescent="0.25">
      <c r="B1168" s="293"/>
      <c r="C1168" s="293"/>
      <c r="D1168" s="293"/>
      <c r="E1168" s="293"/>
      <c r="F1168" s="293"/>
      <c r="G1168" s="293"/>
      <c r="H1168" s="293"/>
      <c r="I1168" s="293"/>
      <c r="J1168" s="293"/>
      <c r="L1168" s="293">
        <f t="shared" si="125"/>
        <v>0</v>
      </c>
    </row>
    <row r="1169" spans="1:12" x14ac:dyDescent="0.25">
      <c r="A1169" s="47" t="s">
        <v>4264</v>
      </c>
      <c r="B1169" s="293"/>
      <c r="C1169" s="293"/>
      <c r="D1169" s="293"/>
      <c r="E1169" s="293"/>
      <c r="F1169" s="293"/>
      <c r="G1169" s="293"/>
      <c r="H1169" s="293"/>
      <c r="I1169" s="293"/>
      <c r="J1169" s="293"/>
      <c r="L1169" s="293">
        <f t="shared" si="125"/>
        <v>0</v>
      </c>
    </row>
    <row r="1170" spans="1:12" x14ac:dyDescent="0.25">
      <c r="A1170" t="s">
        <v>87</v>
      </c>
      <c r="B1170" s="293"/>
      <c r="C1170" s="293"/>
      <c r="D1170" s="293"/>
      <c r="E1170" s="293"/>
      <c r="F1170" s="293"/>
      <c r="G1170" s="293"/>
      <c r="H1170" s="293"/>
      <c r="I1170" s="293"/>
      <c r="J1170" s="293"/>
      <c r="L1170" s="293">
        <f t="shared" si="125"/>
        <v>0</v>
      </c>
    </row>
    <row r="1171" spans="1:12" x14ac:dyDescent="0.25">
      <c r="A1171" t="s">
        <v>4265</v>
      </c>
      <c r="B1171" s="293"/>
      <c r="C1171" s="293"/>
      <c r="D1171" s="293"/>
      <c r="E1171" s="293"/>
      <c r="F1171" s="293"/>
      <c r="G1171" s="293"/>
      <c r="H1171" s="293"/>
      <c r="I1171" s="293"/>
      <c r="J1171" s="293"/>
      <c r="L1171" s="293">
        <f t="shared" si="125"/>
        <v>0</v>
      </c>
    </row>
    <row r="1172" spans="1:12" x14ac:dyDescent="0.25">
      <c r="B1172" s="293"/>
      <c r="C1172" s="293"/>
      <c r="D1172" s="293"/>
      <c r="E1172" s="293"/>
      <c r="F1172" s="293"/>
      <c r="G1172" s="293"/>
      <c r="H1172" s="293"/>
      <c r="I1172" s="293"/>
      <c r="J1172" s="293"/>
      <c r="L1172" s="293">
        <f t="shared" si="125"/>
        <v>0</v>
      </c>
    </row>
    <row r="1173" spans="1:12" x14ac:dyDescent="0.25">
      <c r="B1173" s="293"/>
      <c r="C1173" s="293"/>
      <c r="D1173" s="293"/>
      <c r="E1173" s="293"/>
      <c r="F1173" s="293"/>
      <c r="G1173" s="293"/>
      <c r="H1173" s="293"/>
      <c r="I1173" s="293"/>
      <c r="J1173" s="293"/>
      <c r="L1173" s="293">
        <f t="shared" si="125"/>
        <v>0</v>
      </c>
    </row>
    <row r="1174" spans="1:12" x14ac:dyDescent="0.25">
      <c r="B1174" s="293"/>
      <c r="C1174" s="293"/>
      <c r="D1174" s="293"/>
      <c r="E1174" s="293"/>
      <c r="F1174" s="293"/>
      <c r="G1174" s="293"/>
      <c r="H1174" s="293"/>
      <c r="I1174" s="293"/>
      <c r="J1174" s="293"/>
      <c r="L1174" s="293">
        <f t="shared" si="125"/>
        <v>0</v>
      </c>
    </row>
    <row r="1175" spans="1:12" x14ac:dyDescent="0.25">
      <c r="B1175" s="293"/>
      <c r="C1175" s="293"/>
      <c r="D1175" s="293"/>
      <c r="E1175" s="293"/>
      <c r="F1175" s="293"/>
      <c r="G1175" s="293"/>
      <c r="H1175" s="293"/>
      <c r="I1175" s="293"/>
      <c r="J1175" s="293"/>
      <c r="L1175" s="293">
        <f t="shared" si="125"/>
        <v>0</v>
      </c>
    </row>
    <row r="1176" spans="1:12" x14ac:dyDescent="0.25">
      <c r="A1176" t="s">
        <v>4266</v>
      </c>
      <c r="B1176" s="293"/>
      <c r="C1176" s="293"/>
      <c r="D1176" s="293"/>
      <c r="E1176" s="293"/>
      <c r="F1176" s="293"/>
      <c r="G1176" s="293"/>
      <c r="H1176" s="293"/>
      <c r="I1176" s="293"/>
      <c r="J1176" s="293"/>
      <c r="L1176" s="293">
        <f t="shared" si="125"/>
        <v>0</v>
      </c>
    </row>
    <row r="1177" spans="1:12" x14ac:dyDescent="0.25">
      <c r="A1177" t="s">
        <v>66</v>
      </c>
      <c r="B1177" s="293"/>
      <c r="C1177" s="293"/>
      <c r="D1177" s="293"/>
      <c r="E1177" s="293"/>
      <c r="F1177" s="293"/>
      <c r="G1177" s="293"/>
      <c r="H1177" s="293"/>
      <c r="I1177" s="293"/>
      <c r="J1177" s="293"/>
      <c r="L1177" s="293">
        <f t="shared" si="125"/>
        <v>0</v>
      </c>
    </row>
    <row r="1178" spans="1:12" x14ac:dyDescent="0.25">
      <c r="B1178" s="293"/>
      <c r="C1178" s="293"/>
      <c r="D1178" s="293"/>
      <c r="E1178" s="293"/>
      <c r="F1178" s="293"/>
      <c r="G1178" s="293"/>
      <c r="H1178" s="293"/>
      <c r="I1178" s="293"/>
      <c r="J1178" s="293"/>
      <c r="L1178" s="293">
        <f t="shared" si="125"/>
        <v>0</v>
      </c>
    </row>
    <row r="1179" spans="1:12" x14ac:dyDescent="0.25">
      <c r="B1179" s="293"/>
      <c r="C1179" s="293"/>
      <c r="D1179" s="293"/>
      <c r="E1179" s="293"/>
      <c r="F1179" s="293"/>
      <c r="G1179" s="293"/>
      <c r="H1179" s="293"/>
      <c r="I1179" s="293"/>
      <c r="J1179" s="293"/>
      <c r="L1179" s="293">
        <f t="shared" si="125"/>
        <v>0</v>
      </c>
    </row>
    <row r="1180" spans="1:12" x14ac:dyDescent="0.25">
      <c r="B1180" s="293"/>
      <c r="C1180" s="293"/>
      <c r="D1180" s="293"/>
      <c r="E1180" s="293"/>
      <c r="F1180" s="293"/>
      <c r="G1180" s="293"/>
      <c r="H1180" s="293"/>
      <c r="I1180" s="293"/>
      <c r="J1180" s="293"/>
      <c r="L1180" s="293">
        <f t="shared" si="125"/>
        <v>0</v>
      </c>
    </row>
    <row r="1181" spans="1:12" x14ac:dyDescent="0.25">
      <c r="B1181" s="293"/>
      <c r="C1181" s="293"/>
      <c r="D1181" s="293"/>
      <c r="E1181" s="293"/>
      <c r="F1181" s="293"/>
      <c r="G1181" s="293"/>
      <c r="H1181" s="293"/>
      <c r="I1181" s="293"/>
      <c r="J1181" s="293"/>
      <c r="L1181" s="293">
        <f t="shared" si="125"/>
        <v>0</v>
      </c>
    </row>
    <row r="1182" spans="1:12" x14ac:dyDescent="0.25">
      <c r="A1182" s="47" t="s">
        <v>4267</v>
      </c>
      <c r="B1182" s="296">
        <f>SUM(B1170:B1181)</f>
        <v>0</v>
      </c>
      <c r="C1182" s="296">
        <f t="shared" ref="C1182:J1182" si="130">SUM(C1170:C1181)</f>
        <v>0</v>
      </c>
      <c r="D1182" s="296">
        <f t="shared" si="130"/>
        <v>0</v>
      </c>
      <c r="E1182" s="296">
        <f t="shared" si="130"/>
        <v>0</v>
      </c>
      <c r="F1182" s="296">
        <f t="shared" si="130"/>
        <v>0</v>
      </c>
      <c r="G1182" s="296">
        <f t="shared" si="130"/>
        <v>0</v>
      </c>
      <c r="H1182" s="296">
        <f t="shared" si="130"/>
        <v>0</v>
      </c>
      <c r="I1182" s="296">
        <f t="shared" si="130"/>
        <v>0</v>
      </c>
      <c r="J1182" s="296">
        <f t="shared" si="130"/>
        <v>0</v>
      </c>
      <c r="L1182" s="293">
        <f t="shared" si="125"/>
        <v>0</v>
      </c>
    </row>
    <row r="1183" spans="1:12" x14ac:dyDescent="0.25">
      <c r="B1183" s="293"/>
      <c r="C1183" s="293"/>
      <c r="D1183" s="293"/>
      <c r="E1183" s="293"/>
      <c r="F1183" s="293"/>
      <c r="G1183" s="293"/>
      <c r="H1183" s="293"/>
      <c r="I1183" s="293"/>
      <c r="J1183" s="293"/>
      <c r="L1183" s="293">
        <f t="shared" si="125"/>
        <v>0</v>
      </c>
    </row>
    <row r="1184" spans="1:12" ht="15.75" thickBot="1" x14ac:dyDescent="0.3">
      <c r="A1184" s="47" t="s">
        <v>4268</v>
      </c>
      <c r="B1184" s="301">
        <f>B1167-B1182</f>
        <v>31800</v>
      </c>
      <c r="C1184" s="301">
        <f t="shared" ref="C1184:J1184" si="131">C1167-C1182</f>
        <v>25500</v>
      </c>
      <c r="D1184" s="301">
        <f t="shared" si="131"/>
        <v>21200</v>
      </c>
      <c r="E1184" s="301">
        <f t="shared" si="131"/>
        <v>21200</v>
      </c>
      <c r="F1184" s="301">
        <f t="shared" si="131"/>
        <v>21200</v>
      </c>
      <c r="G1184" s="301">
        <f t="shared" si="131"/>
        <v>17000</v>
      </c>
      <c r="H1184" s="301">
        <f t="shared" si="131"/>
        <v>17000</v>
      </c>
      <c r="I1184" s="301">
        <f t="shared" si="131"/>
        <v>17000</v>
      </c>
      <c r="J1184" s="301">
        <f t="shared" si="131"/>
        <v>17000</v>
      </c>
      <c r="L1184" s="293"/>
    </row>
    <row r="1185" spans="1:12" ht="15.75" thickTop="1" x14ac:dyDescent="0.25">
      <c r="B1185" s="293"/>
      <c r="C1185" s="293"/>
      <c r="D1185" s="293"/>
      <c r="E1185" s="293"/>
      <c r="F1185" s="293"/>
      <c r="G1185" s="293"/>
      <c r="H1185" s="293"/>
      <c r="I1185" s="293"/>
      <c r="J1185" s="293"/>
      <c r="L1185" s="293">
        <f t="shared" si="125"/>
        <v>0</v>
      </c>
    </row>
    <row r="1186" spans="1:12" x14ac:dyDescent="0.25">
      <c r="A1186" s="281"/>
      <c r="B1186" s="316"/>
      <c r="C1186" s="316"/>
      <c r="D1186" s="316"/>
      <c r="E1186" s="316"/>
      <c r="F1186" s="316"/>
      <c r="G1186" s="316"/>
      <c r="H1186" s="316"/>
      <c r="I1186" s="316"/>
      <c r="J1186" s="316"/>
      <c r="L1186" s="293">
        <f t="shared" si="125"/>
        <v>0</v>
      </c>
    </row>
    <row r="1187" spans="1:12" x14ac:dyDescent="0.25">
      <c r="B1187" s="293"/>
      <c r="C1187" s="293"/>
      <c r="D1187" s="293"/>
      <c r="E1187" s="293"/>
      <c r="F1187" s="293"/>
      <c r="G1187" s="293"/>
      <c r="H1187" s="293"/>
      <c r="I1187" s="293"/>
      <c r="J1187" s="293"/>
      <c r="L1187" s="293">
        <f t="shared" si="125"/>
        <v>0</v>
      </c>
    </row>
    <row r="1188" spans="1:12" x14ac:dyDescent="0.25">
      <c r="A1188" s="280" t="s">
        <v>4356</v>
      </c>
      <c r="B1188" s="293"/>
      <c r="C1188" s="293"/>
      <c r="D1188" s="293"/>
      <c r="E1188" s="293"/>
      <c r="F1188" s="293"/>
      <c r="G1188" s="293"/>
      <c r="H1188" s="293"/>
      <c r="I1188" s="293"/>
      <c r="J1188" s="293"/>
      <c r="L1188" s="293">
        <f t="shared" si="125"/>
        <v>0</v>
      </c>
    </row>
    <row r="1189" spans="1:12" x14ac:dyDescent="0.25">
      <c r="B1189" s="293"/>
      <c r="C1189" s="293"/>
      <c r="D1189" s="293"/>
      <c r="E1189" s="293"/>
      <c r="F1189" s="293"/>
      <c r="G1189" s="293"/>
      <c r="H1189" s="293"/>
      <c r="I1189" s="293"/>
      <c r="J1189" s="293"/>
      <c r="L1189" s="293">
        <f t="shared" si="125"/>
        <v>0</v>
      </c>
    </row>
    <row r="1190" spans="1:12" x14ac:dyDescent="0.25">
      <c r="A1190" s="47" t="s">
        <v>4260</v>
      </c>
      <c r="B1190" s="293"/>
      <c r="C1190" s="293"/>
      <c r="D1190" s="293"/>
      <c r="E1190" s="293"/>
      <c r="F1190" s="293"/>
      <c r="G1190" s="293"/>
      <c r="H1190" s="293"/>
      <c r="I1190" s="293"/>
      <c r="J1190" s="293"/>
      <c r="L1190" s="293">
        <f t="shared" si="125"/>
        <v>0</v>
      </c>
    </row>
    <row r="1191" spans="1:12" x14ac:dyDescent="0.25">
      <c r="A1191" t="s">
        <v>4262</v>
      </c>
      <c r="B1191" s="293"/>
      <c r="C1191" s="293"/>
      <c r="D1191" s="293"/>
      <c r="E1191" s="293"/>
      <c r="F1191" s="293"/>
      <c r="G1191" s="293"/>
      <c r="H1191" s="293"/>
      <c r="I1191" s="293"/>
      <c r="J1191" s="293"/>
      <c r="L1191" s="293">
        <f t="shared" si="125"/>
        <v>0</v>
      </c>
    </row>
    <row r="1192" spans="1:12" x14ac:dyDescent="0.25">
      <c r="A1192" t="s">
        <v>4261</v>
      </c>
      <c r="B1192" s="293">
        <f>capitalrevdata!F44</f>
        <v>0</v>
      </c>
      <c r="C1192" s="293">
        <f>capitalrevdata!G44</f>
        <v>0</v>
      </c>
      <c r="D1192" s="293">
        <f>capitalrevdata!H44</f>
        <v>0</v>
      </c>
      <c r="E1192" s="293">
        <f>capitalrevdata!I44</f>
        <v>0</v>
      </c>
      <c r="F1192" s="293">
        <f>capitalrevdata!J44</f>
        <v>0</v>
      </c>
      <c r="G1192" s="293">
        <f>capitalrevdata!K44</f>
        <v>0</v>
      </c>
      <c r="H1192" s="293">
        <f>capitalrevdata!L44</f>
        <v>0</v>
      </c>
      <c r="I1192" s="293">
        <f>capitalrevdata!M44</f>
        <v>0</v>
      </c>
      <c r="J1192" s="293">
        <f>capitalrevdata!N44</f>
        <v>0</v>
      </c>
      <c r="L1192" s="293">
        <f t="shared" si="125"/>
        <v>0</v>
      </c>
    </row>
    <row r="1193" spans="1:12" x14ac:dyDescent="0.25">
      <c r="A1193" t="s">
        <v>66</v>
      </c>
      <c r="B1193" s="293"/>
      <c r="C1193" s="293"/>
      <c r="D1193" s="293"/>
      <c r="E1193" s="293"/>
      <c r="F1193" s="293"/>
      <c r="G1193" s="293"/>
      <c r="H1193" s="293"/>
      <c r="I1193" s="293"/>
      <c r="J1193" s="293"/>
      <c r="L1193" s="293">
        <f t="shared" si="125"/>
        <v>0</v>
      </c>
    </row>
    <row r="1194" spans="1:12" x14ac:dyDescent="0.25">
      <c r="B1194" s="293"/>
      <c r="C1194" s="293"/>
      <c r="D1194" s="293"/>
      <c r="E1194" s="293"/>
      <c r="F1194" s="293"/>
      <c r="G1194" s="293"/>
      <c r="H1194" s="293"/>
      <c r="I1194" s="293"/>
      <c r="J1194" s="293"/>
      <c r="L1194" s="293">
        <f t="shared" si="125"/>
        <v>0</v>
      </c>
    </row>
    <row r="1195" spans="1:12" x14ac:dyDescent="0.25">
      <c r="B1195" s="293"/>
      <c r="C1195" s="293"/>
      <c r="D1195" s="293"/>
      <c r="E1195" s="293"/>
      <c r="F1195" s="293"/>
      <c r="G1195" s="293"/>
      <c r="H1195" s="293"/>
      <c r="I1195" s="293"/>
      <c r="J1195" s="293"/>
      <c r="L1195" s="293">
        <f t="shared" si="125"/>
        <v>0</v>
      </c>
    </row>
    <row r="1196" spans="1:12" x14ac:dyDescent="0.25">
      <c r="B1196" s="293"/>
      <c r="C1196" s="293"/>
      <c r="D1196" s="293"/>
      <c r="E1196" s="293"/>
      <c r="F1196" s="293"/>
      <c r="G1196" s="293"/>
      <c r="H1196" s="293"/>
      <c r="I1196" s="293"/>
      <c r="J1196" s="293"/>
      <c r="L1196" s="293">
        <f t="shared" ref="L1196:L1259" si="132">J1196</f>
        <v>0</v>
      </c>
    </row>
    <row r="1197" spans="1:12" x14ac:dyDescent="0.25">
      <c r="B1197" s="293"/>
      <c r="C1197" s="293"/>
      <c r="D1197" s="293"/>
      <c r="E1197" s="293"/>
      <c r="F1197" s="293"/>
      <c r="G1197" s="293"/>
      <c r="H1197" s="293"/>
      <c r="I1197" s="293"/>
      <c r="J1197" s="293"/>
      <c r="L1197" s="293">
        <f t="shared" si="132"/>
        <v>0</v>
      </c>
    </row>
    <row r="1198" spans="1:12" x14ac:dyDescent="0.25">
      <c r="A1198" s="47" t="s">
        <v>4263</v>
      </c>
      <c r="B1198" s="296">
        <f>SUM(B1188:B1197)</f>
        <v>0</v>
      </c>
      <c r="C1198" s="296">
        <f t="shared" ref="C1198:J1198" si="133">SUM(C1188:C1197)</f>
        <v>0</v>
      </c>
      <c r="D1198" s="296">
        <f t="shared" si="133"/>
        <v>0</v>
      </c>
      <c r="E1198" s="296">
        <f t="shared" si="133"/>
        <v>0</v>
      </c>
      <c r="F1198" s="296">
        <f t="shared" si="133"/>
        <v>0</v>
      </c>
      <c r="G1198" s="296">
        <f t="shared" si="133"/>
        <v>0</v>
      </c>
      <c r="H1198" s="296">
        <f t="shared" si="133"/>
        <v>0</v>
      </c>
      <c r="I1198" s="296">
        <f t="shared" si="133"/>
        <v>0</v>
      </c>
      <c r="J1198" s="296">
        <f t="shared" si="133"/>
        <v>0</v>
      </c>
      <c r="L1198" s="293">
        <f t="shared" si="132"/>
        <v>0</v>
      </c>
    </row>
    <row r="1199" spans="1:12" x14ac:dyDescent="0.25">
      <c r="B1199" s="293"/>
      <c r="C1199" s="293"/>
      <c r="D1199" s="293"/>
      <c r="E1199" s="293"/>
      <c r="F1199" s="293"/>
      <c r="G1199" s="293"/>
      <c r="H1199" s="293"/>
      <c r="I1199" s="293"/>
      <c r="J1199" s="293"/>
      <c r="L1199" s="293">
        <f t="shared" si="132"/>
        <v>0</v>
      </c>
    </row>
    <row r="1200" spans="1:12" x14ac:dyDescent="0.25">
      <c r="A1200" s="47" t="s">
        <v>4264</v>
      </c>
      <c r="B1200" s="293"/>
      <c r="C1200" s="293"/>
      <c r="D1200" s="293"/>
      <c r="E1200" s="293"/>
      <c r="F1200" s="293"/>
      <c r="G1200" s="293"/>
      <c r="H1200" s="293"/>
      <c r="I1200" s="293"/>
      <c r="J1200" s="293"/>
      <c r="L1200" s="293">
        <f t="shared" si="132"/>
        <v>0</v>
      </c>
    </row>
    <row r="1201" spans="1:12" x14ac:dyDescent="0.25">
      <c r="A1201" t="s">
        <v>87</v>
      </c>
      <c r="B1201" s="293"/>
      <c r="C1201" s="293"/>
      <c r="D1201" s="293"/>
      <c r="E1201" s="293"/>
      <c r="F1201" s="293"/>
      <c r="G1201" s="293"/>
      <c r="H1201" s="293"/>
      <c r="I1201" s="293"/>
      <c r="J1201" s="293"/>
      <c r="L1201" s="293">
        <f t="shared" si="132"/>
        <v>0</v>
      </c>
    </row>
    <row r="1202" spans="1:12" x14ac:dyDescent="0.25">
      <c r="A1202" t="s">
        <v>4265</v>
      </c>
      <c r="B1202" s="293"/>
      <c r="C1202" s="293"/>
      <c r="D1202" s="293"/>
      <c r="E1202" s="293"/>
      <c r="F1202" s="293"/>
      <c r="G1202" s="293"/>
      <c r="H1202" s="293"/>
      <c r="I1202" s="293"/>
      <c r="J1202" s="293"/>
      <c r="L1202" s="293">
        <f t="shared" si="132"/>
        <v>0</v>
      </c>
    </row>
    <row r="1203" spans="1:12" x14ac:dyDescent="0.25">
      <c r="B1203" s="293"/>
      <c r="C1203" s="293"/>
      <c r="D1203" s="293"/>
      <c r="E1203" s="293"/>
      <c r="F1203" s="293"/>
      <c r="G1203" s="293"/>
      <c r="H1203" s="293"/>
      <c r="I1203" s="293"/>
      <c r="J1203" s="293"/>
      <c r="L1203" s="293">
        <f t="shared" si="132"/>
        <v>0</v>
      </c>
    </row>
    <row r="1204" spans="1:12" x14ac:dyDescent="0.25">
      <c r="B1204" s="293"/>
      <c r="C1204" s="293"/>
      <c r="D1204" s="293"/>
      <c r="E1204" s="293"/>
      <c r="F1204" s="293"/>
      <c r="G1204" s="293"/>
      <c r="H1204" s="293"/>
      <c r="I1204" s="293"/>
      <c r="J1204" s="293"/>
      <c r="L1204" s="293">
        <f t="shared" si="132"/>
        <v>0</v>
      </c>
    </row>
    <row r="1205" spans="1:12" x14ac:dyDescent="0.25">
      <c r="B1205" s="293"/>
      <c r="C1205" s="293"/>
      <c r="D1205" s="293"/>
      <c r="E1205" s="293"/>
      <c r="F1205" s="293"/>
      <c r="G1205" s="293"/>
      <c r="H1205" s="293"/>
      <c r="I1205" s="293"/>
      <c r="J1205" s="293"/>
      <c r="L1205" s="293">
        <f t="shared" si="132"/>
        <v>0</v>
      </c>
    </row>
    <row r="1206" spans="1:12" x14ac:dyDescent="0.25">
      <c r="B1206" s="293"/>
      <c r="C1206" s="293"/>
      <c r="D1206" s="293"/>
      <c r="E1206" s="293"/>
      <c r="F1206" s="293"/>
      <c r="G1206" s="293"/>
      <c r="H1206" s="293"/>
      <c r="I1206" s="293"/>
      <c r="J1206" s="293"/>
      <c r="L1206" s="293">
        <f t="shared" si="132"/>
        <v>0</v>
      </c>
    </row>
    <row r="1207" spans="1:12" x14ac:dyDescent="0.25">
      <c r="A1207" t="s">
        <v>4266</v>
      </c>
      <c r="B1207" s="293"/>
      <c r="C1207" s="293"/>
      <c r="D1207" s="293"/>
      <c r="E1207" s="293"/>
      <c r="F1207" s="293"/>
      <c r="G1207" s="293"/>
      <c r="H1207" s="293"/>
      <c r="I1207" s="293"/>
      <c r="J1207" s="293"/>
      <c r="L1207" s="293">
        <f t="shared" si="132"/>
        <v>0</v>
      </c>
    </row>
    <row r="1208" spans="1:12" x14ac:dyDescent="0.25">
      <c r="A1208" t="s">
        <v>66</v>
      </c>
      <c r="B1208" s="293"/>
      <c r="C1208" s="293"/>
      <c r="D1208" s="293"/>
      <c r="E1208" s="293"/>
      <c r="F1208" s="293"/>
      <c r="G1208" s="293"/>
      <c r="H1208" s="293"/>
      <c r="I1208" s="293"/>
      <c r="J1208" s="293"/>
      <c r="L1208" s="293">
        <f t="shared" si="132"/>
        <v>0</v>
      </c>
    </row>
    <row r="1209" spans="1:12" x14ac:dyDescent="0.25">
      <c r="B1209" s="293"/>
      <c r="C1209" s="293"/>
      <c r="D1209" s="293"/>
      <c r="E1209" s="293"/>
      <c r="F1209" s="293"/>
      <c r="G1209" s="293"/>
      <c r="H1209" s="293"/>
      <c r="I1209" s="293"/>
      <c r="J1209" s="293"/>
      <c r="L1209" s="293">
        <f t="shared" si="132"/>
        <v>0</v>
      </c>
    </row>
    <row r="1210" spans="1:12" x14ac:dyDescent="0.25">
      <c r="B1210" s="293"/>
      <c r="C1210" s="293"/>
      <c r="D1210" s="293"/>
      <c r="E1210" s="293"/>
      <c r="F1210" s="293"/>
      <c r="G1210" s="293"/>
      <c r="H1210" s="293"/>
      <c r="I1210" s="293"/>
      <c r="J1210" s="293"/>
      <c r="L1210" s="293">
        <f t="shared" si="132"/>
        <v>0</v>
      </c>
    </row>
    <row r="1211" spans="1:12" x14ac:dyDescent="0.25">
      <c r="B1211" s="293"/>
      <c r="C1211" s="293"/>
      <c r="D1211" s="293"/>
      <c r="E1211" s="293"/>
      <c r="F1211" s="293"/>
      <c r="G1211" s="293"/>
      <c r="H1211" s="293"/>
      <c r="I1211" s="293"/>
      <c r="J1211" s="293"/>
      <c r="L1211" s="293">
        <f t="shared" si="132"/>
        <v>0</v>
      </c>
    </row>
    <row r="1212" spans="1:12" x14ac:dyDescent="0.25">
      <c r="B1212" s="293"/>
      <c r="C1212" s="293"/>
      <c r="D1212" s="293"/>
      <c r="E1212" s="293"/>
      <c r="F1212" s="293"/>
      <c r="G1212" s="293"/>
      <c r="H1212" s="293"/>
      <c r="I1212" s="293"/>
      <c r="J1212" s="293"/>
      <c r="L1212" s="293">
        <f t="shared" si="132"/>
        <v>0</v>
      </c>
    </row>
    <row r="1213" spans="1:12" x14ac:dyDescent="0.25">
      <c r="A1213" s="47" t="s">
        <v>4267</v>
      </c>
      <c r="B1213" s="296">
        <f>SUM(B1201:B1212)</f>
        <v>0</v>
      </c>
      <c r="C1213" s="296">
        <f t="shared" ref="C1213:J1213" si="134">SUM(C1201:C1212)</f>
        <v>0</v>
      </c>
      <c r="D1213" s="296">
        <f t="shared" si="134"/>
        <v>0</v>
      </c>
      <c r="E1213" s="296">
        <f t="shared" si="134"/>
        <v>0</v>
      </c>
      <c r="F1213" s="296">
        <f t="shared" si="134"/>
        <v>0</v>
      </c>
      <c r="G1213" s="296">
        <f t="shared" si="134"/>
        <v>0</v>
      </c>
      <c r="H1213" s="296">
        <f t="shared" si="134"/>
        <v>0</v>
      </c>
      <c r="I1213" s="296">
        <f t="shared" si="134"/>
        <v>0</v>
      </c>
      <c r="J1213" s="296">
        <f t="shared" si="134"/>
        <v>0</v>
      </c>
      <c r="L1213" s="293">
        <f t="shared" si="132"/>
        <v>0</v>
      </c>
    </row>
    <row r="1214" spans="1:12" x14ac:dyDescent="0.25">
      <c r="B1214" s="293"/>
      <c r="C1214" s="293"/>
      <c r="D1214" s="293"/>
      <c r="E1214" s="293"/>
      <c r="F1214" s="293"/>
      <c r="G1214" s="293"/>
      <c r="H1214" s="293"/>
      <c r="I1214" s="293"/>
      <c r="J1214" s="293"/>
      <c r="L1214" s="293">
        <f t="shared" si="132"/>
        <v>0</v>
      </c>
    </row>
    <row r="1215" spans="1:12" ht="15.75" thickBot="1" x14ac:dyDescent="0.3">
      <c r="A1215" s="47" t="s">
        <v>4268</v>
      </c>
      <c r="B1215" s="301">
        <f>B1198-B1213</f>
        <v>0</v>
      </c>
      <c r="C1215" s="301">
        <f t="shared" ref="C1215:J1215" si="135">C1198-C1213</f>
        <v>0</v>
      </c>
      <c r="D1215" s="301">
        <f t="shared" si="135"/>
        <v>0</v>
      </c>
      <c r="E1215" s="301">
        <f t="shared" si="135"/>
        <v>0</v>
      </c>
      <c r="F1215" s="301">
        <f t="shared" si="135"/>
        <v>0</v>
      </c>
      <c r="G1215" s="301">
        <f t="shared" si="135"/>
        <v>0</v>
      </c>
      <c r="H1215" s="301">
        <f t="shared" si="135"/>
        <v>0</v>
      </c>
      <c r="I1215" s="301">
        <f t="shared" si="135"/>
        <v>0</v>
      </c>
      <c r="J1215" s="301">
        <f t="shared" si="135"/>
        <v>0</v>
      </c>
      <c r="L1215" s="293">
        <f t="shared" si="132"/>
        <v>0</v>
      </c>
    </row>
    <row r="1216" spans="1:12" ht="15.75" thickTop="1" x14ac:dyDescent="0.25">
      <c r="B1216" s="293"/>
      <c r="C1216" s="293"/>
      <c r="D1216" s="293"/>
      <c r="E1216" s="293"/>
      <c r="F1216" s="293"/>
      <c r="G1216" s="293"/>
      <c r="H1216" s="293"/>
      <c r="I1216" s="293"/>
      <c r="J1216" s="293"/>
      <c r="L1216" s="293">
        <f t="shared" si="132"/>
        <v>0</v>
      </c>
    </row>
    <row r="1217" spans="1:12" x14ac:dyDescent="0.25">
      <c r="A1217" s="281"/>
      <c r="B1217" s="316"/>
      <c r="C1217" s="316"/>
      <c r="D1217" s="316"/>
      <c r="E1217" s="316"/>
      <c r="F1217" s="316"/>
      <c r="G1217" s="316"/>
      <c r="H1217" s="316"/>
      <c r="I1217" s="316"/>
      <c r="J1217" s="316"/>
      <c r="L1217" s="293">
        <f t="shared" si="132"/>
        <v>0</v>
      </c>
    </row>
    <row r="1218" spans="1:12" x14ac:dyDescent="0.25">
      <c r="B1218" s="293"/>
      <c r="C1218" s="293"/>
      <c r="D1218" s="293"/>
      <c r="E1218" s="293"/>
      <c r="F1218" s="293"/>
      <c r="G1218" s="293"/>
      <c r="H1218" s="293"/>
      <c r="I1218" s="293"/>
      <c r="J1218" s="293"/>
      <c r="L1218" s="293">
        <f t="shared" si="132"/>
        <v>0</v>
      </c>
    </row>
    <row r="1219" spans="1:12" x14ac:dyDescent="0.25">
      <c r="A1219" s="280" t="s">
        <v>4357</v>
      </c>
      <c r="B1219" s="293"/>
      <c r="C1219" s="293"/>
      <c r="D1219" s="293"/>
      <c r="E1219" s="293"/>
      <c r="F1219" s="293"/>
      <c r="G1219" s="293"/>
      <c r="H1219" s="293"/>
      <c r="I1219" s="293"/>
      <c r="J1219" s="293"/>
      <c r="L1219" s="293">
        <f t="shared" si="132"/>
        <v>0</v>
      </c>
    </row>
    <row r="1220" spans="1:12" x14ac:dyDescent="0.25">
      <c r="B1220" s="293"/>
      <c r="C1220" s="293"/>
      <c r="D1220" s="293"/>
      <c r="E1220" s="293"/>
      <c r="F1220" s="293"/>
      <c r="G1220" s="293"/>
      <c r="H1220" s="293"/>
      <c r="I1220" s="293"/>
      <c r="J1220" s="293"/>
      <c r="L1220" s="293">
        <f t="shared" si="132"/>
        <v>0</v>
      </c>
    </row>
    <row r="1221" spans="1:12" x14ac:dyDescent="0.25">
      <c r="A1221" s="47" t="s">
        <v>4260</v>
      </c>
      <c r="B1221" s="293"/>
      <c r="C1221" s="293"/>
      <c r="D1221" s="293"/>
      <c r="E1221" s="293"/>
      <c r="F1221" s="293"/>
      <c r="G1221" s="293"/>
      <c r="H1221" s="293"/>
      <c r="I1221" s="293"/>
      <c r="J1221" s="293"/>
      <c r="L1221" s="293">
        <f t="shared" si="132"/>
        <v>0</v>
      </c>
    </row>
    <row r="1222" spans="1:12" x14ac:dyDescent="0.25">
      <c r="A1222" t="s">
        <v>4262</v>
      </c>
      <c r="B1222" s="293"/>
      <c r="C1222" s="293"/>
      <c r="D1222" s="293"/>
      <c r="E1222" s="293"/>
      <c r="F1222" s="293"/>
      <c r="G1222" s="293"/>
      <c r="H1222" s="293"/>
      <c r="I1222" s="293"/>
      <c r="J1222" s="293"/>
      <c r="L1222" s="293">
        <f t="shared" si="132"/>
        <v>0</v>
      </c>
    </row>
    <row r="1223" spans="1:12" x14ac:dyDescent="0.25">
      <c r="A1223" t="s">
        <v>4261</v>
      </c>
      <c r="B1223" s="293">
        <f>capitalrevdata!F45</f>
        <v>2900</v>
      </c>
      <c r="C1223" s="293">
        <f>capitalrevdata!G45</f>
        <v>2300</v>
      </c>
      <c r="D1223" s="293">
        <f>capitalrevdata!H45</f>
        <v>1900</v>
      </c>
      <c r="E1223" s="293">
        <f>capitalrevdata!I45</f>
        <v>1900</v>
      </c>
      <c r="F1223" s="293">
        <f>capitalrevdata!J45</f>
        <v>1900</v>
      </c>
      <c r="G1223" s="293">
        <f>capitalrevdata!K45</f>
        <v>1600</v>
      </c>
      <c r="H1223" s="293">
        <f>capitalrevdata!L45</f>
        <v>1600</v>
      </c>
      <c r="I1223" s="293">
        <f>capitalrevdata!M45</f>
        <v>1600</v>
      </c>
      <c r="J1223" s="293">
        <f>capitalrevdata!N45</f>
        <v>1600</v>
      </c>
      <c r="L1223" s="293">
        <f t="shared" si="132"/>
        <v>1600</v>
      </c>
    </row>
    <row r="1224" spans="1:12" x14ac:dyDescent="0.25">
      <c r="A1224" t="s">
        <v>66</v>
      </c>
      <c r="B1224" s="293"/>
      <c r="C1224" s="293"/>
      <c r="D1224" s="293"/>
      <c r="E1224" s="293"/>
      <c r="F1224" s="293"/>
      <c r="G1224" s="293"/>
      <c r="H1224" s="293"/>
      <c r="I1224" s="293"/>
      <c r="J1224" s="293"/>
      <c r="L1224" s="293">
        <f t="shared" si="132"/>
        <v>0</v>
      </c>
    </row>
    <row r="1225" spans="1:12" x14ac:dyDescent="0.25">
      <c r="B1225" s="293"/>
      <c r="C1225" s="293"/>
      <c r="D1225" s="293"/>
      <c r="E1225" s="293"/>
      <c r="F1225" s="293"/>
      <c r="G1225" s="293"/>
      <c r="H1225" s="293"/>
      <c r="I1225" s="293"/>
      <c r="J1225" s="293"/>
      <c r="L1225" s="293">
        <f t="shared" si="132"/>
        <v>0</v>
      </c>
    </row>
    <row r="1226" spans="1:12" x14ac:dyDescent="0.25">
      <c r="B1226" s="293"/>
      <c r="C1226" s="293"/>
      <c r="D1226" s="293"/>
      <c r="E1226" s="293"/>
      <c r="F1226" s="293"/>
      <c r="G1226" s="293"/>
      <c r="H1226" s="293"/>
      <c r="I1226" s="293"/>
      <c r="J1226" s="293"/>
      <c r="L1226" s="293">
        <f t="shared" si="132"/>
        <v>0</v>
      </c>
    </row>
    <row r="1227" spans="1:12" x14ac:dyDescent="0.25">
      <c r="B1227" s="293"/>
      <c r="C1227" s="293"/>
      <c r="D1227" s="293"/>
      <c r="E1227" s="293"/>
      <c r="F1227" s="293"/>
      <c r="G1227" s="293"/>
      <c r="H1227" s="293"/>
      <c r="I1227" s="293"/>
      <c r="J1227" s="293"/>
      <c r="L1227" s="293">
        <f t="shared" si="132"/>
        <v>0</v>
      </c>
    </row>
    <row r="1228" spans="1:12" x14ac:dyDescent="0.25">
      <c r="B1228" s="293"/>
      <c r="C1228" s="293"/>
      <c r="D1228" s="293"/>
      <c r="E1228" s="293"/>
      <c r="F1228" s="293"/>
      <c r="G1228" s="293"/>
      <c r="H1228" s="293"/>
      <c r="I1228" s="293"/>
      <c r="J1228" s="293"/>
      <c r="L1228" s="293">
        <f t="shared" si="132"/>
        <v>0</v>
      </c>
    </row>
    <row r="1229" spans="1:12" x14ac:dyDescent="0.25">
      <c r="A1229" s="47" t="s">
        <v>4263</v>
      </c>
      <c r="B1229" s="296">
        <f>SUM(B1219:B1228)</f>
        <v>2900</v>
      </c>
      <c r="C1229" s="296">
        <f t="shared" ref="C1229:J1229" si="136">SUM(C1219:C1228)</f>
        <v>2300</v>
      </c>
      <c r="D1229" s="296">
        <f t="shared" si="136"/>
        <v>1900</v>
      </c>
      <c r="E1229" s="296">
        <f t="shared" si="136"/>
        <v>1900</v>
      </c>
      <c r="F1229" s="296">
        <f t="shared" si="136"/>
        <v>1900</v>
      </c>
      <c r="G1229" s="296">
        <f t="shared" si="136"/>
        <v>1600</v>
      </c>
      <c r="H1229" s="296">
        <f t="shared" si="136"/>
        <v>1600</v>
      </c>
      <c r="I1229" s="296">
        <f t="shared" si="136"/>
        <v>1600</v>
      </c>
      <c r="J1229" s="296">
        <f t="shared" si="136"/>
        <v>1600</v>
      </c>
      <c r="L1229" s="293"/>
    </row>
    <row r="1230" spans="1:12" x14ac:dyDescent="0.25">
      <c r="B1230" s="293"/>
      <c r="C1230" s="293"/>
      <c r="D1230" s="293"/>
      <c r="E1230" s="293"/>
      <c r="F1230" s="293"/>
      <c r="G1230" s="293"/>
      <c r="H1230" s="293"/>
      <c r="I1230" s="293"/>
      <c r="J1230" s="293"/>
      <c r="L1230" s="293">
        <f t="shared" si="132"/>
        <v>0</v>
      </c>
    </row>
    <row r="1231" spans="1:12" x14ac:dyDescent="0.25">
      <c r="A1231" s="47" t="s">
        <v>4264</v>
      </c>
      <c r="B1231" s="293"/>
      <c r="C1231" s="293"/>
      <c r="D1231" s="293"/>
      <c r="E1231" s="293"/>
      <c r="F1231" s="293"/>
      <c r="G1231" s="293"/>
      <c r="H1231" s="293"/>
      <c r="I1231" s="293"/>
      <c r="J1231" s="293"/>
      <c r="L1231" s="293">
        <f t="shared" si="132"/>
        <v>0</v>
      </c>
    </row>
    <row r="1232" spans="1:12" x14ac:dyDescent="0.25">
      <c r="A1232" t="s">
        <v>87</v>
      </c>
      <c r="B1232" s="293"/>
      <c r="C1232" s="293"/>
      <c r="D1232" s="293"/>
      <c r="E1232" s="293"/>
      <c r="F1232" s="293"/>
      <c r="G1232" s="293"/>
      <c r="H1232" s="293"/>
      <c r="I1232" s="293"/>
      <c r="J1232" s="293"/>
      <c r="L1232" s="293">
        <f t="shared" si="132"/>
        <v>0</v>
      </c>
    </row>
    <row r="1233" spans="1:12" x14ac:dyDescent="0.25">
      <c r="A1233" t="s">
        <v>4265</v>
      </c>
      <c r="B1233" s="293"/>
      <c r="C1233" s="293"/>
      <c r="D1233" s="293"/>
      <c r="E1233" s="293"/>
      <c r="F1233" s="293"/>
      <c r="G1233" s="293"/>
      <c r="H1233" s="293"/>
      <c r="I1233" s="293"/>
      <c r="J1233" s="293"/>
      <c r="L1233" s="293">
        <f t="shared" si="132"/>
        <v>0</v>
      </c>
    </row>
    <row r="1234" spans="1:12" x14ac:dyDescent="0.25">
      <c r="B1234" s="293"/>
      <c r="C1234" s="293"/>
      <c r="D1234" s="293"/>
      <c r="E1234" s="293"/>
      <c r="F1234" s="293"/>
      <c r="G1234" s="293"/>
      <c r="H1234" s="293"/>
      <c r="I1234" s="293"/>
      <c r="J1234" s="293"/>
      <c r="L1234" s="293">
        <f t="shared" si="132"/>
        <v>0</v>
      </c>
    </row>
    <row r="1235" spans="1:12" x14ac:dyDescent="0.25">
      <c r="B1235" s="293"/>
      <c r="C1235" s="293"/>
      <c r="D1235" s="293"/>
      <c r="E1235" s="293"/>
      <c r="F1235" s="293"/>
      <c r="G1235" s="293"/>
      <c r="H1235" s="293"/>
      <c r="I1235" s="293"/>
      <c r="J1235" s="293"/>
      <c r="L1235" s="293">
        <f t="shared" si="132"/>
        <v>0</v>
      </c>
    </row>
    <row r="1236" spans="1:12" x14ac:dyDescent="0.25">
      <c r="B1236" s="293"/>
      <c r="C1236" s="293"/>
      <c r="D1236" s="293"/>
      <c r="E1236" s="293"/>
      <c r="F1236" s="293"/>
      <c r="G1236" s="293"/>
      <c r="H1236" s="293"/>
      <c r="I1236" s="293"/>
      <c r="J1236" s="293"/>
      <c r="L1236" s="293">
        <f t="shared" si="132"/>
        <v>0</v>
      </c>
    </row>
    <row r="1237" spans="1:12" x14ac:dyDescent="0.25">
      <c r="B1237" s="293"/>
      <c r="C1237" s="293"/>
      <c r="D1237" s="293"/>
      <c r="E1237" s="293"/>
      <c r="F1237" s="293"/>
      <c r="G1237" s="293"/>
      <c r="H1237" s="293"/>
      <c r="I1237" s="293"/>
      <c r="J1237" s="293"/>
      <c r="L1237" s="293">
        <f t="shared" si="132"/>
        <v>0</v>
      </c>
    </row>
    <row r="1238" spans="1:12" x14ac:dyDescent="0.25">
      <c r="A1238" t="s">
        <v>4266</v>
      </c>
      <c r="B1238" s="293"/>
      <c r="C1238" s="293"/>
      <c r="D1238" s="293"/>
      <c r="E1238" s="293"/>
      <c r="F1238" s="293"/>
      <c r="G1238" s="293"/>
      <c r="H1238" s="293"/>
      <c r="I1238" s="293"/>
      <c r="J1238" s="293"/>
      <c r="L1238" s="293">
        <f t="shared" si="132"/>
        <v>0</v>
      </c>
    </row>
    <row r="1239" spans="1:12" x14ac:dyDescent="0.25">
      <c r="A1239" t="s">
        <v>66</v>
      </c>
      <c r="B1239" s="293"/>
      <c r="C1239" s="293"/>
      <c r="D1239" s="293"/>
      <c r="E1239" s="293"/>
      <c r="F1239" s="293"/>
      <c r="G1239" s="293"/>
      <c r="H1239" s="293"/>
      <c r="I1239" s="293"/>
      <c r="J1239" s="293"/>
      <c r="L1239" s="293">
        <f t="shared" si="132"/>
        <v>0</v>
      </c>
    </row>
    <row r="1240" spans="1:12" x14ac:dyDescent="0.25">
      <c r="B1240" s="293"/>
      <c r="C1240" s="293"/>
      <c r="D1240" s="293"/>
      <c r="E1240" s="293"/>
      <c r="F1240" s="293"/>
      <c r="G1240" s="293"/>
      <c r="H1240" s="293"/>
      <c r="I1240" s="293"/>
      <c r="J1240" s="293"/>
      <c r="L1240" s="293">
        <f t="shared" si="132"/>
        <v>0</v>
      </c>
    </row>
    <row r="1241" spans="1:12" x14ac:dyDescent="0.25">
      <c r="B1241" s="293"/>
      <c r="C1241" s="293"/>
      <c r="D1241" s="293"/>
      <c r="E1241" s="293"/>
      <c r="F1241" s="293"/>
      <c r="G1241" s="293"/>
      <c r="H1241" s="293"/>
      <c r="I1241" s="293"/>
      <c r="J1241" s="293"/>
      <c r="L1241" s="293">
        <f t="shared" si="132"/>
        <v>0</v>
      </c>
    </row>
    <row r="1242" spans="1:12" x14ac:dyDescent="0.25">
      <c r="B1242" s="293"/>
      <c r="C1242" s="293"/>
      <c r="D1242" s="293"/>
      <c r="E1242" s="293"/>
      <c r="F1242" s="293"/>
      <c r="G1242" s="293"/>
      <c r="H1242" s="293"/>
      <c r="I1242" s="293"/>
      <c r="J1242" s="293"/>
      <c r="L1242" s="293">
        <f t="shared" si="132"/>
        <v>0</v>
      </c>
    </row>
    <row r="1243" spans="1:12" x14ac:dyDescent="0.25">
      <c r="B1243" s="293"/>
      <c r="C1243" s="293"/>
      <c r="D1243" s="293"/>
      <c r="E1243" s="293"/>
      <c r="F1243" s="293"/>
      <c r="G1243" s="293"/>
      <c r="H1243" s="293"/>
      <c r="I1243" s="293"/>
      <c r="J1243" s="293"/>
      <c r="L1243" s="293">
        <f t="shared" si="132"/>
        <v>0</v>
      </c>
    </row>
    <row r="1244" spans="1:12" x14ac:dyDescent="0.25">
      <c r="A1244" s="47" t="s">
        <v>4267</v>
      </c>
      <c r="B1244" s="296">
        <f>SUM(B1232:B1243)</f>
        <v>0</v>
      </c>
      <c r="C1244" s="296">
        <f t="shared" ref="C1244:J1244" si="137">SUM(C1232:C1243)</f>
        <v>0</v>
      </c>
      <c r="D1244" s="296">
        <f t="shared" si="137"/>
        <v>0</v>
      </c>
      <c r="E1244" s="296">
        <f t="shared" si="137"/>
        <v>0</v>
      </c>
      <c r="F1244" s="296">
        <f t="shared" si="137"/>
        <v>0</v>
      </c>
      <c r="G1244" s="296">
        <f t="shared" si="137"/>
        <v>0</v>
      </c>
      <c r="H1244" s="296">
        <f t="shared" si="137"/>
        <v>0</v>
      </c>
      <c r="I1244" s="296">
        <f t="shared" si="137"/>
        <v>0</v>
      </c>
      <c r="J1244" s="296">
        <f t="shared" si="137"/>
        <v>0</v>
      </c>
      <c r="L1244" s="293">
        <f t="shared" si="132"/>
        <v>0</v>
      </c>
    </row>
    <row r="1245" spans="1:12" x14ac:dyDescent="0.25">
      <c r="B1245" s="293"/>
      <c r="C1245" s="293"/>
      <c r="D1245" s="293"/>
      <c r="E1245" s="293"/>
      <c r="F1245" s="293"/>
      <c r="G1245" s="293"/>
      <c r="H1245" s="293"/>
      <c r="I1245" s="293"/>
      <c r="J1245" s="293"/>
      <c r="L1245" s="293">
        <f t="shared" si="132"/>
        <v>0</v>
      </c>
    </row>
    <row r="1246" spans="1:12" ht="15.75" thickBot="1" x14ac:dyDescent="0.3">
      <c r="A1246" s="47" t="s">
        <v>4268</v>
      </c>
      <c r="B1246" s="301">
        <f>B1229-B1244</f>
        <v>2900</v>
      </c>
      <c r="C1246" s="301">
        <f t="shared" ref="C1246:J1246" si="138">C1229-C1244</f>
        <v>2300</v>
      </c>
      <c r="D1246" s="301">
        <f t="shared" si="138"/>
        <v>1900</v>
      </c>
      <c r="E1246" s="301">
        <f t="shared" si="138"/>
        <v>1900</v>
      </c>
      <c r="F1246" s="301">
        <f t="shared" si="138"/>
        <v>1900</v>
      </c>
      <c r="G1246" s="301">
        <f t="shared" si="138"/>
        <v>1600</v>
      </c>
      <c r="H1246" s="301">
        <f t="shared" si="138"/>
        <v>1600</v>
      </c>
      <c r="I1246" s="301">
        <f t="shared" si="138"/>
        <v>1600</v>
      </c>
      <c r="J1246" s="301">
        <f t="shared" si="138"/>
        <v>1600</v>
      </c>
      <c r="L1246" s="293"/>
    </row>
    <row r="1247" spans="1:12" ht="15.75" thickTop="1" x14ac:dyDescent="0.25">
      <c r="B1247" s="293"/>
      <c r="C1247" s="293"/>
      <c r="D1247" s="293"/>
      <c r="E1247" s="293"/>
      <c r="F1247" s="293"/>
      <c r="G1247" s="293"/>
      <c r="H1247" s="293"/>
      <c r="I1247" s="293"/>
      <c r="J1247" s="293"/>
      <c r="L1247" s="293">
        <f t="shared" si="132"/>
        <v>0</v>
      </c>
    </row>
    <row r="1248" spans="1:12" x14ac:dyDescent="0.25">
      <c r="A1248" s="281"/>
      <c r="B1248" s="316"/>
      <c r="C1248" s="316"/>
      <c r="D1248" s="316"/>
      <c r="E1248" s="316"/>
      <c r="F1248" s="316"/>
      <c r="G1248" s="316"/>
      <c r="H1248" s="316"/>
      <c r="I1248" s="316"/>
      <c r="J1248" s="316"/>
      <c r="L1248" s="293">
        <f t="shared" si="132"/>
        <v>0</v>
      </c>
    </row>
    <row r="1249" spans="1:12" x14ac:dyDescent="0.25">
      <c r="A1249" s="282"/>
      <c r="B1249" s="299"/>
      <c r="C1249" s="299"/>
      <c r="D1249" s="299"/>
      <c r="E1249" s="299"/>
      <c r="F1249" s="299"/>
      <c r="G1249" s="299"/>
      <c r="H1249" s="299"/>
      <c r="I1249" s="299"/>
      <c r="J1249" s="299"/>
      <c r="L1249" s="293">
        <f t="shared" si="132"/>
        <v>0</v>
      </c>
    </row>
    <row r="1250" spans="1:12" x14ac:dyDescent="0.25">
      <c r="A1250" s="280" t="s">
        <v>4358</v>
      </c>
      <c r="B1250" s="293"/>
      <c r="C1250" s="293"/>
      <c r="D1250" s="293"/>
      <c r="E1250" s="293"/>
      <c r="F1250" s="293"/>
      <c r="G1250" s="293"/>
      <c r="H1250" s="293"/>
      <c r="I1250" s="293"/>
      <c r="J1250" s="293"/>
      <c r="L1250" s="293">
        <f t="shared" si="132"/>
        <v>0</v>
      </c>
    </row>
    <row r="1251" spans="1:12" x14ac:dyDescent="0.25">
      <c r="B1251" s="293"/>
      <c r="C1251" s="293"/>
      <c r="D1251" s="293"/>
      <c r="E1251" s="293"/>
      <c r="F1251" s="293"/>
      <c r="G1251" s="293"/>
      <c r="H1251" s="293"/>
      <c r="I1251" s="293"/>
      <c r="J1251" s="293"/>
      <c r="L1251" s="293">
        <f t="shared" si="132"/>
        <v>0</v>
      </c>
    </row>
    <row r="1252" spans="1:12" x14ac:dyDescent="0.25">
      <c r="A1252" s="47" t="s">
        <v>4260</v>
      </c>
      <c r="B1252" s="293"/>
      <c r="C1252" s="293"/>
      <c r="D1252" s="293"/>
      <c r="E1252" s="293"/>
      <c r="F1252" s="293"/>
      <c r="G1252" s="293"/>
      <c r="H1252" s="293"/>
      <c r="I1252" s="293"/>
      <c r="J1252" s="293"/>
      <c r="L1252" s="293">
        <f t="shared" si="132"/>
        <v>0</v>
      </c>
    </row>
    <row r="1253" spans="1:12" x14ac:dyDescent="0.25">
      <c r="A1253" t="s">
        <v>4262</v>
      </c>
      <c r="B1253" s="293"/>
      <c r="C1253" s="293"/>
      <c r="D1253" s="293"/>
      <c r="E1253" s="293"/>
      <c r="F1253" s="293"/>
      <c r="G1253" s="293"/>
      <c r="H1253" s="293"/>
      <c r="I1253" s="293"/>
      <c r="J1253" s="293"/>
      <c r="L1253" s="293">
        <f t="shared" si="132"/>
        <v>0</v>
      </c>
    </row>
    <row r="1254" spans="1:12" x14ac:dyDescent="0.25">
      <c r="A1254" t="s">
        <v>4261</v>
      </c>
      <c r="B1254" s="293">
        <f>capitalrevdata!F46</f>
        <v>300</v>
      </c>
      <c r="C1254" s="293">
        <f>capitalrevdata!G46</f>
        <v>200</v>
      </c>
      <c r="D1254" s="293">
        <f>capitalrevdata!H46</f>
        <v>200</v>
      </c>
      <c r="E1254" s="293">
        <f>capitalrevdata!I46</f>
        <v>200</v>
      </c>
      <c r="F1254" s="293">
        <f>capitalrevdata!J46</f>
        <v>200</v>
      </c>
      <c r="G1254" s="293">
        <f>capitalrevdata!K46</f>
        <v>100</v>
      </c>
      <c r="H1254" s="293">
        <f>capitalrevdata!L46</f>
        <v>100</v>
      </c>
      <c r="I1254" s="293">
        <f>capitalrevdata!M46</f>
        <v>100</v>
      </c>
      <c r="J1254" s="293">
        <f>capitalrevdata!N46</f>
        <v>100</v>
      </c>
      <c r="L1254" s="293">
        <f t="shared" si="132"/>
        <v>100</v>
      </c>
    </row>
    <row r="1255" spans="1:12" x14ac:dyDescent="0.25">
      <c r="A1255" t="s">
        <v>66</v>
      </c>
      <c r="B1255" s="293"/>
      <c r="C1255" s="293"/>
      <c r="D1255" s="293"/>
      <c r="E1255" s="293"/>
      <c r="F1255" s="293"/>
      <c r="G1255" s="293"/>
      <c r="H1255" s="293"/>
      <c r="I1255" s="293"/>
      <c r="J1255" s="293"/>
      <c r="L1255" s="293">
        <f t="shared" si="132"/>
        <v>0</v>
      </c>
    </row>
    <row r="1256" spans="1:12" x14ac:dyDescent="0.25">
      <c r="B1256" s="293"/>
      <c r="C1256" s="293"/>
      <c r="D1256" s="293"/>
      <c r="E1256" s="293"/>
      <c r="F1256" s="293"/>
      <c r="G1256" s="293"/>
      <c r="H1256" s="293"/>
      <c r="I1256" s="293"/>
      <c r="J1256" s="293"/>
      <c r="L1256" s="293">
        <f t="shared" si="132"/>
        <v>0</v>
      </c>
    </row>
    <row r="1257" spans="1:12" x14ac:dyDescent="0.25">
      <c r="B1257" s="293"/>
      <c r="C1257" s="293"/>
      <c r="D1257" s="293"/>
      <c r="E1257" s="293"/>
      <c r="F1257" s="293"/>
      <c r="G1257" s="293"/>
      <c r="H1257" s="293"/>
      <c r="I1257" s="293"/>
      <c r="J1257" s="293"/>
      <c r="L1257" s="293">
        <f t="shared" si="132"/>
        <v>0</v>
      </c>
    </row>
    <row r="1258" spans="1:12" x14ac:dyDescent="0.25">
      <c r="B1258" s="293"/>
      <c r="C1258" s="293"/>
      <c r="D1258" s="293"/>
      <c r="E1258" s="293"/>
      <c r="F1258" s="293"/>
      <c r="G1258" s="293"/>
      <c r="H1258" s="293"/>
      <c r="I1258" s="293"/>
      <c r="J1258" s="293"/>
      <c r="L1258" s="293">
        <f t="shared" si="132"/>
        <v>0</v>
      </c>
    </row>
    <row r="1259" spans="1:12" x14ac:dyDescent="0.25">
      <c r="B1259" s="293"/>
      <c r="C1259" s="293"/>
      <c r="D1259" s="293"/>
      <c r="E1259" s="293"/>
      <c r="F1259" s="293"/>
      <c r="G1259" s="293"/>
      <c r="H1259" s="293"/>
      <c r="I1259" s="293"/>
      <c r="J1259" s="293"/>
      <c r="L1259" s="293">
        <f t="shared" si="132"/>
        <v>0</v>
      </c>
    </row>
    <row r="1260" spans="1:12" x14ac:dyDescent="0.25">
      <c r="A1260" s="47" t="s">
        <v>4263</v>
      </c>
      <c r="B1260" s="296">
        <f>SUM(B1250:B1259)</f>
        <v>300</v>
      </c>
      <c r="C1260" s="296">
        <f t="shared" ref="C1260:J1260" si="139">SUM(C1250:C1259)</f>
        <v>200</v>
      </c>
      <c r="D1260" s="296">
        <f t="shared" si="139"/>
        <v>200</v>
      </c>
      <c r="E1260" s="296">
        <f t="shared" si="139"/>
        <v>200</v>
      </c>
      <c r="F1260" s="296">
        <f t="shared" si="139"/>
        <v>200</v>
      </c>
      <c r="G1260" s="296">
        <f t="shared" si="139"/>
        <v>100</v>
      </c>
      <c r="H1260" s="296">
        <f t="shared" si="139"/>
        <v>100</v>
      </c>
      <c r="I1260" s="296">
        <f t="shared" si="139"/>
        <v>100</v>
      </c>
      <c r="J1260" s="296">
        <f t="shared" si="139"/>
        <v>100</v>
      </c>
      <c r="L1260" s="293"/>
    </row>
    <row r="1261" spans="1:12" x14ac:dyDescent="0.25">
      <c r="B1261" s="293"/>
      <c r="C1261" s="293"/>
      <c r="D1261" s="293"/>
      <c r="E1261" s="293"/>
      <c r="F1261" s="293"/>
      <c r="G1261" s="293"/>
      <c r="H1261" s="293"/>
      <c r="I1261" s="293"/>
      <c r="J1261" s="293"/>
      <c r="L1261" s="293">
        <f t="shared" ref="L1261:L1323" si="140">J1261</f>
        <v>0</v>
      </c>
    </row>
    <row r="1262" spans="1:12" x14ac:dyDescent="0.25">
      <c r="A1262" s="47" t="s">
        <v>4264</v>
      </c>
      <c r="B1262" s="293"/>
      <c r="C1262" s="293"/>
      <c r="D1262" s="293"/>
      <c r="E1262" s="293"/>
      <c r="F1262" s="293"/>
      <c r="G1262" s="293"/>
      <c r="H1262" s="293"/>
      <c r="I1262" s="293"/>
      <c r="J1262" s="293"/>
      <c r="L1262" s="293">
        <f t="shared" si="140"/>
        <v>0</v>
      </c>
    </row>
    <row r="1263" spans="1:12" x14ac:dyDescent="0.25">
      <c r="A1263" t="s">
        <v>87</v>
      </c>
      <c r="B1263" s="293"/>
      <c r="C1263" s="293"/>
      <c r="D1263" s="293"/>
      <c r="E1263" s="293"/>
      <c r="F1263" s="293"/>
      <c r="G1263" s="293"/>
      <c r="H1263" s="293"/>
      <c r="I1263" s="293"/>
      <c r="J1263" s="293"/>
      <c r="L1263" s="293">
        <f t="shared" si="140"/>
        <v>0</v>
      </c>
    </row>
    <row r="1264" spans="1:12" x14ac:dyDescent="0.25">
      <c r="A1264" t="s">
        <v>4265</v>
      </c>
      <c r="B1264" s="293"/>
      <c r="C1264" s="293"/>
      <c r="D1264" s="293"/>
      <c r="E1264" s="293"/>
      <c r="F1264" s="293"/>
      <c r="G1264" s="293"/>
      <c r="H1264" s="293"/>
      <c r="I1264" s="293"/>
      <c r="J1264" s="293"/>
      <c r="L1264" s="293">
        <f t="shared" si="140"/>
        <v>0</v>
      </c>
    </row>
    <row r="1265" spans="1:12" x14ac:dyDescent="0.25">
      <c r="B1265" s="293"/>
      <c r="C1265" s="293"/>
      <c r="D1265" s="293"/>
      <c r="E1265" s="293"/>
      <c r="F1265" s="293"/>
      <c r="G1265" s="293"/>
      <c r="H1265" s="293"/>
      <c r="I1265" s="293"/>
      <c r="J1265" s="293"/>
      <c r="L1265" s="293">
        <f t="shared" si="140"/>
        <v>0</v>
      </c>
    </row>
    <row r="1266" spans="1:12" x14ac:dyDescent="0.25">
      <c r="B1266" s="293"/>
      <c r="C1266" s="293"/>
      <c r="D1266" s="293"/>
      <c r="E1266" s="293"/>
      <c r="F1266" s="293"/>
      <c r="G1266" s="293"/>
      <c r="H1266" s="293"/>
      <c r="I1266" s="293"/>
      <c r="J1266" s="293"/>
      <c r="L1266" s="293">
        <f t="shared" si="140"/>
        <v>0</v>
      </c>
    </row>
    <row r="1267" spans="1:12" x14ac:dyDescent="0.25">
      <c r="B1267" s="293"/>
      <c r="C1267" s="293"/>
      <c r="D1267" s="293"/>
      <c r="E1267" s="293"/>
      <c r="F1267" s="293"/>
      <c r="G1267" s="293"/>
      <c r="H1267" s="293"/>
      <c r="I1267" s="293"/>
      <c r="J1267" s="293"/>
      <c r="L1267" s="293">
        <f t="shared" si="140"/>
        <v>0</v>
      </c>
    </row>
    <row r="1268" spans="1:12" x14ac:dyDescent="0.25">
      <c r="B1268" s="293"/>
      <c r="C1268" s="293"/>
      <c r="D1268" s="293"/>
      <c r="E1268" s="293"/>
      <c r="F1268" s="293"/>
      <c r="G1268" s="293"/>
      <c r="H1268" s="293"/>
      <c r="I1268" s="293"/>
      <c r="J1268" s="293"/>
      <c r="L1268" s="293">
        <f t="shared" si="140"/>
        <v>0</v>
      </c>
    </row>
    <row r="1269" spans="1:12" x14ac:dyDescent="0.25">
      <c r="A1269" t="s">
        <v>4266</v>
      </c>
      <c r="B1269" s="293"/>
      <c r="C1269" s="293"/>
      <c r="D1269" s="293"/>
      <c r="E1269" s="293"/>
      <c r="F1269" s="293"/>
      <c r="G1269" s="293"/>
      <c r="H1269" s="293"/>
      <c r="I1269" s="293"/>
      <c r="J1269" s="293"/>
      <c r="L1269" s="293">
        <f t="shared" si="140"/>
        <v>0</v>
      </c>
    </row>
    <row r="1270" spans="1:12" x14ac:dyDescent="0.25">
      <c r="A1270" t="s">
        <v>66</v>
      </c>
      <c r="B1270" s="293"/>
      <c r="C1270" s="293"/>
      <c r="D1270" s="293"/>
      <c r="E1270" s="293"/>
      <c r="F1270" s="293"/>
      <c r="G1270" s="293"/>
      <c r="H1270" s="293"/>
      <c r="I1270" s="293"/>
      <c r="J1270" s="293"/>
      <c r="L1270" s="293">
        <f t="shared" si="140"/>
        <v>0</v>
      </c>
    </row>
    <row r="1271" spans="1:12" x14ac:dyDescent="0.25">
      <c r="B1271" s="293"/>
      <c r="C1271" s="293"/>
      <c r="D1271" s="293"/>
      <c r="E1271" s="293"/>
      <c r="F1271" s="293"/>
      <c r="G1271" s="293"/>
      <c r="H1271" s="293"/>
      <c r="I1271" s="293"/>
      <c r="J1271" s="293"/>
      <c r="L1271" s="293">
        <f t="shared" si="140"/>
        <v>0</v>
      </c>
    </row>
    <row r="1272" spans="1:12" x14ac:dyDescent="0.25">
      <c r="B1272" s="293"/>
      <c r="C1272" s="293"/>
      <c r="D1272" s="293"/>
      <c r="E1272" s="293"/>
      <c r="F1272" s="293"/>
      <c r="G1272" s="293"/>
      <c r="H1272" s="293"/>
      <c r="I1272" s="293"/>
      <c r="J1272" s="293"/>
      <c r="L1272" s="293">
        <f t="shared" si="140"/>
        <v>0</v>
      </c>
    </row>
    <row r="1273" spans="1:12" x14ac:dyDescent="0.25">
      <c r="B1273" s="293"/>
      <c r="C1273" s="293"/>
      <c r="D1273" s="293"/>
      <c r="E1273" s="293"/>
      <c r="F1273" s="293"/>
      <c r="G1273" s="293"/>
      <c r="H1273" s="293"/>
      <c r="I1273" s="293"/>
      <c r="J1273" s="293"/>
      <c r="L1273" s="293">
        <f t="shared" si="140"/>
        <v>0</v>
      </c>
    </row>
    <row r="1274" spans="1:12" x14ac:dyDescent="0.25">
      <c r="B1274" s="293"/>
      <c r="C1274" s="293"/>
      <c r="D1274" s="293"/>
      <c r="E1274" s="293"/>
      <c r="F1274" s="293"/>
      <c r="G1274" s="293"/>
      <c r="H1274" s="293"/>
      <c r="I1274" s="293"/>
      <c r="J1274" s="293"/>
      <c r="L1274" s="293">
        <f t="shared" si="140"/>
        <v>0</v>
      </c>
    </row>
    <row r="1275" spans="1:12" x14ac:dyDescent="0.25">
      <c r="A1275" s="47" t="s">
        <v>4267</v>
      </c>
      <c r="B1275" s="296">
        <f>SUM(B1263:B1274)</f>
        <v>0</v>
      </c>
      <c r="C1275" s="296">
        <f t="shared" ref="C1275:J1275" si="141">SUM(C1263:C1274)</f>
        <v>0</v>
      </c>
      <c r="D1275" s="296">
        <f t="shared" si="141"/>
        <v>0</v>
      </c>
      <c r="E1275" s="296">
        <f t="shared" si="141"/>
        <v>0</v>
      </c>
      <c r="F1275" s="296">
        <f t="shared" si="141"/>
        <v>0</v>
      </c>
      <c r="G1275" s="296">
        <f t="shared" si="141"/>
        <v>0</v>
      </c>
      <c r="H1275" s="296">
        <f t="shared" si="141"/>
        <v>0</v>
      </c>
      <c r="I1275" s="296">
        <f t="shared" si="141"/>
        <v>0</v>
      </c>
      <c r="J1275" s="296">
        <f t="shared" si="141"/>
        <v>0</v>
      </c>
      <c r="L1275" s="293">
        <f t="shared" si="140"/>
        <v>0</v>
      </c>
    </row>
    <row r="1276" spans="1:12" x14ac:dyDescent="0.25">
      <c r="B1276" s="293"/>
      <c r="C1276" s="293"/>
      <c r="D1276" s="293"/>
      <c r="E1276" s="293"/>
      <c r="F1276" s="293"/>
      <c r="G1276" s="293"/>
      <c r="H1276" s="293"/>
      <c r="I1276" s="293"/>
      <c r="J1276" s="293"/>
      <c r="L1276" s="293">
        <f t="shared" si="140"/>
        <v>0</v>
      </c>
    </row>
    <row r="1277" spans="1:12" ht="15.75" thickBot="1" x14ac:dyDescent="0.3">
      <c r="A1277" s="47" t="s">
        <v>4268</v>
      </c>
      <c r="B1277" s="301">
        <f>B1260-B1275</f>
        <v>300</v>
      </c>
      <c r="C1277" s="301">
        <f t="shared" ref="C1277:J1277" si="142">C1260-C1275</f>
        <v>200</v>
      </c>
      <c r="D1277" s="301">
        <f t="shared" si="142"/>
        <v>200</v>
      </c>
      <c r="E1277" s="301">
        <f t="shared" si="142"/>
        <v>200</v>
      </c>
      <c r="F1277" s="301">
        <f t="shared" si="142"/>
        <v>200</v>
      </c>
      <c r="G1277" s="301">
        <f t="shared" si="142"/>
        <v>100</v>
      </c>
      <c r="H1277" s="301">
        <f t="shared" si="142"/>
        <v>100</v>
      </c>
      <c r="I1277" s="301">
        <f t="shared" si="142"/>
        <v>100</v>
      </c>
      <c r="J1277" s="301">
        <f t="shared" si="142"/>
        <v>100</v>
      </c>
      <c r="L1277" s="293"/>
    </row>
    <row r="1278" spans="1:12" ht="15.75" thickTop="1" x14ac:dyDescent="0.25">
      <c r="B1278" s="293"/>
      <c r="C1278" s="293"/>
      <c r="D1278" s="293"/>
      <c r="E1278" s="293"/>
      <c r="F1278" s="293"/>
      <c r="G1278" s="293"/>
      <c r="H1278" s="293"/>
      <c r="I1278" s="293"/>
      <c r="J1278" s="293"/>
      <c r="L1278" s="293">
        <f t="shared" si="140"/>
        <v>0</v>
      </c>
    </row>
    <row r="1279" spans="1:12" x14ac:dyDescent="0.25">
      <c r="A1279" s="281"/>
      <c r="B1279" s="316"/>
      <c r="C1279" s="316"/>
      <c r="D1279" s="316"/>
      <c r="E1279" s="316"/>
      <c r="F1279" s="316"/>
      <c r="G1279" s="316"/>
      <c r="H1279" s="316"/>
      <c r="I1279" s="316"/>
      <c r="J1279" s="316"/>
      <c r="L1279" s="293">
        <f t="shared" si="140"/>
        <v>0</v>
      </c>
    </row>
    <row r="1280" spans="1:12" x14ac:dyDescent="0.25">
      <c r="B1280" s="293"/>
      <c r="C1280" s="293"/>
      <c r="D1280" s="293"/>
      <c r="E1280" s="293"/>
      <c r="F1280" s="293"/>
      <c r="G1280" s="293"/>
      <c r="H1280" s="293"/>
      <c r="I1280" s="293"/>
      <c r="J1280" s="293"/>
      <c r="L1280" s="293">
        <f t="shared" si="140"/>
        <v>0</v>
      </c>
    </row>
    <row r="1281" spans="1:12" x14ac:dyDescent="0.25">
      <c r="A1281" s="280" t="s">
        <v>4359</v>
      </c>
      <c r="B1281" s="293"/>
      <c r="C1281" s="293"/>
      <c r="D1281" s="293"/>
      <c r="E1281" s="293"/>
      <c r="F1281" s="293"/>
      <c r="G1281" s="293"/>
      <c r="H1281" s="293"/>
      <c r="I1281" s="293"/>
      <c r="J1281" s="293"/>
      <c r="L1281" s="293">
        <f t="shared" si="140"/>
        <v>0</v>
      </c>
    </row>
    <row r="1282" spans="1:12" x14ac:dyDescent="0.25">
      <c r="B1282" s="293"/>
      <c r="C1282" s="293"/>
      <c r="D1282" s="293"/>
      <c r="E1282" s="293"/>
      <c r="F1282" s="293"/>
      <c r="G1282" s="293"/>
      <c r="H1282" s="293"/>
      <c r="I1282" s="293"/>
      <c r="J1282" s="293"/>
      <c r="L1282" s="293">
        <f t="shared" si="140"/>
        <v>0</v>
      </c>
    </row>
    <row r="1283" spans="1:12" x14ac:dyDescent="0.25">
      <c r="A1283" s="47" t="s">
        <v>4260</v>
      </c>
      <c r="B1283" s="293"/>
      <c r="C1283" s="293"/>
      <c r="D1283" s="293"/>
      <c r="E1283" s="293"/>
      <c r="F1283" s="293"/>
      <c r="G1283" s="293"/>
      <c r="H1283" s="293"/>
      <c r="I1283" s="293"/>
      <c r="J1283" s="293"/>
      <c r="L1283" s="293">
        <f t="shared" si="140"/>
        <v>0</v>
      </c>
    </row>
    <row r="1284" spans="1:12" x14ac:dyDescent="0.25">
      <c r="A1284" t="s">
        <v>4262</v>
      </c>
      <c r="B1284" s="293"/>
      <c r="C1284" s="293"/>
      <c r="D1284" s="293"/>
      <c r="E1284" s="293"/>
      <c r="F1284" s="293"/>
      <c r="G1284" s="293"/>
      <c r="H1284" s="293"/>
      <c r="I1284" s="293"/>
      <c r="J1284" s="293"/>
      <c r="L1284" s="293">
        <f t="shared" si="140"/>
        <v>0</v>
      </c>
    </row>
    <row r="1285" spans="1:12" x14ac:dyDescent="0.25">
      <c r="A1285" t="s">
        <v>4261</v>
      </c>
      <c r="B1285" s="293">
        <f>capitalrevdata!F47</f>
        <v>0</v>
      </c>
      <c r="C1285" s="293">
        <f>capitalrevdata!G47</f>
        <v>0</v>
      </c>
      <c r="D1285" s="293">
        <f>capitalrevdata!H47</f>
        <v>0</v>
      </c>
      <c r="E1285" s="293">
        <f>capitalrevdata!I47</f>
        <v>0</v>
      </c>
      <c r="F1285" s="293">
        <f>capitalrevdata!J47</f>
        <v>0</v>
      </c>
      <c r="G1285" s="293">
        <f>capitalrevdata!K47</f>
        <v>0</v>
      </c>
      <c r="H1285" s="293">
        <f>capitalrevdata!L47</f>
        <v>0</v>
      </c>
      <c r="I1285" s="293">
        <f>capitalrevdata!M47</f>
        <v>0</v>
      </c>
      <c r="J1285" s="293">
        <f>capitalrevdata!N47</f>
        <v>0</v>
      </c>
      <c r="L1285" s="293">
        <f t="shared" si="140"/>
        <v>0</v>
      </c>
    </row>
    <row r="1286" spans="1:12" x14ac:dyDescent="0.25">
      <c r="A1286" t="s">
        <v>66</v>
      </c>
      <c r="B1286" s="293"/>
      <c r="C1286" s="293"/>
      <c r="D1286" s="293"/>
      <c r="E1286" s="293"/>
      <c r="F1286" s="293"/>
      <c r="G1286" s="293"/>
      <c r="H1286" s="293"/>
      <c r="I1286" s="293"/>
      <c r="J1286" s="293"/>
      <c r="L1286" s="293">
        <f t="shared" si="140"/>
        <v>0</v>
      </c>
    </row>
    <row r="1287" spans="1:12" x14ac:dyDescent="0.25">
      <c r="B1287" s="293"/>
      <c r="C1287" s="293"/>
      <c r="D1287" s="293"/>
      <c r="E1287" s="293"/>
      <c r="F1287" s="293"/>
      <c r="G1287" s="293"/>
      <c r="H1287" s="293"/>
      <c r="I1287" s="293"/>
      <c r="J1287" s="293"/>
      <c r="L1287" s="293">
        <f t="shared" si="140"/>
        <v>0</v>
      </c>
    </row>
    <row r="1288" spans="1:12" x14ac:dyDescent="0.25">
      <c r="B1288" s="293"/>
      <c r="C1288" s="293"/>
      <c r="D1288" s="293"/>
      <c r="E1288" s="293"/>
      <c r="F1288" s="293"/>
      <c r="G1288" s="293"/>
      <c r="H1288" s="293"/>
      <c r="I1288" s="293"/>
      <c r="J1288" s="293"/>
      <c r="L1288" s="293">
        <f t="shared" si="140"/>
        <v>0</v>
      </c>
    </row>
    <row r="1289" spans="1:12" x14ac:dyDescent="0.25">
      <c r="B1289" s="293"/>
      <c r="C1289" s="293"/>
      <c r="D1289" s="293"/>
      <c r="E1289" s="293"/>
      <c r="F1289" s="293"/>
      <c r="G1289" s="293"/>
      <c r="H1289" s="293"/>
      <c r="I1289" s="293"/>
      <c r="J1289" s="293"/>
      <c r="L1289" s="293">
        <f t="shared" si="140"/>
        <v>0</v>
      </c>
    </row>
    <row r="1290" spans="1:12" x14ac:dyDescent="0.25">
      <c r="B1290" s="293"/>
      <c r="C1290" s="293"/>
      <c r="D1290" s="293"/>
      <c r="E1290" s="293"/>
      <c r="F1290" s="293"/>
      <c r="G1290" s="293"/>
      <c r="H1290" s="293"/>
      <c r="I1290" s="293"/>
      <c r="J1290" s="293"/>
      <c r="L1290" s="293">
        <f t="shared" si="140"/>
        <v>0</v>
      </c>
    </row>
    <row r="1291" spans="1:12" x14ac:dyDescent="0.25">
      <c r="A1291" s="47" t="s">
        <v>4263</v>
      </c>
      <c r="B1291" s="296">
        <f>SUM(B1281:B1290)</f>
        <v>0</v>
      </c>
      <c r="C1291" s="296">
        <f t="shared" ref="C1291:J1291" si="143">SUM(C1281:C1290)</f>
        <v>0</v>
      </c>
      <c r="D1291" s="296">
        <f t="shared" si="143"/>
        <v>0</v>
      </c>
      <c r="E1291" s="296">
        <f t="shared" si="143"/>
        <v>0</v>
      </c>
      <c r="F1291" s="296">
        <f t="shared" si="143"/>
        <v>0</v>
      </c>
      <c r="G1291" s="296">
        <f t="shared" si="143"/>
        <v>0</v>
      </c>
      <c r="H1291" s="296">
        <f t="shared" si="143"/>
        <v>0</v>
      </c>
      <c r="I1291" s="296">
        <f t="shared" si="143"/>
        <v>0</v>
      </c>
      <c r="J1291" s="296">
        <f t="shared" si="143"/>
        <v>0</v>
      </c>
      <c r="L1291" s="293">
        <f t="shared" si="140"/>
        <v>0</v>
      </c>
    </row>
    <row r="1292" spans="1:12" x14ac:dyDescent="0.25">
      <c r="B1292" s="293"/>
      <c r="C1292" s="293"/>
      <c r="D1292" s="293"/>
      <c r="E1292" s="293"/>
      <c r="F1292" s="293"/>
      <c r="G1292" s="293"/>
      <c r="H1292" s="293"/>
      <c r="I1292" s="293"/>
      <c r="J1292" s="293"/>
      <c r="L1292" s="293">
        <f t="shared" si="140"/>
        <v>0</v>
      </c>
    </row>
    <row r="1293" spans="1:12" x14ac:dyDescent="0.25">
      <c r="A1293" s="47" t="s">
        <v>4264</v>
      </c>
      <c r="B1293" s="293"/>
      <c r="C1293" s="293"/>
      <c r="D1293" s="293"/>
      <c r="E1293" s="293"/>
      <c r="F1293" s="293"/>
      <c r="G1293" s="293"/>
      <c r="H1293" s="293"/>
      <c r="I1293" s="293"/>
      <c r="J1293" s="293"/>
      <c r="L1293" s="293">
        <f t="shared" si="140"/>
        <v>0</v>
      </c>
    </row>
    <row r="1294" spans="1:12" x14ac:dyDescent="0.25">
      <c r="A1294" t="s">
        <v>87</v>
      </c>
      <c r="B1294" s="293"/>
      <c r="C1294" s="293"/>
      <c r="D1294" s="293"/>
      <c r="E1294" s="293"/>
      <c r="F1294" s="293"/>
      <c r="G1294" s="293"/>
      <c r="H1294" s="293"/>
      <c r="I1294" s="293"/>
      <c r="J1294" s="293"/>
      <c r="L1294" s="293">
        <f t="shared" si="140"/>
        <v>0</v>
      </c>
    </row>
    <row r="1295" spans="1:12" x14ac:dyDescent="0.25">
      <c r="A1295" t="s">
        <v>4265</v>
      </c>
      <c r="B1295" s="293"/>
      <c r="C1295" s="293"/>
      <c r="D1295" s="293"/>
      <c r="E1295" s="293"/>
      <c r="F1295" s="293"/>
      <c r="G1295" s="293"/>
      <c r="H1295" s="293"/>
      <c r="I1295" s="293"/>
      <c r="J1295" s="293"/>
      <c r="L1295" s="293">
        <f t="shared" si="140"/>
        <v>0</v>
      </c>
    </row>
    <row r="1296" spans="1:12" x14ac:dyDescent="0.25">
      <c r="B1296" s="293"/>
      <c r="C1296" s="293"/>
      <c r="D1296" s="293"/>
      <c r="E1296" s="293"/>
      <c r="F1296" s="293"/>
      <c r="G1296" s="293"/>
      <c r="H1296" s="293"/>
      <c r="I1296" s="293"/>
      <c r="J1296" s="293"/>
      <c r="L1296" s="293">
        <f t="shared" si="140"/>
        <v>0</v>
      </c>
    </row>
    <row r="1297" spans="1:12" x14ac:dyDescent="0.25">
      <c r="B1297" s="293"/>
      <c r="C1297" s="293"/>
      <c r="D1297" s="293"/>
      <c r="E1297" s="293"/>
      <c r="F1297" s="293"/>
      <c r="G1297" s="293"/>
      <c r="H1297" s="293"/>
      <c r="I1297" s="293"/>
      <c r="J1297" s="293"/>
      <c r="L1297" s="293">
        <f t="shared" si="140"/>
        <v>0</v>
      </c>
    </row>
    <row r="1298" spans="1:12" x14ac:dyDescent="0.25">
      <c r="B1298" s="293"/>
      <c r="C1298" s="293"/>
      <c r="D1298" s="293"/>
      <c r="E1298" s="293"/>
      <c r="F1298" s="293"/>
      <c r="G1298" s="293"/>
      <c r="H1298" s="293"/>
      <c r="I1298" s="293"/>
      <c r="J1298" s="293"/>
      <c r="L1298" s="293">
        <f t="shared" si="140"/>
        <v>0</v>
      </c>
    </row>
    <row r="1299" spans="1:12" x14ac:dyDescent="0.25">
      <c r="B1299" s="293"/>
      <c r="C1299" s="293"/>
      <c r="D1299" s="293"/>
      <c r="E1299" s="293"/>
      <c r="F1299" s="293"/>
      <c r="G1299" s="293"/>
      <c r="H1299" s="293"/>
      <c r="I1299" s="293"/>
      <c r="J1299" s="293"/>
      <c r="L1299" s="293">
        <f t="shared" si="140"/>
        <v>0</v>
      </c>
    </row>
    <row r="1300" spans="1:12" x14ac:dyDescent="0.25">
      <c r="A1300" t="s">
        <v>4266</v>
      </c>
      <c r="B1300" s="293"/>
      <c r="C1300" s="293"/>
      <c r="D1300" s="293"/>
      <c r="E1300" s="293"/>
      <c r="F1300" s="293"/>
      <c r="G1300" s="293"/>
      <c r="H1300" s="293"/>
      <c r="I1300" s="293"/>
      <c r="J1300" s="293"/>
      <c r="L1300" s="293">
        <f t="shared" si="140"/>
        <v>0</v>
      </c>
    </row>
    <row r="1301" spans="1:12" x14ac:dyDescent="0.25">
      <c r="A1301" t="s">
        <v>66</v>
      </c>
      <c r="B1301" s="293"/>
      <c r="C1301" s="293"/>
      <c r="D1301" s="293"/>
      <c r="E1301" s="293"/>
      <c r="F1301" s="293"/>
      <c r="G1301" s="293"/>
      <c r="H1301" s="293"/>
      <c r="I1301" s="293"/>
      <c r="J1301" s="293"/>
      <c r="L1301" s="293">
        <f t="shared" si="140"/>
        <v>0</v>
      </c>
    </row>
    <row r="1302" spans="1:12" x14ac:dyDescent="0.25">
      <c r="B1302" s="293"/>
      <c r="C1302" s="293"/>
      <c r="D1302" s="293"/>
      <c r="E1302" s="293"/>
      <c r="F1302" s="293"/>
      <c r="G1302" s="293"/>
      <c r="H1302" s="293"/>
      <c r="I1302" s="293"/>
      <c r="J1302" s="293"/>
      <c r="L1302" s="293">
        <f t="shared" si="140"/>
        <v>0</v>
      </c>
    </row>
    <row r="1303" spans="1:12" x14ac:dyDescent="0.25">
      <c r="B1303" s="293"/>
      <c r="C1303" s="293"/>
      <c r="D1303" s="293"/>
      <c r="E1303" s="293"/>
      <c r="F1303" s="293"/>
      <c r="G1303" s="293"/>
      <c r="H1303" s="293"/>
      <c r="I1303" s="293"/>
      <c r="J1303" s="293"/>
      <c r="L1303" s="293">
        <f t="shared" si="140"/>
        <v>0</v>
      </c>
    </row>
    <row r="1304" spans="1:12" x14ac:dyDescent="0.25">
      <c r="B1304" s="293"/>
      <c r="C1304" s="293"/>
      <c r="D1304" s="293"/>
      <c r="E1304" s="293"/>
      <c r="F1304" s="293"/>
      <c r="G1304" s="293"/>
      <c r="H1304" s="293"/>
      <c r="I1304" s="293"/>
      <c r="J1304" s="293"/>
      <c r="L1304" s="293">
        <f t="shared" si="140"/>
        <v>0</v>
      </c>
    </row>
    <row r="1305" spans="1:12" x14ac:dyDescent="0.25">
      <c r="B1305" s="293"/>
      <c r="C1305" s="293"/>
      <c r="D1305" s="293"/>
      <c r="E1305" s="293"/>
      <c r="F1305" s="293"/>
      <c r="G1305" s="293"/>
      <c r="H1305" s="293"/>
      <c r="I1305" s="293"/>
      <c r="J1305" s="293"/>
      <c r="L1305" s="293">
        <f t="shared" si="140"/>
        <v>0</v>
      </c>
    </row>
    <row r="1306" spans="1:12" x14ac:dyDescent="0.25">
      <c r="A1306" s="47" t="s">
        <v>4267</v>
      </c>
      <c r="B1306" s="296">
        <f>SUM(B1294:B1305)</f>
        <v>0</v>
      </c>
      <c r="C1306" s="296">
        <f t="shared" ref="C1306:J1306" si="144">SUM(C1294:C1305)</f>
        <v>0</v>
      </c>
      <c r="D1306" s="296">
        <f t="shared" si="144"/>
        <v>0</v>
      </c>
      <c r="E1306" s="296">
        <f t="shared" si="144"/>
        <v>0</v>
      </c>
      <c r="F1306" s="296">
        <f t="shared" si="144"/>
        <v>0</v>
      </c>
      <c r="G1306" s="296">
        <f t="shared" si="144"/>
        <v>0</v>
      </c>
      <c r="H1306" s="296">
        <f t="shared" si="144"/>
        <v>0</v>
      </c>
      <c r="I1306" s="296">
        <f t="shared" si="144"/>
        <v>0</v>
      </c>
      <c r="J1306" s="296">
        <f t="shared" si="144"/>
        <v>0</v>
      </c>
      <c r="L1306" s="293">
        <f t="shared" si="140"/>
        <v>0</v>
      </c>
    </row>
    <row r="1307" spans="1:12" x14ac:dyDescent="0.25">
      <c r="B1307" s="293"/>
      <c r="C1307" s="293"/>
      <c r="D1307" s="293"/>
      <c r="E1307" s="293"/>
      <c r="F1307" s="293"/>
      <c r="G1307" s="293"/>
      <c r="H1307" s="293"/>
      <c r="I1307" s="293"/>
      <c r="J1307" s="293"/>
      <c r="L1307" s="293">
        <f t="shared" si="140"/>
        <v>0</v>
      </c>
    </row>
    <row r="1308" spans="1:12" ht="15.75" thickBot="1" x14ac:dyDescent="0.3">
      <c r="A1308" s="47" t="s">
        <v>4268</v>
      </c>
      <c r="B1308" s="301">
        <f>B1291-B1306</f>
        <v>0</v>
      </c>
      <c r="C1308" s="301">
        <f t="shared" ref="C1308:J1308" si="145">C1291-C1306</f>
        <v>0</v>
      </c>
      <c r="D1308" s="301">
        <f t="shared" si="145"/>
        <v>0</v>
      </c>
      <c r="E1308" s="301">
        <f t="shared" si="145"/>
        <v>0</v>
      </c>
      <c r="F1308" s="301">
        <f t="shared" si="145"/>
        <v>0</v>
      </c>
      <c r="G1308" s="301">
        <f t="shared" si="145"/>
        <v>0</v>
      </c>
      <c r="H1308" s="301">
        <f t="shared" si="145"/>
        <v>0</v>
      </c>
      <c r="I1308" s="301">
        <f t="shared" si="145"/>
        <v>0</v>
      </c>
      <c r="J1308" s="301">
        <f t="shared" si="145"/>
        <v>0</v>
      </c>
      <c r="L1308" s="293">
        <f t="shared" si="140"/>
        <v>0</v>
      </c>
    </row>
    <row r="1309" spans="1:12" ht="15.75" thickTop="1" x14ac:dyDescent="0.25">
      <c r="B1309" s="293"/>
      <c r="C1309" s="293"/>
      <c r="D1309" s="293"/>
      <c r="E1309" s="293"/>
      <c r="F1309" s="293"/>
      <c r="G1309" s="293"/>
      <c r="H1309" s="293"/>
      <c r="I1309" s="293"/>
      <c r="J1309" s="293"/>
      <c r="L1309" s="293">
        <f t="shared" si="140"/>
        <v>0</v>
      </c>
    </row>
    <row r="1310" spans="1:12" x14ac:dyDescent="0.25">
      <c r="A1310" s="281"/>
      <c r="B1310" s="316"/>
      <c r="C1310" s="316"/>
      <c r="D1310" s="316"/>
      <c r="E1310" s="316"/>
      <c r="F1310" s="316"/>
      <c r="G1310" s="316"/>
      <c r="H1310" s="316"/>
      <c r="I1310" s="316"/>
      <c r="J1310" s="316"/>
      <c r="L1310" s="293">
        <f t="shared" si="140"/>
        <v>0</v>
      </c>
    </row>
    <row r="1311" spans="1:12" x14ac:dyDescent="0.25">
      <c r="B1311" s="293"/>
      <c r="C1311" s="293"/>
      <c r="D1311" s="293"/>
      <c r="E1311" s="293"/>
      <c r="F1311" s="293"/>
      <c r="G1311" s="293"/>
      <c r="H1311" s="293"/>
      <c r="I1311" s="293"/>
      <c r="J1311" s="293"/>
      <c r="L1311" s="293">
        <f t="shared" si="140"/>
        <v>0</v>
      </c>
    </row>
    <row r="1312" spans="1:12" x14ac:dyDescent="0.25">
      <c r="A1312" s="280" t="s">
        <v>4360</v>
      </c>
      <c r="B1312" s="293"/>
      <c r="C1312" s="293"/>
      <c r="D1312" s="293"/>
      <c r="E1312" s="293"/>
      <c r="F1312" s="293"/>
      <c r="G1312" s="293"/>
      <c r="H1312" s="293"/>
      <c r="I1312" s="293"/>
      <c r="J1312" s="293"/>
      <c r="L1312" s="293">
        <f t="shared" si="140"/>
        <v>0</v>
      </c>
    </row>
    <row r="1313" spans="1:12" x14ac:dyDescent="0.25">
      <c r="B1313" s="293"/>
      <c r="C1313" s="293"/>
      <c r="D1313" s="293"/>
      <c r="E1313" s="293"/>
      <c r="F1313" s="293"/>
      <c r="G1313" s="293"/>
      <c r="H1313" s="293"/>
      <c r="I1313" s="293"/>
      <c r="J1313" s="293"/>
      <c r="L1313" s="293">
        <f t="shared" si="140"/>
        <v>0</v>
      </c>
    </row>
    <row r="1314" spans="1:12" x14ac:dyDescent="0.25">
      <c r="A1314" s="47" t="s">
        <v>4260</v>
      </c>
      <c r="B1314" s="293"/>
      <c r="C1314" s="293"/>
      <c r="D1314" s="293"/>
      <c r="E1314" s="293"/>
      <c r="F1314" s="293"/>
      <c r="G1314" s="293"/>
      <c r="H1314" s="293"/>
      <c r="I1314" s="293"/>
      <c r="J1314" s="293"/>
      <c r="L1314" s="293">
        <f t="shared" si="140"/>
        <v>0</v>
      </c>
    </row>
    <row r="1315" spans="1:12" x14ac:dyDescent="0.25">
      <c r="A1315" t="s">
        <v>4262</v>
      </c>
      <c r="B1315" s="293"/>
      <c r="C1315" s="293"/>
      <c r="D1315" s="293"/>
      <c r="E1315" s="293"/>
      <c r="F1315" s="293"/>
      <c r="G1315" s="293"/>
      <c r="H1315" s="293"/>
      <c r="I1315" s="293"/>
      <c r="J1315" s="293"/>
      <c r="L1315" s="293">
        <f t="shared" si="140"/>
        <v>0</v>
      </c>
    </row>
    <row r="1316" spans="1:12" x14ac:dyDescent="0.25">
      <c r="A1316" t="s">
        <v>4261</v>
      </c>
      <c r="B1316" s="293">
        <f>capitalrevdata!F48</f>
        <v>1500</v>
      </c>
      <c r="C1316" s="293">
        <f>capitalrevdata!G48</f>
        <v>1200</v>
      </c>
      <c r="D1316" s="293">
        <f>capitalrevdata!H48</f>
        <v>1000</v>
      </c>
      <c r="E1316" s="293">
        <f>capitalrevdata!I48</f>
        <v>1000</v>
      </c>
      <c r="F1316" s="293">
        <f>capitalrevdata!J48</f>
        <v>1000</v>
      </c>
      <c r="G1316" s="293">
        <f>capitalrevdata!K48</f>
        <v>800</v>
      </c>
      <c r="H1316" s="293">
        <f>capitalrevdata!L48</f>
        <v>800</v>
      </c>
      <c r="I1316" s="293">
        <f>capitalrevdata!M48</f>
        <v>800</v>
      </c>
      <c r="J1316" s="293">
        <f>capitalrevdata!N48</f>
        <v>800</v>
      </c>
      <c r="L1316" s="293">
        <f t="shared" si="140"/>
        <v>800</v>
      </c>
    </row>
    <row r="1317" spans="1:12" x14ac:dyDescent="0.25">
      <c r="A1317" t="s">
        <v>66</v>
      </c>
      <c r="B1317" s="293"/>
      <c r="C1317" s="293"/>
      <c r="D1317" s="293"/>
      <c r="E1317" s="293"/>
      <c r="F1317" s="293"/>
      <c r="G1317" s="293"/>
      <c r="H1317" s="293"/>
      <c r="I1317" s="293"/>
      <c r="J1317" s="293"/>
      <c r="L1317" s="293">
        <f t="shared" si="140"/>
        <v>0</v>
      </c>
    </row>
    <row r="1318" spans="1:12" x14ac:dyDescent="0.25">
      <c r="B1318" s="293"/>
      <c r="C1318" s="293"/>
      <c r="D1318" s="293"/>
      <c r="E1318" s="293"/>
      <c r="F1318" s="293"/>
      <c r="G1318" s="293"/>
      <c r="H1318" s="293"/>
      <c r="I1318" s="293"/>
      <c r="J1318" s="293"/>
      <c r="L1318" s="293">
        <f t="shared" si="140"/>
        <v>0</v>
      </c>
    </row>
    <row r="1319" spans="1:12" x14ac:dyDescent="0.25">
      <c r="B1319" s="293"/>
      <c r="C1319" s="293"/>
      <c r="D1319" s="293"/>
      <c r="E1319" s="293"/>
      <c r="F1319" s="293"/>
      <c r="G1319" s="293"/>
      <c r="H1319" s="293"/>
      <c r="I1319" s="293"/>
      <c r="J1319" s="293"/>
      <c r="L1319" s="293">
        <f t="shared" si="140"/>
        <v>0</v>
      </c>
    </row>
    <row r="1320" spans="1:12" x14ac:dyDescent="0.25">
      <c r="B1320" s="293"/>
      <c r="C1320" s="293"/>
      <c r="D1320" s="293"/>
      <c r="E1320" s="293"/>
      <c r="F1320" s="293"/>
      <c r="G1320" s="293"/>
      <c r="H1320" s="293"/>
      <c r="I1320" s="293"/>
      <c r="J1320" s="293"/>
      <c r="L1320" s="293">
        <f t="shared" si="140"/>
        <v>0</v>
      </c>
    </row>
    <row r="1321" spans="1:12" x14ac:dyDescent="0.25">
      <c r="B1321" s="293"/>
      <c r="C1321" s="293"/>
      <c r="D1321" s="293"/>
      <c r="E1321" s="293"/>
      <c r="F1321" s="293"/>
      <c r="G1321" s="293"/>
      <c r="H1321" s="293"/>
      <c r="I1321" s="293"/>
      <c r="J1321" s="293"/>
      <c r="L1321" s="293">
        <f t="shared" si="140"/>
        <v>0</v>
      </c>
    </row>
    <row r="1322" spans="1:12" x14ac:dyDescent="0.25">
      <c r="A1322" s="47" t="s">
        <v>4263</v>
      </c>
      <c r="B1322" s="296">
        <f>SUM(B1312:B1321)</f>
        <v>1500</v>
      </c>
      <c r="C1322" s="296">
        <f t="shared" ref="C1322:J1322" si="146">SUM(C1312:C1321)</f>
        <v>1200</v>
      </c>
      <c r="D1322" s="296">
        <f t="shared" si="146"/>
        <v>1000</v>
      </c>
      <c r="E1322" s="296">
        <f t="shared" si="146"/>
        <v>1000</v>
      </c>
      <c r="F1322" s="296">
        <f t="shared" si="146"/>
        <v>1000</v>
      </c>
      <c r="G1322" s="296">
        <f t="shared" si="146"/>
        <v>800</v>
      </c>
      <c r="H1322" s="296">
        <f t="shared" si="146"/>
        <v>800</v>
      </c>
      <c r="I1322" s="296">
        <f t="shared" si="146"/>
        <v>800</v>
      </c>
      <c r="J1322" s="296">
        <f t="shared" si="146"/>
        <v>800</v>
      </c>
      <c r="L1322" s="293"/>
    </row>
    <row r="1323" spans="1:12" x14ac:dyDescent="0.25">
      <c r="B1323" s="293"/>
      <c r="C1323" s="293"/>
      <c r="D1323" s="293"/>
      <c r="E1323" s="293"/>
      <c r="F1323" s="293"/>
      <c r="G1323" s="293"/>
      <c r="H1323" s="293"/>
      <c r="I1323" s="293"/>
      <c r="J1323" s="293"/>
      <c r="L1323" s="293">
        <f t="shared" si="140"/>
        <v>0</v>
      </c>
    </row>
    <row r="1324" spans="1:12" x14ac:dyDescent="0.25">
      <c r="A1324" s="47" t="s">
        <v>4264</v>
      </c>
      <c r="B1324" s="293"/>
      <c r="C1324" s="293"/>
      <c r="D1324" s="293"/>
      <c r="E1324" s="293"/>
      <c r="F1324" s="293"/>
      <c r="G1324" s="293"/>
      <c r="H1324" s="293"/>
      <c r="I1324" s="293"/>
      <c r="J1324" s="293"/>
      <c r="L1324" s="293">
        <f t="shared" ref="L1324:L1387" si="147">J1324</f>
        <v>0</v>
      </c>
    </row>
    <row r="1325" spans="1:12" x14ac:dyDescent="0.25">
      <c r="A1325" t="s">
        <v>87</v>
      </c>
      <c r="B1325" s="293"/>
      <c r="C1325" s="293"/>
      <c r="D1325" s="293"/>
      <c r="E1325" s="293"/>
      <c r="F1325" s="293"/>
      <c r="G1325" s="293"/>
      <c r="H1325" s="293"/>
      <c r="I1325" s="293"/>
      <c r="J1325" s="293"/>
      <c r="L1325" s="293">
        <f t="shared" si="147"/>
        <v>0</v>
      </c>
    </row>
    <row r="1326" spans="1:12" x14ac:dyDescent="0.25">
      <c r="A1326" t="s">
        <v>4265</v>
      </c>
      <c r="B1326" s="293"/>
      <c r="C1326" s="293"/>
      <c r="D1326" s="293"/>
      <c r="E1326" s="293"/>
      <c r="F1326" s="293"/>
      <c r="G1326" s="293"/>
      <c r="H1326" s="293"/>
      <c r="I1326" s="293"/>
      <c r="J1326" s="293"/>
      <c r="L1326" s="293">
        <f t="shared" si="147"/>
        <v>0</v>
      </c>
    </row>
    <row r="1327" spans="1:12" x14ac:dyDescent="0.25">
      <c r="B1327" s="293"/>
      <c r="C1327" s="293"/>
      <c r="D1327" s="293"/>
      <c r="E1327" s="293"/>
      <c r="F1327" s="293"/>
      <c r="G1327" s="293"/>
      <c r="H1327" s="293"/>
      <c r="I1327" s="293"/>
      <c r="J1327" s="293"/>
      <c r="L1327" s="293">
        <f t="shared" si="147"/>
        <v>0</v>
      </c>
    </row>
    <row r="1328" spans="1:12" x14ac:dyDescent="0.25">
      <c r="B1328" s="293"/>
      <c r="C1328" s="293"/>
      <c r="D1328" s="293"/>
      <c r="E1328" s="293"/>
      <c r="F1328" s="293"/>
      <c r="G1328" s="293"/>
      <c r="H1328" s="293"/>
      <c r="I1328" s="293"/>
      <c r="J1328" s="293"/>
      <c r="L1328" s="293">
        <f t="shared" si="147"/>
        <v>0</v>
      </c>
    </row>
    <row r="1329" spans="1:12" x14ac:dyDescent="0.25">
      <c r="B1329" s="293"/>
      <c r="C1329" s="293"/>
      <c r="D1329" s="293"/>
      <c r="E1329" s="293"/>
      <c r="F1329" s="293"/>
      <c r="G1329" s="293"/>
      <c r="H1329" s="293"/>
      <c r="I1329" s="293"/>
      <c r="J1329" s="293"/>
      <c r="L1329" s="293">
        <f t="shared" si="147"/>
        <v>0</v>
      </c>
    </row>
    <row r="1330" spans="1:12" x14ac:dyDescent="0.25">
      <c r="B1330" s="293"/>
      <c r="C1330" s="293"/>
      <c r="D1330" s="293"/>
      <c r="E1330" s="293"/>
      <c r="F1330" s="293"/>
      <c r="G1330" s="293"/>
      <c r="H1330" s="293"/>
      <c r="I1330" s="293"/>
      <c r="J1330" s="293"/>
      <c r="L1330" s="293">
        <f t="shared" si="147"/>
        <v>0</v>
      </c>
    </row>
    <row r="1331" spans="1:12" x14ac:dyDescent="0.25">
      <c r="A1331" t="s">
        <v>4266</v>
      </c>
      <c r="B1331" s="293"/>
      <c r="C1331" s="293"/>
      <c r="D1331" s="293"/>
      <c r="E1331" s="293"/>
      <c r="F1331" s="293"/>
      <c r="G1331" s="293"/>
      <c r="H1331" s="293"/>
      <c r="I1331" s="293"/>
      <c r="J1331" s="293"/>
      <c r="L1331" s="293">
        <f t="shared" si="147"/>
        <v>0</v>
      </c>
    </row>
    <row r="1332" spans="1:12" x14ac:dyDescent="0.25">
      <c r="A1332" t="s">
        <v>66</v>
      </c>
      <c r="B1332" s="293"/>
      <c r="C1332" s="293"/>
      <c r="D1332" s="293"/>
      <c r="E1332" s="293"/>
      <c r="F1332" s="293"/>
      <c r="G1332" s="293"/>
      <c r="H1332" s="293"/>
      <c r="I1332" s="293"/>
      <c r="J1332" s="293"/>
      <c r="L1332" s="293">
        <f t="shared" si="147"/>
        <v>0</v>
      </c>
    </row>
    <row r="1333" spans="1:12" x14ac:dyDescent="0.25">
      <c r="B1333" s="293"/>
      <c r="C1333" s="293"/>
      <c r="D1333" s="293"/>
      <c r="E1333" s="293"/>
      <c r="F1333" s="293"/>
      <c r="G1333" s="293"/>
      <c r="H1333" s="293"/>
      <c r="I1333" s="293"/>
      <c r="J1333" s="293"/>
      <c r="L1333" s="293">
        <f t="shared" si="147"/>
        <v>0</v>
      </c>
    </row>
    <row r="1334" spans="1:12" x14ac:dyDescent="0.25">
      <c r="B1334" s="293"/>
      <c r="C1334" s="293"/>
      <c r="D1334" s="293"/>
      <c r="E1334" s="293"/>
      <c r="F1334" s="293"/>
      <c r="G1334" s="293"/>
      <c r="H1334" s="293"/>
      <c r="I1334" s="293"/>
      <c r="J1334" s="293"/>
      <c r="L1334" s="293">
        <f t="shared" si="147"/>
        <v>0</v>
      </c>
    </row>
    <row r="1335" spans="1:12" x14ac:dyDescent="0.25">
      <c r="B1335" s="293"/>
      <c r="C1335" s="293"/>
      <c r="D1335" s="293"/>
      <c r="E1335" s="293"/>
      <c r="F1335" s="293"/>
      <c r="G1335" s="293"/>
      <c r="H1335" s="293"/>
      <c r="I1335" s="293"/>
      <c r="J1335" s="293"/>
      <c r="L1335" s="293">
        <f t="shared" si="147"/>
        <v>0</v>
      </c>
    </row>
    <row r="1336" spans="1:12" x14ac:dyDescent="0.25">
      <c r="B1336" s="293"/>
      <c r="C1336" s="293"/>
      <c r="D1336" s="293"/>
      <c r="E1336" s="293"/>
      <c r="F1336" s="293"/>
      <c r="G1336" s="293"/>
      <c r="H1336" s="293"/>
      <c r="I1336" s="293"/>
      <c r="J1336" s="293"/>
      <c r="L1336" s="293">
        <f t="shared" si="147"/>
        <v>0</v>
      </c>
    </row>
    <row r="1337" spans="1:12" x14ac:dyDescent="0.25">
      <c r="A1337" s="47" t="s">
        <v>4267</v>
      </c>
      <c r="B1337" s="296">
        <f>SUM(B1325:B1336)</f>
        <v>0</v>
      </c>
      <c r="C1337" s="296">
        <f t="shared" ref="C1337:J1337" si="148">SUM(C1325:C1336)</f>
        <v>0</v>
      </c>
      <c r="D1337" s="296">
        <f t="shared" si="148"/>
        <v>0</v>
      </c>
      <c r="E1337" s="296">
        <f t="shared" si="148"/>
        <v>0</v>
      </c>
      <c r="F1337" s="296">
        <f t="shared" si="148"/>
        <v>0</v>
      </c>
      <c r="G1337" s="296">
        <f t="shared" si="148"/>
        <v>0</v>
      </c>
      <c r="H1337" s="296">
        <f t="shared" si="148"/>
        <v>0</v>
      </c>
      <c r="I1337" s="296">
        <f t="shared" si="148"/>
        <v>0</v>
      </c>
      <c r="J1337" s="296">
        <f t="shared" si="148"/>
        <v>0</v>
      </c>
      <c r="L1337" s="293">
        <f t="shared" si="147"/>
        <v>0</v>
      </c>
    </row>
    <row r="1338" spans="1:12" x14ac:dyDescent="0.25">
      <c r="B1338" s="293"/>
      <c r="C1338" s="293"/>
      <c r="D1338" s="293"/>
      <c r="E1338" s="293"/>
      <c r="F1338" s="293"/>
      <c r="G1338" s="293"/>
      <c r="H1338" s="293"/>
      <c r="I1338" s="293"/>
      <c r="J1338" s="293"/>
      <c r="L1338" s="293">
        <f t="shared" si="147"/>
        <v>0</v>
      </c>
    </row>
    <row r="1339" spans="1:12" ht="15.75" thickBot="1" x14ac:dyDescent="0.3">
      <c r="A1339" s="47" t="s">
        <v>4268</v>
      </c>
      <c r="B1339" s="301">
        <f>B1322-B1337</f>
        <v>1500</v>
      </c>
      <c r="C1339" s="301">
        <f t="shared" ref="C1339:J1339" si="149">C1322-C1337</f>
        <v>1200</v>
      </c>
      <c r="D1339" s="301">
        <f t="shared" si="149"/>
        <v>1000</v>
      </c>
      <c r="E1339" s="301">
        <f t="shared" si="149"/>
        <v>1000</v>
      </c>
      <c r="F1339" s="301">
        <f t="shared" si="149"/>
        <v>1000</v>
      </c>
      <c r="G1339" s="301">
        <f t="shared" si="149"/>
        <v>800</v>
      </c>
      <c r="H1339" s="301">
        <f t="shared" si="149"/>
        <v>800</v>
      </c>
      <c r="I1339" s="301">
        <f t="shared" si="149"/>
        <v>800</v>
      </c>
      <c r="J1339" s="301">
        <f t="shared" si="149"/>
        <v>800</v>
      </c>
      <c r="L1339" s="293"/>
    </row>
    <row r="1340" spans="1:12" ht="15.75" thickTop="1" x14ac:dyDescent="0.25">
      <c r="B1340" s="293"/>
      <c r="C1340" s="293"/>
      <c r="D1340" s="293"/>
      <c r="E1340" s="293"/>
      <c r="F1340" s="293"/>
      <c r="G1340" s="293"/>
      <c r="H1340" s="293"/>
      <c r="I1340" s="293"/>
      <c r="J1340" s="293"/>
      <c r="L1340" s="293">
        <f t="shared" si="147"/>
        <v>0</v>
      </c>
    </row>
    <row r="1341" spans="1:12" x14ac:dyDescent="0.25">
      <c r="A1341" s="281"/>
      <c r="B1341" s="316"/>
      <c r="C1341" s="316"/>
      <c r="D1341" s="316"/>
      <c r="E1341" s="316"/>
      <c r="F1341" s="316"/>
      <c r="G1341" s="316"/>
      <c r="H1341" s="316"/>
      <c r="I1341" s="316"/>
      <c r="J1341" s="316"/>
      <c r="L1341" s="293">
        <f t="shared" si="147"/>
        <v>0</v>
      </c>
    </row>
    <row r="1342" spans="1:12" x14ac:dyDescent="0.25">
      <c r="B1342" s="293"/>
      <c r="C1342" s="293"/>
      <c r="D1342" s="293"/>
      <c r="E1342" s="293"/>
      <c r="F1342" s="293"/>
      <c r="G1342" s="293"/>
      <c r="H1342" s="293"/>
      <c r="I1342" s="293"/>
      <c r="J1342" s="293"/>
      <c r="L1342" s="293">
        <f t="shared" si="147"/>
        <v>0</v>
      </c>
    </row>
    <row r="1343" spans="1:12" x14ac:dyDescent="0.25">
      <c r="A1343" s="280" t="s">
        <v>4361</v>
      </c>
      <c r="B1343" s="293"/>
      <c r="C1343" s="293"/>
      <c r="D1343" s="293"/>
      <c r="E1343" s="293"/>
      <c r="F1343" s="293"/>
      <c r="G1343" s="293"/>
      <c r="H1343" s="293"/>
      <c r="I1343" s="293"/>
      <c r="J1343" s="293"/>
      <c r="L1343" s="293">
        <f t="shared" si="147"/>
        <v>0</v>
      </c>
    </row>
    <row r="1344" spans="1:12" x14ac:dyDescent="0.25">
      <c r="B1344" s="293"/>
      <c r="C1344" s="293"/>
      <c r="D1344" s="293"/>
      <c r="E1344" s="293"/>
      <c r="F1344" s="293"/>
      <c r="G1344" s="293"/>
      <c r="H1344" s="293"/>
      <c r="I1344" s="293"/>
      <c r="J1344" s="293"/>
      <c r="L1344" s="293">
        <f t="shared" si="147"/>
        <v>0</v>
      </c>
    </row>
    <row r="1345" spans="1:12" x14ac:dyDescent="0.25">
      <c r="A1345" s="47" t="s">
        <v>4260</v>
      </c>
      <c r="B1345" s="293"/>
      <c r="C1345" s="293"/>
      <c r="D1345" s="293"/>
      <c r="E1345" s="293"/>
      <c r="F1345" s="293"/>
      <c r="G1345" s="293"/>
      <c r="H1345" s="293"/>
      <c r="I1345" s="293"/>
      <c r="J1345" s="293"/>
      <c r="L1345" s="293">
        <f t="shared" si="147"/>
        <v>0</v>
      </c>
    </row>
    <row r="1346" spans="1:12" x14ac:dyDescent="0.25">
      <c r="A1346" t="s">
        <v>4262</v>
      </c>
      <c r="B1346" s="293"/>
      <c r="C1346" s="293"/>
      <c r="D1346" s="293"/>
      <c r="E1346" s="293"/>
      <c r="F1346" s="293"/>
      <c r="G1346" s="293"/>
      <c r="H1346" s="293"/>
      <c r="I1346" s="293"/>
      <c r="J1346" s="293"/>
      <c r="L1346" s="293">
        <f t="shared" si="147"/>
        <v>0</v>
      </c>
    </row>
    <row r="1347" spans="1:12" x14ac:dyDescent="0.25">
      <c r="A1347" t="s">
        <v>4261</v>
      </c>
      <c r="B1347" s="293">
        <f>capitalrevdata!F41</f>
        <v>18200</v>
      </c>
      <c r="C1347" s="293">
        <f>capitalrevdata!G41</f>
        <v>14500</v>
      </c>
      <c r="D1347" s="293">
        <f>capitalrevdata!H41</f>
        <v>12100</v>
      </c>
      <c r="E1347" s="293">
        <f>capitalrevdata!I41</f>
        <v>12100</v>
      </c>
      <c r="F1347" s="293">
        <f>capitalrevdata!J41</f>
        <v>12100</v>
      </c>
      <c r="G1347" s="293">
        <f>capitalrevdata!K41</f>
        <v>9700</v>
      </c>
      <c r="H1347" s="293">
        <f>capitalrevdata!L41</f>
        <v>9700</v>
      </c>
      <c r="I1347" s="293">
        <f>capitalrevdata!M41</f>
        <v>9700</v>
      </c>
      <c r="J1347" s="293">
        <f>capitalrevdata!N41</f>
        <v>9700</v>
      </c>
      <c r="L1347" s="293">
        <f t="shared" si="147"/>
        <v>9700</v>
      </c>
    </row>
    <row r="1348" spans="1:12" x14ac:dyDescent="0.25">
      <c r="A1348" t="s">
        <v>66</v>
      </c>
      <c r="B1348" s="293"/>
      <c r="C1348" s="293"/>
      <c r="D1348" s="293"/>
      <c r="E1348" s="293"/>
      <c r="F1348" s="293"/>
      <c r="G1348" s="293"/>
      <c r="H1348" s="293"/>
      <c r="I1348" s="293"/>
      <c r="J1348" s="293"/>
      <c r="L1348" s="293">
        <f t="shared" si="147"/>
        <v>0</v>
      </c>
    </row>
    <row r="1349" spans="1:12" x14ac:dyDescent="0.25">
      <c r="B1349" s="293"/>
      <c r="C1349" s="293"/>
      <c r="D1349" s="293"/>
      <c r="E1349" s="293"/>
      <c r="F1349" s="293"/>
      <c r="G1349" s="293"/>
      <c r="H1349" s="293"/>
      <c r="I1349" s="293"/>
      <c r="J1349" s="293"/>
      <c r="L1349" s="293">
        <f t="shared" si="147"/>
        <v>0</v>
      </c>
    </row>
    <row r="1350" spans="1:12" x14ac:dyDescent="0.25">
      <c r="B1350" s="293"/>
      <c r="C1350" s="293"/>
      <c r="D1350" s="293"/>
      <c r="E1350" s="293"/>
      <c r="F1350" s="293"/>
      <c r="G1350" s="293"/>
      <c r="H1350" s="293"/>
      <c r="I1350" s="293"/>
      <c r="J1350" s="293"/>
      <c r="L1350" s="293">
        <f t="shared" si="147"/>
        <v>0</v>
      </c>
    </row>
    <row r="1351" spans="1:12" x14ac:dyDescent="0.25">
      <c r="B1351" s="293"/>
      <c r="C1351" s="293"/>
      <c r="D1351" s="293"/>
      <c r="E1351" s="293"/>
      <c r="F1351" s="293"/>
      <c r="G1351" s="293"/>
      <c r="H1351" s="293"/>
      <c r="I1351" s="293"/>
      <c r="J1351" s="293"/>
      <c r="L1351" s="293">
        <f t="shared" si="147"/>
        <v>0</v>
      </c>
    </row>
    <row r="1352" spans="1:12" x14ac:dyDescent="0.25">
      <c r="B1352" s="293"/>
      <c r="C1352" s="293"/>
      <c r="D1352" s="293"/>
      <c r="E1352" s="293"/>
      <c r="F1352" s="293"/>
      <c r="G1352" s="293"/>
      <c r="H1352" s="293"/>
      <c r="I1352" s="293"/>
      <c r="J1352" s="293"/>
      <c r="L1352" s="293">
        <f t="shared" si="147"/>
        <v>0</v>
      </c>
    </row>
    <row r="1353" spans="1:12" x14ac:dyDescent="0.25">
      <c r="A1353" s="47" t="s">
        <v>4263</v>
      </c>
      <c r="B1353" s="296">
        <f>SUM(B1343:B1352)</f>
        <v>18200</v>
      </c>
      <c r="C1353" s="296">
        <f t="shared" ref="C1353:J1353" si="150">SUM(C1343:C1352)</f>
        <v>14500</v>
      </c>
      <c r="D1353" s="296">
        <f t="shared" si="150"/>
        <v>12100</v>
      </c>
      <c r="E1353" s="296">
        <f t="shared" si="150"/>
        <v>12100</v>
      </c>
      <c r="F1353" s="296">
        <f t="shared" si="150"/>
        <v>12100</v>
      </c>
      <c r="G1353" s="296">
        <f t="shared" si="150"/>
        <v>9700</v>
      </c>
      <c r="H1353" s="296">
        <f t="shared" si="150"/>
        <v>9700</v>
      </c>
      <c r="I1353" s="296">
        <f t="shared" si="150"/>
        <v>9700</v>
      </c>
      <c r="J1353" s="296">
        <f t="shared" si="150"/>
        <v>9700</v>
      </c>
      <c r="L1353" s="293"/>
    </row>
    <row r="1354" spans="1:12" x14ac:dyDescent="0.25">
      <c r="B1354" s="293"/>
      <c r="C1354" s="293"/>
      <c r="D1354" s="293"/>
      <c r="E1354" s="293"/>
      <c r="F1354" s="293"/>
      <c r="G1354" s="293"/>
      <c r="H1354" s="293"/>
      <c r="I1354" s="293"/>
      <c r="J1354" s="293"/>
      <c r="L1354" s="293">
        <f t="shared" si="147"/>
        <v>0</v>
      </c>
    </row>
    <row r="1355" spans="1:12" x14ac:dyDescent="0.25">
      <c r="A1355" s="47" t="s">
        <v>4264</v>
      </c>
      <c r="B1355" s="293"/>
      <c r="C1355" s="293"/>
      <c r="D1355" s="293"/>
      <c r="E1355" s="293"/>
      <c r="F1355" s="293"/>
      <c r="G1355" s="293"/>
      <c r="H1355" s="293"/>
      <c r="I1355" s="293"/>
      <c r="J1355" s="293"/>
      <c r="L1355" s="293">
        <f t="shared" si="147"/>
        <v>0</v>
      </c>
    </row>
    <row r="1356" spans="1:12" x14ac:dyDescent="0.25">
      <c r="A1356" t="s">
        <v>87</v>
      </c>
      <c r="B1356" s="293"/>
      <c r="C1356" s="293"/>
      <c r="D1356" s="293"/>
      <c r="E1356" s="293"/>
      <c r="F1356" s="293"/>
      <c r="G1356" s="293"/>
      <c r="H1356" s="293"/>
      <c r="I1356" s="293"/>
      <c r="J1356" s="293"/>
      <c r="L1356" s="293">
        <f t="shared" si="147"/>
        <v>0</v>
      </c>
    </row>
    <row r="1357" spans="1:12" x14ac:dyDescent="0.25">
      <c r="A1357" t="s">
        <v>4265</v>
      </c>
      <c r="B1357" s="293"/>
      <c r="C1357" s="293"/>
      <c r="D1357" s="293"/>
      <c r="E1357" s="293"/>
      <c r="F1357" s="293"/>
      <c r="G1357" s="293"/>
      <c r="H1357" s="293"/>
      <c r="I1357" s="293"/>
      <c r="J1357" s="293"/>
      <c r="L1357" s="293">
        <f t="shared" si="147"/>
        <v>0</v>
      </c>
    </row>
    <row r="1358" spans="1:12" x14ac:dyDescent="0.25">
      <c r="B1358" s="293"/>
      <c r="C1358" s="293"/>
      <c r="D1358" s="293"/>
      <c r="E1358" s="293"/>
      <c r="F1358" s="293"/>
      <c r="G1358" s="293"/>
      <c r="H1358" s="293"/>
      <c r="I1358" s="293"/>
      <c r="J1358" s="293"/>
      <c r="L1358" s="293">
        <f t="shared" si="147"/>
        <v>0</v>
      </c>
    </row>
    <row r="1359" spans="1:12" x14ac:dyDescent="0.25">
      <c r="B1359" s="293"/>
      <c r="C1359" s="293"/>
      <c r="D1359" s="293"/>
      <c r="E1359" s="293"/>
      <c r="F1359" s="293"/>
      <c r="G1359" s="293"/>
      <c r="H1359" s="293"/>
      <c r="I1359" s="293"/>
      <c r="J1359" s="293"/>
      <c r="L1359" s="293">
        <f t="shared" si="147"/>
        <v>0</v>
      </c>
    </row>
    <row r="1360" spans="1:12" x14ac:dyDescent="0.25">
      <c r="B1360" s="293"/>
      <c r="C1360" s="293"/>
      <c r="D1360" s="293"/>
      <c r="E1360" s="293"/>
      <c r="F1360" s="293"/>
      <c r="G1360" s="293"/>
      <c r="H1360" s="293"/>
      <c r="I1360" s="293"/>
      <c r="J1360" s="293"/>
      <c r="L1360" s="293">
        <f t="shared" si="147"/>
        <v>0</v>
      </c>
    </row>
    <row r="1361" spans="1:12" x14ac:dyDescent="0.25">
      <c r="B1361" s="293"/>
      <c r="C1361" s="293"/>
      <c r="D1361" s="293"/>
      <c r="E1361" s="293"/>
      <c r="F1361" s="293"/>
      <c r="G1361" s="293"/>
      <c r="H1361" s="293"/>
      <c r="I1361" s="293"/>
      <c r="J1361" s="293"/>
      <c r="L1361" s="293">
        <f t="shared" si="147"/>
        <v>0</v>
      </c>
    </row>
    <row r="1362" spans="1:12" x14ac:dyDescent="0.25">
      <c r="A1362" t="s">
        <v>4266</v>
      </c>
      <c r="B1362" s="293"/>
      <c r="C1362" s="293"/>
      <c r="D1362" s="293"/>
      <c r="E1362" s="293"/>
      <c r="F1362" s="293"/>
      <c r="G1362" s="293"/>
      <c r="H1362" s="293"/>
      <c r="I1362" s="293"/>
      <c r="J1362" s="293"/>
      <c r="L1362" s="293">
        <f t="shared" si="147"/>
        <v>0</v>
      </c>
    </row>
    <row r="1363" spans="1:12" x14ac:dyDescent="0.25">
      <c r="A1363" t="s">
        <v>66</v>
      </c>
      <c r="B1363" s="293"/>
      <c r="C1363" s="293"/>
      <c r="D1363" s="293"/>
      <c r="E1363" s="293"/>
      <c r="F1363" s="293"/>
      <c r="G1363" s="293"/>
      <c r="H1363" s="293"/>
      <c r="I1363" s="293"/>
      <c r="J1363" s="293"/>
      <c r="L1363" s="293">
        <f t="shared" si="147"/>
        <v>0</v>
      </c>
    </row>
    <row r="1364" spans="1:12" x14ac:dyDescent="0.25">
      <c r="B1364" s="293"/>
      <c r="C1364" s="293"/>
      <c r="D1364" s="293"/>
      <c r="E1364" s="293"/>
      <c r="F1364" s="293"/>
      <c r="G1364" s="293"/>
      <c r="H1364" s="293"/>
      <c r="I1364" s="293"/>
      <c r="J1364" s="293"/>
      <c r="L1364" s="293">
        <f t="shared" si="147"/>
        <v>0</v>
      </c>
    </row>
    <row r="1365" spans="1:12" x14ac:dyDescent="0.25">
      <c r="B1365" s="293"/>
      <c r="C1365" s="293"/>
      <c r="D1365" s="293"/>
      <c r="E1365" s="293"/>
      <c r="F1365" s="293"/>
      <c r="G1365" s="293"/>
      <c r="H1365" s="293"/>
      <c r="I1365" s="293"/>
      <c r="J1365" s="293"/>
      <c r="L1365" s="293">
        <f t="shared" si="147"/>
        <v>0</v>
      </c>
    </row>
    <row r="1366" spans="1:12" x14ac:dyDescent="0.25">
      <c r="B1366" s="293"/>
      <c r="C1366" s="293"/>
      <c r="D1366" s="293"/>
      <c r="E1366" s="293"/>
      <c r="F1366" s="293"/>
      <c r="G1366" s="293"/>
      <c r="H1366" s="293"/>
      <c r="I1366" s="293"/>
      <c r="J1366" s="293"/>
      <c r="L1366" s="293">
        <f t="shared" si="147"/>
        <v>0</v>
      </c>
    </row>
    <row r="1367" spans="1:12" x14ac:dyDescent="0.25">
      <c r="B1367" s="293"/>
      <c r="C1367" s="293"/>
      <c r="D1367" s="293"/>
      <c r="E1367" s="293"/>
      <c r="F1367" s="293"/>
      <c r="G1367" s="293"/>
      <c r="H1367" s="293"/>
      <c r="I1367" s="293"/>
      <c r="J1367" s="293"/>
      <c r="L1367" s="293">
        <f t="shared" si="147"/>
        <v>0</v>
      </c>
    </row>
    <row r="1368" spans="1:12" x14ac:dyDescent="0.25">
      <c r="A1368" s="47" t="s">
        <v>4267</v>
      </c>
      <c r="B1368" s="296">
        <f>SUM(B1356:B1367)</f>
        <v>0</v>
      </c>
      <c r="C1368" s="296">
        <f t="shared" ref="C1368:J1368" si="151">SUM(C1356:C1367)</f>
        <v>0</v>
      </c>
      <c r="D1368" s="296">
        <f t="shared" si="151"/>
        <v>0</v>
      </c>
      <c r="E1368" s="296">
        <f t="shared" si="151"/>
        <v>0</v>
      </c>
      <c r="F1368" s="296">
        <f t="shared" si="151"/>
        <v>0</v>
      </c>
      <c r="G1368" s="296">
        <f t="shared" si="151"/>
        <v>0</v>
      </c>
      <c r="H1368" s="296">
        <f t="shared" si="151"/>
        <v>0</v>
      </c>
      <c r="I1368" s="296">
        <f t="shared" si="151"/>
        <v>0</v>
      </c>
      <c r="J1368" s="296">
        <f t="shared" si="151"/>
        <v>0</v>
      </c>
      <c r="L1368" s="293">
        <f t="shared" si="147"/>
        <v>0</v>
      </c>
    </row>
    <row r="1369" spans="1:12" x14ac:dyDescent="0.25">
      <c r="B1369" s="293"/>
      <c r="C1369" s="293"/>
      <c r="D1369" s="293"/>
      <c r="E1369" s="293"/>
      <c r="F1369" s="293"/>
      <c r="G1369" s="293"/>
      <c r="H1369" s="293"/>
      <c r="I1369" s="293"/>
      <c r="J1369" s="293"/>
      <c r="L1369" s="293">
        <f t="shared" si="147"/>
        <v>0</v>
      </c>
    </row>
    <row r="1370" spans="1:12" ht="15.75" thickBot="1" x14ac:dyDescent="0.3">
      <c r="A1370" s="47" t="s">
        <v>4268</v>
      </c>
      <c r="B1370" s="301">
        <f>B1353-B1368</f>
        <v>18200</v>
      </c>
      <c r="C1370" s="301">
        <f t="shared" ref="C1370:J1370" si="152">C1353-C1368</f>
        <v>14500</v>
      </c>
      <c r="D1370" s="301">
        <f t="shared" si="152"/>
        <v>12100</v>
      </c>
      <c r="E1370" s="301">
        <f t="shared" si="152"/>
        <v>12100</v>
      </c>
      <c r="F1370" s="301">
        <f t="shared" si="152"/>
        <v>12100</v>
      </c>
      <c r="G1370" s="301">
        <f t="shared" si="152"/>
        <v>9700</v>
      </c>
      <c r="H1370" s="301">
        <f t="shared" si="152"/>
        <v>9700</v>
      </c>
      <c r="I1370" s="301">
        <f t="shared" si="152"/>
        <v>9700</v>
      </c>
      <c r="J1370" s="301">
        <f t="shared" si="152"/>
        <v>9700</v>
      </c>
      <c r="L1370" s="293"/>
    </row>
    <row r="1371" spans="1:12" ht="15.75" thickTop="1" x14ac:dyDescent="0.25">
      <c r="B1371" s="293"/>
      <c r="C1371" s="293"/>
      <c r="D1371" s="293"/>
      <c r="E1371" s="293"/>
      <c r="F1371" s="293"/>
      <c r="G1371" s="293"/>
      <c r="H1371" s="293"/>
      <c r="I1371" s="293"/>
      <c r="J1371" s="293"/>
      <c r="L1371" s="293">
        <f t="shared" si="147"/>
        <v>0</v>
      </c>
    </row>
    <row r="1372" spans="1:12" x14ac:dyDescent="0.25">
      <c r="A1372" s="281"/>
      <c r="B1372" s="316"/>
      <c r="C1372" s="316"/>
      <c r="D1372" s="316"/>
      <c r="E1372" s="316"/>
      <c r="F1372" s="316"/>
      <c r="G1372" s="316"/>
      <c r="H1372" s="316"/>
      <c r="I1372" s="316"/>
      <c r="J1372" s="316"/>
      <c r="L1372" s="293">
        <f t="shared" si="147"/>
        <v>0</v>
      </c>
    </row>
    <row r="1373" spans="1:12" x14ac:dyDescent="0.25">
      <c r="B1373" s="293"/>
      <c r="C1373" s="293"/>
      <c r="D1373" s="293"/>
      <c r="E1373" s="293"/>
      <c r="F1373" s="293"/>
      <c r="G1373" s="293"/>
      <c r="H1373" s="293"/>
      <c r="I1373" s="293"/>
      <c r="J1373" s="293"/>
      <c r="L1373" s="293">
        <f t="shared" si="147"/>
        <v>0</v>
      </c>
    </row>
    <row r="1374" spans="1:12" x14ac:dyDescent="0.25">
      <c r="A1374" s="280" t="s">
        <v>4362</v>
      </c>
      <c r="B1374" s="293"/>
      <c r="C1374" s="293"/>
      <c r="D1374" s="293"/>
      <c r="E1374" s="293"/>
      <c r="F1374" s="293"/>
      <c r="G1374" s="293"/>
      <c r="H1374" s="293"/>
      <c r="I1374" s="293"/>
      <c r="J1374" s="293"/>
      <c r="L1374" s="293">
        <f t="shared" si="147"/>
        <v>0</v>
      </c>
    </row>
    <row r="1375" spans="1:12" x14ac:dyDescent="0.25">
      <c r="B1375" s="293"/>
      <c r="C1375" s="293"/>
      <c r="D1375" s="293"/>
      <c r="E1375" s="293"/>
      <c r="F1375" s="293"/>
      <c r="G1375" s="293"/>
      <c r="H1375" s="293"/>
      <c r="I1375" s="293"/>
      <c r="J1375" s="293"/>
      <c r="L1375" s="293">
        <f t="shared" si="147"/>
        <v>0</v>
      </c>
    </row>
    <row r="1376" spans="1:12" x14ac:dyDescent="0.25">
      <c r="A1376" s="47" t="s">
        <v>4260</v>
      </c>
      <c r="B1376" s="293"/>
      <c r="C1376" s="293"/>
      <c r="D1376" s="293"/>
      <c r="E1376" s="293"/>
      <c r="F1376" s="293"/>
      <c r="G1376" s="293"/>
      <c r="H1376" s="293"/>
      <c r="I1376" s="293"/>
      <c r="J1376" s="293"/>
      <c r="L1376" s="293">
        <f t="shared" si="147"/>
        <v>0</v>
      </c>
    </row>
    <row r="1377" spans="1:12" x14ac:dyDescent="0.25">
      <c r="A1377" t="s">
        <v>4262</v>
      </c>
      <c r="B1377" s="293"/>
      <c r="C1377" s="293"/>
      <c r="D1377" s="293"/>
      <c r="E1377" s="293"/>
      <c r="F1377" s="293"/>
      <c r="G1377" s="293"/>
      <c r="H1377" s="293"/>
      <c r="I1377" s="293"/>
      <c r="J1377" s="293"/>
      <c r="L1377" s="293">
        <f t="shared" si="147"/>
        <v>0</v>
      </c>
    </row>
    <row r="1378" spans="1:12" x14ac:dyDescent="0.25">
      <c r="A1378" t="s">
        <v>4261</v>
      </c>
      <c r="B1378" s="293">
        <f>capitalrevdata!F42</f>
        <v>75600</v>
      </c>
      <c r="C1378" s="293">
        <f>capitalrevdata!G42</f>
        <v>60500</v>
      </c>
      <c r="D1378" s="293">
        <f>capitalrevdata!H42</f>
        <v>50400</v>
      </c>
      <c r="E1378" s="293">
        <f>capitalrevdata!I42</f>
        <v>50400</v>
      </c>
      <c r="F1378" s="293">
        <f>capitalrevdata!J42</f>
        <v>50400</v>
      </c>
      <c r="G1378" s="293">
        <f>capitalrevdata!K42</f>
        <v>40300</v>
      </c>
      <c r="H1378" s="293">
        <f>capitalrevdata!L42</f>
        <v>40300</v>
      </c>
      <c r="I1378" s="293">
        <f>capitalrevdata!M42</f>
        <v>40300</v>
      </c>
      <c r="J1378" s="293">
        <f>capitalrevdata!N42</f>
        <v>40300</v>
      </c>
      <c r="L1378" s="293">
        <f t="shared" si="147"/>
        <v>40300</v>
      </c>
    </row>
    <row r="1379" spans="1:12" x14ac:dyDescent="0.25">
      <c r="A1379" t="s">
        <v>66</v>
      </c>
      <c r="B1379" s="293"/>
      <c r="C1379" s="293"/>
      <c r="D1379" s="293"/>
      <c r="E1379" s="293"/>
      <c r="F1379" s="293"/>
      <c r="G1379" s="293"/>
      <c r="H1379" s="293"/>
      <c r="I1379" s="293"/>
      <c r="J1379" s="293"/>
      <c r="L1379" s="293">
        <f t="shared" si="147"/>
        <v>0</v>
      </c>
    </row>
    <row r="1380" spans="1:12" x14ac:dyDescent="0.25">
      <c r="B1380" s="293"/>
      <c r="C1380" s="293"/>
      <c r="D1380" s="293"/>
      <c r="E1380" s="293"/>
      <c r="F1380" s="293"/>
      <c r="G1380" s="293"/>
      <c r="H1380" s="293"/>
      <c r="I1380" s="293"/>
      <c r="J1380" s="293"/>
      <c r="L1380" s="293">
        <f t="shared" si="147"/>
        <v>0</v>
      </c>
    </row>
    <row r="1381" spans="1:12" x14ac:dyDescent="0.25">
      <c r="B1381" s="293"/>
      <c r="C1381" s="293"/>
      <c r="D1381" s="293"/>
      <c r="E1381" s="293"/>
      <c r="F1381" s="293"/>
      <c r="G1381" s="293"/>
      <c r="H1381" s="293"/>
      <c r="I1381" s="293"/>
      <c r="J1381" s="293"/>
      <c r="L1381" s="293">
        <f t="shared" si="147"/>
        <v>0</v>
      </c>
    </row>
    <row r="1382" spans="1:12" x14ac:dyDescent="0.25">
      <c r="B1382" s="293"/>
      <c r="C1382" s="293"/>
      <c r="D1382" s="293"/>
      <c r="E1382" s="293"/>
      <c r="F1382" s="293"/>
      <c r="G1382" s="293"/>
      <c r="H1382" s="293"/>
      <c r="I1382" s="293"/>
      <c r="J1382" s="293"/>
      <c r="L1382" s="293">
        <f t="shared" si="147"/>
        <v>0</v>
      </c>
    </row>
    <row r="1383" spans="1:12" x14ac:dyDescent="0.25">
      <c r="B1383" s="293"/>
      <c r="C1383" s="293"/>
      <c r="D1383" s="293"/>
      <c r="E1383" s="293"/>
      <c r="F1383" s="293"/>
      <c r="G1383" s="293"/>
      <c r="H1383" s="293"/>
      <c r="I1383" s="293"/>
      <c r="J1383" s="293"/>
      <c r="L1383" s="293">
        <f t="shared" si="147"/>
        <v>0</v>
      </c>
    </row>
    <row r="1384" spans="1:12" x14ac:dyDescent="0.25">
      <c r="A1384" s="47" t="s">
        <v>4263</v>
      </c>
      <c r="B1384" s="296">
        <f>SUM(B1374:B1383)</f>
        <v>75600</v>
      </c>
      <c r="C1384" s="296">
        <f t="shared" ref="C1384:J1384" si="153">SUM(C1374:C1383)</f>
        <v>60500</v>
      </c>
      <c r="D1384" s="296">
        <f t="shared" si="153"/>
        <v>50400</v>
      </c>
      <c r="E1384" s="296">
        <f t="shared" si="153"/>
        <v>50400</v>
      </c>
      <c r="F1384" s="296">
        <f t="shared" si="153"/>
        <v>50400</v>
      </c>
      <c r="G1384" s="296">
        <f t="shared" si="153"/>
        <v>40300</v>
      </c>
      <c r="H1384" s="296">
        <f t="shared" si="153"/>
        <v>40300</v>
      </c>
      <c r="I1384" s="296">
        <f t="shared" si="153"/>
        <v>40300</v>
      </c>
      <c r="J1384" s="296">
        <f t="shared" si="153"/>
        <v>40300</v>
      </c>
      <c r="L1384" s="293"/>
    </row>
    <row r="1385" spans="1:12" x14ac:dyDescent="0.25">
      <c r="B1385" s="293"/>
      <c r="C1385" s="293"/>
      <c r="D1385" s="293"/>
      <c r="E1385" s="293"/>
      <c r="F1385" s="293"/>
      <c r="G1385" s="293"/>
      <c r="H1385" s="293"/>
      <c r="I1385" s="293"/>
      <c r="J1385" s="293"/>
      <c r="L1385" s="293">
        <f t="shared" si="147"/>
        <v>0</v>
      </c>
    </row>
    <row r="1386" spans="1:12" x14ac:dyDescent="0.25">
      <c r="A1386" s="47" t="s">
        <v>4264</v>
      </c>
      <c r="B1386" s="293"/>
      <c r="C1386" s="293"/>
      <c r="D1386" s="293"/>
      <c r="E1386" s="293"/>
      <c r="F1386" s="293"/>
      <c r="G1386" s="293"/>
      <c r="H1386" s="293"/>
      <c r="I1386" s="293"/>
      <c r="J1386" s="293"/>
      <c r="L1386" s="293">
        <f t="shared" si="147"/>
        <v>0</v>
      </c>
    </row>
    <row r="1387" spans="1:12" x14ac:dyDescent="0.25">
      <c r="A1387" t="s">
        <v>87</v>
      </c>
      <c r="B1387" s="293"/>
      <c r="C1387" s="293"/>
      <c r="D1387" s="293"/>
      <c r="E1387" s="293"/>
      <c r="F1387" s="293"/>
      <c r="G1387" s="293"/>
      <c r="H1387" s="293"/>
      <c r="I1387" s="293"/>
      <c r="J1387" s="293"/>
      <c r="L1387" s="293">
        <f t="shared" si="147"/>
        <v>0</v>
      </c>
    </row>
    <row r="1388" spans="1:12" x14ac:dyDescent="0.25">
      <c r="A1388" t="s">
        <v>4265</v>
      </c>
      <c r="B1388" s="293"/>
      <c r="C1388" s="293"/>
      <c r="D1388" s="293"/>
      <c r="E1388" s="293"/>
      <c r="F1388" s="293"/>
      <c r="G1388" s="293"/>
      <c r="H1388" s="293"/>
      <c r="I1388" s="293"/>
      <c r="J1388" s="293"/>
      <c r="L1388" s="293">
        <f t="shared" ref="L1388:L1451" si="154">J1388</f>
        <v>0</v>
      </c>
    </row>
    <row r="1389" spans="1:12" x14ac:dyDescent="0.25">
      <c r="A1389" t="s">
        <v>4515</v>
      </c>
      <c r="B1389" s="293"/>
      <c r="C1389" s="293"/>
      <c r="D1389" s="293">
        <v>311000</v>
      </c>
      <c r="E1389" s="293"/>
      <c r="F1389" s="293"/>
      <c r="G1389" s="293"/>
      <c r="H1389" s="293"/>
      <c r="I1389" s="293"/>
      <c r="J1389" s="293"/>
      <c r="L1389" s="293">
        <f t="shared" si="154"/>
        <v>0</v>
      </c>
    </row>
    <row r="1390" spans="1:12" x14ac:dyDescent="0.25">
      <c r="B1390" s="293"/>
      <c r="C1390" s="293"/>
      <c r="D1390" s="293"/>
      <c r="E1390" s="293"/>
      <c r="F1390" s="293"/>
      <c r="G1390" s="293"/>
      <c r="H1390" s="293"/>
      <c r="I1390" s="293"/>
      <c r="J1390" s="293"/>
      <c r="L1390" s="293">
        <f t="shared" si="154"/>
        <v>0</v>
      </c>
    </row>
    <row r="1391" spans="1:12" x14ac:dyDescent="0.25">
      <c r="B1391" s="293"/>
      <c r="C1391" s="293"/>
      <c r="D1391" s="293"/>
      <c r="E1391" s="293"/>
      <c r="F1391" s="293"/>
      <c r="G1391" s="293"/>
      <c r="H1391" s="293"/>
      <c r="I1391" s="293"/>
      <c r="J1391" s="293"/>
      <c r="L1391" s="293">
        <f t="shared" si="154"/>
        <v>0</v>
      </c>
    </row>
    <row r="1392" spans="1:12" x14ac:dyDescent="0.25">
      <c r="B1392" s="293"/>
      <c r="C1392" s="293"/>
      <c r="D1392" s="293"/>
      <c r="E1392" s="293"/>
      <c r="F1392" s="293"/>
      <c r="G1392" s="293"/>
      <c r="H1392" s="293"/>
      <c r="I1392" s="293"/>
      <c r="J1392" s="293"/>
      <c r="L1392" s="293">
        <f t="shared" si="154"/>
        <v>0</v>
      </c>
    </row>
    <row r="1393" spans="1:12" x14ac:dyDescent="0.25">
      <c r="A1393" t="s">
        <v>4266</v>
      </c>
      <c r="B1393" s="293"/>
      <c r="C1393" s="293"/>
      <c r="D1393" s="293"/>
      <c r="E1393" s="293"/>
      <c r="F1393" s="293"/>
      <c r="G1393" s="293"/>
      <c r="H1393" s="293"/>
      <c r="I1393" s="293"/>
      <c r="J1393" s="293"/>
      <c r="L1393" s="293">
        <f t="shared" si="154"/>
        <v>0</v>
      </c>
    </row>
    <row r="1394" spans="1:12" x14ac:dyDescent="0.25">
      <c r="A1394" t="s">
        <v>66</v>
      </c>
      <c r="B1394" s="293"/>
      <c r="C1394" s="293"/>
      <c r="D1394" s="293"/>
      <c r="E1394" s="293"/>
      <c r="F1394" s="293"/>
      <c r="G1394" s="293"/>
      <c r="H1394" s="293"/>
      <c r="I1394" s="293"/>
      <c r="J1394" s="293"/>
      <c r="L1394" s="293">
        <f t="shared" si="154"/>
        <v>0</v>
      </c>
    </row>
    <row r="1395" spans="1:12" x14ac:dyDescent="0.25">
      <c r="B1395" s="293"/>
      <c r="C1395" s="293"/>
      <c r="D1395" s="293"/>
      <c r="E1395" s="293"/>
      <c r="F1395" s="293"/>
      <c r="G1395" s="293"/>
      <c r="H1395" s="293"/>
      <c r="I1395" s="293"/>
      <c r="J1395" s="293"/>
      <c r="L1395" s="293">
        <f t="shared" si="154"/>
        <v>0</v>
      </c>
    </row>
    <row r="1396" spans="1:12" x14ac:dyDescent="0.25">
      <c r="B1396" s="293"/>
      <c r="C1396" s="293"/>
      <c r="D1396" s="293"/>
      <c r="E1396" s="293"/>
      <c r="F1396" s="293"/>
      <c r="G1396" s="293"/>
      <c r="H1396" s="293"/>
      <c r="I1396" s="293"/>
      <c r="J1396" s="293"/>
      <c r="L1396" s="293">
        <f t="shared" si="154"/>
        <v>0</v>
      </c>
    </row>
    <row r="1397" spans="1:12" x14ac:dyDescent="0.25">
      <c r="B1397" s="293"/>
      <c r="C1397" s="293"/>
      <c r="D1397" s="293"/>
      <c r="E1397" s="293"/>
      <c r="F1397" s="293"/>
      <c r="G1397" s="293"/>
      <c r="H1397" s="293"/>
      <c r="I1397" s="293"/>
      <c r="J1397" s="293"/>
      <c r="L1397" s="293">
        <f t="shared" si="154"/>
        <v>0</v>
      </c>
    </row>
    <row r="1398" spans="1:12" x14ac:dyDescent="0.25">
      <c r="B1398" s="293"/>
      <c r="C1398" s="293"/>
      <c r="D1398" s="293"/>
      <c r="E1398" s="293"/>
      <c r="F1398" s="293"/>
      <c r="G1398" s="293"/>
      <c r="H1398" s="293"/>
      <c r="I1398" s="293"/>
      <c r="J1398" s="293"/>
      <c r="L1398" s="293">
        <f t="shared" si="154"/>
        <v>0</v>
      </c>
    </row>
    <row r="1399" spans="1:12" x14ac:dyDescent="0.25">
      <c r="A1399" s="47" t="s">
        <v>4267</v>
      </c>
      <c r="B1399" s="296">
        <f>SUM(B1387:B1398)</f>
        <v>0</v>
      </c>
      <c r="C1399" s="296">
        <f t="shared" ref="C1399:J1399" si="155">SUM(C1387:C1398)</f>
        <v>0</v>
      </c>
      <c r="D1399" s="296">
        <f t="shared" si="155"/>
        <v>311000</v>
      </c>
      <c r="E1399" s="296">
        <f t="shared" si="155"/>
        <v>0</v>
      </c>
      <c r="F1399" s="296">
        <f t="shared" si="155"/>
        <v>0</v>
      </c>
      <c r="G1399" s="296">
        <f t="shared" si="155"/>
        <v>0</v>
      </c>
      <c r="H1399" s="296">
        <f t="shared" si="155"/>
        <v>0</v>
      </c>
      <c r="I1399" s="296">
        <f t="shared" si="155"/>
        <v>0</v>
      </c>
      <c r="J1399" s="296">
        <f t="shared" si="155"/>
        <v>0</v>
      </c>
      <c r="L1399" s="293">
        <f t="shared" si="154"/>
        <v>0</v>
      </c>
    </row>
    <row r="1400" spans="1:12" x14ac:dyDescent="0.25">
      <c r="B1400" s="293"/>
      <c r="C1400" s="293"/>
      <c r="D1400" s="293"/>
      <c r="E1400" s="293"/>
      <c r="F1400" s="293"/>
      <c r="G1400" s="293"/>
      <c r="H1400" s="293"/>
      <c r="I1400" s="293"/>
      <c r="J1400" s="293"/>
      <c r="L1400" s="293">
        <f t="shared" si="154"/>
        <v>0</v>
      </c>
    </row>
    <row r="1401" spans="1:12" ht="15.75" thickBot="1" x14ac:dyDescent="0.3">
      <c r="A1401" s="47" t="s">
        <v>4268</v>
      </c>
      <c r="B1401" s="301">
        <f>B1384-B1399</f>
        <v>75600</v>
      </c>
      <c r="C1401" s="301">
        <f t="shared" ref="C1401:J1401" si="156">C1384-C1399</f>
        <v>60500</v>
      </c>
      <c r="D1401" s="301">
        <f t="shared" si="156"/>
        <v>-260600</v>
      </c>
      <c r="E1401" s="301">
        <f t="shared" si="156"/>
        <v>50400</v>
      </c>
      <c r="F1401" s="301">
        <f t="shared" si="156"/>
        <v>50400</v>
      </c>
      <c r="G1401" s="301">
        <f t="shared" si="156"/>
        <v>40300</v>
      </c>
      <c r="H1401" s="301">
        <f t="shared" si="156"/>
        <v>40300</v>
      </c>
      <c r="I1401" s="301">
        <f t="shared" si="156"/>
        <v>40300</v>
      </c>
      <c r="J1401" s="301">
        <f t="shared" si="156"/>
        <v>40300</v>
      </c>
      <c r="L1401" s="293"/>
    </row>
    <row r="1402" spans="1:12" ht="15.75" thickTop="1" x14ac:dyDescent="0.25">
      <c r="B1402" s="293"/>
      <c r="C1402" s="293"/>
      <c r="D1402" s="293"/>
      <c r="E1402" s="293"/>
      <c r="F1402" s="293"/>
      <c r="G1402" s="293"/>
      <c r="H1402" s="293"/>
      <c r="I1402" s="293"/>
      <c r="J1402" s="293"/>
      <c r="L1402" s="293">
        <f t="shared" si="154"/>
        <v>0</v>
      </c>
    </row>
    <row r="1403" spans="1:12" x14ac:dyDescent="0.25">
      <c r="A1403" s="281"/>
      <c r="B1403" s="316"/>
      <c r="C1403" s="316"/>
      <c r="D1403" s="316"/>
      <c r="E1403" s="316"/>
      <c r="F1403" s="316"/>
      <c r="G1403" s="316"/>
      <c r="H1403" s="316"/>
      <c r="I1403" s="316"/>
      <c r="J1403" s="316"/>
      <c r="L1403" s="293">
        <f t="shared" si="154"/>
        <v>0</v>
      </c>
    </row>
    <row r="1404" spans="1:12" x14ac:dyDescent="0.25">
      <c r="B1404" s="293"/>
      <c r="C1404" s="293"/>
      <c r="D1404" s="293"/>
      <c r="E1404" s="293"/>
      <c r="F1404" s="293"/>
      <c r="G1404" s="293"/>
      <c r="H1404" s="293"/>
      <c r="I1404" s="293"/>
      <c r="J1404" s="293"/>
      <c r="L1404" s="293">
        <f t="shared" si="154"/>
        <v>0</v>
      </c>
    </row>
    <row r="1405" spans="1:12" x14ac:dyDescent="0.25">
      <c r="A1405" s="280" t="s">
        <v>4363</v>
      </c>
      <c r="B1405" s="293"/>
      <c r="C1405" s="293"/>
      <c r="D1405" s="293"/>
      <c r="E1405" s="293"/>
      <c r="F1405" s="293"/>
      <c r="G1405" s="293"/>
      <c r="H1405" s="293"/>
      <c r="I1405" s="293"/>
      <c r="J1405" s="293"/>
      <c r="L1405" s="293">
        <f t="shared" si="154"/>
        <v>0</v>
      </c>
    </row>
    <row r="1406" spans="1:12" x14ac:dyDescent="0.25">
      <c r="B1406" s="293"/>
      <c r="C1406" s="293"/>
      <c r="D1406" s="293"/>
      <c r="E1406" s="293"/>
      <c r="F1406" s="293"/>
      <c r="G1406" s="293"/>
      <c r="H1406" s="293"/>
      <c r="I1406" s="293"/>
      <c r="J1406" s="293"/>
      <c r="L1406" s="293">
        <f t="shared" si="154"/>
        <v>0</v>
      </c>
    </row>
    <row r="1407" spans="1:12" x14ac:dyDescent="0.25">
      <c r="A1407" s="47" t="s">
        <v>4260</v>
      </c>
      <c r="B1407" s="293"/>
      <c r="C1407" s="293"/>
      <c r="D1407" s="293"/>
      <c r="E1407" s="293"/>
      <c r="F1407" s="293"/>
      <c r="G1407" s="293"/>
      <c r="H1407" s="293"/>
      <c r="I1407" s="293"/>
      <c r="J1407" s="293"/>
      <c r="L1407" s="293">
        <f t="shared" si="154"/>
        <v>0</v>
      </c>
    </row>
    <row r="1408" spans="1:12" x14ac:dyDescent="0.25">
      <c r="A1408" t="s">
        <v>4262</v>
      </c>
      <c r="B1408" s="293"/>
      <c r="C1408" s="293"/>
      <c r="D1408" s="293"/>
      <c r="E1408" s="293"/>
      <c r="F1408" s="293"/>
      <c r="G1408" s="293"/>
      <c r="H1408" s="293"/>
      <c r="I1408" s="293"/>
      <c r="J1408" s="293"/>
      <c r="L1408" s="293">
        <f t="shared" si="154"/>
        <v>0</v>
      </c>
    </row>
    <row r="1409" spans="1:12" x14ac:dyDescent="0.25">
      <c r="A1409" t="s">
        <v>4261</v>
      </c>
      <c r="B1409" s="293">
        <f>capitalrevdata!F55</f>
        <v>57300</v>
      </c>
      <c r="C1409" s="293">
        <f>capitalrevdata!G55</f>
        <v>45800</v>
      </c>
      <c r="D1409" s="293">
        <f>capitalrevdata!H55</f>
        <v>38200</v>
      </c>
      <c r="E1409" s="293">
        <f>capitalrevdata!I55</f>
        <v>38200</v>
      </c>
      <c r="F1409" s="293">
        <f>capitalrevdata!J55</f>
        <v>38200</v>
      </c>
      <c r="G1409" s="293">
        <f>capitalrevdata!K55</f>
        <v>30500</v>
      </c>
      <c r="H1409" s="293">
        <f>capitalrevdata!L55</f>
        <v>30500</v>
      </c>
      <c r="I1409" s="293">
        <f>capitalrevdata!M55</f>
        <v>30500</v>
      </c>
      <c r="J1409" s="293">
        <f>capitalrevdata!N55</f>
        <v>30500</v>
      </c>
      <c r="L1409" s="293">
        <f t="shared" si="154"/>
        <v>30500</v>
      </c>
    </row>
    <row r="1410" spans="1:12" x14ac:dyDescent="0.25">
      <c r="A1410" t="s">
        <v>66</v>
      </c>
      <c r="B1410" s="293"/>
      <c r="C1410" s="293"/>
      <c r="D1410" s="293"/>
      <c r="E1410" s="293"/>
      <c r="F1410" s="293"/>
      <c r="G1410" s="293"/>
      <c r="H1410" s="293"/>
      <c r="I1410" s="293"/>
      <c r="J1410" s="293"/>
      <c r="L1410" s="293">
        <f t="shared" si="154"/>
        <v>0</v>
      </c>
    </row>
    <row r="1411" spans="1:12" x14ac:dyDescent="0.25">
      <c r="B1411" s="293"/>
      <c r="C1411" s="293"/>
      <c r="D1411" s="293"/>
      <c r="E1411" s="293"/>
      <c r="F1411" s="293"/>
      <c r="G1411" s="293"/>
      <c r="H1411" s="293"/>
      <c r="I1411" s="293"/>
      <c r="J1411" s="293"/>
      <c r="L1411" s="293">
        <f t="shared" si="154"/>
        <v>0</v>
      </c>
    </row>
    <row r="1412" spans="1:12" x14ac:dyDescent="0.25">
      <c r="B1412" s="293"/>
      <c r="C1412" s="293"/>
      <c r="D1412" s="293"/>
      <c r="E1412" s="293"/>
      <c r="F1412" s="293"/>
      <c r="G1412" s="293"/>
      <c r="H1412" s="293"/>
      <c r="I1412" s="293"/>
      <c r="J1412" s="293"/>
      <c r="L1412" s="293">
        <f t="shared" si="154"/>
        <v>0</v>
      </c>
    </row>
    <row r="1413" spans="1:12" x14ac:dyDescent="0.25">
      <c r="B1413" s="293"/>
      <c r="C1413" s="293"/>
      <c r="D1413" s="293"/>
      <c r="E1413" s="293"/>
      <c r="F1413" s="293"/>
      <c r="G1413" s="293"/>
      <c r="H1413" s="293"/>
      <c r="I1413" s="293"/>
      <c r="J1413" s="293"/>
      <c r="L1413" s="293">
        <f t="shared" si="154"/>
        <v>0</v>
      </c>
    </row>
    <row r="1414" spans="1:12" x14ac:dyDescent="0.25">
      <c r="B1414" s="293"/>
      <c r="C1414" s="293"/>
      <c r="D1414" s="293"/>
      <c r="E1414" s="293"/>
      <c r="F1414" s="293"/>
      <c r="G1414" s="293"/>
      <c r="H1414" s="293"/>
      <c r="I1414" s="293"/>
      <c r="J1414" s="293"/>
      <c r="L1414" s="293">
        <f t="shared" si="154"/>
        <v>0</v>
      </c>
    </row>
    <row r="1415" spans="1:12" x14ac:dyDescent="0.25">
      <c r="A1415" s="47" t="s">
        <v>4263</v>
      </c>
      <c r="B1415" s="296">
        <f>SUM(B1405:B1414)</f>
        <v>57300</v>
      </c>
      <c r="C1415" s="296">
        <f t="shared" ref="C1415:J1415" si="157">SUM(C1405:C1414)</f>
        <v>45800</v>
      </c>
      <c r="D1415" s="296">
        <f t="shared" si="157"/>
        <v>38200</v>
      </c>
      <c r="E1415" s="296">
        <f t="shared" si="157"/>
        <v>38200</v>
      </c>
      <c r="F1415" s="296">
        <f t="shared" si="157"/>
        <v>38200</v>
      </c>
      <c r="G1415" s="296">
        <f t="shared" si="157"/>
        <v>30500</v>
      </c>
      <c r="H1415" s="296">
        <f t="shared" si="157"/>
        <v>30500</v>
      </c>
      <c r="I1415" s="296">
        <f t="shared" si="157"/>
        <v>30500</v>
      </c>
      <c r="J1415" s="296">
        <f t="shared" si="157"/>
        <v>30500</v>
      </c>
      <c r="L1415" s="293"/>
    </row>
    <row r="1416" spans="1:12" x14ac:dyDescent="0.25">
      <c r="B1416" s="293"/>
      <c r="C1416" s="293"/>
      <c r="D1416" s="293"/>
      <c r="E1416" s="293"/>
      <c r="F1416" s="293"/>
      <c r="G1416" s="293"/>
      <c r="H1416" s="293"/>
      <c r="I1416" s="293"/>
      <c r="J1416" s="293"/>
      <c r="L1416" s="293">
        <f t="shared" si="154"/>
        <v>0</v>
      </c>
    </row>
    <row r="1417" spans="1:12" x14ac:dyDescent="0.25">
      <c r="A1417" s="47" t="s">
        <v>4264</v>
      </c>
      <c r="B1417" s="293"/>
      <c r="C1417" s="293"/>
      <c r="D1417" s="293"/>
      <c r="E1417" s="293"/>
      <c r="F1417" s="293"/>
      <c r="G1417" s="293"/>
      <c r="H1417" s="293"/>
      <c r="I1417" s="293"/>
      <c r="J1417" s="293"/>
      <c r="L1417" s="293">
        <f t="shared" si="154"/>
        <v>0</v>
      </c>
    </row>
    <row r="1418" spans="1:12" x14ac:dyDescent="0.25">
      <c r="A1418" t="s">
        <v>87</v>
      </c>
      <c r="B1418" s="293"/>
      <c r="C1418" s="293"/>
      <c r="D1418" s="293"/>
      <c r="E1418" s="293"/>
      <c r="F1418" s="293"/>
      <c r="G1418" s="293"/>
      <c r="H1418" s="293"/>
      <c r="I1418" s="293"/>
      <c r="J1418" s="293"/>
      <c r="L1418" s="293">
        <f t="shared" si="154"/>
        <v>0</v>
      </c>
    </row>
    <row r="1419" spans="1:12" x14ac:dyDescent="0.25">
      <c r="A1419" t="s">
        <v>4265</v>
      </c>
      <c r="B1419" s="293"/>
      <c r="C1419" s="293"/>
      <c r="D1419" s="293"/>
      <c r="E1419" s="293"/>
      <c r="F1419" s="293"/>
      <c r="G1419" s="293"/>
      <c r="H1419" s="293"/>
      <c r="I1419" s="293"/>
      <c r="J1419" s="293"/>
      <c r="L1419" s="293">
        <f t="shared" si="154"/>
        <v>0</v>
      </c>
    </row>
    <row r="1420" spans="1:12" x14ac:dyDescent="0.25">
      <c r="B1420" s="293"/>
      <c r="C1420" s="293"/>
      <c r="D1420" s="293"/>
      <c r="E1420" s="293"/>
      <c r="F1420" s="293"/>
      <c r="G1420" s="293"/>
      <c r="H1420" s="293"/>
      <c r="I1420" s="293"/>
      <c r="J1420" s="293"/>
      <c r="L1420" s="293">
        <f t="shared" si="154"/>
        <v>0</v>
      </c>
    </row>
    <row r="1421" spans="1:12" x14ac:dyDescent="0.25">
      <c r="B1421" s="293"/>
      <c r="C1421" s="293"/>
      <c r="D1421" s="293"/>
      <c r="E1421" s="293"/>
      <c r="F1421" s="293"/>
      <c r="G1421" s="293"/>
      <c r="H1421" s="293"/>
      <c r="I1421" s="293"/>
      <c r="J1421" s="293"/>
      <c r="L1421" s="293">
        <f t="shared" si="154"/>
        <v>0</v>
      </c>
    </row>
    <row r="1422" spans="1:12" x14ac:dyDescent="0.25">
      <c r="B1422" s="293"/>
      <c r="C1422" s="293"/>
      <c r="D1422" s="293"/>
      <c r="E1422" s="293"/>
      <c r="F1422" s="293"/>
      <c r="G1422" s="293"/>
      <c r="H1422" s="293"/>
      <c r="I1422" s="293"/>
      <c r="J1422" s="293"/>
      <c r="L1422" s="293">
        <f t="shared" si="154"/>
        <v>0</v>
      </c>
    </row>
    <row r="1423" spans="1:12" x14ac:dyDescent="0.25">
      <c r="B1423" s="293"/>
      <c r="C1423" s="293"/>
      <c r="D1423" s="293"/>
      <c r="E1423" s="293"/>
      <c r="F1423" s="293"/>
      <c r="G1423" s="293"/>
      <c r="H1423" s="293"/>
      <c r="I1423" s="293"/>
      <c r="J1423" s="293"/>
      <c r="L1423" s="293">
        <f t="shared" si="154"/>
        <v>0</v>
      </c>
    </row>
    <row r="1424" spans="1:12" x14ac:dyDescent="0.25">
      <c r="A1424" t="s">
        <v>4266</v>
      </c>
      <c r="B1424" s="293"/>
      <c r="C1424" s="293"/>
      <c r="D1424" s="293"/>
      <c r="E1424" s="293"/>
      <c r="F1424" s="293"/>
      <c r="G1424" s="293"/>
      <c r="H1424" s="293"/>
      <c r="I1424" s="293"/>
      <c r="J1424" s="293"/>
      <c r="L1424" s="293">
        <f t="shared" si="154"/>
        <v>0</v>
      </c>
    </row>
    <row r="1425" spans="1:12" x14ac:dyDescent="0.25">
      <c r="A1425" t="s">
        <v>66</v>
      </c>
      <c r="B1425" s="293"/>
      <c r="C1425" s="293"/>
      <c r="D1425" s="293"/>
      <c r="E1425" s="293"/>
      <c r="F1425" s="293"/>
      <c r="G1425" s="293"/>
      <c r="H1425" s="293"/>
      <c r="I1425" s="293"/>
      <c r="J1425" s="293"/>
      <c r="L1425" s="293">
        <f t="shared" si="154"/>
        <v>0</v>
      </c>
    </row>
    <row r="1426" spans="1:12" x14ac:dyDescent="0.25">
      <c r="B1426" s="293"/>
      <c r="C1426" s="293"/>
      <c r="D1426" s="293"/>
      <c r="E1426" s="293"/>
      <c r="F1426" s="293"/>
      <c r="G1426" s="293"/>
      <c r="H1426" s="293"/>
      <c r="I1426" s="293"/>
      <c r="J1426" s="293"/>
      <c r="L1426" s="293">
        <f t="shared" si="154"/>
        <v>0</v>
      </c>
    </row>
    <row r="1427" spans="1:12" x14ac:dyDescent="0.25">
      <c r="B1427" s="293"/>
      <c r="C1427" s="293"/>
      <c r="D1427" s="293"/>
      <c r="E1427" s="293"/>
      <c r="F1427" s="293"/>
      <c r="G1427" s="293"/>
      <c r="H1427" s="293"/>
      <c r="I1427" s="293"/>
      <c r="J1427" s="293"/>
      <c r="L1427" s="293">
        <f t="shared" si="154"/>
        <v>0</v>
      </c>
    </row>
    <row r="1428" spans="1:12" x14ac:dyDescent="0.25">
      <c r="B1428" s="293"/>
      <c r="C1428" s="293"/>
      <c r="D1428" s="293"/>
      <c r="E1428" s="293"/>
      <c r="F1428" s="293"/>
      <c r="G1428" s="293"/>
      <c r="H1428" s="293"/>
      <c r="I1428" s="293"/>
      <c r="J1428" s="293"/>
      <c r="L1428" s="293">
        <f t="shared" si="154"/>
        <v>0</v>
      </c>
    </row>
    <row r="1429" spans="1:12" x14ac:dyDescent="0.25">
      <c r="B1429" s="293"/>
      <c r="C1429" s="293"/>
      <c r="D1429" s="293"/>
      <c r="E1429" s="293"/>
      <c r="F1429" s="293"/>
      <c r="G1429" s="293"/>
      <c r="H1429" s="293"/>
      <c r="I1429" s="293"/>
      <c r="J1429" s="293"/>
      <c r="L1429" s="293">
        <f t="shared" si="154"/>
        <v>0</v>
      </c>
    </row>
    <row r="1430" spans="1:12" x14ac:dyDescent="0.25">
      <c r="A1430" s="47" t="s">
        <v>4267</v>
      </c>
      <c r="B1430" s="296">
        <f>SUM(B1418:B1429)</f>
        <v>0</v>
      </c>
      <c r="C1430" s="296">
        <f t="shared" ref="C1430:J1430" si="158">SUM(C1418:C1429)</f>
        <v>0</v>
      </c>
      <c r="D1430" s="296">
        <f t="shared" si="158"/>
        <v>0</v>
      </c>
      <c r="E1430" s="296">
        <f t="shared" si="158"/>
        <v>0</v>
      </c>
      <c r="F1430" s="296">
        <f t="shared" si="158"/>
        <v>0</v>
      </c>
      <c r="G1430" s="296">
        <f t="shared" si="158"/>
        <v>0</v>
      </c>
      <c r="H1430" s="296">
        <f t="shared" si="158"/>
        <v>0</v>
      </c>
      <c r="I1430" s="296">
        <f t="shared" si="158"/>
        <v>0</v>
      </c>
      <c r="J1430" s="296">
        <f t="shared" si="158"/>
        <v>0</v>
      </c>
      <c r="L1430" s="293">
        <f t="shared" si="154"/>
        <v>0</v>
      </c>
    </row>
    <row r="1431" spans="1:12" x14ac:dyDescent="0.25">
      <c r="B1431" s="293"/>
      <c r="C1431" s="293"/>
      <c r="D1431" s="293"/>
      <c r="E1431" s="293"/>
      <c r="F1431" s="293"/>
      <c r="G1431" s="293"/>
      <c r="H1431" s="293"/>
      <c r="I1431" s="293"/>
      <c r="J1431" s="293"/>
      <c r="L1431" s="293">
        <f t="shared" si="154"/>
        <v>0</v>
      </c>
    </row>
    <row r="1432" spans="1:12" ht="15.75" thickBot="1" x14ac:dyDescent="0.3">
      <c r="A1432" s="47" t="s">
        <v>4268</v>
      </c>
      <c r="B1432" s="301">
        <f>B1415-B1430</f>
        <v>57300</v>
      </c>
      <c r="C1432" s="301">
        <f t="shared" ref="C1432:J1432" si="159">C1415-C1430</f>
        <v>45800</v>
      </c>
      <c r="D1432" s="301">
        <f t="shared" si="159"/>
        <v>38200</v>
      </c>
      <c r="E1432" s="301">
        <f t="shared" si="159"/>
        <v>38200</v>
      </c>
      <c r="F1432" s="301">
        <f t="shared" si="159"/>
        <v>38200</v>
      </c>
      <c r="G1432" s="301">
        <f t="shared" si="159"/>
        <v>30500</v>
      </c>
      <c r="H1432" s="301">
        <f t="shared" si="159"/>
        <v>30500</v>
      </c>
      <c r="I1432" s="301">
        <f t="shared" si="159"/>
        <v>30500</v>
      </c>
      <c r="J1432" s="301">
        <f t="shared" si="159"/>
        <v>30500</v>
      </c>
      <c r="L1432" s="293"/>
    </row>
    <row r="1433" spans="1:12" ht="15.75" thickTop="1" x14ac:dyDescent="0.25">
      <c r="B1433" s="293"/>
      <c r="C1433" s="293"/>
      <c r="D1433" s="293"/>
      <c r="E1433" s="293"/>
      <c r="F1433" s="293"/>
      <c r="G1433" s="293"/>
      <c r="H1433" s="293"/>
      <c r="I1433" s="293"/>
      <c r="J1433" s="293"/>
      <c r="L1433" s="293">
        <f t="shared" si="154"/>
        <v>0</v>
      </c>
    </row>
    <row r="1434" spans="1:12" x14ac:dyDescent="0.25">
      <c r="A1434" s="281"/>
      <c r="B1434" s="316"/>
      <c r="C1434" s="316"/>
      <c r="D1434" s="316"/>
      <c r="E1434" s="316"/>
      <c r="F1434" s="316"/>
      <c r="G1434" s="316"/>
      <c r="H1434" s="316"/>
      <c r="I1434" s="316"/>
      <c r="J1434" s="316"/>
      <c r="L1434" s="293">
        <f t="shared" si="154"/>
        <v>0</v>
      </c>
    </row>
    <row r="1435" spans="1:12" x14ac:dyDescent="0.25">
      <c r="B1435" s="293"/>
      <c r="C1435" s="293"/>
      <c r="D1435" s="293"/>
      <c r="E1435" s="293"/>
      <c r="F1435" s="293"/>
      <c r="G1435" s="293"/>
      <c r="H1435" s="293"/>
      <c r="I1435" s="293"/>
      <c r="J1435" s="293"/>
      <c r="L1435" s="293">
        <f t="shared" si="154"/>
        <v>0</v>
      </c>
    </row>
    <row r="1436" spans="1:12" x14ac:dyDescent="0.25">
      <c r="A1436" s="280" t="s">
        <v>4364</v>
      </c>
      <c r="B1436" s="293"/>
      <c r="C1436" s="293"/>
      <c r="D1436" s="293"/>
      <c r="E1436" s="293"/>
      <c r="F1436" s="293"/>
      <c r="G1436" s="293"/>
      <c r="H1436" s="293"/>
      <c r="I1436" s="293"/>
      <c r="J1436" s="293"/>
      <c r="L1436" s="293">
        <f t="shared" si="154"/>
        <v>0</v>
      </c>
    </row>
    <row r="1437" spans="1:12" x14ac:dyDescent="0.25">
      <c r="B1437" s="293"/>
      <c r="C1437" s="293"/>
      <c r="D1437" s="293"/>
      <c r="E1437" s="293"/>
      <c r="F1437" s="293"/>
      <c r="G1437" s="293"/>
      <c r="H1437" s="293"/>
      <c r="I1437" s="293"/>
      <c r="J1437" s="293"/>
      <c r="L1437" s="293">
        <f t="shared" si="154"/>
        <v>0</v>
      </c>
    </row>
    <row r="1438" spans="1:12" x14ac:dyDescent="0.25">
      <c r="A1438" s="47" t="s">
        <v>4260</v>
      </c>
      <c r="B1438" s="293"/>
      <c r="C1438" s="293"/>
      <c r="D1438" s="293"/>
      <c r="E1438" s="293"/>
      <c r="F1438" s="293"/>
      <c r="G1438" s="293"/>
      <c r="H1438" s="293"/>
      <c r="I1438" s="293"/>
      <c r="J1438" s="293"/>
      <c r="L1438" s="293">
        <f t="shared" si="154"/>
        <v>0</v>
      </c>
    </row>
    <row r="1439" spans="1:12" x14ac:dyDescent="0.25">
      <c r="A1439" t="s">
        <v>4262</v>
      </c>
      <c r="B1439" s="293"/>
      <c r="C1439" s="293"/>
      <c r="D1439" s="293"/>
      <c r="E1439" s="293"/>
      <c r="F1439" s="293"/>
      <c r="G1439" s="293"/>
      <c r="H1439" s="293"/>
      <c r="I1439" s="293"/>
      <c r="J1439" s="293"/>
      <c r="L1439" s="293">
        <f t="shared" si="154"/>
        <v>0</v>
      </c>
    </row>
    <row r="1440" spans="1:12" x14ac:dyDescent="0.25">
      <c r="A1440" t="s">
        <v>4261</v>
      </c>
      <c r="B1440" s="293">
        <f>capitalrevdata!F56</f>
        <v>10000</v>
      </c>
      <c r="C1440" s="293">
        <f>capitalrevdata!G56</f>
        <v>8000</v>
      </c>
      <c r="D1440" s="293">
        <f>capitalrevdata!H56</f>
        <v>6700</v>
      </c>
      <c r="E1440" s="293">
        <f>capitalrevdata!I56</f>
        <v>6700</v>
      </c>
      <c r="F1440" s="293">
        <f>capitalrevdata!J56</f>
        <v>6700</v>
      </c>
      <c r="G1440" s="293">
        <f>capitalrevdata!K56</f>
        <v>5300</v>
      </c>
      <c r="H1440" s="293">
        <f>capitalrevdata!L56</f>
        <v>5300</v>
      </c>
      <c r="I1440" s="293">
        <f>capitalrevdata!M56</f>
        <v>5300</v>
      </c>
      <c r="J1440" s="293">
        <f>capitalrevdata!N56</f>
        <v>5300</v>
      </c>
      <c r="L1440" s="293">
        <f t="shared" si="154"/>
        <v>5300</v>
      </c>
    </row>
    <row r="1441" spans="1:12" x14ac:dyDescent="0.25">
      <c r="A1441" t="s">
        <v>66</v>
      </c>
      <c r="B1441" s="293"/>
      <c r="C1441" s="293"/>
      <c r="D1441" s="293"/>
      <c r="E1441" s="293"/>
      <c r="F1441" s="293"/>
      <c r="G1441" s="293"/>
      <c r="H1441" s="293"/>
      <c r="I1441" s="293"/>
      <c r="J1441" s="293"/>
      <c r="L1441" s="293">
        <f t="shared" si="154"/>
        <v>0</v>
      </c>
    </row>
    <row r="1442" spans="1:12" x14ac:dyDescent="0.25">
      <c r="B1442" s="293"/>
      <c r="C1442" s="293"/>
      <c r="D1442" s="293"/>
      <c r="E1442" s="293"/>
      <c r="F1442" s="293"/>
      <c r="G1442" s="293"/>
      <c r="H1442" s="293"/>
      <c r="I1442" s="293"/>
      <c r="J1442" s="293"/>
      <c r="L1442" s="293">
        <f t="shared" si="154"/>
        <v>0</v>
      </c>
    </row>
    <row r="1443" spans="1:12" x14ac:dyDescent="0.25">
      <c r="B1443" s="293"/>
      <c r="C1443" s="293"/>
      <c r="D1443" s="293"/>
      <c r="E1443" s="293"/>
      <c r="F1443" s="293"/>
      <c r="G1443" s="293"/>
      <c r="H1443" s="293"/>
      <c r="I1443" s="293"/>
      <c r="J1443" s="293"/>
      <c r="L1443" s="293">
        <f t="shared" si="154"/>
        <v>0</v>
      </c>
    </row>
    <row r="1444" spans="1:12" x14ac:dyDescent="0.25">
      <c r="B1444" s="293"/>
      <c r="C1444" s="293"/>
      <c r="D1444" s="293"/>
      <c r="E1444" s="293"/>
      <c r="F1444" s="293"/>
      <c r="G1444" s="293"/>
      <c r="H1444" s="293"/>
      <c r="I1444" s="293"/>
      <c r="J1444" s="293"/>
      <c r="L1444" s="293">
        <f t="shared" si="154"/>
        <v>0</v>
      </c>
    </row>
    <row r="1445" spans="1:12" x14ac:dyDescent="0.25">
      <c r="B1445" s="293"/>
      <c r="C1445" s="293"/>
      <c r="D1445" s="293"/>
      <c r="E1445" s="293"/>
      <c r="F1445" s="293"/>
      <c r="G1445" s="293"/>
      <c r="H1445" s="293"/>
      <c r="I1445" s="293"/>
      <c r="J1445" s="293"/>
      <c r="L1445" s="293">
        <f t="shared" si="154"/>
        <v>0</v>
      </c>
    </row>
    <row r="1446" spans="1:12" x14ac:dyDescent="0.25">
      <c r="A1446" s="47" t="s">
        <v>4263</v>
      </c>
      <c r="B1446" s="296">
        <f>SUM(B1436:B1445)</f>
        <v>10000</v>
      </c>
      <c r="C1446" s="296">
        <f t="shared" ref="C1446:J1446" si="160">SUM(C1436:C1445)</f>
        <v>8000</v>
      </c>
      <c r="D1446" s="296">
        <f t="shared" si="160"/>
        <v>6700</v>
      </c>
      <c r="E1446" s="296">
        <f t="shared" si="160"/>
        <v>6700</v>
      </c>
      <c r="F1446" s="296">
        <f t="shared" si="160"/>
        <v>6700</v>
      </c>
      <c r="G1446" s="296">
        <f t="shared" si="160"/>
        <v>5300</v>
      </c>
      <c r="H1446" s="296">
        <f t="shared" si="160"/>
        <v>5300</v>
      </c>
      <c r="I1446" s="296">
        <f t="shared" si="160"/>
        <v>5300</v>
      </c>
      <c r="J1446" s="296">
        <f t="shared" si="160"/>
        <v>5300</v>
      </c>
      <c r="L1446" s="293"/>
    </row>
    <row r="1447" spans="1:12" x14ac:dyDescent="0.25">
      <c r="B1447" s="293"/>
      <c r="C1447" s="293"/>
      <c r="D1447" s="293"/>
      <c r="E1447" s="293"/>
      <c r="F1447" s="293"/>
      <c r="G1447" s="293"/>
      <c r="H1447" s="293"/>
      <c r="I1447" s="293"/>
      <c r="J1447" s="293"/>
      <c r="L1447" s="293">
        <f t="shared" si="154"/>
        <v>0</v>
      </c>
    </row>
    <row r="1448" spans="1:12" x14ac:dyDescent="0.25">
      <c r="A1448" s="47" t="s">
        <v>4264</v>
      </c>
      <c r="B1448" s="293"/>
      <c r="C1448" s="293"/>
      <c r="D1448" s="293"/>
      <c r="E1448" s="293"/>
      <c r="F1448" s="293"/>
      <c r="G1448" s="293"/>
      <c r="H1448" s="293"/>
      <c r="I1448" s="293"/>
      <c r="J1448" s="293"/>
      <c r="L1448" s="293">
        <f t="shared" si="154"/>
        <v>0</v>
      </c>
    </row>
    <row r="1449" spans="1:12" x14ac:dyDescent="0.25">
      <c r="A1449" t="s">
        <v>87</v>
      </c>
      <c r="B1449" s="293"/>
      <c r="C1449" s="293"/>
      <c r="D1449" s="293"/>
      <c r="E1449" s="293"/>
      <c r="F1449" s="293"/>
      <c r="G1449" s="293"/>
      <c r="H1449" s="293"/>
      <c r="I1449" s="293"/>
      <c r="J1449" s="293"/>
      <c r="L1449" s="293">
        <f t="shared" si="154"/>
        <v>0</v>
      </c>
    </row>
    <row r="1450" spans="1:12" x14ac:dyDescent="0.25">
      <c r="A1450" t="s">
        <v>4265</v>
      </c>
      <c r="B1450" s="293"/>
      <c r="C1450" s="293"/>
      <c r="D1450" s="293"/>
      <c r="E1450" s="293"/>
      <c r="F1450" s="293"/>
      <c r="G1450" s="293"/>
      <c r="H1450" s="293"/>
      <c r="I1450" s="293"/>
      <c r="J1450" s="293"/>
      <c r="L1450" s="293">
        <f t="shared" si="154"/>
        <v>0</v>
      </c>
    </row>
    <row r="1451" spans="1:12" x14ac:dyDescent="0.25">
      <c r="B1451" s="293"/>
      <c r="C1451" s="293"/>
      <c r="D1451" s="293"/>
      <c r="E1451" s="293"/>
      <c r="F1451" s="293"/>
      <c r="G1451" s="293"/>
      <c r="H1451" s="293"/>
      <c r="I1451" s="293"/>
      <c r="J1451" s="293"/>
      <c r="L1451" s="293">
        <f t="shared" si="154"/>
        <v>0</v>
      </c>
    </row>
    <row r="1452" spans="1:12" x14ac:dyDescent="0.25">
      <c r="B1452" s="293"/>
      <c r="C1452" s="293"/>
      <c r="D1452" s="293"/>
      <c r="E1452" s="293"/>
      <c r="F1452" s="293"/>
      <c r="G1452" s="293"/>
      <c r="H1452" s="293"/>
      <c r="I1452" s="293"/>
      <c r="J1452" s="293"/>
      <c r="L1452" s="293">
        <f t="shared" ref="L1452:L1495" si="161">J1452</f>
        <v>0</v>
      </c>
    </row>
    <row r="1453" spans="1:12" x14ac:dyDescent="0.25">
      <c r="B1453" s="293"/>
      <c r="C1453" s="293"/>
      <c r="D1453" s="293"/>
      <c r="E1453" s="293"/>
      <c r="F1453" s="293"/>
      <c r="G1453" s="293"/>
      <c r="H1453" s="293"/>
      <c r="I1453" s="293"/>
      <c r="J1453" s="293"/>
      <c r="L1453" s="293">
        <f t="shared" si="161"/>
        <v>0</v>
      </c>
    </row>
    <row r="1454" spans="1:12" x14ac:dyDescent="0.25">
      <c r="B1454" s="293"/>
      <c r="C1454" s="293"/>
      <c r="D1454" s="293"/>
      <c r="E1454" s="293"/>
      <c r="F1454" s="293"/>
      <c r="G1454" s="293"/>
      <c r="H1454" s="293"/>
      <c r="I1454" s="293"/>
      <c r="J1454" s="293"/>
      <c r="L1454" s="293">
        <f t="shared" si="161"/>
        <v>0</v>
      </c>
    </row>
    <row r="1455" spans="1:12" x14ac:dyDescent="0.25">
      <c r="A1455" t="s">
        <v>4266</v>
      </c>
      <c r="B1455" s="293"/>
      <c r="C1455" s="293"/>
      <c r="D1455" s="293"/>
      <c r="E1455" s="293"/>
      <c r="F1455" s="293"/>
      <c r="G1455" s="293"/>
      <c r="H1455" s="293"/>
      <c r="I1455" s="293"/>
      <c r="J1455" s="293"/>
      <c r="L1455" s="293">
        <f t="shared" si="161"/>
        <v>0</v>
      </c>
    </row>
    <row r="1456" spans="1:12" x14ac:dyDescent="0.25">
      <c r="A1456" t="s">
        <v>66</v>
      </c>
      <c r="B1456" s="293"/>
      <c r="C1456" s="293"/>
      <c r="D1456" s="293"/>
      <c r="E1456" s="293"/>
      <c r="F1456" s="293"/>
      <c r="G1456" s="293"/>
      <c r="H1456" s="293"/>
      <c r="I1456" s="293"/>
      <c r="J1456" s="293"/>
      <c r="L1456" s="293">
        <f t="shared" si="161"/>
        <v>0</v>
      </c>
    </row>
    <row r="1457" spans="1:12" x14ac:dyDescent="0.25">
      <c r="B1457" s="293"/>
      <c r="C1457" s="293"/>
      <c r="D1457" s="293"/>
      <c r="E1457" s="293"/>
      <c r="F1457" s="293"/>
      <c r="G1457" s="293"/>
      <c r="H1457" s="293"/>
      <c r="I1457" s="293"/>
      <c r="J1457" s="293"/>
      <c r="L1457" s="293">
        <f t="shared" si="161"/>
        <v>0</v>
      </c>
    </row>
    <row r="1458" spans="1:12" x14ac:dyDescent="0.25">
      <c r="B1458" s="293"/>
      <c r="C1458" s="293"/>
      <c r="D1458" s="293"/>
      <c r="E1458" s="293"/>
      <c r="F1458" s="293"/>
      <c r="G1458" s="293"/>
      <c r="H1458" s="293"/>
      <c r="I1458" s="293"/>
      <c r="J1458" s="293"/>
      <c r="L1458" s="293">
        <f t="shared" si="161"/>
        <v>0</v>
      </c>
    </row>
    <row r="1459" spans="1:12" x14ac:dyDescent="0.25">
      <c r="B1459" s="293"/>
      <c r="C1459" s="293"/>
      <c r="D1459" s="293"/>
      <c r="E1459" s="293"/>
      <c r="F1459" s="293"/>
      <c r="G1459" s="293"/>
      <c r="H1459" s="293"/>
      <c r="I1459" s="293"/>
      <c r="J1459" s="293"/>
      <c r="L1459" s="293">
        <f t="shared" si="161"/>
        <v>0</v>
      </c>
    </row>
    <row r="1460" spans="1:12" x14ac:dyDescent="0.25">
      <c r="B1460" s="293"/>
      <c r="C1460" s="293"/>
      <c r="D1460" s="293"/>
      <c r="E1460" s="293"/>
      <c r="F1460" s="293"/>
      <c r="G1460" s="293"/>
      <c r="H1460" s="293"/>
      <c r="I1460" s="293"/>
      <c r="J1460" s="293"/>
      <c r="L1460" s="293">
        <f t="shared" si="161"/>
        <v>0</v>
      </c>
    </row>
    <row r="1461" spans="1:12" x14ac:dyDescent="0.25">
      <c r="A1461" s="47" t="s">
        <v>4267</v>
      </c>
      <c r="B1461" s="296">
        <f>SUM(B1449:B1460)</f>
        <v>0</v>
      </c>
      <c r="C1461" s="296">
        <f t="shared" ref="C1461:J1461" si="162">SUM(C1449:C1460)</f>
        <v>0</v>
      </c>
      <c r="D1461" s="296">
        <f t="shared" si="162"/>
        <v>0</v>
      </c>
      <c r="E1461" s="296">
        <f t="shared" si="162"/>
        <v>0</v>
      </c>
      <c r="F1461" s="296">
        <f t="shared" si="162"/>
        <v>0</v>
      </c>
      <c r="G1461" s="296">
        <f t="shared" si="162"/>
        <v>0</v>
      </c>
      <c r="H1461" s="296">
        <f t="shared" si="162"/>
        <v>0</v>
      </c>
      <c r="I1461" s="296">
        <f t="shared" si="162"/>
        <v>0</v>
      </c>
      <c r="J1461" s="296">
        <f t="shared" si="162"/>
        <v>0</v>
      </c>
      <c r="L1461" s="293">
        <f t="shared" si="161"/>
        <v>0</v>
      </c>
    </row>
    <row r="1462" spans="1:12" x14ac:dyDescent="0.25">
      <c r="B1462" s="293"/>
      <c r="C1462" s="293"/>
      <c r="D1462" s="293"/>
      <c r="E1462" s="293"/>
      <c r="F1462" s="293"/>
      <c r="G1462" s="293"/>
      <c r="H1462" s="293"/>
      <c r="I1462" s="293"/>
      <c r="J1462" s="293"/>
      <c r="L1462" s="293">
        <f t="shared" si="161"/>
        <v>0</v>
      </c>
    </row>
    <row r="1463" spans="1:12" ht="15.75" thickBot="1" x14ac:dyDescent="0.3">
      <c r="A1463" s="47" t="s">
        <v>4268</v>
      </c>
      <c r="B1463" s="301">
        <f>B1446-B1461</f>
        <v>10000</v>
      </c>
      <c r="C1463" s="301">
        <f t="shared" ref="C1463:J1463" si="163">C1446-C1461</f>
        <v>8000</v>
      </c>
      <c r="D1463" s="301">
        <f t="shared" si="163"/>
        <v>6700</v>
      </c>
      <c r="E1463" s="301">
        <f t="shared" si="163"/>
        <v>6700</v>
      </c>
      <c r="F1463" s="301">
        <f t="shared" si="163"/>
        <v>6700</v>
      </c>
      <c r="G1463" s="301">
        <f t="shared" si="163"/>
        <v>5300</v>
      </c>
      <c r="H1463" s="301">
        <f t="shared" si="163"/>
        <v>5300</v>
      </c>
      <c r="I1463" s="301">
        <f t="shared" si="163"/>
        <v>5300</v>
      </c>
      <c r="J1463" s="301">
        <f t="shared" si="163"/>
        <v>5300</v>
      </c>
      <c r="L1463" s="293"/>
    </row>
    <row r="1464" spans="1:12" ht="15.75" thickTop="1" x14ac:dyDescent="0.25">
      <c r="B1464" s="293"/>
      <c r="C1464" s="293"/>
      <c r="D1464" s="293"/>
      <c r="E1464" s="293"/>
      <c r="F1464" s="293"/>
      <c r="G1464" s="293"/>
      <c r="H1464" s="293"/>
      <c r="I1464" s="293"/>
      <c r="J1464" s="293"/>
      <c r="L1464" s="293">
        <f t="shared" si="161"/>
        <v>0</v>
      </c>
    </row>
    <row r="1465" spans="1:12" x14ac:dyDescent="0.25">
      <c r="A1465" s="281"/>
      <c r="B1465" s="316"/>
      <c r="C1465" s="316"/>
      <c r="D1465" s="316"/>
      <c r="E1465" s="316"/>
      <c r="F1465" s="316"/>
      <c r="G1465" s="316"/>
      <c r="H1465" s="316"/>
      <c r="I1465" s="316"/>
      <c r="J1465" s="316"/>
      <c r="L1465" s="293">
        <f t="shared" si="161"/>
        <v>0</v>
      </c>
    </row>
    <row r="1466" spans="1:12" x14ac:dyDescent="0.25">
      <c r="B1466" s="293"/>
      <c r="C1466" s="293"/>
      <c r="D1466" s="293"/>
      <c r="E1466" s="293"/>
      <c r="F1466" s="293"/>
      <c r="G1466" s="293"/>
      <c r="H1466" s="293"/>
      <c r="I1466" s="293"/>
      <c r="J1466" s="293"/>
      <c r="L1466" s="293">
        <f t="shared" si="161"/>
        <v>0</v>
      </c>
    </row>
    <row r="1467" spans="1:12" x14ac:dyDescent="0.25">
      <c r="A1467" s="280" t="s">
        <v>4365</v>
      </c>
      <c r="B1467" s="293"/>
      <c r="C1467" s="293"/>
      <c r="D1467" s="293"/>
      <c r="E1467" s="293"/>
      <c r="F1467" s="293"/>
      <c r="G1467" s="293"/>
      <c r="H1467" s="293"/>
      <c r="I1467" s="293"/>
      <c r="J1467" s="293"/>
      <c r="L1467" s="293">
        <f t="shared" si="161"/>
        <v>0</v>
      </c>
    </row>
    <row r="1468" spans="1:12" x14ac:dyDescent="0.25">
      <c r="B1468" s="293"/>
      <c r="C1468" s="293"/>
      <c r="D1468" s="293"/>
      <c r="E1468" s="293"/>
      <c r="F1468" s="293"/>
      <c r="G1468" s="293"/>
      <c r="H1468" s="293"/>
      <c r="I1468" s="293"/>
      <c r="J1468" s="293"/>
      <c r="L1468" s="293">
        <f t="shared" si="161"/>
        <v>0</v>
      </c>
    </row>
    <row r="1469" spans="1:12" x14ac:dyDescent="0.25">
      <c r="A1469" s="47" t="s">
        <v>4260</v>
      </c>
      <c r="B1469" s="293"/>
      <c r="C1469" s="293"/>
      <c r="D1469" s="293"/>
      <c r="E1469" s="293"/>
      <c r="F1469" s="293"/>
      <c r="G1469" s="293"/>
      <c r="H1469" s="293"/>
      <c r="I1469" s="293"/>
      <c r="J1469" s="293"/>
      <c r="L1469" s="293">
        <f t="shared" si="161"/>
        <v>0</v>
      </c>
    </row>
    <row r="1470" spans="1:12" x14ac:dyDescent="0.25">
      <c r="A1470" t="s">
        <v>4262</v>
      </c>
      <c r="B1470" s="293"/>
      <c r="C1470" s="293"/>
      <c r="D1470" s="293"/>
      <c r="E1470" s="293"/>
      <c r="F1470" s="293"/>
      <c r="G1470" s="293"/>
      <c r="H1470" s="293"/>
      <c r="I1470" s="293"/>
      <c r="J1470" s="293"/>
      <c r="L1470" s="293">
        <f t="shared" si="161"/>
        <v>0</v>
      </c>
    </row>
    <row r="1471" spans="1:12" x14ac:dyDescent="0.25">
      <c r="A1471" t="s">
        <v>4261</v>
      </c>
      <c r="B1471" s="293">
        <f>capitalrevdata!F57</f>
        <v>15400</v>
      </c>
      <c r="C1471" s="293">
        <f>capitalrevdata!G57</f>
        <v>12300</v>
      </c>
      <c r="D1471" s="293">
        <f>capitalrevdata!H57</f>
        <v>10300</v>
      </c>
      <c r="E1471" s="293">
        <f>capitalrevdata!I57</f>
        <v>10300</v>
      </c>
      <c r="F1471" s="293">
        <f>capitalrevdata!J57</f>
        <v>10300</v>
      </c>
      <c r="G1471" s="293">
        <f>capitalrevdata!K57</f>
        <v>8200</v>
      </c>
      <c r="H1471" s="293">
        <f>capitalrevdata!L57</f>
        <v>8200</v>
      </c>
      <c r="I1471" s="293">
        <f>capitalrevdata!M57</f>
        <v>8200</v>
      </c>
      <c r="J1471" s="293">
        <f>capitalrevdata!N57</f>
        <v>8200</v>
      </c>
      <c r="L1471" s="293">
        <f t="shared" si="161"/>
        <v>8200</v>
      </c>
    </row>
    <row r="1472" spans="1:12" x14ac:dyDescent="0.25">
      <c r="A1472" t="s">
        <v>66</v>
      </c>
      <c r="B1472" s="293"/>
      <c r="C1472" s="293"/>
      <c r="D1472" s="293"/>
      <c r="E1472" s="293"/>
      <c r="F1472" s="293"/>
      <c r="G1472" s="293"/>
      <c r="H1472" s="293"/>
      <c r="I1472" s="293"/>
      <c r="J1472" s="293"/>
      <c r="L1472" s="293">
        <f t="shared" si="161"/>
        <v>0</v>
      </c>
    </row>
    <row r="1473" spans="1:12" x14ac:dyDescent="0.25">
      <c r="B1473" s="293"/>
      <c r="C1473" s="293"/>
      <c r="D1473" s="293"/>
      <c r="E1473" s="293"/>
      <c r="F1473" s="293"/>
      <c r="G1473" s="293"/>
      <c r="H1473" s="293"/>
      <c r="I1473" s="293"/>
      <c r="J1473" s="293"/>
      <c r="L1473" s="293">
        <f t="shared" si="161"/>
        <v>0</v>
      </c>
    </row>
    <row r="1474" spans="1:12" x14ac:dyDescent="0.25">
      <c r="B1474" s="293"/>
      <c r="C1474" s="293"/>
      <c r="D1474" s="293"/>
      <c r="E1474" s="293"/>
      <c r="F1474" s="293"/>
      <c r="G1474" s="293"/>
      <c r="H1474" s="293"/>
      <c r="I1474" s="293"/>
      <c r="J1474" s="293"/>
      <c r="L1474" s="293">
        <f t="shared" si="161"/>
        <v>0</v>
      </c>
    </row>
    <row r="1475" spans="1:12" x14ac:dyDescent="0.25">
      <c r="B1475" s="293"/>
      <c r="C1475" s="293"/>
      <c r="D1475" s="293"/>
      <c r="E1475" s="293"/>
      <c r="F1475" s="293"/>
      <c r="G1475" s="293"/>
      <c r="H1475" s="293"/>
      <c r="I1475" s="293"/>
      <c r="J1475" s="293"/>
      <c r="L1475" s="293">
        <f t="shared" si="161"/>
        <v>0</v>
      </c>
    </row>
    <row r="1476" spans="1:12" x14ac:dyDescent="0.25">
      <c r="B1476" s="293"/>
      <c r="C1476" s="293"/>
      <c r="D1476" s="293"/>
      <c r="E1476" s="293"/>
      <c r="F1476" s="293"/>
      <c r="G1476" s="293"/>
      <c r="H1476" s="293"/>
      <c r="I1476" s="293"/>
      <c r="J1476" s="293"/>
      <c r="L1476" s="293">
        <f t="shared" si="161"/>
        <v>0</v>
      </c>
    </row>
    <row r="1477" spans="1:12" x14ac:dyDescent="0.25">
      <c r="A1477" s="47" t="s">
        <v>4263</v>
      </c>
      <c r="B1477" s="296">
        <f>SUM(B1467:B1476)</f>
        <v>15400</v>
      </c>
      <c r="C1477" s="296">
        <f t="shared" ref="C1477:J1477" si="164">SUM(C1467:C1476)</f>
        <v>12300</v>
      </c>
      <c r="D1477" s="296">
        <f t="shared" si="164"/>
        <v>10300</v>
      </c>
      <c r="E1477" s="296">
        <f t="shared" si="164"/>
        <v>10300</v>
      </c>
      <c r="F1477" s="296">
        <f t="shared" si="164"/>
        <v>10300</v>
      </c>
      <c r="G1477" s="296">
        <f t="shared" si="164"/>
        <v>8200</v>
      </c>
      <c r="H1477" s="296">
        <f t="shared" si="164"/>
        <v>8200</v>
      </c>
      <c r="I1477" s="296">
        <f t="shared" si="164"/>
        <v>8200</v>
      </c>
      <c r="J1477" s="296">
        <f t="shared" si="164"/>
        <v>8200</v>
      </c>
      <c r="L1477" s="293"/>
    </row>
    <row r="1478" spans="1:12" x14ac:dyDescent="0.25">
      <c r="B1478" s="293"/>
      <c r="C1478" s="293"/>
      <c r="D1478" s="293"/>
      <c r="E1478" s="293"/>
      <c r="F1478" s="293"/>
      <c r="G1478" s="293"/>
      <c r="H1478" s="293"/>
      <c r="I1478" s="293"/>
      <c r="J1478" s="293"/>
      <c r="L1478" s="293">
        <f t="shared" si="161"/>
        <v>0</v>
      </c>
    </row>
    <row r="1479" spans="1:12" x14ac:dyDescent="0.25">
      <c r="A1479" s="47" t="s">
        <v>4264</v>
      </c>
      <c r="B1479" s="293"/>
      <c r="C1479" s="293"/>
      <c r="D1479" s="293"/>
      <c r="E1479" s="293"/>
      <c r="F1479" s="293"/>
      <c r="G1479" s="293"/>
      <c r="H1479" s="293"/>
      <c r="I1479" s="293"/>
      <c r="J1479" s="293"/>
      <c r="L1479" s="293">
        <f t="shared" si="161"/>
        <v>0</v>
      </c>
    </row>
    <row r="1480" spans="1:12" x14ac:dyDescent="0.25">
      <c r="A1480" t="s">
        <v>87</v>
      </c>
      <c r="B1480" s="293"/>
      <c r="C1480" s="293"/>
      <c r="D1480" s="293"/>
      <c r="E1480" s="293"/>
      <c r="F1480" s="293"/>
      <c r="G1480" s="293"/>
      <c r="H1480" s="293"/>
      <c r="I1480" s="293"/>
      <c r="J1480" s="293"/>
      <c r="L1480" s="293">
        <f t="shared" si="161"/>
        <v>0</v>
      </c>
    </row>
    <row r="1481" spans="1:12" x14ac:dyDescent="0.25">
      <c r="A1481" t="s">
        <v>4265</v>
      </c>
      <c r="B1481" s="293"/>
      <c r="C1481" s="293"/>
      <c r="D1481" s="293"/>
      <c r="E1481" s="293"/>
      <c r="F1481" s="293"/>
      <c r="G1481" s="293"/>
      <c r="H1481" s="293"/>
      <c r="I1481" s="293"/>
      <c r="J1481" s="293"/>
      <c r="L1481" s="293">
        <f t="shared" si="161"/>
        <v>0</v>
      </c>
    </row>
    <row r="1482" spans="1:12" x14ac:dyDescent="0.25">
      <c r="B1482" s="293"/>
      <c r="C1482" s="293"/>
      <c r="D1482" s="293"/>
      <c r="E1482" s="293"/>
      <c r="F1482" s="293"/>
      <c r="G1482" s="293"/>
      <c r="H1482" s="293"/>
      <c r="I1482" s="293"/>
      <c r="J1482" s="293"/>
      <c r="L1482" s="293">
        <f t="shared" si="161"/>
        <v>0</v>
      </c>
    </row>
    <row r="1483" spans="1:12" x14ac:dyDescent="0.25">
      <c r="B1483" s="293"/>
      <c r="C1483" s="293"/>
      <c r="D1483" s="293"/>
      <c r="E1483" s="293"/>
      <c r="F1483" s="293"/>
      <c r="G1483" s="293"/>
      <c r="H1483" s="293"/>
      <c r="I1483" s="293"/>
      <c r="J1483" s="293"/>
      <c r="L1483" s="293">
        <f t="shared" si="161"/>
        <v>0</v>
      </c>
    </row>
    <row r="1484" spans="1:12" x14ac:dyDescent="0.25">
      <c r="B1484" s="293"/>
      <c r="C1484" s="293"/>
      <c r="D1484" s="293"/>
      <c r="E1484" s="293"/>
      <c r="F1484" s="293"/>
      <c r="G1484" s="293"/>
      <c r="H1484" s="293"/>
      <c r="I1484" s="293"/>
      <c r="J1484" s="293"/>
      <c r="L1484" s="293">
        <f t="shared" si="161"/>
        <v>0</v>
      </c>
    </row>
    <row r="1485" spans="1:12" x14ac:dyDescent="0.25">
      <c r="B1485" s="293"/>
      <c r="C1485" s="293"/>
      <c r="D1485" s="293"/>
      <c r="E1485" s="293"/>
      <c r="F1485" s="293"/>
      <c r="G1485" s="293"/>
      <c r="H1485" s="293"/>
      <c r="I1485" s="293"/>
      <c r="J1485" s="293"/>
      <c r="L1485" s="293">
        <f t="shared" si="161"/>
        <v>0</v>
      </c>
    </row>
    <row r="1486" spans="1:12" x14ac:dyDescent="0.25">
      <c r="A1486" t="s">
        <v>4266</v>
      </c>
      <c r="B1486" s="293"/>
      <c r="C1486" s="293"/>
      <c r="D1486" s="293"/>
      <c r="E1486" s="293"/>
      <c r="F1486" s="293"/>
      <c r="G1486" s="293"/>
      <c r="H1486" s="293"/>
      <c r="I1486" s="293"/>
      <c r="J1486" s="293"/>
      <c r="L1486" s="293">
        <f t="shared" si="161"/>
        <v>0</v>
      </c>
    </row>
    <row r="1487" spans="1:12" x14ac:dyDescent="0.25">
      <c r="A1487" t="s">
        <v>66</v>
      </c>
      <c r="B1487" s="293"/>
      <c r="C1487" s="293"/>
      <c r="D1487" s="293"/>
      <c r="E1487" s="293"/>
      <c r="F1487" s="293"/>
      <c r="G1487" s="293"/>
      <c r="H1487" s="293"/>
      <c r="I1487" s="293"/>
      <c r="J1487" s="293"/>
      <c r="L1487" s="293">
        <f t="shared" si="161"/>
        <v>0</v>
      </c>
    </row>
    <row r="1488" spans="1:12" x14ac:dyDescent="0.25">
      <c r="B1488" s="293"/>
      <c r="C1488" s="293"/>
      <c r="D1488" s="293"/>
      <c r="E1488" s="293"/>
      <c r="F1488" s="293"/>
      <c r="G1488" s="293"/>
      <c r="H1488" s="293"/>
      <c r="I1488" s="293"/>
      <c r="J1488" s="293"/>
      <c r="L1488" s="293">
        <f t="shared" si="161"/>
        <v>0</v>
      </c>
    </row>
    <row r="1489" spans="1:12" x14ac:dyDescent="0.25">
      <c r="B1489" s="293"/>
      <c r="C1489" s="293"/>
      <c r="D1489" s="293"/>
      <c r="E1489" s="293"/>
      <c r="F1489" s="293"/>
      <c r="G1489" s="293"/>
      <c r="H1489" s="293"/>
      <c r="I1489" s="293"/>
      <c r="J1489" s="293"/>
      <c r="L1489" s="293">
        <f t="shared" si="161"/>
        <v>0</v>
      </c>
    </row>
    <row r="1490" spans="1:12" x14ac:dyDescent="0.25">
      <c r="B1490" s="293"/>
      <c r="C1490" s="293"/>
      <c r="D1490" s="293"/>
      <c r="E1490" s="293"/>
      <c r="F1490" s="293"/>
      <c r="G1490" s="293"/>
      <c r="H1490" s="293"/>
      <c r="I1490" s="293"/>
      <c r="J1490" s="293"/>
      <c r="L1490" s="293">
        <f t="shared" si="161"/>
        <v>0</v>
      </c>
    </row>
    <row r="1491" spans="1:12" x14ac:dyDescent="0.25">
      <c r="B1491" s="293"/>
      <c r="C1491" s="293"/>
      <c r="D1491" s="293"/>
      <c r="E1491" s="293"/>
      <c r="F1491" s="293"/>
      <c r="G1491" s="293"/>
      <c r="H1491" s="293"/>
      <c r="I1491" s="293"/>
      <c r="J1491" s="293"/>
      <c r="L1491" s="293">
        <f t="shared" si="161"/>
        <v>0</v>
      </c>
    </row>
    <row r="1492" spans="1:12" x14ac:dyDescent="0.25">
      <c r="A1492" s="47" t="s">
        <v>4267</v>
      </c>
      <c r="B1492" s="296">
        <f>SUM(B1480:B1491)</f>
        <v>0</v>
      </c>
      <c r="C1492" s="296">
        <f t="shared" ref="C1492:J1492" si="165">SUM(C1480:C1491)</f>
        <v>0</v>
      </c>
      <c r="D1492" s="296">
        <f t="shared" si="165"/>
        <v>0</v>
      </c>
      <c r="E1492" s="296">
        <f t="shared" si="165"/>
        <v>0</v>
      </c>
      <c r="F1492" s="296">
        <f t="shared" si="165"/>
        <v>0</v>
      </c>
      <c r="G1492" s="296">
        <f t="shared" si="165"/>
        <v>0</v>
      </c>
      <c r="H1492" s="296">
        <f t="shared" si="165"/>
        <v>0</v>
      </c>
      <c r="I1492" s="296">
        <f t="shared" si="165"/>
        <v>0</v>
      </c>
      <c r="J1492" s="296">
        <f t="shared" si="165"/>
        <v>0</v>
      </c>
      <c r="L1492" s="293">
        <f t="shared" si="161"/>
        <v>0</v>
      </c>
    </row>
    <row r="1493" spans="1:12" x14ac:dyDescent="0.25">
      <c r="B1493" s="293"/>
      <c r="C1493" s="293"/>
      <c r="D1493" s="293"/>
      <c r="E1493" s="293"/>
      <c r="F1493" s="293"/>
      <c r="G1493" s="293"/>
      <c r="H1493" s="293"/>
      <c r="I1493" s="293"/>
      <c r="J1493" s="293"/>
      <c r="L1493" s="293">
        <f t="shared" si="161"/>
        <v>0</v>
      </c>
    </row>
    <row r="1494" spans="1:12" ht="15.75" thickBot="1" x14ac:dyDescent="0.3">
      <c r="A1494" s="47" t="s">
        <v>4268</v>
      </c>
      <c r="B1494" s="301">
        <f>B1477-B1492</f>
        <v>15400</v>
      </c>
      <c r="C1494" s="301">
        <f t="shared" ref="C1494:J1494" si="166">C1477-C1492</f>
        <v>12300</v>
      </c>
      <c r="D1494" s="301">
        <f t="shared" si="166"/>
        <v>10300</v>
      </c>
      <c r="E1494" s="301">
        <f t="shared" si="166"/>
        <v>10300</v>
      </c>
      <c r="F1494" s="301">
        <f t="shared" si="166"/>
        <v>10300</v>
      </c>
      <c r="G1494" s="301">
        <f t="shared" si="166"/>
        <v>8200</v>
      </c>
      <c r="H1494" s="301">
        <f t="shared" si="166"/>
        <v>8200</v>
      </c>
      <c r="I1494" s="301">
        <f t="shared" si="166"/>
        <v>8200</v>
      </c>
      <c r="J1494" s="301">
        <f t="shared" si="166"/>
        <v>8200</v>
      </c>
      <c r="L1494" s="293"/>
    </row>
    <row r="1495" spans="1:12" ht="15.75" thickTop="1" x14ac:dyDescent="0.25">
      <c r="B1495" s="293"/>
      <c r="C1495" s="293"/>
      <c r="D1495" s="293"/>
      <c r="E1495" s="293"/>
      <c r="F1495" s="293"/>
      <c r="G1495" s="293"/>
      <c r="H1495" s="293"/>
      <c r="I1495" s="293"/>
      <c r="J1495" s="293"/>
      <c r="L1495" s="293">
        <f t="shared" si="161"/>
        <v>0</v>
      </c>
    </row>
    <row r="1496" spans="1:12" x14ac:dyDescent="0.25">
      <c r="A1496" s="281"/>
      <c r="B1496" s="316"/>
      <c r="C1496" s="316"/>
      <c r="D1496" s="316"/>
      <c r="E1496" s="316"/>
      <c r="F1496" s="316"/>
      <c r="G1496" s="316"/>
      <c r="H1496" s="316"/>
      <c r="I1496" s="316"/>
      <c r="J1496" s="316"/>
      <c r="L1496" s="293">
        <f t="shared" ref="L1496:L1548" si="167">J1496</f>
        <v>0</v>
      </c>
    </row>
    <row r="1497" spans="1:12" x14ac:dyDescent="0.25">
      <c r="B1497" s="293"/>
      <c r="C1497" s="293"/>
      <c r="D1497" s="293"/>
      <c r="E1497" s="293"/>
      <c r="F1497" s="293"/>
      <c r="G1497" s="293"/>
      <c r="H1497" s="293"/>
      <c r="I1497" s="293"/>
      <c r="J1497" s="293"/>
      <c r="L1497" s="293">
        <f t="shared" si="167"/>
        <v>0</v>
      </c>
    </row>
    <row r="1498" spans="1:12" x14ac:dyDescent="0.25">
      <c r="A1498" s="280" t="s">
        <v>4366</v>
      </c>
      <c r="B1498" s="293"/>
      <c r="C1498" s="293"/>
      <c r="D1498" s="293"/>
      <c r="E1498" s="293"/>
      <c r="F1498" s="293"/>
      <c r="G1498" s="293"/>
      <c r="H1498" s="293"/>
      <c r="I1498" s="293"/>
      <c r="J1498" s="293"/>
      <c r="L1498" s="293">
        <f t="shared" si="167"/>
        <v>0</v>
      </c>
    </row>
    <row r="1499" spans="1:12" x14ac:dyDescent="0.25">
      <c r="B1499" s="293"/>
      <c r="C1499" s="293"/>
      <c r="D1499" s="293"/>
      <c r="E1499" s="293"/>
      <c r="F1499" s="293"/>
      <c r="G1499" s="293"/>
      <c r="H1499" s="293"/>
      <c r="I1499" s="293"/>
      <c r="J1499" s="293"/>
      <c r="L1499" s="293">
        <f t="shared" si="167"/>
        <v>0</v>
      </c>
    </row>
    <row r="1500" spans="1:12" x14ac:dyDescent="0.25">
      <c r="A1500" s="47" t="s">
        <v>4260</v>
      </c>
      <c r="B1500" s="293"/>
      <c r="C1500" s="293"/>
      <c r="D1500" s="293"/>
      <c r="E1500" s="293"/>
      <c r="F1500" s="293"/>
      <c r="G1500" s="293"/>
      <c r="H1500" s="293"/>
      <c r="I1500" s="293"/>
      <c r="J1500" s="293"/>
      <c r="L1500" s="293">
        <f t="shared" si="167"/>
        <v>0</v>
      </c>
    </row>
    <row r="1501" spans="1:12" x14ac:dyDescent="0.25">
      <c r="A1501" t="s">
        <v>4262</v>
      </c>
      <c r="B1501" s="293"/>
      <c r="C1501" s="293"/>
      <c r="D1501" s="293"/>
      <c r="E1501" s="293"/>
      <c r="F1501" s="293"/>
      <c r="G1501" s="293"/>
      <c r="H1501" s="293"/>
      <c r="I1501" s="293"/>
      <c r="J1501" s="293"/>
      <c r="L1501" s="293">
        <f t="shared" si="167"/>
        <v>0</v>
      </c>
    </row>
    <row r="1502" spans="1:12" x14ac:dyDescent="0.25">
      <c r="A1502" t="s">
        <v>4261</v>
      </c>
      <c r="B1502" s="293">
        <f>capitalrevdata!F58</f>
        <v>300</v>
      </c>
      <c r="C1502" s="293">
        <f>capitalrevdata!G58</f>
        <v>300</v>
      </c>
      <c r="D1502" s="293">
        <f>capitalrevdata!H58</f>
        <v>200</v>
      </c>
      <c r="E1502" s="293">
        <f>capitalrevdata!I58</f>
        <v>200</v>
      </c>
      <c r="F1502" s="293">
        <f>capitalrevdata!J58</f>
        <v>200</v>
      </c>
      <c r="G1502" s="293">
        <f>capitalrevdata!K58</f>
        <v>200</v>
      </c>
      <c r="H1502" s="293">
        <f>capitalrevdata!L58</f>
        <v>200</v>
      </c>
      <c r="I1502" s="293">
        <f>capitalrevdata!M58</f>
        <v>200</v>
      </c>
      <c r="J1502" s="293">
        <f>capitalrevdata!N58</f>
        <v>200</v>
      </c>
      <c r="L1502" s="293">
        <f t="shared" si="167"/>
        <v>200</v>
      </c>
    </row>
    <row r="1503" spans="1:12" x14ac:dyDescent="0.25">
      <c r="A1503" t="s">
        <v>66</v>
      </c>
      <c r="B1503" s="293"/>
      <c r="C1503" s="293"/>
      <c r="D1503" s="293"/>
      <c r="E1503" s="293"/>
      <c r="F1503" s="293"/>
      <c r="G1503" s="293"/>
      <c r="H1503" s="293"/>
      <c r="I1503" s="293"/>
      <c r="J1503" s="293"/>
      <c r="L1503" s="293">
        <f t="shared" si="167"/>
        <v>0</v>
      </c>
    </row>
    <row r="1504" spans="1:12" x14ac:dyDescent="0.25">
      <c r="B1504" s="293"/>
      <c r="C1504" s="293"/>
      <c r="D1504" s="293"/>
      <c r="E1504" s="293"/>
      <c r="F1504" s="293"/>
      <c r="G1504" s="293"/>
      <c r="H1504" s="293"/>
      <c r="I1504" s="293"/>
      <c r="J1504" s="293"/>
      <c r="L1504" s="293">
        <f t="shared" si="167"/>
        <v>0</v>
      </c>
    </row>
    <row r="1505" spans="1:12" x14ac:dyDescent="0.25">
      <c r="B1505" s="293"/>
      <c r="C1505" s="293"/>
      <c r="D1505" s="293"/>
      <c r="E1505" s="293"/>
      <c r="F1505" s="293"/>
      <c r="G1505" s="293"/>
      <c r="H1505" s="293"/>
      <c r="I1505" s="293"/>
      <c r="J1505" s="293"/>
      <c r="L1505" s="293">
        <f t="shared" si="167"/>
        <v>0</v>
      </c>
    </row>
    <row r="1506" spans="1:12" x14ac:dyDescent="0.25">
      <c r="B1506" s="293"/>
      <c r="C1506" s="293"/>
      <c r="D1506" s="293"/>
      <c r="E1506" s="293"/>
      <c r="F1506" s="293"/>
      <c r="G1506" s="293"/>
      <c r="H1506" s="293"/>
      <c r="I1506" s="293"/>
      <c r="J1506" s="293"/>
      <c r="L1506" s="293">
        <f t="shared" si="167"/>
        <v>0</v>
      </c>
    </row>
    <row r="1507" spans="1:12" x14ac:dyDescent="0.25">
      <c r="B1507" s="293"/>
      <c r="C1507" s="293"/>
      <c r="D1507" s="293"/>
      <c r="E1507" s="293"/>
      <c r="F1507" s="293"/>
      <c r="G1507" s="293"/>
      <c r="H1507" s="293"/>
      <c r="I1507" s="293"/>
      <c r="J1507" s="293"/>
      <c r="L1507" s="293">
        <f t="shared" si="167"/>
        <v>0</v>
      </c>
    </row>
    <row r="1508" spans="1:12" x14ac:dyDescent="0.25">
      <c r="A1508" s="47" t="s">
        <v>4263</v>
      </c>
      <c r="B1508" s="296">
        <f>SUM(B1498:B1507)</f>
        <v>300</v>
      </c>
      <c r="C1508" s="296">
        <f t="shared" ref="C1508" si="168">SUM(C1498:C1507)</f>
        <v>300</v>
      </c>
      <c r="D1508" s="296">
        <f t="shared" ref="D1508" si="169">SUM(D1498:D1507)</f>
        <v>200</v>
      </c>
      <c r="E1508" s="296">
        <f t="shared" ref="E1508" si="170">SUM(E1498:E1507)</f>
        <v>200</v>
      </c>
      <c r="F1508" s="296">
        <f t="shared" ref="F1508" si="171">SUM(F1498:F1507)</f>
        <v>200</v>
      </c>
      <c r="G1508" s="296">
        <f t="shared" ref="G1508" si="172">SUM(G1498:G1507)</f>
        <v>200</v>
      </c>
      <c r="H1508" s="296">
        <f t="shared" ref="H1508" si="173">SUM(H1498:H1507)</f>
        <v>200</v>
      </c>
      <c r="I1508" s="296">
        <f t="shared" ref="I1508" si="174">SUM(I1498:I1507)</f>
        <v>200</v>
      </c>
      <c r="J1508" s="296">
        <f t="shared" ref="J1508" si="175">SUM(J1498:J1507)</f>
        <v>200</v>
      </c>
      <c r="L1508" s="293"/>
    </row>
    <row r="1509" spans="1:12" x14ac:dyDescent="0.25">
      <c r="B1509" s="293"/>
      <c r="C1509" s="293"/>
      <c r="D1509" s="293"/>
      <c r="E1509" s="293"/>
      <c r="F1509" s="293"/>
      <c r="G1509" s="293"/>
      <c r="H1509" s="293"/>
      <c r="I1509" s="293"/>
      <c r="J1509" s="293"/>
      <c r="L1509" s="293">
        <f t="shared" si="167"/>
        <v>0</v>
      </c>
    </row>
    <row r="1510" spans="1:12" x14ac:dyDescent="0.25">
      <c r="A1510" s="47" t="s">
        <v>4264</v>
      </c>
      <c r="B1510" s="293"/>
      <c r="C1510" s="293"/>
      <c r="D1510" s="293"/>
      <c r="E1510" s="293"/>
      <c r="F1510" s="293"/>
      <c r="G1510" s="293"/>
      <c r="H1510" s="293"/>
      <c r="I1510" s="293"/>
      <c r="J1510" s="293"/>
      <c r="L1510" s="293">
        <f t="shared" si="167"/>
        <v>0</v>
      </c>
    </row>
    <row r="1511" spans="1:12" x14ac:dyDescent="0.25">
      <c r="A1511" t="s">
        <v>87</v>
      </c>
      <c r="B1511" s="293"/>
      <c r="C1511" s="293"/>
      <c r="D1511" s="293"/>
      <c r="E1511" s="293"/>
      <c r="F1511" s="293"/>
      <c r="G1511" s="293"/>
      <c r="H1511" s="293"/>
      <c r="I1511" s="293"/>
      <c r="J1511" s="293"/>
      <c r="L1511" s="293">
        <f t="shared" si="167"/>
        <v>0</v>
      </c>
    </row>
    <row r="1512" spans="1:12" x14ac:dyDescent="0.25">
      <c r="A1512" t="s">
        <v>4265</v>
      </c>
      <c r="B1512" s="293"/>
      <c r="C1512" s="293"/>
      <c r="D1512" s="293"/>
      <c r="E1512" s="293"/>
      <c r="F1512" s="293"/>
      <c r="G1512" s="293"/>
      <c r="H1512" s="293"/>
      <c r="I1512" s="293"/>
      <c r="J1512" s="293"/>
      <c r="L1512" s="293">
        <f t="shared" si="167"/>
        <v>0</v>
      </c>
    </row>
    <row r="1513" spans="1:12" x14ac:dyDescent="0.25">
      <c r="B1513" s="293"/>
      <c r="C1513" s="293"/>
      <c r="D1513" s="293"/>
      <c r="E1513" s="293"/>
      <c r="F1513" s="293"/>
      <c r="G1513" s="293"/>
      <c r="H1513" s="293"/>
      <c r="I1513" s="293"/>
      <c r="J1513" s="293"/>
      <c r="L1513" s="293">
        <f t="shared" si="167"/>
        <v>0</v>
      </c>
    </row>
    <row r="1514" spans="1:12" x14ac:dyDescent="0.25">
      <c r="B1514" s="293"/>
      <c r="C1514" s="293"/>
      <c r="D1514" s="293"/>
      <c r="E1514" s="293"/>
      <c r="F1514" s="293"/>
      <c r="G1514" s="293"/>
      <c r="H1514" s="293"/>
      <c r="I1514" s="293"/>
      <c r="J1514" s="293"/>
      <c r="L1514" s="293">
        <f t="shared" si="167"/>
        <v>0</v>
      </c>
    </row>
    <row r="1515" spans="1:12" x14ac:dyDescent="0.25">
      <c r="B1515" s="293"/>
      <c r="C1515" s="293"/>
      <c r="D1515" s="293"/>
      <c r="E1515" s="293"/>
      <c r="F1515" s="293"/>
      <c r="G1515" s="293"/>
      <c r="H1515" s="293"/>
      <c r="I1515" s="293"/>
      <c r="J1515" s="293"/>
      <c r="L1515" s="293">
        <f t="shared" si="167"/>
        <v>0</v>
      </c>
    </row>
    <row r="1516" spans="1:12" x14ac:dyDescent="0.25">
      <c r="B1516" s="293"/>
      <c r="C1516" s="293"/>
      <c r="D1516" s="293"/>
      <c r="E1516" s="293"/>
      <c r="F1516" s="293"/>
      <c r="G1516" s="293"/>
      <c r="H1516" s="293"/>
      <c r="I1516" s="293"/>
      <c r="J1516" s="293"/>
      <c r="L1516" s="293">
        <f t="shared" si="167"/>
        <v>0</v>
      </c>
    </row>
    <row r="1517" spans="1:12" x14ac:dyDescent="0.25">
      <c r="A1517" t="s">
        <v>4266</v>
      </c>
      <c r="B1517" s="293"/>
      <c r="C1517" s="293"/>
      <c r="D1517" s="293"/>
      <c r="E1517" s="293"/>
      <c r="F1517" s="293"/>
      <c r="G1517" s="293"/>
      <c r="H1517" s="293"/>
      <c r="I1517" s="293"/>
      <c r="J1517" s="293"/>
      <c r="L1517" s="293">
        <f t="shared" si="167"/>
        <v>0</v>
      </c>
    </row>
    <row r="1518" spans="1:12" x14ac:dyDescent="0.25">
      <c r="A1518" t="s">
        <v>66</v>
      </c>
      <c r="B1518" s="293"/>
      <c r="C1518" s="293"/>
      <c r="D1518" s="293"/>
      <c r="E1518" s="293"/>
      <c r="F1518" s="293"/>
      <c r="G1518" s="293"/>
      <c r="H1518" s="293"/>
      <c r="I1518" s="293"/>
      <c r="J1518" s="293"/>
      <c r="L1518" s="293">
        <f t="shared" si="167"/>
        <v>0</v>
      </c>
    </row>
    <row r="1519" spans="1:12" x14ac:dyDescent="0.25">
      <c r="B1519" s="293"/>
      <c r="C1519" s="293"/>
      <c r="D1519" s="293"/>
      <c r="E1519" s="293"/>
      <c r="F1519" s="293"/>
      <c r="G1519" s="293"/>
      <c r="H1519" s="293"/>
      <c r="I1519" s="293"/>
      <c r="J1519" s="293"/>
      <c r="L1519" s="293">
        <f t="shared" si="167"/>
        <v>0</v>
      </c>
    </row>
    <row r="1520" spans="1:12" x14ac:dyDescent="0.25">
      <c r="B1520" s="293"/>
      <c r="C1520" s="293"/>
      <c r="D1520" s="293"/>
      <c r="E1520" s="293"/>
      <c r="F1520" s="293"/>
      <c r="G1520" s="293"/>
      <c r="H1520" s="293"/>
      <c r="I1520" s="293"/>
      <c r="J1520" s="293"/>
      <c r="L1520" s="293">
        <f t="shared" si="167"/>
        <v>0</v>
      </c>
    </row>
    <row r="1521" spans="1:12" x14ac:dyDescent="0.25">
      <c r="B1521" s="293"/>
      <c r="C1521" s="293"/>
      <c r="D1521" s="293"/>
      <c r="E1521" s="293"/>
      <c r="F1521" s="293"/>
      <c r="G1521" s="293"/>
      <c r="H1521" s="293"/>
      <c r="I1521" s="293"/>
      <c r="J1521" s="293"/>
      <c r="L1521" s="293">
        <f t="shared" si="167"/>
        <v>0</v>
      </c>
    </row>
    <row r="1522" spans="1:12" x14ac:dyDescent="0.25">
      <c r="B1522" s="293"/>
      <c r="C1522" s="293"/>
      <c r="D1522" s="293"/>
      <c r="E1522" s="293"/>
      <c r="F1522" s="293"/>
      <c r="G1522" s="293"/>
      <c r="H1522" s="293"/>
      <c r="I1522" s="293"/>
      <c r="J1522" s="293"/>
      <c r="L1522" s="293">
        <f t="shared" si="167"/>
        <v>0</v>
      </c>
    </row>
    <row r="1523" spans="1:12" x14ac:dyDescent="0.25">
      <c r="A1523" s="47" t="s">
        <v>4267</v>
      </c>
      <c r="B1523" s="296">
        <f>SUM(B1511:B1522)</f>
        <v>0</v>
      </c>
      <c r="C1523" s="296">
        <f t="shared" ref="C1523" si="176">SUM(C1511:C1522)</f>
        <v>0</v>
      </c>
      <c r="D1523" s="296">
        <f t="shared" ref="D1523" si="177">SUM(D1511:D1522)</f>
        <v>0</v>
      </c>
      <c r="E1523" s="296">
        <f t="shared" ref="E1523" si="178">SUM(E1511:E1522)</f>
        <v>0</v>
      </c>
      <c r="F1523" s="296">
        <f t="shared" ref="F1523" si="179">SUM(F1511:F1522)</f>
        <v>0</v>
      </c>
      <c r="G1523" s="296">
        <f t="shared" ref="G1523" si="180">SUM(G1511:G1522)</f>
        <v>0</v>
      </c>
      <c r="H1523" s="296">
        <f t="shared" ref="H1523" si="181">SUM(H1511:H1522)</f>
        <v>0</v>
      </c>
      <c r="I1523" s="296">
        <f t="shared" ref="I1523" si="182">SUM(I1511:I1522)</f>
        <v>0</v>
      </c>
      <c r="J1523" s="296">
        <f t="shared" ref="J1523" si="183">SUM(J1511:J1522)</f>
        <v>0</v>
      </c>
      <c r="L1523" s="293">
        <f t="shared" si="167"/>
        <v>0</v>
      </c>
    </row>
    <row r="1524" spans="1:12" x14ac:dyDescent="0.25">
      <c r="B1524" s="293"/>
      <c r="C1524" s="293"/>
      <c r="D1524" s="293"/>
      <c r="E1524" s="293"/>
      <c r="F1524" s="293"/>
      <c r="G1524" s="293"/>
      <c r="H1524" s="293"/>
      <c r="I1524" s="293"/>
      <c r="J1524" s="293"/>
      <c r="L1524" s="293">
        <f t="shared" si="167"/>
        <v>0</v>
      </c>
    </row>
    <row r="1525" spans="1:12" ht="15.75" thickBot="1" x14ac:dyDescent="0.3">
      <c r="A1525" s="47" t="s">
        <v>4268</v>
      </c>
      <c r="B1525" s="301">
        <f>B1508-B1523</f>
        <v>300</v>
      </c>
      <c r="C1525" s="301">
        <f t="shared" ref="C1525:J1525" si="184">C1508-C1523</f>
        <v>300</v>
      </c>
      <c r="D1525" s="301">
        <f t="shared" si="184"/>
        <v>200</v>
      </c>
      <c r="E1525" s="301">
        <f t="shared" si="184"/>
        <v>200</v>
      </c>
      <c r="F1525" s="301">
        <f t="shared" si="184"/>
        <v>200</v>
      </c>
      <c r="G1525" s="301">
        <f t="shared" si="184"/>
        <v>200</v>
      </c>
      <c r="H1525" s="301">
        <f t="shared" si="184"/>
        <v>200</v>
      </c>
      <c r="I1525" s="301">
        <f t="shared" si="184"/>
        <v>200</v>
      </c>
      <c r="J1525" s="301">
        <f t="shared" si="184"/>
        <v>200</v>
      </c>
      <c r="L1525" s="293"/>
    </row>
    <row r="1526" spans="1:12" ht="15.75" thickTop="1" x14ac:dyDescent="0.25">
      <c r="B1526" s="293"/>
      <c r="C1526" s="293"/>
      <c r="D1526" s="293"/>
      <c r="E1526" s="293"/>
      <c r="F1526" s="293"/>
      <c r="G1526" s="293"/>
      <c r="H1526" s="293"/>
      <c r="I1526" s="293"/>
      <c r="J1526" s="293"/>
      <c r="L1526" s="293">
        <f t="shared" si="167"/>
        <v>0</v>
      </c>
    </row>
    <row r="1527" spans="1:12" x14ac:dyDescent="0.25">
      <c r="A1527" s="281"/>
      <c r="B1527" s="316"/>
      <c r="C1527" s="316"/>
      <c r="D1527" s="316"/>
      <c r="E1527" s="316"/>
      <c r="F1527" s="316"/>
      <c r="G1527" s="316"/>
      <c r="H1527" s="316"/>
      <c r="I1527" s="316"/>
      <c r="J1527" s="316"/>
      <c r="L1527" s="293">
        <f t="shared" si="167"/>
        <v>0</v>
      </c>
    </row>
    <row r="1528" spans="1:12" x14ac:dyDescent="0.25">
      <c r="B1528" s="293"/>
      <c r="C1528" s="293"/>
      <c r="D1528" s="293"/>
      <c r="E1528" s="293"/>
      <c r="F1528" s="293"/>
      <c r="G1528" s="293"/>
      <c r="H1528" s="293"/>
      <c r="I1528" s="293"/>
      <c r="J1528" s="293"/>
      <c r="L1528" s="293">
        <f t="shared" si="167"/>
        <v>0</v>
      </c>
    </row>
    <row r="1529" spans="1:12" x14ac:dyDescent="0.25">
      <c r="A1529" s="280" t="s">
        <v>4367</v>
      </c>
      <c r="B1529" s="293"/>
      <c r="C1529" s="293"/>
      <c r="D1529" s="293"/>
      <c r="E1529" s="293"/>
      <c r="F1529" s="293"/>
      <c r="G1529" s="293"/>
      <c r="H1529" s="293"/>
      <c r="I1529" s="293"/>
      <c r="J1529" s="293"/>
      <c r="L1529" s="293">
        <f t="shared" si="167"/>
        <v>0</v>
      </c>
    </row>
    <row r="1530" spans="1:12" x14ac:dyDescent="0.25">
      <c r="B1530" s="293"/>
      <c r="C1530" s="293"/>
      <c r="D1530" s="293"/>
      <c r="E1530" s="293"/>
      <c r="F1530" s="293"/>
      <c r="G1530" s="293"/>
      <c r="H1530" s="293"/>
      <c r="I1530" s="293"/>
      <c r="J1530" s="293"/>
      <c r="L1530" s="293">
        <f t="shared" si="167"/>
        <v>0</v>
      </c>
    </row>
    <row r="1531" spans="1:12" x14ac:dyDescent="0.25">
      <c r="A1531" s="47" t="s">
        <v>4260</v>
      </c>
      <c r="B1531" s="293"/>
      <c r="C1531" s="293"/>
      <c r="D1531" s="293"/>
      <c r="E1531" s="293"/>
      <c r="F1531" s="293"/>
      <c r="G1531" s="293"/>
      <c r="H1531" s="293"/>
      <c r="I1531" s="293"/>
      <c r="J1531" s="293"/>
      <c r="L1531" s="293">
        <f t="shared" si="167"/>
        <v>0</v>
      </c>
    </row>
    <row r="1532" spans="1:12" x14ac:dyDescent="0.25">
      <c r="A1532" t="s">
        <v>4262</v>
      </c>
      <c r="B1532" s="293"/>
      <c r="C1532" s="293"/>
      <c r="D1532" s="293"/>
      <c r="E1532" s="293"/>
      <c r="F1532" s="293"/>
      <c r="G1532" s="293"/>
      <c r="H1532" s="293"/>
      <c r="I1532" s="293"/>
      <c r="J1532" s="293"/>
      <c r="L1532" s="293">
        <f t="shared" si="167"/>
        <v>0</v>
      </c>
    </row>
    <row r="1533" spans="1:12" x14ac:dyDescent="0.25">
      <c r="A1533" t="s">
        <v>4261</v>
      </c>
      <c r="B1533" s="293">
        <f>capitalrevdata!F59</f>
        <v>6900</v>
      </c>
      <c r="C1533" s="293">
        <f>capitalrevdata!G59</f>
        <v>5500</v>
      </c>
      <c r="D1533" s="293">
        <f>capitalrevdata!H59</f>
        <v>4600</v>
      </c>
      <c r="E1533" s="293">
        <f>capitalrevdata!I59</f>
        <v>4600</v>
      </c>
      <c r="F1533" s="293">
        <f>capitalrevdata!J59</f>
        <v>4600</v>
      </c>
      <c r="G1533" s="293">
        <f>capitalrevdata!K59</f>
        <v>3700</v>
      </c>
      <c r="H1533" s="293">
        <f>capitalrevdata!L59</f>
        <v>3700</v>
      </c>
      <c r="I1533" s="293">
        <f>capitalrevdata!M59</f>
        <v>3700</v>
      </c>
      <c r="J1533" s="293">
        <f>capitalrevdata!N59</f>
        <v>3700</v>
      </c>
      <c r="L1533" s="293">
        <f t="shared" si="167"/>
        <v>3700</v>
      </c>
    </row>
    <row r="1534" spans="1:12" x14ac:dyDescent="0.25">
      <c r="A1534" t="s">
        <v>66</v>
      </c>
      <c r="B1534" s="293"/>
      <c r="C1534" s="293"/>
      <c r="D1534" s="293"/>
      <c r="E1534" s="293"/>
      <c r="F1534" s="293"/>
      <c r="G1534" s="293"/>
      <c r="H1534" s="293"/>
      <c r="I1534" s="293"/>
      <c r="J1534" s="293"/>
      <c r="L1534" s="293">
        <f t="shared" si="167"/>
        <v>0</v>
      </c>
    </row>
    <row r="1535" spans="1:12" x14ac:dyDescent="0.25">
      <c r="B1535" s="293"/>
      <c r="C1535" s="293"/>
      <c r="D1535" s="293"/>
      <c r="E1535" s="293"/>
      <c r="F1535" s="293"/>
      <c r="G1535" s="293"/>
      <c r="H1535" s="293"/>
      <c r="I1535" s="293"/>
      <c r="J1535" s="293"/>
      <c r="L1535" s="293">
        <f t="shared" si="167"/>
        <v>0</v>
      </c>
    </row>
    <row r="1536" spans="1:12" x14ac:dyDescent="0.25">
      <c r="B1536" s="293"/>
      <c r="C1536" s="293"/>
      <c r="D1536" s="293"/>
      <c r="E1536" s="293"/>
      <c r="F1536" s="293"/>
      <c r="G1536" s="293"/>
      <c r="H1536" s="293"/>
      <c r="I1536" s="293"/>
      <c r="J1536" s="293"/>
      <c r="L1536" s="293">
        <f t="shared" si="167"/>
        <v>0</v>
      </c>
    </row>
    <row r="1537" spans="1:12" x14ac:dyDescent="0.25">
      <c r="B1537" s="293"/>
      <c r="C1537" s="293"/>
      <c r="D1537" s="293"/>
      <c r="E1537" s="293"/>
      <c r="F1537" s="293"/>
      <c r="G1537" s="293"/>
      <c r="H1537" s="293"/>
      <c r="I1537" s="293"/>
      <c r="J1537" s="293"/>
      <c r="L1537" s="293">
        <f t="shared" si="167"/>
        <v>0</v>
      </c>
    </row>
    <row r="1538" spans="1:12" x14ac:dyDescent="0.25">
      <c r="B1538" s="293"/>
      <c r="C1538" s="293"/>
      <c r="D1538" s="293"/>
      <c r="E1538" s="293"/>
      <c r="F1538" s="293"/>
      <c r="G1538" s="293"/>
      <c r="H1538" s="293"/>
      <c r="I1538" s="293"/>
      <c r="J1538" s="293"/>
      <c r="L1538" s="293">
        <f t="shared" si="167"/>
        <v>0</v>
      </c>
    </row>
    <row r="1539" spans="1:12" x14ac:dyDescent="0.25">
      <c r="A1539" s="47" t="s">
        <v>4263</v>
      </c>
      <c r="B1539" s="296">
        <f>SUM(B1529:B1538)</f>
        <v>6900</v>
      </c>
      <c r="C1539" s="296">
        <f t="shared" ref="C1539" si="185">SUM(C1529:C1538)</f>
        <v>5500</v>
      </c>
      <c r="D1539" s="296">
        <f t="shared" ref="D1539" si="186">SUM(D1529:D1538)</f>
        <v>4600</v>
      </c>
      <c r="E1539" s="296">
        <f t="shared" ref="E1539" si="187">SUM(E1529:E1538)</f>
        <v>4600</v>
      </c>
      <c r="F1539" s="296">
        <f t="shared" ref="F1539" si="188">SUM(F1529:F1538)</f>
        <v>4600</v>
      </c>
      <c r="G1539" s="296">
        <f t="shared" ref="G1539" si="189">SUM(G1529:G1538)</f>
        <v>3700</v>
      </c>
      <c r="H1539" s="296">
        <f t="shared" ref="H1539" si="190">SUM(H1529:H1538)</f>
        <v>3700</v>
      </c>
      <c r="I1539" s="296">
        <f t="shared" ref="I1539" si="191">SUM(I1529:I1538)</f>
        <v>3700</v>
      </c>
      <c r="J1539" s="296">
        <f t="shared" ref="J1539" si="192">SUM(J1529:J1538)</f>
        <v>3700</v>
      </c>
      <c r="L1539" s="293"/>
    </row>
    <row r="1540" spans="1:12" x14ac:dyDescent="0.25">
      <c r="B1540" s="293"/>
      <c r="C1540" s="293"/>
      <c r="D1540" s="293"/>
      <c r="E1540" s="293"/>
      <c r="F1540" s="293"/>
      <c r="G1540" s="293"/>
      <c r="H1540" s="293"/>
      <c r="I1540" s="293"/>
      <c r="J1540" s="293"/>
      <c r="L1540" s="293">
        <f t="shared" si="167"/>
        <v>0</v>
      </c>
    </row>
    <row r="1541" spans="1:12" x14ac:dyDescent="0.25">
      <c r="A1541" s="47" t="s">
        <v>4264</v>
      </c>
      <c r="B1541" s="293"/>
      <c r="C1541" s="293"/>
      <c r="D1541" s="293"/>
      <c r="E1541" s="293"/>
      <c r="F1541" s="293"/>
      <c r="G1541" s="293"/>
      <c r="H1541" s="293"/>
      <c r="I1541" s="293"/>
      <c r="J1541" s="293"/>
      <c r="L1541" s="293">
        <f t="shared" si="167"/>
        <v>0</v>
      </c>
    </row>
    <row r="1542" spans="1:12" x14ac:dyDescent="0.25">
      <c r="A1542" t="s">
        <v>87</v>
      </c>
      <c r="B1542" s="293"/>
      <c r="C1542" s="293"/>
      <c r="D1542" s="293"/>
      <c r="E1542" s="293"/>
      <c r="F1542" s="293"/>
      <c r="G1542" s="293"/>
      <c r="H1542" s="293"/>
      <c r="I1542" s="293"/>
      <c r="J1542" s="293"/>
      <c r="L1542" s="293">
        <f t="shared" si="167"/>
        <v>0</v>
      </c>
    </row>
    <row r="1543" spans="1:12" x14ac:dyDescent="0.25">
      <c r="A1543" t="s">
        <v>4265</v>
      </c>
      <c r="B1543" s="293"/>
      <c r="C1543" s="293"/>
      <c r="D1543" s="293"/>
      <c r="E1543" s="293"/>
      <c r="F1543" s="293"/>
      <c r="G1543" s="293"/>
      <c r="H1543" s="293"/>
      <c r="I1543" s="293"/>
      <c r="J1543" s="293"/>
      <c r="L1543" s="293">
        <f t="shared" si="167"/>
        <v>0</v>
      </c>
    </row>
    <row r="1544" spans="1:12" x14ac:dyDescent="0.25">
      <c r="B1544" s="293"/>
      <c r="C1544" s="293"/>
      <c r="D1544" s="293"/>
      <c r="E1544" s="293"/>
      <c r="F1544" s="293"/>
      <c r="G1544" s="293"/>
      <c r="H1544" s="293"/>
      <c r="I1544" s="293"/>
      <c r="J1544" s="293"/>
      <c r="L1544" s="293">
        <f t="shared" si="167"/>
        <v>0</v>
      </c>
    </row>
    <row r="1545" spans="1:12" x14ac:dyDescent="0.25">
      <c r="B1545" s="293"/>
      <c r="C1545" s="293"/>
      <c r="D1545" s="293"/>
      <c r="E1545" s="293"/>
      <c r="F1545" s="293"/>
      <c r="G1545" s="293"/>
      <c r="H1545" s="293"/>
      <c r="I1545" s="293"/>
      <c r="J1545" s="293"/>
      <c r="L1545" s="293">
        <f t="shared" si="167"/>
        <v>0</v>
      </c>
    </row>
    <row r="1546" spans="1:12" x14ac:dyDescent="0.25">
      <c r="B1546" s="293"/>
      <c r="C1546" s="293"/>
      <c r="D1546" s="293"/>
      <c r="E1546" s="293"/>
      <c r="F1546" s="293"/>
      <c r="G1546" s="293"/>
      <c r="H1546" s="293"/>
      <c r="I1546" s="293"/>
      <c r="J1546" s="293"/>
      <c r="L1546" s="293">
        <f t="shared" si="167"/>
        <v>0</v>
      </c>
    </row>
    <row r="1547" spans="1:12" x14ac:dyDescent="0.25">
      <c r="B1547" s="293"/>
      <c r="C1547" s="293"/>
      <c r="D1547" s="293"/>
      <c r="E1547" s="293"/>
      <c r="F1547" s="293"/>
      <c r="G1547" s="293"/>
      <c r="H1547" s="293"/>
      <c r="I1547" s="293"/>
      <c r="J1547" s="293"/>
      <c r="L1547" s="293">
        <f t="shared" si="167"/>
        <v>0</v>
      </c>
    </row>
    <row r="1548" spans="1:12" x14ac:dyDescent="0.25">
      <c r="A1548" t="s">
        <v>4266</v>
      </c>
      <c r="B1548" s="293"/>
      <c r="C1548" s="293"/>
      <c r="D1548" s="293"/>
      <c r="E1548" s="293"/>
      <c r="F1548" s="293"/>
      <c r="G1548" s="293"/>
      <c r="H1548" s="293"/>
      <c r="I1548" s="293"/>
      <c r="J1548" s="293"/>
      <c r="L1548" s="293">
        <f t="shared" si="167"/>
        <v>0</v>
      </c>
    </row>
    <row r="1549" spans="1:12" x14ac:dyDescent="0.25">
      <c r="A1549" t="s">
        <v>66</v>
      </c>
      <c r="B1549" s="293"/>
      <c r="C1549" s="293"/>
      <c r="D1549" s="293"/>
      <c r="E1549" s="293"/>
      <c r="F1549" s="293"/>
      <c r="G1549" s="293"/>
      <c r="H1549" s="293"/>
      <c r="I1549" s="293"/>
      <c r="J1549" s="293"/>
      <c r="L1549" s="293">
        <f t="shared" ref="L1549:L1612" si="193">J1549</f>
        <v>0</v>
      </c>
    </row>
    <row r="1550" spans="1:12" x14ac:dyDescent="0.25">
      <c r="B1550" s="293"/>
      <c r="C1550" s="293"/>
      <c r="D1550" s="293"/>
      <c r="E1550" s="293"/>
      <c r="F1550" s="293"/>
      <c r="G1550" s="293"/>
      <c r="H1550" s="293"/>
      <c r="I1550" s="293"/>
      <c r="J1550" s="293"/>
      <c r="L1550" s="293">
        <f t="shared" si="193"/>
        <v>0</v>
      </c>
    </row>
    <row r="1551" spans="1:12" x14ac:dyDescent="0.25">
      <c r="B1551" s="293"/>
      <c r="C1551" s="293"/>
      <c r="D1551" s="293"/>
      <c r="E1551" s="293"/>
      <c r="F1551" s="293"/>
      <c r="G1551" s="293"/>
      <c r="H1551" s="293"/>
      <c r="I1551" s="293"/>
      <c r="J1551" s="293"/>
      <c r="L1551" s="293">
        <f t="shared" si="193"/>
        <v>0</v>
      </c>
    </row>
    <row r="1552" spans="1:12" x14ac:dyDescent="0.25">
      <c r="B1552" s="293"/>
      <c r="C1552" s="293"/>
      <c r="D1552" s="293"/>
      <c r="E1552" s="293"/>
      <c r="F1552" s="293"/>
      <c r="G1552" s="293"/>
      <c r="H1552" s="293"/>
      <c r="I1552" s="293"/>
      <c r="J1552" s="293"/>
      <c r="L1552" s="293">
        <f t="shared" si="193"/>
        <v>0</v>
      </c>
    </row>
    <row r="1553" spans="1:12" x14ac:dyDescent="0.25">
      <c r="B1553" s="293"/>
      <c r="C1553" s="293"/>
      <c r="D1553" s="293"/>
      <c r="E1553" s="293"/>
      <c r="F1553" s="293"/>
      <c r="G1553" s="293"/>
      <c r="H1553" s="293"/>
      <c r="I1553" s="293"/>
      <c r="J1553" s="293"/>
      <c r="L1553" s="293">
        <f t="shared" si="193"/>
        <v>0</v>
      </c>
    </row>
    <row r="1554" spans="1:12" x14ac:dyDescent="0.25">
      <c r="A1554" s="47" t="s">
        <v>4267</v>
      </c>
      <c r="B1554" s="296">
        <f>SUM(B1542:B1553)</f>
        <v>0</v>
      </c>
      <c r="C1554" s="296">
        <f t="shared" ref="C1554" si="194">SUM(C1542:C1553)</f>
        <v>0</v>
      </c>
      <c r="D1554" s="296">
        <f t="shared" ref="D1554" si="195">SUM(D1542:D1553)</f>
        <v>0</v>
      </c>
      <c r="E1554" s="296">
        <f t="shared" ref="E1554" si="196">SUM(E1542:E1553)</f>
        <v>0</v>
      </c>
      <c r="F1554" s="296">
        <f t="shared" ref="F1554" si="197">SUM(F1542:F1553)</f>
        <v>0</v>
      </c>
      <c r="G1554" s="296">
        <f t="shared" ref="G1554" si="198">SUM(G1542:G1553)</f>
        <v>0</v>
      </c>
      <c r="H1554" s="296">
        <f t="shared" ref="H1554" si="199">SUM(H1542:H1553)</f>
        <v>0</v>
      </c>
      <c r="I1554" s="296">
        <f t="shared" ref="I1554" si="200">SUM(I1542:I1553)</f>
        <v>0</v>
      </c>
      <c r="J1554" s="296">
        <f t="shared" ref="J1554" si="201">SUM(J1542:J1553)</f>
        <v>0</v>
      </c>
      <c r="L1554" s="293">
        <f t="shared" si="193"/>
        <v>0</v>
      </c>
    </row>
    <row r="1555" spans="1:12" x14ac:dyDescent="0.25">
      <c r="B1555" s="293"/>
      <c r="C1555" s="293"/>
      <c r="D1555" s="293"/>
      <c r="E1555" s="293"/>
      <c r="F1555" s="293"/>
      <c r="G1555" s="293"/>
      <c r="H1555" s="293"/>
      <c r="I1555" s="293"/>
      <c r="J1555" s="293"/>
      <c r="L1555" s="293">
        <f t="shared" si="193"/>
        <v>0</v>
      </c>
    </row>
    <row r="1556" spans="1:12" ht="15.75" thickBot="1" x14ac:dyDescent="0.3">
      <c r="A1556" s="47" t="s">
        <v>4268</v>
      </c>
      <c r="B1556" s="301">
        <f>B1539-B1554</f>
        <v>6900</v>
      </c>
      <c r="C1556" s="301">
        <f t="shared" ref="C1556:J1556" si="202">C1539-C1554</f>
        <v>5500</v>
      </c>
      <c r="D1556" s="301">
        <f t="shared" si="202"/>
        <v>4600</v>
      </c>
      <c r="E1556" s="301">
        <f t="shared" si="202"/>
        <v>4600</v>
      </c>
      <c r="F1556" s="301">
        <f t="shared" si="202"/>
        <v>4600</v>
      </c>
      <c r="G1556" s="301">
        <f t="shared" si="202"/>
        <v>3700</v>
      </c>
      <c r="H1556" s="301">
        <f t="shared" si="202"/>
        <v>3700</v>
      </c>
      <c r="I1556" s="301">
        <f t="shared" si="202"/>
        <v>3700</v>
      </c>
      <c r="J1556" s="301">
        <f t="shared" si="202"/>
        <v>3700</v>
      </c>
      <c r="L1556" s="293"/>
    </row>
    <row r="1557" spans="1:12" ht="15.75" thickTop="1" x14ac:dyDescent="0.25">
      <c r="B1557" s="293"/>
      <c r="C1557" s="293"/>
      <c r="D1557" s="293"/>
      <c r="E1557" s="293"/>
      <c r="F1557" s="293"/>
      <c r="G1557" s="293"/>
      <c r="H1557" s="293"/>
      <c r="I1557" s="293"/>
      <c r="J1557" s="293"/>
      <c r="L1557" s="293">
        <f t="shared" si="193"/>
        <v>0</v>
      </c>
    </row>
    <row r="1558" spans="1:12" x14ac:dyDescent="0.25">
      <c r="A1558" s="281"/>
      <c r="B1558" s="316"/>
      <c r="C1558" s="316"/>
      <c r="D1558" s="316"/>
      <c r="E1558" s="316"/>
      <c r="F1558" s="316"/>
      <c r="G1558" s="316"/>
      <c r="H1558" s="316"/>
      <c r="I1558" s="316"/>
      <c r="J1558" s="316"/>
      <c r="L1558" s="293">
        <f t="shared" si="193"/>
        <v>0</v>
      </c>
    </row>
    <row r="1559" spans="1:12" x14ac:dyDescent="0.25">
      <c r="B1559" s="293"/>
      <c r="C1559" s="293"/>
      <c r="D1559" s="293"/>
      <c r="E1559" s="293"/>
      <c r="F1559" s="293"/>
      <c r="G1559" s="293"/>
      <c r="H1559" s="293"/>
      <c r="I1559" s="293"/>
      <c r="J1559" s="293"/>
      <c r="L1559" s="293">
        <f t="shared" si="193"/>
        <v>0</v>
      </c>
    </row>
    <row r="1560" spans="1:12" x14ac:dyDescent="0.25">
      <c r="A1560" s="280" t="s">
        <v>4368</v>
      </c>
      <c r="B1560" s="293"/>
      <c r="C1560" s="293"/>
      <c r="D1560" s="293"/>
      <c r="E1560" s="293"/>
      <c r="F1560" s="293"/>
      <c r="G1560" s="293"/>
      <c r="H1560" s="293"/>
      <c r="I1560" s="293"/>
      <c r="J1560" s="293"/>
      <c r="L1560" s="293">
        <f t="shared" si="193"/>
        <v>0</v>
      </c>
    </row>
    <row r="1561" spans="1:12" x14ac:dyDescent="0.25">
      <c r="B1561" s="293"/>
      <c r="C1561" s="293"/>
      <c r="D1561" s="293"/>
      <c r="E1561" s="293"/>
      <c r="F1561" s="293"/>
      <c r="G1561" s="293"/>
      <c r="H1561" s="293"/>
      <c r="I1561" s="293"/>
      <c r="J1561" s="293"/>
      <c r="L1561" s="293">
        <f t="shared" si="193"/>
        <v>0</v>
      </c>
    </row>
    <row r="1562" spans="1:12" x14ac:dyDescent="0.25">
      <c r="A1562" s="47" t="s">
        <v>4260</v>
      </c>
      <c r="B1562" s="293"/>
      <c r="C1562" s="293"/>
      <c r="D1562" s="293"/>
      <c r="E1562" s="293"/>
      <c r="F1562" s="293"/>
      <c r="G1562" s="293"/>
      <c r="H1562" s="293"/>
      <c r="I1562" s="293"/>
      <c r="J1562" s="293"/>
      <c r="L1562" s="293">
        <f t="shared" si="193"/>
        <v>0</v>
      </c>
    </row>
    <row r="1563" spans="1:12" x14ac:dyDescent="0.25">
      <c r="A1563" t="s">
        <v>4262</v>
      </c>
      <c r="B1563" s="293"/>
      <c r="C1563" s="293"/>
      <c r="D1563" s="293"/>
      <c r="E1563" s="293"/>
      <c r="F1563" s="293"/>
      <c r="G1563" s="293"/>
      <c r="H1563" s="293"/>
      <c r="I1563" s="293"/>
      <c r="J1563" s="293"/>
      <c r="L1563" s="293">
        <f t="shared" si="193"/>
        <v>0</v>
      </c>
    </row>
    <row r="1564" spans="1:12" x14ac:dyDescent="0.25">
      <c r="A1564" t="s">
        <v>4261</v>
      </c>
      <c r="B1564" s="293">
        <f>capitalrevdata!F60</f>
        <v>1800</v>
      </c>
      <c r="C1564" s="293">
        <f>capitalrevdata!G60</f>
        <v>1500</v>
      </c>
      <c r="D1564" s="293">
        <f>capitalrevdata!H60</f>
        <v>1200</v>
      </c>
      <c r="E1564" s="293">
        <f>capitalrevdata!I60</f>
        <v>1200</v>
      </c>
      <c r="F1564" s="293">
        <f>capitalrevdata!J60</f>
        <v>1200</v>
      </c>
      <c r="G1564" s="293">
        <f>capitalrevdata!K60</f>
        <v>1000</v>
      </c>
      <c r="H1564" s="293">
        <f>capitalrevdata!L60</f>
        <v>1000</v>
      </c>
      <c r="I1564" s="293">
        <f>capitalrevdata!M60</f>
        <v>1000</v>
      </c>
      <c r="J1564" s="293">
        <f>capitalrevdata!N60</f>
        <v>1000</v>
      </c>
      <c r="L1564" s="293">
        <f t="shared" si="193"/>
        <v>1000</v>
      </c>
    </row>
    <row r="1565" spans="1:12" x14ac:dyDescent="0.25">
      <c r="A1565" t="s">
        <v>66</v>
      </c>
      <c r="B1565" s="293"/>
      <c r="C1565" s="293"/>
      <c r="D1565" s="293"/>
      <c r="E1565" s="293"/>
      <c r="F1565" s="293"/>
      <c r="G1565" s="293"/>
      <c r="H1565" s="293"/>
      <c r="I1565" s="293"/>
      <c r="J1565" s="293"/>
      <c r="L1565" s="293">
        <f t="shared" si="193"/>
        <v>0</v>
      </c>
    </row>
    <row r="1566" spans="1:12" x14ac:dyDescent="0.25">
      <c r="B1566" s="293"/>
      <c r="C1566" s="293"/>
      <c r="D1566" s="293"/>
      <c r="E1566" s="293"/>
      <c r="F1566" s="293"/>
      <c r="G1566" s="293"/>
      <c r="H1566" s="293"/>
      <c r="I1566" s="293"/>
      <c r="J1566" s="293"/>
      <c r="L1566" s="293">
        <f t="shared" si="193"/>
        <v>0</v>
      </c>
    </row>
    <row r="1567" spans="1:12" x14ac:dyDescent="0.25">
      <c r="B1567" s="293"/>
      <c r="C1567" s="293"/>
      <c r="D1567" s="293"/>
      <c r="E1567" s="293"/>
      <c r="F1567" s="293"/>
      <c r="G1567" s="293"/>
      <c r="H1567" s="293"/>
      <c r="I1567" s="293"/>
      <c r="J1567" s="293"/>
      <c r="L1567" s="293">
        <f t="shared" si="193"/>
        <v>0</v>
      </c>
    </row>
    <row r="1568" spans="1:12" x14ac:dyDescent="0.25">
      <c r="B1568" s="293"/>
      <c r="C1568" s="293"/>
      <c r="D1568" s="293"/>
      <c r="E1568" s="293"/>
      <c r="F1568" s="293"/>
      <c r="G1568" s="293"/>
      <c r="H1568" s="293"/>
      <c r="I1568" s="293"/>
      <c r="J1568" s="293"/>
      <c r="L1568" s="293">
        <f t="shared" si="193"/>
        <v>0</v>
      </c>
    </row>
    <row r="1569" spans="1:12" x14ac:dyDescent="0.25">
      <c r="B1569" s="293"/>
      <c r="C1569" s="293"/>
      <c r="D1569" s="293"/>
      <c r="E1569" s="293"/>
      <c r="F1569" s="293"/>
      <c r="G1569" s="293"/>
      <c r="H1569" s="293"/>
      <c r="I1569" s="293"/>
      <c r="J1569" s="293"/>
      <c r="L1569" s="293">
        <f t="shared" si="193"/>
        <v>0</v>
      </c>
    </row>
    <row r="1570" spans="1:12" x14ac:dyDescent="0.25">
      <c r="A1570" s="47" t="s">
        <v>4263</v>
      </c>
      <c r="B1570" s="296">
        <f>SUM(B1560:B1569)</f>
        <v>1800</v>
      </c>
      <c r="C1570" s="296">
        <f t="shared" ref="C1570" si="203">SUM(C1560:C1569)</f>
        <v>1500</v>
      </c>
      <c r="D1570" s="296">
        <f t="shared" ref="D1570" si="204">SUM(D1560:D1569)</f>
        <v>1200</v>
      </c>
      <c r="E1570" s="296">
        <f t="shared" ref="E1570" si="205">SUM(E1560:E1569)</f>
        <v>1200</v>
      </c>
      <c r="F1570" s="296">
        <f t="shared" ref="F1570" si="206">SUM(F1560:F1569)</f>
        <v>1200</v>
      </c>
      <c r="G1570" s="296">
        <f t="shared" ref="G1570" si="207">SUM(G1560:G1569)</f>
        <v>1000</v>
      </c>
      <c r="H1570" s="296">
        <f t="shared" ref="H1570" si="208">SUM(H1560:H1569)</f>
        <v>1000</v>
      </c>
      <c r="I1570" s="296">
        <f t="shared" ref="I1570" si="209">SUM(I1560:I1569)</f>
        <v>1000</v>
      </c>
      <c r="J1570" s="296">
        <f t="shared" ref="J1570" si="210">SUM(J1560:J1569)</f>
        <v>1000</v>
      </c>
      <c r="L1570" s="293"/>
    </row>
    <row r="1571" spans="1:12" x14ac:dyDescent="0.25">
      <c r="B1571" s="293"/>
      <c r="C1571" s="293"/>
      <c r="D1571" s="293"/>
      <c r="E1571" s="293"/>
      <c r="F1571" s="293"/>
      <c r="G1571" s="293"/>
      <c r="H1571" s="293"/>
      <c r="I1571" s="293"/>
      <c r="J1571" s="293"/>
      <c r="L1571" s="293">
        <f t="shared" si="193"/>
        <v>0</v>
      </c>
    </row>
    <row r="1572" spans="1:12" x14ac:dyDescent="0.25">
      <c r="A1572" s="47" t="s">
        <v>4264</v>
      </c>
      <c r="B1572" s="293"/>
      <c r="C1572" s="293"/>
      <c r="D1572" s="293"/>
      <c r="E1572" s="293"/>
      <c r="F1572" s="293"/>
      <c r="G1572" s="293"/>
      <c r="H1572" s="293"/>
      <c r="I1572" s="293"/>
      <c r="J1572" s="293"/>
      <c r="L1572" s="293">
        <f t="shared" si="193"/>
        <v>0</v>
      </c>
    </row>
    <row r="1573" spans="1:12" x14ac:dyDescent="0.25">
      <c r="A1573" t="s">
        <v>87</v>
      </c>
      <c r="B1573" s="293"/>
      <c r="C1573" s="293"/>
      <c r="D1573" s="293"/>
      <c r="E1573" s="293"/>
      <c r="F1573" s="293"/>
      <c r="G1573" s="293"/>
      <c r="H1573" s="293"/>
      <c r="I1573" s="293"/>
      <c r="J1573" s="293"/>
      <c r="L1573" s="293">
        <f t="shared" si="193"/>
        <v>0</v>
      </c>
    </row>
    <row r="1574" spans="1:12" x14ac:dyDescent="0.25">
      <c r="A1574" t="s">
        <v>4265</v>
      </c>
      <c r="B1574" s="293"/>
      <c r="C1574" s="293"/>
      <c r="D1574" s="293"/>
      <c r="E1574" s="293"/>
      <c r="F1574" s="293"/>
      <c r="G1574" s="293"/>
      <c r="H1574" s="293"/>
      <c r="I1574" s="293"/>
      <c r="J1574" s="293"/>
      <c r="L1574" s="293">
        <f t="shared" si="193"/>
        <v>0</v>
      </c>
    </row>
    <row r="1575" spans="1:12" x14ac:dyDescent="0.25">
      <c r="B1575" s="293"/>
      <c r="C1575" s="293"/>
      <c r="D1575" s="293"/>
      <c r="E1575" s="293"/>
      <c r="F1575" s="293"/>
      <c r="G1575" s="293"/>
      <c r="H1575" s="293"/>
      <c r="I1575" s="293"/>
      <c r="J1575" s="293"/>
      <c r="L1575" s="293">
        <f t="shared" si="193"/>
        <v>0</v>
      </c>
    </row>
    <row r="1576" spans="1:12" x14ac:dyDescent="0.25">
      <c r="B1576" s="293"/>
      <c r="C1576" s="293"/>
      <c r="D1576" s="293"/>
      <c r="E1576" s="293"/>
      <c r="F1576" s="293"/>
      <c r="G1576" s="293"/>
      <c r="H1576" s="293"/>
      <c r="I1576" s="293"/>
      <c r="J1576" s="293"/>
      <c r="L1576" s="293">
        <f t="shared" si="193"/>
        <v>0</v>
      </c>
    </row>
    <row r="1577" spans="1:12" x14ac:dyDescent="0.25">
      <c r="B1577" s="293"/>
      <c r="C1577" s="293"/>
      <c r="D1577" s="293"/>
      <c r="E1577" s="293"/>
      <c r="F1577" s="293"/>
      <c r="G1577" s="293"/>
      <c r="H1577" s="293"/>
      <c r="I1577" s="293"/>
      <c r="J1577" s="293"/>
      <c r="L1577" s="293">
        <f t="shared" si="193"/>
        <v>0</v>
      </c>
    </row>
    <row r="1578" spans="1:12" x14ac:dyDescent="0.25">
      <c r="B1578" s="293"/>
      <c r="C1578" s="293"/>
      <c r="D1578" s="293"/>
      <c r="E1578" s="293"/>
      <c r="F1578" s="293"/>
      <c r="G1578" s="293"/>
      <c r="H1578" s="293"/>
      <c r="I1578" s="293"/>
      <c r="J1578" s="293"/>
      <c r="L1578" s="293">
        <f t="shared" si="193"/>
        <v>0</v>
      </c>
    </row>
    <row r="1579" spans="1:12" x14ac:dyDescent="0.25">
      <c r="A1579" t="s">
        <v>4266</v>
      </c>
      <c r="B1579" s="293"/>
      <c r="C1579" s="293"/>
      <c r="D1579" s="293"/>
      <c r="E1579" s="293"/>
      <c r="F1579" s="293"/>
      <c r="G1579" s="293"/>
      <c r="H1579" s="293"/>
      <c r="I1579" s="293"/>
      <c r="J1579" s="293"/>
      <c r="L1579" s="293">
        <f t="shared" si="193"/>
        <v>0</v>
      </c>
    </row>
    <row r="1580" spans="1:12" x14ac:dyDescent="0.25">
      <c r="A1580" t="s">
        <v>66</v>
      </c>
      <c r="B1580" s="293"/>
      <c r="C1580" s="293"/>
      <c r="D1580" s="293"/>
      <c r="E1580" s="293"/>
      <c r="F1580" s="293"/>
      <c r="G1580" s="293"/>
      <c r="H1580" s="293"/>
      <c r="I1580" s="293"/>
      <c r="J1580" s="293"/>
      <c r="L1580" s="293">
        <f t="shared" si="193"/>
        <v>0</v>
      </c>
    </row>
    <row r="1581" spans="1:12" x14ac:dyDescent="0.25">
      <c r="B1581" s="293"/>
      <c r="C1581" s="293"/>
      <c r="D1581" s="293"/>
      <c r="E1581" s="293"/>
      <c r="F1581" s="293"/>
      <c r="G1581" s="293"/>
      <c r="H1581" s="293"/>
      <c r="I1581" s="293"/>
      <c r="J1581" s="293"/>
      <c r="L1581" s="293">
        <f t="shared" si="193"/>
        <v>0</v>
      </c>
    </row>
    <row r="1582" spans="1:12" x14ac:dyDescent="0.25">
      <c r="B1582" s="293"/>
      <c r="C1582" s="293"/>
      <c r="D1582" s="293"/>
      <c r="E1582" s="293"/>
      <c r="F1582" s="293"/>
      <c r="G1582" s="293"/>
      <c r="H1582" s="293"/>
      <c r="I1582" s="293"/>
      <c r="J1582" s="293"/>
      <c r="L1582" s="293">
        <f t="shared" si="193"/>
        <v>0</v>
      </c>
    </row>
    <row r="1583" spans="1:12" x14ac:dyDescent="0.25">
      <c r="B1583" s="293"/>
      <c r="C1583" s="293"/>
      <c r="D1583" s="293"/>
      <c r="E1583" s="293"/>
      <c r="F1583" s="293"/>
      <c r="G1583" s="293"/>
      <c r="H1583" s="293"/>
      <c r="I1583" s="293"/>
      <c r="J1583" s="293"/>
      <c r="L1583" s="293">
        <f t="shared" si="193"/>
        <v>0</v>
      </c>
    </row>
    <row r="1584" spans="1:12" x14ac:dyDescent="0.25">
      <c r="B1584" s="293"/>
      <c r="C1584" s="293"/>
      <c r="D1584" s="293"/>
      <c r="E1584" s="293"/>
      <c r="F1584" s="293"/>
      <c r="G1584" s="293"/>
      <c r="H1584" s="293"/>
      <c r="I1584" s="293"/>
      <c r="J1584" s="293"/>
      <c r="L1584" s="293">
        <f t="shared" si="193"/>
        <v>0</v>
      </c>
    </row>
    <row r="1585" spans="1:12" x14ac:dyDescent="0.25">
      <c r="A1585" s="47" t="s">
        <v>4267</v>
      </c>
      <c r="B1585" s="296">
        <f>SUM(B1573:B1584)</f>
        <v>0</v>
      </c>
      <c r="C1585" s="296">
        <f t="shared" ref="C1585" si="211">SUM(C1573:C1584)</f>
        <v>0</v>
      </c>
      <c r="D1585" s="296">
        <f t="shared" ref="D1585" si="212">SUM(D1573:D1584)</f>
        <v>0</v>
      </c>
      <c r="E1585" s="296">
        <f t="shared" ref="E1585" si="213">SUM(E1573:E1584)</f>
        <v>0</v>
      </c>
      <c r="F1585" s="296">
        <f t="shared" ref="F1585" si="214">SUM(F1573:F1584)</f>
        <v>0</v>
      </c>
      <c r="G1585" s="296">
        <f t="shared" ref="G1585" si="215">SUM(G1573:G1584)</f>
        <v>0</v>
      </c>
      <c r="H1585" s="296">
        <f t="shared" ref="H1585" si="216">SUM(H1573:H1584)</f>
        <v>0</v>
      </c>
      <c r="I1585" s="296">
        <f t="shared" ref="I1585" si="217">SUM(I1573:I1584)</f>
        <v>0</v>
      </c>
      <c r="J1585" s="296">
        <f t="shared" ref="J1585" si="218">SUM(J1573:J1584)</f>
        <v>0</v>
      </c>
      <c r="L1585" s="293">
        <f t="shared" si="193"/>
        <v>0</v>
      </c>
    </row>
    <row r="1586" spans="1:12" x14ac:dyDescent="0.25">
      <c r="B1586" s="293"/>
      <c r="C1586" s="293"/>
      <c r="D1586" s="293"/>
      <c r="E1586" s="293"/>
      <c r="F1586" s="293"/>
      <c r="G1586" s="293"/>
      <c r="H1586" s="293"/>
      <c r="I1586" s="293"/>
      <c r="J1586" s="293"/>
      <c r="L1586" s="293">
        <f t="shared" si="193"/>
        <v>0</v>
      </c>
    </row>
    <row r="1587" spans="1:12" ht="15.75" thickBot="1" x14ac:dyDescent="0.3">
      <c r="A1587" s="47" t="s">
        <v>4268</v>
      </c>
      <c r="B1587" s="301">
        <f>B1570-B1585</f>
        <v>1800</v>
      </c>
      <c r="C1587" s="301">
        <f t="shared" ref="C1587:J1587" si="219">C1570-C1585</f>
        <v>1500</v>
      </c>
      <c r="D1587" s="301">
        <f t="shared" si="219"/>
        <v>1200</v>
      </c>
      <c r="E1587" s="301">
        <f t="shared" si="219"/>
        <v>1200</v>
      </c>
      <c r="F1587" s="301">
        <f t="shared" si="219"/>
        <v>1200</v>
      </c>
      <c r="G1587" s="301">
        <f t="shared" si="219"/>
        <v>1000</v>
      </c>
      <c r="H1587" s="301">
        <f t="shared" si="219"/>
        <v>1000</v>
      </c>
      <c r="I1587" s="301">
        <f t="shared" si="219"/>
        <v>1000</v>
      </c>
      <c r="J1587" s="301">
        <f t="shared" si="219"/>
        <v>1000</v>
      </c>
      <c r="L1587" s="293"/>
    </row>
    <row r="1588" spans="1:12" ht="15.75" thickTop="1" x14ac:dyDescent="0.25">
      <c r="B1588" s="293"/>
      <c r="C1588" s="293"/>
      <c r="D1588" s="293"/>
      <c r="E1588" s="293"/>
      <c r="F1588" s="293"/>
      <c r="G1588" s="293"/>
      <c r="H1588" s="293"/>
      <c r="I1588" s="293"/>
      <c r="J1588" s="293"/>
      <c r="L1588" s="293">
        <f t="shared" si="193"/>
        <v>0</v>
      </c>
    </row>
    <row r="1589" spans="1:12" x14ac:dyDescent="0.25">
      <c r="A1589" s="281"/>
      <c r="B1589" s="316"/>
      <c r="C1589" s="316"/>
      <c r="D1589" s="316"/>
      <c r="E1589" s="316"/>
      <c r="F1589" s="316"/>
      <c r="G1589" s="316"/>
      <c r="H1589" s="316"/>
      <c r="I1589" s="316"/>
      <c r="J1589" s="316"/>
      <c r="L1589" s="293">
        <f t="shared" si="193"/>
        <v>0</v>
      </c>
    </row>
    <row r="1590" spans="1:12" x14ac:dyDescent="0.25">
      <c r="B1590" s="293"/>
      <c r="C1590" s="293"/>
      <c r="D1590" s="293"/>
      <c r="E1590" s="293"/>
      <c r="F1590" s="293"/>
      <c r="G1590" s="293"/>
      <c r="H1590" s="293"/>
      <c r="I1590" s="293"/>
      <c r="J1590" s="293"/>
      <c r="L1590" s="293">
        <f t="shared" si="193"/>
        <v>0</v>
      </c>
    </row>
    <row r="1591" spans="1:12" x14ac:dyDescent="0.25">
      <c r="A1591" s="280" t="s">
        <v>4369</v>
      </c>
      <c r="B1591" s="293"/>
      <c r="C1591" s="293"/>
      <c r="D1591" s="293"/>
      <c r="E1591" s="293"/>
      <c r="F1591" s="293"/>
      <c r="G1591" s="293"/>
      <c r="H1591" s="293"/>
      <c r="I1591" s="293"/>
      <c r="J1591" s="293"/>
      <c r="L1591" s="293">
        <f t="shared" si="193"/>
        <v>0</v>
      </c>
    </row>
    <row r="1592" spans="1:12" x14ac:dyDescent="0.25">
      <c r="B1592" s="293"/>
      <c r="C1592" s="293"/>
      <c r="D1592" s="293"/>
      <c r="E1592" s="293"/>
      <c r="F1592" s="293"/>
      <c r="G1592" s="293"/>
      <c r="H1592" s="293"/>
      <c r="I1592" s="293"/>
      <c r="J1592" s="293"/>
      <c r="L1592" s="293">
        <f t="shared" si="193"/>
        <v>0</v>
      </c>
    </row>
    <row r="1593" spans="1:12" x14ac:dyDescent="0.25">
      <c r="A1593" s="47" t="s">
        <v>4260</v>
      </c>
      <c r="B1593" s="293"/>
      <c r="C1593" s="293"/>
      <c r="D1593" s="293"/>
      <c r="E1593" s="293"/>
      <c r="F1593" s="293"/>
      <c r="G1593" s="293"/>
      <c r="H1593" s="293"/>
      <c r="I1593" s="293"/>
      <c r="J1593" s="293"/>
      <c r="L1593" s="293">
        <f t="shared" si="193"/>
        <v>0</v>
      </c>
    </row>
    <row r="1594" spans="1:12" x14ac:dyDescent="0.25">
      <c r="A1594" t="s">
        <v>4262</v>
      </c>
      <c r="B1594" s="293"/>
      <c r="C1594" s="293"/>
      <c r="D1594" s="293"/>
      <c r="E1594" s="293"/>
      <c r="F1594" s="293"/>
      <c r="G1594" s="293"/>
      <c r="H1594" s="293"/>
      <c r="I1594" s="293"/>
      <c r="J1594" s="293"/>
      <c r="L1594" s="293">
        <f t="shared" si="193"/>
        <v>0</v>
      </c>
    </row>
    <row r="1595" spans="1:12" x14ac:dyDescent="0.25">
      <c r="A1595" t="s">
        <v>4261</v>
      </c>
      <c r="B1595" s="293">
        <f>capitalrevdata!F61</f>
        <v>4000</v>
      </c>
      <c r="C1595" s="293">
        <f>capitalrevdata!G61</f>
        <v>3200</v>
      </c>
      <c r="D1595" s="293">
        <f>capitalrevdata!H61</f>
        <v>2700</v>
      </c>
      <c r="E1595" s="293">
        <f>capitalrevdata!I61</f>
        <v>2700</v>
      </c>
      <c r="F1595" s="293">
        <f>capitalrevdata!J61</f>
        <v>2700</v>
      </c>
      <c r="G1595" s="293">
        <f>capitalrevdata!K61</f>
        <v>2100</v>
      </c>
      <c r="H1595" s="293">
        <f>capitalrevdata!L61</f>
        <v>2100</v>
      </c>
      <c r="I1595" s="293">
        <f>capitalrevdata!M61</f>
        <v>2100</v>
      </c>
      <c r="J1595" s="293">
        <f>capitalrevdata!N61</f>
        <v>2100</v>
      </c>
      <c r="L1595" s="293">
        <f t="shared" si="193"/>
        <v>2100</v>
      </c>
    </row>
    <row r="1596" spans="1:12" x14ac:dyDescent="0.25">
      <c r="A1596" t="s">
        <v>66</v>
      </c>
      <c r="B1596" s="293"/>
      <c r="C1596" s="293"/>
      <c r="D1596" s="293"/>
      <c r="E1596" s="293"/>
      <c r="F1596" s="293"/>
      <c r="G1596" s="293"/>
      <c r="H1596" s="293"/>
      <c r="I1596" s="293"/>
      <c r="J1596" s="293"/>
      <c r="L1596" s="293">
        <f t="shared" si="193"/>
        <v>0</v>
      </c>
    </row>
    <row r="1597" spans="1:12" x14ac:dyDescent="0.25">
      <c r="B1597" s="293"/>
      <c r="C1597" s="293"/>
      <c r="D1597" s="293"/>
      <c r="E1597" s="293"/>
      <c r="F1597" s="293"/>
      <c r="G1597" s="293"/>
      <c r="H1597" s="293"/>
      <c r="I1597" s="293"/>
      <c r="J1597" s="293"/>
      <c r="L1597" s="293">
        <f t="shared" si="193"/>
        <v>0</v>
      </c>
    </row>
    <row r="1598" spans="1:12" x14ac:dyDescent="0.25">
      <c r="B1598" s="293"/>
      <c r="C1598" s="293"/>
      <c r="D1598" s="293"/>
      <c r="E1598" s="293"/>
      <c r="F1598" s="293"/>
      <c r="G1598" s="293"/>
      <c r="H1598" s="293"/>
      <c r="I1598" s="293"/>
      <c r="J1598" s="293"/>
      <c r="L1598" s="293">
        <f t="shared" si="193"/>
        <v>0</v>
      </c>
    </row>
    <row r="1599" spans="1:12" x14ac:dyDescent="0.25">
      <c r="B1599" s="293"/>
      <c r="C1599" s="293"/>
      <c r="D1599" s="293"/>
      <c r="E1599" s="293"/>
      <c r="F1599" s="293"/>
      <c r="G1599" s="293"/>
      <c r="H1599" s="293"/>
      <c r="I1599" s="293"/>
      <c r="J1599" s="293"/>
      <c r="L1599" s="293">
        <f t="shared" si="193"/>
        <v>0</v>
      </c>
    </row>
    <row r="1600" spans="1:12" x14ac:dyDescent="0.25">
      <c r="B1600" s="293"/>
      <c r="C1600" s="293"/>
      <c r="D1600" s="293"/>
      <c r="E1600" s="293"/>
      <c r="F1600" s="293"/>
      <c r="G1600" s="293"/>
      <c r="H1600" s="293"/>
      <c r="I1600" s="293"/>
      <c r="J1600" s="293"/>
      <c r="L1600" s="293">
        <f t="shared" si="193"/>
        <v>0</v>
      </c>
    </row>
    <row r="1601" spans="1:12" x14ac:dyDescent="0.25">
      <c r="A1601" s="47" t="s">
        <v>4263</v>
      </c>
      <c r="B1601" s="296">
        <f>SUM(B1591:B1600)</f>
        <v>4000</v>
      </c>
      <c r="C1601" s="296">
        <f t="shared" ref="C1601" si="220">SUM(C1591:C1600)</f>
        <v>3200</v>
      </c>
      <c r="D1601" s="296">
        <f t="shared" ref="D1601" si="221">SUM(D1591:D1600)</f>
        <v>2700</v>
      </c>
      <c r="E1601" s="296">
        <f t="shared" ref="E1601" si="222">SUM(E1591:E1600)</f>
        <v>2700</v>
      </c>
      <c r="F1601" s="296">
        <f t="shared" ref="F1601" si="223">SUM(F1591:F1600)</f>
        <v>2700</v>
      </c>
      <c r="G1601" s="296">
        <f t="shared" ref="G1601" si="224">SUM(G1591:G1600)</f>
        <v>2100</v>
      </c>
      <c r="H1601" s="296">
        <f t="shared" ref="H1601" si="225">SUM(H1591:H1600)</f>
        <v>2100</v>
      </c>
      <c r="I1601" s="296">
        <f t="shared" ref="I1601" si="226">SUM(I1591:I1600)</f>
        <v>2100</v>
      </c>
      <c r="J1601" s="296">
        <f t="shared" ref="J1601" si="227">SUM(J1591:J1600)</f>
        <v>2100</v>
      </c>
      <c r="L1601" s="293"/>
    </row>
    <row r="1602" spans="1:12" x14ac:dyDescent="0.25">
      <c r="B1602" s="293"/>
      <c r="C1602" s="293"/>
      <c r="D1602" s="293"/>
      <c r="E1602" s="293"/>
      <c r="F1602" s="293"/>
      <c r="G1602" s="293"/>
      <c r="H1602" s="293"/>
      <c r="I1602" s="293"/>
      <c r="J1602" s="293"/>
      <c r="L1602" s="293">
        <f t="shared" si="193"/>
        <v>0</v>
      </c>
    </row>
    <row r="1603" spans="1:12" x14ac:dyDescent="0.25">
      <c r="A1603" s="47" t="s">
        <v>4264</v>
      </c>
      <c r="B1603" s="293"/>
      <c r="C1603" s="293"/>
      <c r="D1603" s="293"/>
      <c r="E1603" s="293"/>
      <c r="F1603" s="293"/>
      <c r="G1603" s="293"/>
      <c r="H1603" s="293"/>
      <c r="I1603" s="293"/>
      <c r="J1603" s="293"/>
      <c r="L1603" s="293">
        <f t="shared" si="193"/>
        <v>0</v>
      </c>
    </row>
    <row r="1604" spans="1:12" x14ac:dyDescent="0.25">
      <c r="A1604" t="s">
        <v>87</v>
      </c>
      <c r="B1604" s="293"/>
      <c r="C1604" s="293"/>
      <c r="D1604" s="293"/>
      <c r="E1604" s="293"/>
      <c r="F1604" s="293"/>
      <c r="G1604" s="293"/>
      <c r="H1604" s="293"/>
      <c r="I1604" s="293"/>
      <c r="J1604" s="293"/>
      <c r="L1604" s="293">
        <f t="shared" si="193"/>
        <v>0</v>
      </c>
    </row>
    <row r="1605" spans="1:12" x14ac:dyDescent="0.25">
      <c r="A1605" t="s">
        <v>4265</v>
      </c>
      <c r="B1605" s="293"/>
      <c r="C1605" s="293"/>
      <c r="D1605" s="293"/>
      <c r="E1605" s="293"/>
      <c r="F1605" s="293"/>
      <c r="G1605" s="293"/>
      <c r="H1605" s="293"/>
      <c r="I1605" s="293"/>
      <c r="J1605" s="293"/>
      <c r="L1605" s="293">
        <f t="shared" si="193"/>
        <v>0</v>
      </c>
    </row>
    <row r="1606" spans="1:12" x14ac:dyDescent="0.25">
      <c r="B1606" s="293"/>
      <c r="C1606" s="293"/>
      <c r="D1606" s="293"/>
      <c r="E1606" s="293"/>
      <c r="F1606" s="293"/>
      <c r="G1606" s="293"/>
      <c r="H1606" s="293"/>
      <c r="I1606" s="293"/>
      <c r="J1606" s="293"/>
      <c r="L1606" s="293">
        <f t="shared" si="193"/>
        <v>0</v>
      </c>
    </row>
    <row r="1607" spans="1:12" x14ac:dyDescent="0.25">
      <c r="B1607" s="293"/>
      <c r="C1607" s="293"/>
      <c r="D1607" s="293"/>
      <c r="E1607" s="293"/>
      <c r="F1607" s="293"/>
      <c r="G1607" s="293"/>
      <c r="H1607" s="293"/>
      <c r="I1607" s="293"/>
      <c r="J1607" s="293"/>
      <c r="L1607" s="293">
        <f t="shared" si="193"/>
        <v>0</v>
      </c>
    </row>
    <row r="1608" spans="1:12" x14ac:dyDescent="0.25">
      <c r="B1608" s="293"/>
      <c r="C1608" s="293"/>
      <c r="D1608" s="293"/>
      <c r="E1608" s="293"/>
      <c r="F1608" s="293"/>
      <c r="G1608" s="293"/>
      <c r="H1608" s="293"/>
      <c r="I1608" s="293"/>
      <c r="J1608" s="293"/>
      <c r="L1608" s="293">
        <f t="shared" si="193"/>
        <v>0</v>
      </c>
    </row>
    <row r="1609" spans="1:12" x14ac:dyDescent="0.25">
      <c r="B1609" s="293"/>
      <c r="C1609" s="293"/>
      <c r="D1609" s="293"/>
      <c r="E1609" s="293"/>
      <c r="F1609" s="293"/>
      <c r="G1609" s="293"/>
      <c r="H1609" s="293"/>
      <c r="I1609" s="293"/>
      <c r="J1609" s="293"/>
      <c r="L1609" s="293">
        <f t="shared" si="193"/>
        <v>0</v>
      </c>
    </row>
    <row r="1610" spans="1:12" x14ac:dyDescent="0.25">
      <c r="A1610" t="s">
        <v>4266</v>
      </c>
      <c r="B1610" s="293"/>
      <c r="C1610" s="293"/>
      <c r="D1610" s="293"/>
      <c r="E1610" s="293"/>
      <c r="F1610" s="293"/>
      <c r="G1610" s="293"/>
      <c r="H1610" s="293"/>
      <c r="I1610" s="293"/>
      <c r="J1610" s="293"/>
      <c r="L1610" s="293">
        <f t="shared" si="193"/>
        <v>0</v>
      </c>
    </row>
    <row r="1611" spans="1:12" x14ac:dyDescent="0.25">
      <c r="A1611" t="s">
        <v>66</v>
      </c>
      <c r="B1611" s="293"/>
      <c r="C1611" s="293"/>
      <c r="D1611" s="293"/>
      <c r="E1611" s="293"/>
      <c r="F1611" s="293"/>
      <c r="G1611" s="293"/>
      <c r="H1611" s="293"/>
      <c r="I1611" s="293"/>
      <c r="J1611" s="293"/>
      <c r="L1611" s="293">
        <f t="shared" si="193"/>
        <v>0</v>
      </c>
    </row>
    <row r="1612" spans="1:12" x14ac:dyDescent="0.25">
      <c r="B1612" s="293"/>
      <c r="C1612" s="293"/>
      <c r="D1612" s="293"/>
      <c r="E1612" s="293"/>
      <c r="F1612" s="293"/>
      <c r="G1612" s="293"/>
      <c r="H1612" s="293"/>
      <c r="I1612" s="293"/>
      <c r="J1612" s="293"/>
      <c r="L1612" s="293">
        <f t="shared" si="193"/>
        <v>0</v>
      </c>
    </row>
    <row r="1613" spans="1:12" x14ac:dyDescent="0.25">
      <c r="B1613" s="293"/>
      <c r="C1613" s="293"/>
      <c r="D1613" s="293"/>
      <c r="E1613" s="293"/>
      <c r="F1613" s="293"/>
      <c r="G1613" s="293"/>
      <c r="H1613" s="293"/>
      <c r="I1613" s="293"/>
      <c r="J1613" s="293"/>
      <c r="L1613" s="293">
        <f t="shared" ref="L1613:L1676" si="228">J1613</f>
        <v>0</v>
      </c>
    </row>
    <row r="1614" spans="1:12" x14ac:dyDescent="0.25">
      <c r="B1614" s="293"/>
      <c r="C1614" s="293"/>
      <c r="D1614" s="293"/>
      <c r="E1614" s="293"/>
      <c r="F1614" s="293"/>
      <c r="G1614" s="293"/>
      <c r="H1614" s="293"/>
      <c r="I1614" s="293"/>
      <c r="J1614" s="293"/>
      <c r="L1614" s="293">
        <f t="shared" si="228"/>
        <v>0</v>
      </c>
    </row>
    <row r="1615" spans="1:12" x14ac:dyDescent="0.25">
      <c r="B1615" s="293"/>
      <c r="C1615" s="293"/>
      <c r="D1615" s="293"/>
      <c r="E1615" s="293"/>
      <c r="F1615" s="293"/>
      <c r="G1615" s="293"/>
      <c r="H1615" s="293"/>
      <c r="I1615" s="293"/>
      <c r="J1615" s="293"/>
      <c r="L1615" s="293">
        <f t="shared" si="228"/>
        <v>0</v>
      </c>
    </row>
    <row r="1616" spans="1:12" x14ac:dyDescent="0.25">
      <c r="A1616" s="47" t="s">
        <v>4267</v>
      </c>
      <c r="B1616" s="296">
        <f>SUM(B1604:B1615)</f>
        <v>0</v>
      </c>
      <c r="C1616" s="296">
        <f t="shared" ref="C1616" si="229">SUM(C1604:C1615)</f>
        <v>0</v>
      </c>
      <c r="D1616" s="296">
        <f t="shared" ref="D1616" si="230">SUM(D1604:D1615)</f>
        <v>0</v>
      </c>
      <c r="E1616" s="296">
        <f t="shared" ref="E1616" si="231">SUM(E1604:E1615)</f>
        <v>0</v>
      </c>
      <c r="F1616" s="296">
        <f t="shared" ref="F1616" si="232">SUM(F1604:F1615)</f>
        <v>0</v>
      </c>
      <c r="G1616" s="296">
        <f t="shared" ref="G1616" si="233">SUM(G1604:G1615)</f>
        <v>0</v>
      </c>
      <c r="H1616" s="296">
        <f t="shared" ref="H1616" si="234">SUM(H1604:H1615)</f>
        <v>0</v>
      </c>
      <c r="I1616" s="296">
        <f t="shared" ref="I1616" si="235">SUM(I1604:I1615)</f>
        <v>0</v>
      </c>
      <c r="J1616" s="296">
        <f t="shared" ref="J1616" si="236">SUM(J1604:J1615)</f>
        <v>0</v>
      </c>
      <c r="L1616" s="293">
        <f t="shared" si="228"/>
        <v>0</v>
      </c>
    </row>
    <row r="1617" spans="1:12" x14ac:dyDescent="0.25">
      <c r="B1617" s="293"/>
      <c r="C1617" s="293"/>
      <c r="D1617" s="293"/>
      <c r="E1617" s="293"/>
      <c r="F1617" s="293"/>
      <c r="G1617" s="293"/>
      <c r="H1617" s="293"/>
      <c r="I1617" s="293"/>
      <c r="J1617" s="293"/>
      <c r="L1617" s="293">
        <f t="shared" si="228"/>
        <v>0</v>
      </c>
    </row>
    <row r="1618" spans="1:12" ht="15.75" thickBot="1" x14ac:dyDescent="0.3">
      <c r="A1618" s="47" t="s">
        <v>4268</v>
      </c>
      <c r="B1618" s="301">
        <f>B1601-B1616</f>
        <v>4000</v>
      </c>
      <c r="C1618" s="301">
        <f t="shared" ref="C1618:J1618" si="237">C1601-C1616</f>
        <v>3200</v>
      </c>
      <c r="D1618" s="301">
        <f t="shared" si="237"/>
        <v>2700</v>
      </c>
      <c r="E1618" s="301">
        <f t="shared" si="237"/>
        <v>2700</v>
      </c>
      <c r="F1618" s="301">
        <f t="shared" si="237"/>
        <v>2700</v>
      </c>
      <c r="G1618" s="301">
        <f t="shared" si="237"/>
        <v>2100</v>
      </c>
      <c r="H1618" s="301">
        <f t="shared" si="237"/>
        <v>2100</v>
      </c>
      <c r="I1618" s="301">
        <f t="shared" si="237"/>
        <v>2100</v>
      </c>
      <c r="J1618" s="301">
        <f t="shared" si="237"/>
        <v>2100</v>
      </c>
      <c r="L1618" s="293"/>
    </row>
    <row r="1619" spans="1:12" ht="15.75" thickTop="1" x14ac:dyDescent="0.25">
      <c r="B1619" s="293"/>
      <c r="C1619" s="293"/>
      <c r="D1619" s="293"/>
      <c r="E1619" s="293"/>
      <c r="F1619" s="293"/>
      <c r="G1619" s="293"/>
      <c r="H1619" s="293"/>
      <c r="I1619" s="293"/>
      <c r="J1619" s="293"/>
      <c r="L1619" s="293">
        <f t="shared" si="228"/>
        <v>0</v>
      </c>
    </row>
    <row r="1620" spans="1:12" x14ac:dyDescent="0.25">
      <c r="A1620" s="281"/>
      <c r="B1620" s="316"/>
      <c r="C1620" s="316"/>
      <c r="D1620" s="316"/>
      <c r="E1620" s="316"/>
      <c r="F1620" s="316"/>
      <c r="G1620" s="316"/>
      <c r="H1620" s="316"/>
      <c r="I1620" s="316"/>
      <c r="J1620" s="316"/>
      <c r="L1620" s="293">
        <f t="shared" si="228"/>
        <v>0</v>
      </c>
    </row>
    <row r="1621" spans="1:12" x14ac:dyDescent="0.25">
      <c r="B1621" s="293"/>
      <c r="C1621" s="293"/>
      <c r="D1621" s="293"/>
      <c r="E1621" s="293"/>
      <c r="F1621" s="293"/>
      <c r="G1621" s="293"/>
      <c r="H1621" s="293"/>
      <c r="I1621" s="293"/>
      <c r="J1621" s="293"/>
      <c r="L1621" s="293">
        <f t="shared" si="228"/>
        <v>0</v>
      </c>
    </row>
    <row r="1622" spans="1:12" x14ac:dyDescent="0.25">
      <c r="A1622" s="280" t="s">
        <v>4370</v>
      </c>
      <c r="B1622" s="293"/>
      <c r="C1622" s="293"/>
      <c r="D1622" s="293"/>
      <c r="E1622" s="293"/>
      <c r="F1622" s="293"/>
      <c r="G1622" s="293"/>
      <c r="H1622" s="293"/>
      <c r="I1622" s="293"/>
      <c r="J1622" s="293"/>
      <c r="L1622" s="293">
        <f t="shared" si="228"/>
        <v>0</v>
      </c>
    </row>
    <row r="1623" spans="1:12" x14ac:dyDescent="0.25">
      <c r="B1623" s="293"/>
      <c r="C1623" s="293"/>
      <c r="D1623" s="293"/>
      <c r="E1623" s="293"/>
      <c r="F1623" s="293"/>
      <c r="G1623" s="293"/>
      <c r="H1623" s="293"/>
      <c r="I1623" s="293"/>
      <c r="J1623" s="293"/>
      <c r="L1623" s="293">
        <f t="shared" si="228"/>
        <v>0</v>
      </c>
    </row>
    <row r="1624" spans="1:12" x14ac:dyDescent="0.25">
      <c r="A1624" s="47" t="s">
        <v>4260</v>
      </c>
      <c r="B1624" s="293"/>
      <c r="C1624" s="293"/>
      <c r="D1624" s="293"/>
      <c r="E1624" s="293"/>
      <c r="F1624" s="293"/>
      <c r="G1624" s="293"/>
      <c r="H1624" s="293"/>
      <c r="I1624" s="293"/>
      <c r="J1624" s="293"/>
      <c r="L1624" s="293">
        <f t="shared" si="228"/>
        <v>0</v>
      </c>
    </row>
    <row r="1625" spans="1:12" x14ac:dyDescent="0.25">
      <c r="A1625" t="s">
        <v>4262</v>
      </c>
      <c r="B1625" s="293"/>
      <c r="C1625" s="293"/>
      <c r="D1625" s="293"/>
      <c r="E1625" s="293"/>
      <c r="F1625" s="293"/>
      <c r="G1625" s="293"/>
      <c r="H1625" s="293"/>
      <c r="I1625" s="293"/>
      <c r="J1625" s="293"/>
      <c r="L1625" s="293">
        <f t="shared" si="228"/>
        <v>0</v>
      </c>
    </row>
    <row r="1626" spans="1:12" x14ac:dyDescent="0.25">
      <c r="A1626" t="s">
        <v>4261</v>
      </c>
      <c r="B1626" s="293">
        <f>capitalrevdata!F63</f>
        <v>73100</v>
      </c>
      <c r="C1626" s="293">
        <f>capitalrevdata!G63</f>
        <v>58500</v>
      </c>
      <c r="D1626" s="293">
        <f>capitalrevdata!H63</f>
        <v>48700</v>
      </c>
      <c r="E1626" s="293">
        <f>capitalrevdata!I63</f>
        <v>48700</v>
      </c>
      <c r="F1626" s="293">
        <f>capitalrevdata!J63</f>
        <v>48700</v>
      </c>
      <c r="G1626" s="293">
        <f>capitalrevdata!K63</f>
        <v>39000</v>
      </c>
      <c r="H1626" s="293">
        <f>capitalrevdata!L63</f>
        <v>39000</v>
      </c>
      <c r="I1626" s="293">
        <f>capitalrevdata!M63</f>
        <v>39000</v>
      </c>
      <c r="J1626" s="293">
        <f>capitalrevdata!N63</f>
        <v>39000</v>
      </c>
      <c r="L1626" s="293">
        <f t="shared" si="228"/>
        <v>39000</v>
      </c>
    </row>
    <row r="1627" spans="1:12" x14ac:dyDescent="0.25">
      <c r="A1627" t="s">
        <v>66</v>
      </c>
      <c r="B1627" s="293"/>
      <c r="C1627" s="293"/>
      <c r="D1627" s="293"/>
      <c r="E1627" s="293"/>
      <c r="F1627" s="293"/>
      <c r="G1627" s="293"/>
      <c r="H1627" s="293"/>
      <c r="I1627" s="293"/>
      <c r="J1627" s="293"/>
      <c r="L1627" s="293">
        <f t="shared" si="228"/>
        <v>0</v>
      </c>
    </row>
    <row r="1628" spans="1:12" x14ac:dyDescent="0.25">
      <c r="B1628" s="293"/>
      <c r="C1628" s="293"/>
      <c r="D1628" s="293"/>
      <c r="E1628" s="293"/>
      <c r="F1628" s="293"/>
      <c r="G1628" s="293"/>
      <c r="H1628" s="293"/>
      <c r="I1628" s="293"/>
      <c r="J1628" s="293"/>
      <c r="L1628" s="293">
        <f t="shared" si="228"/>
        <v>0</v>
      </c>
    </row>
    <row r="1629" spans="1:12" x14ac:dyDescent="0.25">
      <c r="B1629" s="293"/>
      <c r="C1629" s="293"/>
      <c r="D1629" s="293"/>
      <c r="E1629" s="293"/>
      <c r="F1629" s="293"/>
      <c r="G1629" s="293"/>
      <c r="H1629" s="293"/>
      <c r="I1629" s="293"/>
      <c r="J1629" s="293"/>
      <c r="L1629" s="293">
        <f t="shared" si="228"/>
        <v>0</v>
      </c>
    </row>
    <row r="1630" spans="1:12" x14ac:dyDescent="0.25">
      <c r="B1630" s="293"/>
      <c r="C1630" s="293"/>
      <c r="D1630" s="293"/>
      <c r="E1630" s="293"/>
      <c r="F1630" s="293"/>
      <c r="G1630" s="293"/>
      <c r="H1630" s="293"/>
      <c r="I1630" s="293"/>
      <c r="J1630" s="293"/>
      <c r="L1630" s="293">
        <f t="shared" si="228"/>
        <v>0</v>
      </c>
    </row>
    <row r="1631" spans="1:12" x14ac:dyDescent="0.25">
      <c r="B1631" s="293"/>
      <c r="C1631" s="293"/>
      <c r="D1631" s="293"/>
      <c r="E1631" s="293"/>
      <c r="F1631" s="293"/>
      <c r="G1631" s="293"/>
      <c r="H1631" s="293"/>
      <c r="I1631" s="293"/>
      <c r="J1631" s="293"/>
      <c r="L1631" s="293">
        <f t="shared" si="228"/>
        <v>0</v>
      </c>
    </row>
    <row r="1632" spans="1:12" x14ac:dyDescent="0.25">
      <c r="A1632" s="47" t="s">
        <v>4263</v>
      </c>
      <c r="B1632" s="296">
        <f>SUM(B1622:B1631)</f>
        <v>73100</v>
      </c>
      <c r="C1632" s="296">
        <f t="shared" ref="C1632" si="238">SUM(C1622:C1631)</f>
        <v>58500</v>
      </c>
      <c r="D1632" s="296">
        <f t="shared" ref="D1632" si="239">SUM(D1622:D1631)</f>
        <v>48700</v>
      </c>
      <c r="E1632" s="296">
        <f t="shared" ref="E1632" si="240">SUM(E1622:E1631)</f>
        <v>48700</v>
      </c>
      <c r="F1632" s="296">
        <f t="shared" ref="F1632" si="241">SUM(F1622:F1631)</f>
        <v>48700</v>
      </c>
      <c r="G1632" s="296">
        <f t="shared" ref="G1632" si="242">SUM(G1622:G1631)</f>
        <v>39000</v>
      </c>
      <c r="H1632" s="296">
        <f t="shared" ref="H1632" si="243">SUM(H1622:H1631)</f>
        <v>39000</v>
      </c>
      <c r="I1632" s="296">
        <f t="shared" ref="I1632" si="244">SUM(I1622:I1631)</f>
        <v>39000</v>
      </c>
      <c r="J1632" s="296">
        <f t="shared" ref="J1632" si="245">SUM(J1622:J1631)</f>
        <v>39000</v>
      </c>
      <c r="L1632" s="293"/>
    </row>
    <row r="1633" spans="1:12" x14ac:dyDescent="0.25">
      <c r="B1633" s="293"/>
      <c r="C1633" s="293"/>
      <c r="D1633" s="293"/>
      <c r="E1633" s="293"/>
      <c r="F1633" s="293"/>
      <c r="G1633" s="293"/>
      <c r="H1633" s="293"/>
      <c r="I1633" s="293"/>
      <c r="J1633" s="293"/>
      <c r="L1633" s="293">
        <f t="shared" si="228"/>
        <v>0</v>
      </c>
    </row>
    <row r="1634" spans="1:12" x14ac:dyDescent="0.25">
      <c r="A1634" s="47" t="s">
        <v>4264</v>
      </c>
      <c r="B1634" s="293"/>
      <c r="C1634" s="293"/>
      <c r="D1634" s="293"/>
      <c r="E1634" s="293"/>
      <c r="F1634" s="293"/>
      <c r="G1634" s="293"/>
      <c r="H1634" s="293"/>
      <c r="I1634" s="293"/>
      <c r="J1634" s="293"/>
      <c r="L1634" s="293">
        <f t="shared" si="228"/>
        <v>0</v>
      </c>
    </row>
    <row r="1635" spans="1:12" x14ac:dyDescent="0.25">
      <c r="A1635" t="s">
        <v>87</v>
      </c>
      <c r="B1635" s="293"/>
      <c r="C1635" s="293"/>
      <c r="D1635" s="293"/>
      <c r="E1635" s="293"/>
      <c r="F1635" s="293"/>
      <c r="G1635" s="293"/>
      <c r="H1635" s="293"/>
      <c r="I1635" s="293"/>
      <c r="J1635" s="293"/>
      <c r="L1635" s="293">
        <f t="shared" si="228"/>
        <v>0</v>
      </c>
    </row>
    <row r="1636" spans="1:12" x14ac:dyDescent="0.25">
      <c r="A1636" t="s">
        <v>4265</v>
      </c>
      <c r="B1636" s="293"/>
      <c r="C1636" s="293"/>
      <c r="D1636" s="293"/>
      <c r="E1636" s="293"/>
      <c r="F1636" s="293"/>
      <c r="G1636" s="293"/>
      <c r="H1636" s="293"/>
      <c r="I1636" s="293"/>
      <c r="J1636" s="293"/>
      <c r="L1636" s="293">
        <f t="shared" si="228"/>
        <v>0</v>
      </c>
    </row>
    <row r="1637" spans="1:12" x14ac:dyDescent="0.25">
      <c r="B1637" s="293"/>
      <c r="C1637" s="293"/>
      <c r="D1637" s="293"/>
      <c r="E1637" s="293"/>
      <c r="F1637" s="293"/>
      <c r="G1637" s="293"/>
      <c r="H1637" s="293"/>
      <c r="I1637" s="293"/>
      <c r="J1637" s="293"/>
      <c r="L1637" s="293">
        <f t="shared" si="228"/>
        <v>0</v>
      </c>
    </row>
    <row r="1638" spans="1:12" x14ac:dyDescent="0.25">
      <c r="B1638" s="293"/>
      <c r="C1638" s="293"/>
      <c r="D1638" s="293"/>
      <c r="E1638" s="293"/>
      <c r="F1638" s="293"/>
      <c r="G1638" s="293"/>
      <c r="H1638" s="293"/>
      <c r="I1638" s="293"/>
      <c r="J1638" s="293"/>
      <c r="L1638" s="293">
        <f t="shared" si="228"/>
        <v>0</v>
      </c>
    </row>
    <row r="1639" spans="1:12" x14ac:dyDescent="0.25">
      <c r="B1639" s="293"/>
      <c r="C1639" s="293"/>
      <c r="D1639" s="293"/>
      <c r="E1639" s="293"/>
      <c r="F1639" s="293"/>
      <c r="G1639" s="293"/>
      <c r="H1639" s="293"/>
      <c r="I1639" s="293"/>
      <c r="J1639" s="293"/>
      <c r="L1639" s="293">
        <f t="shared" si="228"/>
        <v>0</v>
      </c>
    </row>
    <row r="1640" spans="1:12" x14ac:dyDescent="0.25">
      <c r="B1640" s="293"/>
      <c r="C1640" s="293"/>
      <c r="D1640" s="293"/>
      <c r="E1640" s="293"/>
      <c r="F1640" s="293"/>
      <c r="G1640" s="293"/>
      <c r="H1640" s="293"/>
      <c r="I1640" s="293"/>
      <c r="J1640" s="293"/>
      <c r="L1640" s="293">
        <f t="shared" si="228"/>
        <v>0</v>
      </c>
    </row>
    <row r="1641" spans="1:12" x14ac:dyDescent="0.25">
      <c r="A1641" t="s">
        <v>4266</v>
      </c>
      <c r="B1641" s="293"/>
      <c r="C1641" s="293"/>
      <c r="D1641" s="293"/>
      <c r="E1641" s="293"/>
      <c r="F1641" s="293"/>
      <c r="G1641" s="293"/>
      <c r="H1641" s="293"/>
      <c r="I1641" s="293"/>
      <c r="J1641" s="293"/>
      <c r="L1641" s="293">
        <f t="shared" si="228"/>
        <v>0</v>
      </c>
    </row>
    <row r="1642" spans="1:12" x14ac:dyDescent="0.25">
      <c r="A1642" t="s">
        <v>66</v>
      </c>
      <c r="B1642" s="293"/>
      <c r="C1642" s="293"/>
      <c r="D1642" s="293"/>
      <c r="E1642" s="293"/>
      <c r="F1642" s="293"/>
      <c r="G1642" s="293"/>
      <c r="H1642" s="293"/>
      <c r="I1642" s="293"/>
      <c r="J1642" s="293"/>
      <c r="L1642" s="293">
        <f t="shared" si="228"/>
        <v>0</v>
      </c>
    </row>
    <row r="1643" spans="1:12" x14ac:dyDescent="0.25">
      <c r="B1643" s="293"/>
      <c r="C1643" s="293"/>
      <c r="D1643" s="293"/>
      <c r="E1643" s="293"/>
      <c r="F1643" s="293"/>
      <c r="G1643" s="293"/>
      <c r="H1643" s="293"/>
      <c r="I1643" s="293"/>
      <c r="J1643" s="293"/>
      <c r="L1643" s="293">
        <f t="shared" si="228"/>
        <v>0</v>
      </c>
    </row>
    <row r="1644" spans="1:12" x14ac:dyDescent="0.25">
      <c r="B1644" s="293"/>
      <c r="C1644" s="293"/>
      <c r="D1644" s="293"/>
      <c r="E1644" s="293"/>
      <c r="F1644" s="293"/>
      <c r="G1644" s="293"/>
      <c r="H1644" s="293"/>
      <c r="I1644" s="293"/>
      <c r="J1644" s="293"/>
      <c r="L1644" s="293">
        <f t="shared" si="228"/>
        <v>0</v>
      </c>
    </row>
    <row r="1645" spans="1:12" x14ac:dyDescent="0.25">
      <c r="B1645" s="293"/>
      <c r="C1645" s="293"/>
      <c r="D1645" s="293"/>
      <c r="E1645" s="293"/>
      <c r="F1645" s="293"/>
      <c r="G1645" s="293"/>
      <c r="H1645" s="293"/>
      <c r="I1645" s="293"/>
      <c r="J1645" s="293"/>
      <c r="L1645" s="293">
        <f t="shared" si="228"/>
        <v>0</v>
      </c>
    </row>
    <row r="1646" spans="1:12" x14ac:dyDescent="0.25">
      <c r="B1646" s="293"/>
      <c r="C1646" s="293"/>
      <c r="D1646" s="293"/>
      <c r="E1646" s="293"/>
      <c r="F1646" s="293"/>
      <c r="G1646" s="293"/>
      <c r="H1646" s="293"/>
      <c r="I1646" s="293"/>
      <c r="J1646" s="293"/>
      <c r="L1646" s="293">
        <f t="shared" si="228"/>
        <v>0</v>
      </c>
    </row>
    <row r="1647" spans="1:12" x14ac:dyDescent="0.25">
      <c r="A1647" s="47" t="s">
        <v>4267</v>
      </c>
      <c r="B1647" s="296">
        <f>SUM(B1635:B1646)</f>
        <v>0</v>
      </c>
      <c r="C1647" s="296">
        <f t="shared" ref="C1647" si="246">SUM(C1635:C1646)</f>
        <v>0</v>
      </c>
      <c r="D1647" s="296">
        <f t="shared" ref="D1647" si="247">SUM(D1635:D1646)</f>
        <v>0</v>
      </c>
      <c r="E1647" s="296">
        <f t="shared" ref="E1647" si="248">SUM(E1635:E1646)</f>
        <v>0</v>
      </c>
      <c r="F1647" s="296">
        <f t="shared" ref="F1647" si="249">SUM(F1635:F1646)</f>
        <v>0</v>
      </c>
      <c r="G1647" s="296">
        <f t="shared" ref="G1647" si="250">SUM(G1635:G1646)</f>
        <v>0</v>
      </c>
      <c r="H1647" s="296">
        <f t="shared" ref="H1647" si="251">SUM(H1635:H1646)</f>
        <v>0</v>
      </c>
      <c r="I1647" s="296">
        <f t="shared" ref="I1647" si="252">SUM(I1635:I1646)</f>
        <v>0</v>
      </c>
      <c r="J1647" s="296">
        <f t="shared" ref="J1647" si="253">SUM(J1635:J1646)</f>
        <v>0</v>
      </c>
      <c r="L1647" s="293">
        <f t="shared" si="228"/>
        <v>0</v>
      </c>
    </row>
    <row r="1648" spans="1:12" x14ac:dyDescent="0.25">
      <c r="B1648" s="293"/>
      <c r="C1648" s="293"/>
      <c r="D1648" s="293"/>
      <c r="E1648" s="293"/>
      <c r="F1648" s="293"/>
      <c r="G1648" s="293"/>
      <c r="H1648" s="293"/>
      <c r="I1648" s="293"/>
      <c r="J1648" s="293"/>
      <c r="L1648" s="293">
        <f t="shared" si="228"/>
        <v>0</v>
      </c>
    </row>
    <row r="1649" spans="1:12" ht="15.75" thickBot="1" x14ac:dyDescent="0.3">
      <c r="A1649" s="47" t="s">
        <v>4268</v>
      </c>
      <c r="B1649" s="301">
        <f>B1632-B1647</f>
        <v>73100</v>
      </c>
      <c r="C1649" s="301">
        <f t="shared" ref="C1649:J1649" si="254">C1632-C1647</f>
        <v>58500</v>
      </c>
      <c r="D1649" s="301">
        <f t="shared" si="254"/>
        <v>48700</v>
      </c>
      <c r="E1649" s="301">
        <f t="shared" si="254"/>
        <v>48700</v>
      </c>
      <c r="F1649" s="301">
        <f t="shared" si="254"/>
        <v>48700</v>
      </c>
      <c r="G1649" s="301">
        <f t="shared" si="254"/>
        <v>39000</v>
      </c>
      <c r="H1649" s="301">
        <f t="shared" si="254"/>
        <v>39000</v>
      </c>
      <c r="I1649" s="301">
        <f t="shared" si="254"/>
        <v>39000</v>
      </c>
      <c r="J1649" s="301">
        <f t="shared" si="254"/>
        <v>39000</v>
      </c>
      <c r="L1649" s="293"/>
    </row>
    <row r="1650" spans="1:12" ht="15.75" thickTop="1" x14ac:dyDescent="0.25">
      <c r="B1650" s="293"/>
      <c r="C1650" s="293"/>
      <c r="D1650" s="293"/>
      <c r="E1650" s="293"/>
      <c r="F1650" s="293"/>
      <c r="G1650" s="293"/>
      <c r="H1650" s="293"/>
      <c r="I1650" s="293"/>
      <c r="J1650" s="293"/>
      <c r="L1650" s="293">
        <f t="shared" si="228"/>
        <v>0</v>
      </c>
    </row>
    <row r="1651" spans="1:12" x14ac:dyDescent="0.25">
      <c r="A1651" s="281"/>
      <c r="B1651" s="316"/>
      <c r="C1651" s="316"/>
      <c r="D1651" s="316"/>
      <c r="E1651" s="316"/>
      <c r="F1651" s="316"/>
      <c r="G1651" s="316"/>
      <c r="H1651" s="316"/>
      <c r="I1651" s="316"/>
      <c r="J1651" s="316"/>
      <c r="L1651" s="293">
        <f t="shared" si="228"/>
        <v>0</v>
      </c>
    </row>
    <row r="1652" spans="1:12" x14ac:dyDescent="0.25">
      <c r="B1652" s="293"/>
      <c r="C1652" s="293"/>
      <c r="D1652" s="293"/>
      <c r="E1652" s="293"/>
      <c r="F1652" s="293"/>
      <c r="G1652" s="293"/>
      <c r="H1652" s="293"/>
      <c r="I1652" s="293"/>
      <c r="J1652" s="293"/>
      <c r="L1652" s="293">
        <f t="shared" si="228"/>
        <v>0</v>
      </c>
    </row>
    <row r="1653" spans="1:12" x14ac:dyDescent="0.25">
      <c r="A1653" s="280" t="s">
        <v>4371</v>
      </c>
      <c r="B1653" s="293"/>
      <c r="C1653" s="293"/>
      <c r="D1653" s="293"/>
      <c r="E1653" s="293"/>
      <c r="F1653" s="293"/>
      <c r="G1653" s="293"/>
      <c r="H1653" s="293"/>
      <c r="I1653" s="293"/>
      <c r="J1653" s="293"/>
      <c r="L1653" s="293">
        <f t="shared" si="228"/>
        <v>0</v>
      </c>
    </row>
    <row r="1654" spans="1:12" x14ac:dyDescent="0.25">
      <c r="B1654" s="293"/>
      <c r="C1654" s="293"/>
      <c r="D1654" s="293"/>
      <c r="E1654" s="293"/>
      <c r="F1654" s="293"/>
      <c r="G1654" s="293"/>
      <c r="H1654" s="293"/>
      <c r="I1654" s="293"/>
      <c r="J1654" s="293"/>
      <c r="L1654" s="293">
        <f t="shared" si="228"/>
        <v>0</v>
      </c>
    </row>
    <row r="1655" spans="1:12" x14ac:dyDescent="0.25">
      <c r="A1655" s="47" t="s">
        <v>4260</v>
      </c>
      <c r="B1655" s="293"/>
      <c r="C1655" s="293"/>
      <c r="D1655" s="293"/>
      <c r="E1655" s="293"/>
      <c r="F1655" s="293"/>
      <c r="G1655" s="293"/>
      <c r="H1655" s="293"/>
      <c r="I1655" s="293"/>
      <c r="J1655" s="293"/>
      <c r="L1655" s="293">
        <f t="shared" si="228"/>
        <v>0</v>
      </c>
    </row>
    <row r="1656" spans="1:12" x14ac:dyDescent="0.25">
      <c r="A1656" t="s">
        <v>4262</v>
      </c>
      <c r="B1656" s="293"/>
      <c r="C1656" s="293"/>
      <c r="D1656" s="293"/>
      <c r="E1656" s="293"/>
      <c r="F1656" s="293"/>
      <c r="G1656" s="293"/>
      <c r="H1656" s="293"/>
      <c r="I1656" s="293"/>
      <c r="J1656" s="293"/>
      <c r="L1656" s="293">
        <f t="shared" si="228"/>
        <v>0</v>
      </c>
    </row>
    <row r="1657" spans="1:12" x14ac:dyDescent="0.25">
      <c r="A1657" t="s">
        <v>4261</v>
      </c>
      <c r="B1657" s="293">
        <f>capitalrevdata!F67</f>
        <v>0</v>
      </c>
      <c r="C1657" s="293">
        <f>capitalrevdata!G67</f>
        <v>0</v>
      </c>
      <c r="D1657" s="293">
        <f>capitalrevdata!H67</f>
        <v>0</v>
      </c>
      <c r="E1657" s="293">
        <f>capitalrevdata!I67</f>
        <v>0</v>
      </c>
      <c r="F1657" s="293">
        <f>capitalrevdata!J67</f>
        <v>0</v>
      </c>
      <c r="G1657" s="293">
        <f>capitalrevdata!K67</f>
        <v>0</v>
      </c>
      <c r="H1657" s="293">
        <f>capitalrevdata!L67</f>
        <v>0</v>
      </c>
      <c r="I1657" s="293">
        <f>capitalrevdata!M67</f>
        <v>0</v>
      </c>
      <c r="J1657" s="293">
        <f>capitalrevdata!N67</f>
        <v>0</v>
      </c>
      <c r="L1657" s="293">
        <f t="shared" si="228"/>
        <v>0</v>
      </c>
    </row>
    <row r="1658" spans="1:12" x14ac:dyDescent="0.25">
      <c r="A1658" t="s">
        <v>66</v>
      </c>
      <c r="B1658" s="293"/>
      <c r="C1658" s="293"/>
      <c r="D1658" s="293"/>
      <c r="E1658" s="293"/>
      <c r="F1658" s="293"/>
      <c r="G1658" s="293"/>
      <c r="H1658" s="293"/>
      <c r="I1658" s="293"/>
      <c r="J1658" s="293"/>
      <c r="L1658" s="293">
        <f t="shared" si="228"/>
        <v>0</v>
      </c>
    </row>
    <row r="1659" spans="1:12" x14ac:dyDescent="0.25">
      <c r="B1659" s="293"/>
      <c r="C1659" s="293"/>
      <c r="D1659" s="293"/>
      <c r="E1659" s="293"/>
      <c r="F1659" s="293"/>
      <c r="G1659" s="293"/>
      <c r="H1659" s="293"/>
      <c r="I1659" s="293"/>
      <c r="J1659" s="293"/>
      <c r="L1659" s="293">
        <f t="shared" si="228"/>
        <v>0</v>
      </c>
    </row>
    <row r="1660" spans="1:12" x14ac:dyDescent="0.25">
      <c r="B1660" s="293"/>
      <c r="C1660" s="293"/>
      <c r="D1660" s="293"/>
      <c r="E1660" s="293"/>
      <c r="F1660" s="293"/>
      <c r="G1660" s="293"/>
      <c r="H1660" s="293"/>
      <c r="I1660" s="293"/>
      <c r="J1660" s="293"/>
      <c r="L1660" s="293">
        <f t="shared" si="228"/>
        <v>0</v>
      </c>
    </row>
    <row r="1661" spans="1:12" x14ac:dyDescent="0.25">
      <c r="B1661" s="293"/>
      <c r="C1661" s="293"/>
      <c r="D1661" s="293"/>
      <c r="E1661" s="293"/>
      <c r="F1661" s="293"/>
      <c r="G1661" s="293"/>
      <c r="H1661" s="293"/>
      <c r="I1661" s="293"/>
      <c r="J1661" s="293"/>
      <c r="L1661" s="293">
        <f t="shared" si="228"/>
        <v>0</v>
      </c>
    </row>
    <row r="1662" spans="1:12" x14ac:dyDescent="0.25">
      <c r="B1662" s="293"/>
      <c r="C1662" s="293"/>
      <c r="D1662" s="293"/>
      <c r="E1662" s="293"/>
      <c r="F1662" s="293"/>
      <c r="G1662" s="293"/>
      <c r="H1662" s="293"/>
      <c r="I1662" s="293"/>
      <c r="J1662" s="293"/>
      <c r="L1662" s="293">
        <f t="shared" si="228"/>
        <v>0</v>
      </c>
    </row>
    <row r="1663" spans="1:12" x14ac:dyDescent="0.25">
      <c r="A1663" s="47" t="s">
        <v>4263</v>
      </c>
      <c r="B1663" s="296">
        <f>SUM(B1653:B1662)</f>
        <v>0</v>
      </c>
      <c r="C1663" s="296">
        <f t="shared" ref="C1663" si="255">SUM(C1653:C1662)</f>
        <v>0</v>
      </c>
      <c r="D1663" s="296">
        <f t="shared" ref="D1663" si="256">SUM(D1653:D1662)</f>
        <v>0</v>
      </c>
      <c r="E1663" s="296">
        <f t="shared" ref="E1663" si="257">SUM(E1653:E1662)</f>
        <v>0</v>
      </c>
      <c r="F1663" s="296">
        <f t="shared" ref="F1663" si="258">SUM(F1653:F1662)</f>
        <v>0</v>
      </c>
      <c r="G1663" s="296">
        <f t="shared" ref="G1663" si="259">SUM(G1653:G1662)</f>
        <v>0</v>
      </c>
      <c r="H1663" s="296">
        <f t="shared" ref="H1663" si="260">SUM(H1653:H1662)</f>
        <v>0</v>
      </c>
      <c r="I1663" s="296">
        <f t="shared" ref="I1663" si="261">SUM(I1653:I1662)</f>
        <v>0</v>
      </c>
      <c r="J1663" s="296">
        <f t="shared" ref="J1663" si="262">SUM(J1653:J1662)</f>
        <v>0</v>
      </c>
      <c r="L1663" s="293">
        <f t="shared" si="228"/>
        <v>0</v>
      </c>
    </row>
    <row r="1664" spans="1:12" x14ac:dyDescent="0.25">
      <c r="B1664" s="293"/>
      <c r="C1664" s="293"/>
      <c r="D1664" s="293"/>
      <c r="E1664" s="293"/>
      <c r="F1664" s="293"/>
      <c r="G1664" s="293"/>
      <c r="H1664" s="293"/>
      <c r="I1664" s="293"/>
      <c r="J1664" s="293"/>
      <c r="L1664" s="293">
        <f t="shared" si="228"/>
        <v>0</v>
      </c>
    </row>
    <row r="1665" spans="1:12" x14ac:dyDescent="0.25">
      <c r="A1665" s="47" t="s">
        <v>4264</v>
      </c>
      <c r="B1665" s="293"/>
      <c r="C1665" s="293"/>
      <c r="D1665" s="293"/>
      <c r="E1665" s="293"/>
      <c r="F1665" s="293"/>
      <c r="G1665" s="293"/>
      <c r="H1665" s="293"/>
      <c r="I1665" s="293"/>
      <c r="J1665" s="293"/>
      <c r="L1665" s="293">
        <f t="shared" si="228"/>
        <v>0</v>
      </c>
    </row>
    <row r="1666" spans="1:12" x14ac:dyDescent="0.25">
      <c r="A1666" t="s">
        <v>87</v>
      </c>
      <c r="B1666" s="293"/>
      <c r="C1666" s="293"/>
      <c r="D1666" s="293"/>
      <c r="E1666" s="293"/>
      <c r="F1666" s="293"/>
      <c r="G1666" s="293"/>
      <c r="H1666" s="293"/>
      <c r="I1666" s="293"/>
      <c r="J1666" s="293"/>
      <c r="L1666" s="293">
        <f t="shared" si="228"/>
        <v>0</v>
      </c>
    </row>
    <row r="1667" spans="1:12" x14ac:dyDescent="0.25">
      <c r="A1667" t="s">
        <v>4265</v>
      </c>
      <c r="B1667" s="293"/>
      <c r="C1667" s="293"/>
      <c r="D1667" s="293"/>
      <c r="E1667" s="293"/>
      <c r="F1667" s="293"/>
      <c r="G1667" s="293"/>
      <c r="H1667" s="293"/>
      <c r="I1667" s="293"/>
      <c r="J1667" s="293"/>
      <c r="L1667" s="293">
        <f t="shared" si="228"/>
        <v>0</v>
      </c>
    </row>
    <row r="1668" spans="1:12" x14ac:dyDescent="0.25">
      <c r="B1668" s="293"/>
      <c r="C1668" s="293"/>
      <c r="D1668" s="293"/>
      <c r="E1668" s="293"/>
      <c r="F1668" s="293"/>
      <c r="G1668" s="293"/>
      <c r="H1668" s="293"/>
      <c r="I1668" s="293"/>
      <c r="J1668" s="293"/>
      <c r="L1668" s="293">
        <f t="shared" si="228"/>
        <v>0</v>
      </c>
    </row>
    <row r="1669" spans="1:12" x14ac:dyDescent="0.25">
      <c r="B1669" s="293"/>
      <c r="C1669" s="293"/>
      <c r="D1669" s="293"/>
      <c r="E1669" s="293"/>
      <c r="F1669" s="293"/>
      <c r="G1669" s="293"/>
      <c r="H1669" s="293"/>
      <c r="I1669" s="293"/>
      <c r="J1669" s="293"/>
      <c r="L1669" s="293">
        <f t="shared" si="228"/>
        <v>0</v>
      </c>
    </row>
    <row r="1670" spans="1:12" x14ac:dyDescent="0.25">
      <c r="B1670" s="293"/>
      <c r="C1670" s="293"/>
      <c r="D1670" s="293"/>
      <c r="E1670" s="293"/>
      <c r="F1670" s="293"/>
      <c r="G1670" s="293"/>
      <c r="H1670" s="293"/>
      <c r="I1670" s="293"/>
      <c r="J1670" s="293"/>
      <c r="L1670" s="293">
        <f t="shared" si="228"/>
        <v>0</v>
      </c>
    </row>
    <row r="1671" spans="1:12" x14ac:dyDescent="0.25">
      <c r="B1671" s="293"/>
      <c r="C1671" s="293"/>
      <c r="D1671" s="293"/>
      <c r="E1671" s="293"/>
      <c r="F1671" s="293"/>
      <c r="G1671" s="293"/>
      <c r="H1671" s="293"/>
      <c r="I1671" s="293"/>
      <c r="J1671" s="293"/>
      <c r="L1671" s="293">
        <f t="shared" si="228"/>
        <v>0</v>
      </c>
    </row>
    <row r="1672" spans="1:12" x14ac:dyDescent="0.25">
      <c r="A1672" t="s">
        <v>4266</v>
      </c>
      <c r="B1672" s="293"/>
      <c r="C1672" s="293"/>
      <c r="D1672" s="293"/>
      <c r="E1672" s="293"/>
      <c r="F1672" s="293"/>
      <c r="G1672" s="293"/>
      <c r="H1672" s="293"/>
      <c r="I1672" s="293"/>
      <c r="J1672" s="293"/>
      <c r="L1672" s="293">
        <f t="shared" si="228"/>
        <v>0</v>
      </c>
    </row>
    <row r="1673" spans="1:12" x14ac:dyDescent="0.25">
      <c r="A1673" t="s">
        <v>66</v>
      </c>
      <c r="B1673" s="293"/>
      <c r="C1673" s="293"/>
      <c r="D1673" s="293"/>
      <c r="E1673" s="293"/>
      <c r="F1673" s="293"/>
      <c r="G1673" s="293"/>
      <c r="H1673" s="293"/>
      <c r="I1673" s="293"/>
      <c r="J1673" s="293"/>
      <c r="L1673" s="293">
        <f t="shared" si="228"/>
        <v>0</v>
      </c>
    </row>
    <row r="1674" spans="1:12" x14ac:dyDescent="0.25">
      <c r="B1674" s="293"/>
      <c r="C1674" s="293"/>
      <c r="D1674" s="293"/>
      <c r="E1674" s="293"/>
      <c r="F1674" s="293"/>
      <c r="G1674" s="293"/>
      <c r="H1674" s="293"/>
      <c r="I1674" s="293"/>
      <c r="J1674" s="293"/>
      <c r="L1674" s="293">
        <f t="shared" si="228"/>
        <v>0</v>
      </c>
    </row>
    <row r="1675" spans="1:12" x14ac:dyDescent="0.25">
      <c r="B1675" s="293"/>
      <c r="C1675" s="293"/>
      <c r="D1675" s="293"/>
      <c r="E1675" s="293"/>
      <c r="F1675" s="293"/>
      <c r="G1675" s="293"/>
      <c r="H1675" s="293"/>
      <c r="I1675" s="293"/>
      <c r="J1675" s="293"/>
      <c r="L1675" s="293">
        <f t="shared" si="228"/>
        <v>0</v>
      </c>
    </row>
    <row r="1676" spans="1:12" x14ac:dyDescent="0.25">
      <c r="B1676" s="293"/>
      <c r="C1676" s="293"/>
      <c r="D1676" s="293"/>
      <c r="E1676" s="293"/>
      <c r="F1676" s="293"/>
      <c r="G1676" s="293"/>
      <c r="H1676" s="293"/>
      <c r="I1676" s="293"/>
      <c r="J1676" s="293"/>
      <c r="L1676" s="293">
        <f t="shared" si="228"/>
        <v>0</v>
      </c>
    </row>
    <row r="1677" spans="1:12" x14ac:dyDescent="0.25">
      <c r="B1677" s="293"/>
      <c r="C1677" s="293"/>
      <c r="D1677" s="293"/>
      <c r="E1677" s="293"/>
      <c r="F1677" s="293"/>
      <c r="G1677" s="293"/>
      <c r="H1677" s="293"/>
      <c r="I1677" s="293"/>
      <c r="J1677" s="293"/>
      <c r="L1677" s="293">
        <f t="shared" ref="L1677:L1740" si="263">J1677</f>
        <v>0</v>
      </c>
    </row>
    <row r="1678" spans="1:12" x14ac:dyDescent="0.25">
      <c r="A1678" s="47" t="s">
        <v>4267</v>
      </c>
      <c r="B1678" s="296">
        <f>SUM(B1666:B1677)</f>
        <v>0</v>
      </c>
      <c r="C1678" s="296">
        <f t="shared" ref="C1678" si="264">SUM(C1666:C1677)</f>
        <v>0</v>
      </c>
      <c r="D1678" s="296">
        <f t="shared" ref="D1678" si="265">SUM(D1666:D1677)</f>
        <v>0</v>
      </c>
      <c r="E1678" s="296">
        <f t="shared" ref="E1678" si="266">SUM(E1666:E1677)</f>
        <v>0</v>
      </c>
      <c r="F1678" s="296">
        <f t="shared" ref="F1678" si="267">SUM(F1666:F1677)</f>
        <v>0</v>
      </c>
      <c r="G1678" s="296">
        <f t="shared" ref="G1678" si="268">SUM(G1666:G1677)</f>
        <v>0</v>
      </c>
      <c r="H1678" s="296">
        <f t="shared" ref="H1678" si="269">SUM(H1666:H1677)</f>
        <v>0</v>
      </c>
      <c r="I1678" s="296">
        <f t="shared" ref="I1678" si="270">SUM(I1666:I1677)</f>
        <v>0</v>
      </c>
      <c r="J1678" s="296">
        <f t="shared" ref="J1678" si="271">SUM(J1666:J1677)</f>
        <v>0</v>
      </c>
      <c r="L1678" s="293">
        <f t="shared" si="263"/>
        <v>0</v>
      </c>
    </row>
    <row r="1679" spans="1:12" x14ac:dyDescent="0.25">
      <c r="B1679" s="293"/>
      <c r="C1679" s="293"/>
      <c r="D1679" s="293"/>
      <c r="E1679" s="293"/>
      <c r="F1679" s="293"/>
      <c r="G1679" s="293"/>
      <c r="H1679" s="293"/>
      <c r="I1679" s="293"/>
      <c r="J1679" s="293"/>
      <c r="L1679" s="293">
        <f t="shared" si="263"/>
        <v>0</v>
      </c>
    </row>
    <row r="1680" spans="1:12" ht="15.75" thickBot="1" x14ac:dyDescent="0.3">
      <c r="A1680" s="47" t="s">
        <v>4268</v>
      </c>
      <c r="B1680" s="301">
        <f>B1663-B1678</f>
        <v>0</v>
      </c>
      <c r="C1680" s="301">
        <f t="shared" ref="C1680:J1680" si="272">C1663-C1678</f>
        <v>0</v>
      </c>
      <c r="D1680" s="301">
        <f t="shared" si="272"/>
        <v>0</v>
      </c>
      <c r="E1680" s="301">
        <f t="shared" si="272"/>
        <v>0</v>
      </c>
      <c r="F1680" s="301">
        <f t="shared" si="272"/>
        <v>0</v>
      </c>
      <c r="G1680" s="301">
        <f t="shared" si="272"/>
        <v>0</v>
      </c>
      <c r="H1680" s="301">
        <f t="shared" si="272"/>
        <v>0</v>
      </c>
      <c r="I1680" s="301">
        <f t="shared" si="272"/>
        <v>0</v>
      </c>
      <c r="J1680" s="301">
        <f t="shared" si="272"/>
        <v>0</v>
      </c>
      <c r="L1680" s="293">
        <f t="shared" si="263"/>
        <v>0</v>
      </c>
    </row>
    <row r="1681" spans="1:12" ht="15.75" thickTop="1" x14ac:dyDescent="0.25">
      <c r="B1681" s="293"/>
      <c r="C1681" s="293"/>
      <c r="D1681" s="293"/>
      <c r="E1681" s="293"/>
      <c r="F1681" s="293"/>
      <c r="G1681" s="293"/>
      <c r="H1681" s="293"/>
      <c r="I1681" s="293"/>
      <c r="J1681" s="293"/>
      <c r="L1681" s="293">
        <f t="shared" si="263"/>
        <v>0</v>
      </c>
    </row>
    <row r="1682" spans="1:12" x14ac:dyDescent="0.25">
      <c r="A1682" s="281"/>
      <c r="B1682" s="316"/>
      <c r="C1682" s="316"/>
      <c r="D1682" s="316"/>
      <c r="E1682" s="316"/>
      <c r="F1682" s="316"/>
      <c r="G1682" s="316"/>
      <c r="H1682" s="316"/>
      <c r="I1682" s="316"/>
      <c r="J1682" s="316"/>
      <c r="L1682" s="293">
        <f t="shared" si="263"/>
        <v>0</v>
      </c>
    </row>
    <row r="1683" spans="1:12" x14ac:dyDescent="0.25">
      <c r="B1683" s="293"/>
      <c r="C1683" s="293"/>
      <c r="D1683" s="293"/>
      <c r="E1683" s="293"/>
      <c r="F1683" s="293"/>
      <c r="G1683" s="293"/>
      <c r="H1683" s="293"/>
      <c r="I1683" s="293"/>
      <c r="J1683" s="293"/>
      <c r="L1683" s="293">
        <f t="shared" si="263"/>
        <v>0</v>
      </c>
    </row>
    <row r="1684" spans="1:12" x14ac:dyDescent="0.25">
      <c r="A1684" s="280" t="s">
        <v>4372</v>
      </c>
      <c r="B1684" s="293"/>
      <c r="C1684" s="293"/>
      <c r="D1684" s="293"/>
      <c r="E1684" s="293"/>
      <c r="F1684" s="293"/>
      <c r="G1684" s="293"/>
      <c r="H1684" s="293"/>
      <c r="I1684" s="293"/>
      <c r="J1684" s="293"/>
      <c r="L1684" s="293">
        <f t="shared" si="263"/>
        <v>0</v>
      </c>
    </row>
    <row r="1685" spans="1:12" x14ac:dyDescent="0.25">
      <c r="B1685" s="293"/>
      <c r="C1685" s="293"/>
      <c r="D1685" s="293"/>
      <c r="E1685" s="293"/>
      <c r="F1685" s="293"/>
      <c r="G1685" s="293"/>
      <c r="H1685" s="293"/>
      <c r="I1685" s="293"/>
      <c r="J1685" s="293"/>
      <c r="L1685" s="293">
        <f t="shared" si="263"/>
        <v>0</v>
      </c>
    </row>
    <row r="1686" spans="1:12" x14ac:dyDescent="0.25">
      <c r="A1686" s="47" t="s">
        <v>4260</v>
      </c>
      <c r="B1686" s="293"/>
      <c r="C1686" s="293"/>
      <c r="D1686" s="293"/>
      <c r="E1686" s="293"/>
      <c r="F1686" s="293"/>
      <c r="G1686" s="293"/>
      <c r="H1686" s="293"/>
      <c r="I1686" s="293"/>
      <c r="J1686" s="293"/>
      <c r="L1686" s="293">
        <f t="shared" si="263"/>
        <v>0</v>
      </c>
    </row>
    <row r="1687" spans="1:12" x14ac:dyDescent="0.25">
      <c r="A1687" t="s">
        <v>4262</v>
      </c>
      <c r="B1687" s="293"/>
      <c r="C1687" s="293"/>
      <c r="D1687" s="293"/>
      <c r="E1687" s="293"/>
      <c r="F1687" s="293"/>
      <c r="G1687" s="293"/>
      <c r="H1687" s="293"/>
      <c r="I1687" s="293"/>
      <c r="J1687" s="293"/>
      <c r="L1687" s="293">
        <f t="shared" si="263"/>
        <v>0</v>
      </c>
    </row>
    <row r="1688" spans="1:12" x14ac:dyDescent="0.25">
      <c r="A1688" t="s">
        <v>4261</v>
      </c>
      <c r="B1688" s="293">
        <f>capitalrevdata!F68</f>
        <v>900</v>
      </c>
      <c r="C1688" s="293">
        <f>capitalrevdata!G68</f>
        <v>700</v>
      </c>
      <c r="D1688" s="293">
        <f>capitalrevdata!H68</f>
        <v>600</v>
      </c>
      <c r="E1688" s="293">
        <f>capitalrevdata!I68</f>
        <v>600</v>
      </c>
      <c r="F1688" s="293">
        <f>capitalrevdata!J68</f>
        <v>600</v>
      </c>
      <c r="G1688" s="293">
        <f>capitalrevdata!K68</f>
        <v>500</v>
      </c>
      <c r="H1688" s="293">
        <f>capitalrevdata!L68</f>
        <v>500</v>
      </c>
      <c r="I1688" s="293">
        <f>capitalrevdata!M68</f>
        <v>500</v>
      </c>
      <c r="J1688" s="293">
        <f>capitalrevdata!N68</f>
        <v>500</v>
      </c>
      <c r="L1688" s="293"/>
    </row>
    <row r="1689" spans="1:12" x14ac:dyDescent="0.25">
      <c r="A1689" t="s">
        <v>66</v>
      </c>
      <c r="B1689" s="293"/>
      <c r="C1689" s="293"/>
      <c r="D1689" s="293"/>
      <c r="E1689" s="293"/>
      <c r="F1689" s="293"/>
      <c r="G1689" s="293"/>
      <c r="H1689" s="293"/>
      <c r="I1689" s="293"/>
      <c r="J1689" s="293"/>
      <c r="L1689" s="293">
        <f t="shared" si="263"/>
        <v>0</v>
      </c>
    </row>
    <row r="1690" spans="1:12" x14ac:dyDescent="0.25">
      <c r="B1690" s="293"/>
      <c r="C1690" s="293"/>
      <c r="D1690" s="293"/>
      <c r="E1690" s="293"/>
      <c r="F1690" s="293"/>
      <c r="G1690" s="293"/>
      <c r="H1690" s="293"/>
      <c r="I1690" s="293"/>
      <c r="J1690" s="293"/>
      <c r="L1690" s="293">
        <f t="shared" si="263"/>
        <v>0</v>
      </c>
    </row>
    <row r="1691" spans="1:12" x14ac:dyDescent="0.25">
      <c r="B1691" s="293"/>
      <c r="C1691" s="293"/>
      <c r="D1691" s="293"/>
      <c r="E1691" s="293"/>
      <c r="F1691" s="293"/>
      <c r="G1691" s="293"/>
      <c r="H1691" s="293"/>
      <c r="I1691" s="293"/>
      <c r="J1691" s="293"/>
      <c r="L1691" s="293">
        <f t="shared" si="263"/>
        <v>0</v>
      </c>
    </row>
    <row r="1692" spans="1:12" x14ac:dyDescent="0.25">
      <c r="B1692" s="293"/>
      <c r="C1692" s="293"/>
      <c r="D1692" s="293"/>
      <c r="E1692" s="293"/>
      <c r="F1692" s="293"/>
      <c r="G1692" s="293"/>
      <c r="H1692" s="293"/>
      <c r="I1692" s="293"/>
      <c r="J1692" s="293"/>
      <c r="L1692" s="293">
        <f t="shared" si="263"/>
        <v>0</v>
      </c>
    </row>
    <row r="1693" spans="1:12" x14ac:dyDescent="0.25">
      <c r="B1693" s="293"/>
      <c r="C1693" s="293"/>
      <c r="D1693" s="293"/>
      <c r="E1693" s="293"/>
      <c r="F1693" s="293"/>
      <c r="G1693" s="293"/>
      <c r="H1693" s="293"/>
      <c r="I1693" s="293"/>
      <c r="J1693" s="293"/>
      <c r="L1693" s="293">
        <f t="shared" si="263"/>
        <v>0</v>
      </c>
    </row>
    <row r="1694" spans="1:12" x14ac:dyDescent="0.25">
      <c r="A1694" s="47" t="s">
        <v>4263</v>
      </c>
      <c r="B1694" s="296">
        <f>SUM(B1684:B1693)</f>
        <v>900</v>
      </c>
      <c r="C1694" s="296">
        <f t="shared" ref="C1694" si="273">SUM(C1684:C1693)</f>
        <v>700</v>
      </c>
      <c r="D1694" s="296">
        <f t="shared" ref="D1694" si="274">SUM(D1684:D1693)</f>
        <v>600</v>
      </c>
      <c r="E1694" s="296">
        <f t="shared" ref="E1694" si="275">SUM(E1684:E1693)</f>
        <v>600</v>
      </c>
      <c r="F1694" s="296">
        <f t="shared" ref="F1694" si="276">SUM(F1684:F1693)</f>
        <v>600</v>
      </c>
      <c r="G1694" s="296">
        <f t="shared" ref="G1694" si="277">SUM(G1684:G1693)</f>
        <v>500</v>
      </c>
      <c r="H1694" s="296">
        <f t="shared" ref="H1694" si="278">SUM(H1684:H1693)</f>
        <v>500</v>
      </c>
      <c r="I1694" s="296">
        <f t="shared" ref="I1694" si="279">SUM(I1684:I1693)</f>
        <v>500</v>
      </c>
      <c r="J1694" s="296">
        <f t="shared" ref="J1694" si="280">SUM(J1684:J1693)</f>
        <v>500</v>
      </c>
      <c r="L1694" s="293"/>
    </row>
    <row r="1695" spans="1:12" x14ac:dyDescent="0.25">
      <c r="B1695" s="293"/>
      <c r="C1695" s="293"/>
      <c r="D1695" s="293"/>
      <c r="E1695" s="293"/>
      <c r="F1695" s="293"/>
      <c r="G1695" s="293"/>
      <c r="H1695" s="293"/>
      <c r="I1695" s="293"/>
      <c r="J1695" s="293"/>
      <c r="L1695" s="293">
        <f t="shared" si="263"/>
        <v>0</v>
      </c>
    </row>
    <row r="1696" spans="1:12" x14ac:dyDescent="0.25">
      <c r="A1696" s="47" t="s">
        <v>4264</v>
      </c>
      <c r="B1696" s="293"/>
      <c r="C1696" s="293"/>
      <c r="D1696" s="293"/>
      <c r="E1696" s="293"/>
      <c r="F1696" s="293"/>
      <c r="G1696" s="293"/>
      <c r="H1696" s="293"/>
      <c r="I1696" s="293"/>
      <c r="J1696" s="293"/>
      <c r="L1696" s="293">
        <f t="shared" si="263"/>
        <v>0</v>
      </c>
    </row>
    <row r="1697" spans="1:12" x14ac:dyDescent="0.25">
      <c r="A1697" t="s">
        <v>87</v>
      </c>
      <c r="B1697" s="293"/>
      <c r="C1697" s="293"/>
      <c r="D1697" s="293"/>
      <c r="E1697" s="293"/>
      <c r="F1697" s="293"/>
      <c r="G1697" s="293"/>
      <c r="H1697" s="293"/>
      <c r="I1697" s="293"/>
      <c r="J1697" s="293"/>
      <c r="L1697" s="293">
        <f t="shared" si="263"/>
        <v>0</v>
      </c>
    </row>
    <row r="1698" spans="1:12" x14ac:dyDescent="0.25">
      <c r="A1698" t="s">
        <v>4265</v>
      </c>
      <c r="B1698" s="293"/>
      <c r="C1698" s="293"/>
      <c r="D1698" s="293"/>
      <c r="E1698" s="293"/>
      <c r="F1698" s="293"/>
      <c r="G1698" s="293"/>
      <c r="H1698" s="293"/>
      <c r="I1698" s="293"/>
      <c r="J1698" s="293"/>
      <c r="L1698" s="293">
        <f t="shared" si="263"/>
        <v>0</v>
      </c>
    </row>
    <row r="1699" spans="1:12" x14ac:dyDescent="0.25">
      <c r="B1699" s="293"/>
      <c r="C1699" s="293"/>
      <c r="D1699" s="293"/>
      <c r="E1699" s="293"/>
      <c r="F1699" s="293"/>
      <c r="G1699" s="293"/>
      <c r="H1699" s="293"/>
      <c r="I1699" s="293"/>
      <c r="J1699" s="293"/>
      <c r="L1699" s="293">
        <f t="shared" si="263"/>
        <v>0</v>
      </c>
    </row>
    <row r="1700" spans="1:12" x14ac:dyDescent="0.25">
      <c r="B1700" s="293"/>
      <c r="C1700" s="293"/>
      <c r="D1700" s="293"/>
      <c r="E1700" s="293"/>
      <c r="F1700" s="293"/>
      <c r="G1700" s="293"/>
      <c r="H1700" s="293"/>
      <c r="I1700" s="293"/>
      <c r="J1700" s="293"/>
      <c r="L1700" s="293">
        <f t="shared" si="263"/>
        <v>0</v>
      </c>
    </row>
    <row r="1701" spans="1:12" x14ac:dyDescent="0.25">
      <c r="B1701" s="293"/>
      <c r="C1701" s="293"/>
      <c r="D1701" s="293"/>
      <c r="E1701" s="293"/>
      <c r="F1701" s="293"/>
      <c r="G1701" s="293"/>
      <c r="H1701" s="293"/>
      <c r="I1701" s="293"/>
      <c r="J1701" s="293"/>
      <c r="L1701" s="293">
        <f t="shared" si="263"/>
        <v>0</v>
      </c>
    </row>
    <row r="1702" spans="1:12" x14ac:dyDescent="0.25">
      <c r="B1702" s="293"/>
      <c r="C1702" s="293"/>
      <c r="D1702" s="293"/>
      <c r="E1702" s="293"/>
      <c r="F1702" s="293"/>
      <c r="G1702" s="293"/>
      <c r="H1702" s="293"/>
      <c r="I1702" s="293"/>
      <c r="J1702" s="293"/>
      <c r="L1702" s="293">
        <f t="shared" si="263"/>
        <v>0</v>
      </c>
    </row>
    <row r="1703" spans="1:12" x14ac:dyDescent="0.25">
      <c r="A1703" t="s">
        <v>4266</v>
      </c>
      <c r="B1703" s="293"/>
      <c r="C1703" s="293"/>
      <c r="D1703" s="293"/>
      <c r="E1703" s="293"/>
      <c r="F1703" s="293"/>
      <c r="G1703" s="293"/>
      <c r="H1703" s="293"/>
      <c r="I1703" s="293"/>
      <c r="J1703" s="293"/>
      <c r="L1703" s="293">
        <f t="shared" si="263"/>
        <v>0</v>
      </c>
    </row>
    <row r="1704" spans="1:12" x14ac:dyDescent="0.25">
      <c r="A1704" t="s">
        <v>66</v>
      </c>
      <c r="B1704" s="293"/>
      <c r="C1704" s="293"/>
      <c r="D1704" s="293"/>
      <c r="E1704" s="293"/>
      <c r="F1704" s="293"/>
      <c r="G1704" s="293"/>
      <c r="H1704" s="293"/>
      <c r="I1704" s="293"/>
      <c r="J1704" s="293"/>
      <c r="L1704" s="293">
        <f t="shared" si="263"/>
        <v>0</v>
      </c>
    </row>
    <row r="1705" spans="1:12" x14ac:dyDescent="0.25">
      <c r="B1705" s="293"/>
      <c r="C1705" s="293"/>
      <c r="D1705" s="293"/>
      <c r="E1705" s="293"/>
      <c r="F1705" s="293"/>
      <c r="G1705" s="293"/>
      <c r="H1705" s="293"/>
      <c r="I1705" s="293"/>
      <c r="J1705" s="293"/>
      <c r="L1705" s="293">
        <f t="shared" si="263"/>
        <v>0</v>
      </c>
    </row>
    <row r="1706" spans="1:12" x14ac:dyDescent="0.25">
      <c r="B1706" s="293"/>
      <c r="C1706" s="293"/>
      <c r="D1706" s="293"/>
      <c r="E1706" s="293"/>
      <c r="F1706" s="293"/>
      <c r="G1706" s="293"/>
      <c r="H1706" s="293"/>
      <c r="I1706" s="293"/>
      <c r="J1706" s="293"/>
      <c r="L1706" s="293">
        <f t="shared" si="263"/>
        <v>0</v>
      </c>
    </row>
    <row r="1707" spans="1:12" x14ac:dyDescent="0.25">
      <c r="B1707" s="293"/>
      <c r="C1707" s="293"/>
      <c r="D1707" s="293"/>
      <c r="E1707" s="293"/>
      <c r="F1707" s="293"/>
      <c r="G1707" s="293"/>
      <c r="H1707" s="293"/>
      <c r="I1707" s="293"/>
      <c r="J1707" s="293"/>
      <c r="L1707" s="293">
        <f t="shared" si="263"/>
        <v>0</v>
      </c>
    </row>
    <row r="1708" spans="1:12" x14ac:dyDescent="0.25">
      <c r="B1708" s="293"/>
      <c r="C1708" s="293"/>
      <c r="D1708" s="293"/>
      <c r="E1708" s="293"/>
      <c r="F1708" s="293"/>
      <c r="G1708" s="293"/>
      <c r="H1708" s="293"/>
      <c r="I1708" s="293"/>
      <c r="J1708" s="293"/>
      <c r="L1708" s="293">
        <f t="shared" si="263"/>
        <v>0</v>
      </c>
    </row>
    <row r="1709" spans="1:12" x14ac:dyDescent="0.25">
      <c r="A1709" s="47" t="s">
        <v>4267</v>
      </c>
      <c r="B1709" s="296">
        <f>SUM(B1697:B1708)</f>
        <v>0</v>
      </c>
      <c r="C1709" s="296">
        <f t="shared" ref="C1709" si="281">SUM(C1697:C1708)</f>
        <v>0</v>
      </c>
      <c r="D1709" s="296">
        <f t="shared" ref="D1709" si="282">SUM(D1697:D1708)</f>
        <v>0</v>
      </c>
      <c r="E1709" s="296">
        <f t="shared" ref="E1709" si="283">SUM(E1697:E1708)</f>
        <v>0</v>
      </c>
      <c r="F1709" s="296">
        <f t="shared" ref="F1709" si="284">SUM(F1697:F1708)</f>
        <v>0</v>
      </c>
      <c r="G1709" s="296">
        <f t="shared" ref="G1709" si="285">SUM(G1697:G1708)</f>
        <v>0</v>
      </c>
      <c r="H1709" s="296">
        <f t="shared" ref="H1709" si="286">SUM(H1697:H1708)</f>
        <v>0</v>
      </c>
      <c r="I1709" s="296">
        <f t="shared" ref="I1709" si="287">SUM(I1697:I1708)</f>
        <v>0</v>
      </c>
      <c r="J1709" s="296">
        <f t="shared" ref="J1709" si="288">SUM(J1697:J1708)</f>
        <v>0</v>
      </c>
      <c r="L1709" s="293">
        <f t="shared" si="263"/>
        <v>0</v>
      </c>
    </row>
    <row r="1710" spans="1:12" x14ac:dyDescent="0.25">
      <c r="B1710" s="293"/>
      <c r="C1710" s="293"/>
      <c r="D1710" s="293"/>
      <c r="E1710" s="293"/>
      <c r="F1710" s="293"/>
      <c r="G1710" s="293"/>
      <c r="H1710" s="293"/>
      <c r="I1710" s="293"/>
      <c r="J1710" s="293"/>
      <c r="L1710" s="293">
        <f t="shared" si="263"/>
        <v>0</v>
      </c>
    </row>
    <row r="1711" spans="1:12" ht="15.75" thickBot="1" x14ac:dyDescent="0.3">
      <c r="A1711" s="47" t="s">
        <v>4268</v>
      </c>
      <c r="B1711" s="301">
        <f>B1694-B1709</f>
        <v>900</v>
      </c>
      <c r="C1711" s="301">
        <f t="shared" ref="C1711:J1711" si="289">C1694-C1709</f>
        <v>700</v>
      </c>
      <c r="D1711" s="301">
        <f t="shared" si="289"/>
        <v>600</v>
      </c>
      <c r="E1711" s="301">
        <f t="shared" si="289"/>
        <v>600</v>
      </c>
      <c r="F1711" s="301">
        <f t="shared" si="289"/>
        <v>600</v>
      </c>
      <c r="G1711" s="301">
        <f t="shared" si="289"/>
        <v>500</v>
      </c>
      <c r="H1711" s="301">
        <f t="shared" si="289"/>
        <v>500</v>
      </c>
      <c r="I1711" s="301">
        <f t="shared" si="289"/>
        <v>500</v>
      </c>
      <c r="J1711" s="301">
        <f t="shared" si="289"/>
        <v>500</v>
      </c>
      <c r="L1711" s="293">
        <f t="shared" si="263"/>
        <v>500</v>
      </c>
    </row>
    <row r="1712" spans="1:12" ht="15.75" thickTop="1" x14ac:dyDescent="0.25">
      <c r="B1712" s="293"/>
      <c r="C1712" s="293"/>
      <c r="D1712" s="293"/>
      <c r="E1712" s="293"/>
      <c r="F1712" s="293"/>
      <c r="G1712" s="293"/>
      <c r="H1712" s="293"/>
      <c r="I1712" s="293"/>
      <c r="J1712" s="293"/>
      <c r="L1712" s="293">
        <f t="shared" si="263"/>
        <v>0</v>
      </c>
    </row>
    <row r="1713" spans="1:12" x14ac:dyDescent="0.25">
      <c r="A1713" s="281"/>
      <c r="B1713" s="316"/>
      <c r="C1713" s="316"/>
      <c r="D1713" s="316"/>
      <c r="E1713" s="316"/>
      <c r="F1713" s="316"/>
      <c r="G1713" s="316"/>
      <c r="H1713" s="316"/>
      <c r="I1713" s="316"/>
      <c r="J1713" s="316"/>
      <c r="L1713" s="293">
        <f t="shared" si="263"/>
        <v>0</v>
      </c>
    </row>
    <row r="1714" spans="1:12" x14ac:dyDescent="0.25">
      <c r="B1714" s="293"/>
      <c r="C1714" s="293"/>
      <c r="D1714" s="293"/>
      <c r="E1714" s="293"/>
      <c r="F1714" s="293"/>
      <c r="G1714" s="293"/>
      <c r="H1714" s="293"/>
      <c r="I1714" s="293"/>
      <c r="J1714" s="293"/>
      <c r="L1714" s="293">
        <f t="shared" si="263"/>
        <v>0</v>
      </c>
    </row>
    <row r="1715" spans="1:12" x14ac:dyDescent="0.25">
      <c r="A1715" s="280" t="s">
        <v>4373</v>
      </c>
      <c r="B1715" s="293"/>
      <c r="C1715" s="293"/>
      <c r="D1715" s="293"/>
      <c r="E1715" s="293"/>
      <c r="F1715" s="293"/>
      <c r="G1715" s="293"/>
      <c r="H1715" s="293"/>
      <c r="I1715" s="293"/>
      <c r="J1715" s="293"/>
      <c r="L1715" s="293">
        <f t="shared" si="263"/>
        <v>0</v>
      </c>
    </row>
    <row r="1716" spans="1:12" x14ac:dyDescent="0.25">
      <c r="B1716" s="293"/>
      <c r="C1716" s="293"/>
      <c r="D1716" s="293"/>
      <c r="E1716" s="293"/>
      <c r="F1716" s="293"/>
      <c r="G1716" s="293"/>
      <c r="H1716" s="293"/>
      <c r="I1716" s="293"/>
      <c r="J1716" s="293"/>
      <c r="L1716" s="293">
        <f t="shared" si="263"/>
        <v>0</v>
      </c>
    </row>
    <row r="1717" spans="1:12" x14ac:dyDescent="0.25">
      <c r="A1717" s="47" t="s">
        <v>4260</v>
      </c>
      <c r="B1717" s="293"/>
      <c r="C1717" s="293"/>
      <c r="D1717" s="293"/>
      <c r="E1717" s="293"/>
      <c r="F1717" s="293"/>
      <c r="G1717" s="293"/>
      <c r="H1717" s="293"/>
      <c r="I1717" s="293"/>
      <c r="J1717" s="293"/>
      <c r="L1717" s="293">
        <f t="shared" si="263"/>
        <v>0</v>
      </c>
    </row>
    <row r="1718" spans="1:12" x14ac:dyDescent="0.25">
      <c r="A1718" t="s">
        <v>4262</v>
      </c>
      <c r="B1718" s="293"/>
      <c r="C1718" s="293"/>
      <c r="D1718" s="293"/>
      <c r="E1718" s="293"/>
      <c r="F1718" s="293"/>
      <c r="G1718" s="293"/>
      <c r="H1718" s="293"/>
      <c r="I1718" s="293"/>
      <c r="J1718" s="293"/>
      <c r="L1718" s="293">
        <f t="shared" si="263"/>
        <v>0</v>
      </c>
    </row>
    <row r="1719" spans="1:12" x14ac:dyDescent="0.25">
      <c r="A1719" t="s">
        <v>4261</v>
      </c>
      <c r="B1719" s="293">
        <f>capitalrevdata!F69</f>
        <v>1200</v>
      </c>
      <c r="C1719" s="293">
        <f>capitalrevdata!G69</f>
        <v>900</v>
      </c>
      <c r="D1719" s="293">
        <f>capitalrevdata!H69</f>
        <v>800</v>
      </c>
      <c r="E1719" s="293">
        <f>capitalrevdata!I69</f>
        <v>800</v>
      </c>
      <c r="F1719" s="293">
        <f>capitalrevdata!J69</f>
        <v>800</v>
      </c>
      <c r="G1719" s="293">
        <f>capitalrevdata!K69</f>
        <v>600</v>
      </c>
      <c r="H1719" s="293">
        <f>capitalrevdata!L69</f>
        <v>600</v>
      </c>
      <c r="I1719" s="293">
        <f>capitalrevdata!M69</f>
        <v>600</v>
      </c>
      <c r="J1719" s="293">
        <f>capitalrevdata!N69</f>
        <v>600</v>
      </c>
      <c r="L1719" s="293">
        <f t="shared" si="263"/>
        <v>600</v>
      </c>
    </row>
    <row r="1720" spans="1:12" x14ac:dyDescent="0.25">
      <c r="A1720" t="s">
        <v>66</v>
      </c>
      <c r="B1720" s="293"/>
      <c r="C1720" s="293"/>
      <c r="D1720" s="293"/>
      <c r="E1720" s="293"/>
      <c r="F1720" s="293"/>
      <c r="G1720" s="293"/>
      <c r="H1720" s="293"/>
      <c r="I1720" s="293"/>
      <c r="J1720" s="293"/>
      <c r="L1720" s="293">
        <f t="shared" si="263"/>
        <v>0</v>
      </c>
    </row>
    <row r="1721" spans="1:12" x14ac:dyDescent="0.25">
      <c r="B1721" s="293"/>
      <c r="C1721" s="293"/>
      <c r="D1721" s="293"/>
      <c r="E1721" s="293"/>
      <c r="F1721" s="293"/>
      <c r="G1721" s="293"/>
      <c r="H1721" s="293"/>
      <c r="I1721" s="293"/>
      <c r="J1721" s="293"/>
      <c r="L1721" s="293">
        <f t="shared" si="263"/>
        <v>0</v>
      </c>
    </row>
    <row r="1722" spans="1:12" x14ac:dyDescent="0.25">
      <c r="B1722" s="293"/>
      <c r="C1722" s="293"/>
      <c r="D1722" s="293"/>
      <c r="E1722" s="293"/>
      <c r="F1722" s="293"/>
      <c r="G1722" s="293"/>
      <c r="H1722" s="293"/>
      <c r="I1722" s="293"/>
      <c r="J1722" s="293"/>
      <c r="L1722" s="293">
        <f t="shared" si="263"/>
        <v>0</v>
      </c>
    </row>
    <row r="1723" spans="1:12" x14ac:dyDescent="0.25">
      <c r="B1723" s="293"/>
      <c r="C1723" s="293"/>
      <c r="D1723" s="293"/>
      <c r="E1723" s="293"/>
      <c r="F1723" s="293"/>
      <c r="G1723" s="293"/>
      <c r="H1723" s="293"/>
      <c r="I1723" s="293"/>
      <c r="J1723" s="293"/>
      <c r="L1723" s="293">
        <f t="shared" si="263"/>
        <v>0</v>
      </c>
    </row>
    <row r="1724" spans="1:12" x14ac:dyDescent="0.25">
      <c r="B1724" s="293"/>
      <c r="C1724" s="293"/>
      <c r="D1724" s="293"/>
      <c r="E1724" s="293"/>
      <c r="F1724" s="293"/>
      <c r="G1724" s="293"/>
      <c r="H1724" s="293"/>
      <c r="I1724" s="293"/>
      <c r="J1724" s="293"/>
      <c r="L1724" s="293">
        <f t="shared" si="263"/>
        <v>0</v>
      </c>
    </row>
    <row r="1725" spans="1:12" x14ac:dyDescent="0.25">
      <c r="A1725" s="47" t="s">
        <v>4263</v>
      </c>
      <c r="B1725" s="296">
        <f>SUM(B1715:B1724)</f>
        <v>1200</v>
      </c>
      <c r="C1725" s="296">
        <f t="shared" ref="C1725" si="290">SUM(C1715:C1724)</f>
        <v>900</v>
      </c>
      <c r="D1725" s="296">
        <f t="shared" ref="D1725" si="291">SUM(D1715:D1724)</f>
        <v>800</v>
      </c>
      <c r="E1725" s="296">
        <f t="shared" ref="E1725" si="292">SUM(E1715:E1724)</f>
        <v>800</v>
      </c>
      <c r="F1725" s="296">
        <f t="shared" ref="F1725" si="293">SUM(F1715:F1724)</f>
        <v>800</v>
      </c>
      <c r="G1725" s="296">
        <f t="shared" ref="G1725" si="294">SUM(G1715:G1724)</f>
        <v>600</v>
      </c>
      <c r="H1725" s="296">
        <f t="shared" ref="H1725" si="295">SUM(H1715:H1724)</f>
        <v>600</v>
      </c>
      <c r="I1725" s="296">
        <f t="shared" ref="I1725" si="296">SUM(I1715:I1724)</f>
        <v>600</v>
      </c>
      <c r="J1725" s="296">
        <f t="shared" ref="J1725" si="297">SUM(J1715:J1724)</f>
        <v>600</v>
      </c>
      <c r="L1725" s="293"/>
    </row>
    <row r="1726" spans="1:12" x14ac:dyDescent="0.25">
      <c r="B1726" s="293"/>
      <c r="C1726" s="293"/>
      <c r="D1726" s="293"/>
      <c r="E1726" s="293"/>
      <c r="F1726" s="293"/>
      <c r="G1726" s="293"/>
      <c r="H1726" s="293"/>
      <c r="I1726" s="293"/>
      <c r="J1726" s="293"/>
      <c r="L1726" s="293">
        <f t="shared" si="263"/>
        <v>0</v>
      </c>
    </row>
    <row r="1727" spans="1:12" x14ac:dyDescent="0.25">
      <c r="A1727" s="47" t="s">
        <v>4264</v>
      </c>
      <c r="B1727" s="293"/>
      <c r="C1727" s="293"/>
      <c r="D1727" s="293"/>
      <c r="E1727" s="293"/>
      <c r="F1727" s="293"/>
      <c r="G1727" s="293"/>
      <c r="H1727" s="293"/>
      <c r="I1727" s="293"/>
      <c r="J1727" s="293"/>
      <c r="L1727" s="293">
        <f t="shared" si="263"/>
        <v>0</v>
      </c>
    </row>
    <row r="1728" spans="1:12" x14ac:dyDescent="0.25">
      <c r="A1728" t="s">
        <v>87</v>
      </c>
      <c r="B1728" s="293"/>
      <c r="C1728" s="293"/>
      <c r="D1728" s="293"/>
      <c r="E1728" s="293"/>
      <c r="F1728" s="293"/>
      <c r="G1728" s="293"/>
      <c r="H1728" s="293"/>
      <c r="I1728" s="293"/>
      <c r="J1728" s="293"/>
      <c r="L1728" s="293">
        <f t="shared" si="263"/>
        <v>0</v>
      </c>
    </row>
    <row r="1729" spans="1:12" x14ac:dyDescent="0.25">
      <c r="A1729" t="s">
        <v>4265</v>
      </c>
      <c r="B1729" s="293"/>
      <c r="C1729" s="293"/>
      <c r="D1729" s="293"/>
      <c r="E1729" s="293"/>
      <c r="F1729" s="293"/>
      <c r="G1729" s="293"/>
      <c r="H1729" s="293"/>
      <c r="I1729" s="293"/>
      <c r="J1729" s="293"/>
      <c r="L1729" s="293">
        <f t="shared" si="263"/>
        <v>0</v>
      </c>
    </row>
    <row r="1730" spans="1:12" x14ac:dyDescent="0.25">
      <c r="B1730" s="293"/>
      <c r="C1730" s="293"/>
      <c r="D1730" s="293"/>
      <c r="E1730" s="293"/>
      <c r="F1730" s="293"/>
      <c r="G1730" s="293"/>
      <c r="H1730" s="293"/>
      <c r="I1730" s="293"/>
      <c r="J1730" s="293"/>
      <c r="L1730" s="293">
        <f t="shared" si="263"/>
        <v>0</v>
      </c>
    </row>
    <row r="1731" spans="1:12" x14ac:dyDescent="0.25">
      <c r="B1731" s="293"/>
      <c r="C1731" s="293"/>
      <c r="D1731" s="293"/>
      <c r="E1731" s="293"/>
      <c r="F1731" s="293"/>
      <c r="G1731" s="293"/>
      <c r="H1731" s="293"/>
      <c r="I1731" s="293"/>
      <c r="J1731" s="293"/>
      <c r="L1731" s="293">
        <f t="shared" si="263"/>
        <v>0</v>
      </c>
    </row>
    <row r="1732" spans="1:12" x14ac:dyDescent="0.25">
      <c r="B1732" s="293"/>
      <c r="C1732" s="293"/>
      <c r="D1732" s="293"/>
      <c r="E1732" s="293"/>
      <c r="F1732" s="293"/>
      <c r="G1732" s="293"/>
      <c r="H1732" s="293"/>
      <c r="I1732" s="293"/>
      <c r="J1732" s="293"/>
      <c r="L1732" s="293">
        <f t="shared" si="263"/>
        <v>0</v>
      </c>
    </row>
    <row r="1733" spans="1:12" x14ac:dyDescent="0.25">
      <c r="B1733" s="293"/>
      <c r="C1733" s="293"/>
      <c r="D1733" s="293"/>
      <c r="E1733" s="293"/>
      <c r="F1733" s="293"/>
      <c r="G1733" s="293"/>
      <c r="H1733" s="293"/>
      <c r="I1733" s="293"/>
      <c r="J1733" s="293"/>
      <c r="L1733" s="293">
        <f t="shared" si="263"/>
        <v>0</v>
      </c>
    </row>
    <row r="1734" spans="1:12" x14ac:dyDescent="0.25">
      <c r="A1734" t="s">
        <v>4266</v>
      </c>
      <c r="B1734" s="293"/>
      <c r="C1734" s="293"/>
      <c r="D1734" s="293"/>
      <c r="E1734" s="293"/>
      <c r="F1734" s="293"/>
      <c r="G1734" s="293"/>
      <c r="H1734" s="293"/>
      <c r="I1734" s="293"/>
      <c r="J1734" s="293"/>
      <c r="L1734" s="293">
        <f t="shared" si="263"/>
        <v>0</v>
      </c>
    </row>
    <row r="1735" spans="1:12" x14ac:dyDescent="0.25">
      <c r="A1735" t="s">
        <v>66</v>
      </c>
      <c r="B1735" s="293"/>
      <c r="C1735" s="293"/>
      <c r="D1735" s="293"/>
      <c r="E1735" s="293"/>
      <c r="F1735" s="293"/>
      <c r="G1735" s="293"/>
      <c r="H1735" s="293"/>
      <c r="I1735" s="293"/>
      <c r="J1735" s="293"/>
      <c r="L1735" s="293">
        <f t="shared" si="263"/>
        <v>0</v>
      </c>
    </row>
    <row r="1736" spans="1:12" x14ac:dyDescent="0.25">
      <c r="B1736" s="293"/>
      <c r="C1736" s="293"/>
      <c r="D1736" s="293"/>
      <c r="E1736" s="293"/>
      <c r="F1736" s="293"/>
      <c r="G1736" s="293"/>
      <c r="H1736" s="293"/>
      <c r="I1736" s="293"/>
      <c r="J1736" s="293"/>
      <c r="L1736" s="293">
        <f t="shared" si="263"/>
        <v>0</v>
      </c>
    </row>
    <row r="1737" spans="1:12" x14ac:dyDescent="0.25">
      <c r="B1737" s="293"/>
      <c r="C1737" s="293"/>
      <c r="D1737" s="293"/>
      <c r="E1737" s="293"/>
      <c r="F1737" s="293"/>
      <c r="G1737" s="293"/>
      <c r="H1737" s="293"/>
      <c r="I1737" s="293"/>
      <c r="J1737" s="293"/>
      <c r="L1737" s="293">
        <f t="shared" si="263"/>
        <v>0</v>
      </c>
    </row>
    <row r="1738" spans="1:12" x14ac:dyDescent="0.25">
      <c r="B1738" s="293"/>
      <c r="C1738" s="293"/>
      <c r="D1738" s="293"/>
      <c r="E1738" s="293"/>
      <c r="F1738" s="293"/>
      <c r="G1738" s="293"/>
      <c r="H1738" s="293"/>
      <c r="I1738" s="293"/>
      <c r="J1738" s="293"/>
      <c r="L1738" s="293">
        <f t="shared" si="263"/>
        <v>0</v>
      </c>
    </row>
    <row r="1739" spans="1:12" x14ac:dyDescent="0.25">
      <c r="B1739" s="293"/>
      <c r="C1739" s="293"/>
      <c r="D1739" s="293"/>
      <c r="E1739" s="293"/>
      <c r="F1739" s="293"/>
      <c r="G1739" s="293"/>
      <c r="H1739" s="293"/>
      <c r="I1739" s="293"/>
      <c r="J1739" s="293"/>
      <c r="L1739" s="293">
        <f t="shared" si="263"/>
        <v>0</v>
      </c>
    </row>
    <row r="1740" spans="1:12" x14ac:dyDescent="0.25">
      <c r="A1740" s="47" t="s">
        <v>4267</v>
      </c>
      <c r="B1740" s="296">
        <f>SUM(B1728:B1739)</f>
        <v>0</v>
      </c>
      <c r="C1740" s="296">
        <f t="shared" ref="C1740" si="298">SUM(C1728:C1739)</f>
        <v>0</v>
      </c>
      <c r="D1740" s="296">
        <f t="shared" ref="D1740" si="299">SUM(D1728:D1739)</f>
        <v>0</v>
      </c>
      <c r="E1740" s="296">
        <f t="shared" ref="E1740" si="300">SUM(E1728:E1739)</f>
        <v>0</v>
      </c>
      <c r="F1740" s="296">
        <f t="shared" ref="F1740" si="301">SUM(F1728:F1739)</f>
        <v>0</v>
      </c>
      <c r="G1740" s="296">
        <f t="shared" ref="G1740" si="302">SUM(G1728:G1739)</f>
        <v>0</v>
      </c>
      <c r="H1740" s="296">
        <f t="shared" ref="H1740" si="303">SUM(H1728:H1739)</f>
        <v>0</v>
      </c>
      <c r="I1740" s="296">
        <f t="shared" ref="I1740" si="304">SUM(I1728:I1739)</f>
        <v>0</v>
      </c>
      <c r="J1740" s="296">
        <f t="shared" ref="J1740" si="305">SUM(J1728:J1739)</f>
        <v>0</v>
      </c>
      <c r="L1740" s="293">
        <f t="shared" si="263"/>
        <v>0</v>
      </c>
    </row>
    <row r="1741" spans="1:12" x14ac:dyDescent="0.25">
      <c r="B1741" s="293"/>
      <c r="C1741" s="293"/>
      <c r="D1741" s="293"/>
      <c r="E1741" s="293"/>
      <c r="F1741" s="293"/>
      <c r="G1741" s="293"/>
      <c r="H1741" s="293"/>
      <c r="I1741" s="293"/>
      <c r="J1741" s="293"/>
      <c r="L1741" s="293">
        <f t="shared" ref="L1741:L1803" si="306">J1741</f>
        <v>0</v>
      </c>
    </row>
    <row r="1742" spans="1:12" ht="15.75" thickBot="1" x14ac:dyDescent="0.3">
      <c r="A1742" s="47" t="s">
        <v>4268</v>
      </c>
      <c r="B1742" s="301">
        <f>B1725-B1740</f>
        <v>1200</v>
      </c>
      <c r="C1742" s="301">
        <f t="shared" ref="C1742:J1742" si="307">C1725-C1740</f>
        <v>900</v>
      </c>
      <c r="D1742" s="301">
        <f t="shared" si="307"/>
        <v>800</v>
      </c>
      <c r="E1742" s="301">
        <f t="shared" si="307"/>
        <v>800</v>
      </c>
      <c r="F1742" s="301">
        <f t="shared" si="307"/>
        <v>800</v>
      </c>
      <c r="G1742" s="301">
        <f t="shared" si="307"/>
        <v>600</v>
      </c>
      <c r="H1742" s="301">
        <f t="shared" si="307"/>
        <v>600</v>
      </c>
      <c r="I1742" s="301">
        <f t="shared" si="307"/>
        <v>600</v>
      </c>
      <c r="J1742" s="301">
        <f t="shared" si="307"/>
        <v>600</v>
      </c>
      <c r="L1742" s="293"/>
    </row>
    <row r="1743" spans="1:12" ht="15.75" thickTop="1" x14ac:dyDescent="0.25">
      <c r="B1743" s="293"/>
      <c r="C1743" s="293"/>
      <c r="D1743" s="293"/>
      <c r="E1743" s="293"/>
      <c r="F1743" s="293"/>
      <c r="G1743" s="293"/>
      <c r="H1743" s="293"/>
      <c r="I1743" s="293"/>
      <c r="J1743" s="293"/>
      <c r="L1743" s="293">
        <f t="shared" si="306"/>
        <v>0</v>
      </c>
    </row>
    <row r="1744" spans="1:12" x14ac:dyDescent="0.25">
      <c r="A1744" s="281"/>
      <c r="B1744" s="316"/>
      <c r="C1744" s="316"/>
      <c r="D1744" s="316"/>
      <c r="E1744" s="316"/>
      <c r="F1744" s="316"/>
      <c r="G1744" s="316"/>
      <c r="H1744" s="316"/>
      <c r="I1744" s="316"/>
      <c r="J1744" s="316"/>
      <c r="L1744" s="293">
        <f t="shared" si="306"/>
        <v>0</v>
      </c>
    </row>
    <row r="1745" spans="1:12" x14ac:dyDescent="0.25">
      <c r="B1745" s="293"/>
      <c r="C1745" s="293"/>
      <c r="D1745" s="293"/>
      <c r="E1745" s="293"/>
      <c r="F1745" s="293"/>
      <c r="G1745" s="293"/>
      <c r="H1745" s="293"/>
      <c r="I1745" s="293"/>
      <c r="J1745" s="293"/>
      <c r="L1745" s="293">
        <f t="shared" si="306"/>
        <v>0</v>
      </c>
    </row>
    <row r="1746" spans="1:12" x14ac:dyDescent="0.25">
      <c r="A1746" s="280" t="s">
        <v>4374</v>
      </c>
      <c r="B1746" s="293"/>
      <c r="C1746" s="293"/>
      <c r="D1746" s="293"/>
      <c r="E1746" s="293"/>
      <c r="F1746" s="293"/>
      <c r="G1746" s="293"/>
      <c r="H1746" s="293"/>
      <c r="I1746" s="293"/>
      <c r="J1746" s="293"/>
      <c r="L1746" s="293">
        <f t="shared" si="306"/>
        <v>0</v>
      </c>
    </row>
    <row r="1747" spans="1:12" x14ac:dyDescent="0.25">
      <c r="B1747" s="293"/>
      <c r="C1747" s="293"/>
      <c r="D1747" s="293"/>
      <c r="E1747" s="293"/>
      <c r="F1747" s="293"/>
      <c r="G1747" s="293"/>
      <c r="H1747" s="293"/>
      <c r="I1747" s="293"/>
      <c r="J1747" s="293"/>
      <c r="L1747" s="293">
        <f t="shared" si="306"/>
        <v>0</v>
      </c>
    </row>
    <row r="1748" spans="1:12" x14ac:dyDescent="0.25">
      <c r="A1748" s="47" t="s">
        <v>4260</v>
      </c>
      <c r="B1748" s="293"/>
      <c r="C1748" s="293"/>
      <c r="D1748" s="293"/>
      <c r="E1748" s="293"/>
      <c r="F1748" s="293"/>
      <c r="G1748" s="293"/>
      <c r="H1748" s="293"/>
      <c r="I1748" s="293"/>
      <c r="J1748" s="293"/>
      <c r="L1748" s="293">
        <f t="shared" si="306"/>
        <v>0</v>
      </c>
    </row>
    <row r="1749" spans="1:12" x14ac:dyDescent="0.25">
      <c r="A1749" t="s">
        <v>4262</v>
      </c>
      <c r="B1749" s="293"/>
      <c r="C1749" s="293"/>
      <c r="D1749" s="293"/>
      <c r="E1749" s="293"/>
      <c r="F1749" s="293"/>
      <c r="G1749" s="293"/>
      <c r="H1749" s="293"/>
      <c r="I1749" s="293"/>
      <c r="J1749" s="293"/>
      <c r="L1749" s="293">
        <f t="shared" si="306"/>
        <v>0</v>
      </c>
    </row>
    <row r="1750" spans="1:12" x14ac:dyDescent="0.25">
      <c r="A1750" t="s">
        <v>4261</v>
      </c>
      <c r="B1750" s="293">
        <f>capitalrevdata!F70</f>
        <v>300</v>
      </c>
      <c r="C1750" s="293">
        <f>capitalrevdata!G70</f>
        <v>200</v>
      </c>
      <c r="D1750" s="293">
        <f>capitalrevdata!H70</f>
        <v>200</v>
      </c>
      <c r="E1750" s="293">
        <f>capitalrevdata!I70</f>
        <v>200</v>
      </c>
      <c r="F1750" s="293">
        <f>capitalrevdata!J70</f>
        <v>200</v>
      </c>
      <c r="G1750" s="293">
        <f>capitalrevdata!K70</f>
        <v>100</v>
      </c>
      <c r="H1750" s="293">
        <f>capitalrevdata!L70</f>
        <v>100</v>
      </c>
      <c r="I1750" s="293">
        <f>capitalrevdata!M70</f>
        <v>100</v>
      </c>
      <c r="J1750" s="293">
        <f>capitalrevdata!N70</f>
        <v>100</v>
      </c>
      <c r="L1750" s="293">
        <f t="shared" si="306"/>
        <v>100</v>
      </c>
    </row>
    <row r="1751" spans="1:12" x14ac:dyDescent="0.25">
      <c r="A1751" t="s">
        <v>66</v>
      </c>
      <c r="B1751" s="293"/>
      <c r="C1751" s="293"/>
      <c r="D1751" s="293"/>
      <c r="E1751" s="293"/>
      <c r="F1751" s="293"/>
      <c r="G1751" s="293"/>
      <c r="H1751" s="293"/>
      <c r="I1751" s="293"/>
      <c r="J1751" s="293"/>
      <c r="L1751" s="293">
        <f t="shared" si="306"/>
        <v>0</v>
      </c>
    </row>
    <row r="1752" spans="1:12" x14ac:dyDescent="0.25">
      <c r="B1752" s="293"/>
      <c r="C1752" s="293"/>
      <c r="D1752" s="293"/>
      <c r="E1752" s="293"/>
      <c r="F1752" s="293"/>
      <c r="G1752" s="293"/>
      <c r="H1752" s="293"/>
      <c r="I1752" s="293"/>
      <c r="J1752" s="293"/>
      <c r="L1752" s="293">
        <f t="shared" si="306"/>
        <v>0</v>
      </c>
    </row>
    <row r="1753" spans="1:12" x14ac:dyDescent="0.25">
      <c r="B1753" s="293"/>
      <c r="C1753" s="293"/>
      <c r="D1753" s="293"/>
      <c r="E1753" s="293"/>
      <c r="F1753" s="293"/>
      <c r="G1753" s="293"/>
      <c r="H1753" s="293"/>
      <c r="I1753" s="293"/>
      <c r="J1753" s="293"/>
      <c r="L1753" s="293">
        <f t="shared" si="306"/>
        <v>0</v>
      </c>
    </row>
    <row r="1754" spans="1:12" x14ac:dyDescent="0.25">
      <c r="B1754" s="293"/>
      <c r="C1754" s="293"/>
      <c r="D1754" s="293"/>
      <c r="E1754" s="293"/>
      <c r="F1754" s="293"/>
      <c r="G1754" s="293"/>
      <c r="H1754" s="293"/>
      <c r="I1754" s="293"/>
      <c r="J1754" s="293"/>
      <c r="L1754" s="293">
        <f t="shared" si="306"/>
        <v>0</v>
      </c>
    </row>
    <row r="1755" spans="1:12" x14ac:dyDescent="0.25">
      <c r="B1755" s="293"/>
      <c r="C1755" s="293"/>
      <c r="D1755" s="293"/>
      <c r="E1755" s="293"/>
      <c r="F1755" s="293"/>
      <c r="G1755" s="293"/>
      <c r="H1755" s="293"/>
      <c r="I1755" s="293"/>
      <c r="J1755" s="293"/>
      <c r="L1755" s="293">
        <f t="shared" si="306"/>
        <v>0</v>
      </c>
    </row>
    <row r="1756" spans="1:12" x14ac:dyDescent="0.25">
      <c r="A1756" s="47" t="s">
        <v>4263</v>
      </c>
      <c r="B1756" s="296">
        <f>SUM(B1746:B1755)</f>
        <v>300</v>
      </c>
      <c r="C1756" s="296">
        <f t="shared" ref="C1756" si="308">SUM(C1746:C1755)</f>
        <v>200</v>
      </c>
      <c r="D1756" s="296">
        <f t="shared" ref="D1756" si="309">SUM(D1746:D1755)</f>
        <v>200</v>
      </c>
      <c r="E1756" s="296">
        <f t="shared" ref="E1756" si="310">SUM(E1746:E1755)</f>
        <v>200</v>
      </c>
      <c r="F1756" s="296">
        <f t="shared" ref="F1756" si="311">SUM(F1746:F1755)</f>
        <v>200</v>
      </c>
      <c r="G1756" s="296">
        <f t="shared" ref="G1756" si="312">SUM(G1746:G1755)</f>
        <v>100</v>
      </c>
      <c r="H1756" s="296">
        <f t="shared" ref="H1756" si="313">SUM(H1746:H1755)</f>
        <v>100</v>
      </c>
      <c r="I1756" s="296">
        <f t="shared" ref="I1756" si="314">SUM(I1746:I1755)</f>
        <v>100</v>
      </c>
      <c r="J1756" s="296">
        <f t="shared" ref="J1756" si="315">SUM(J1746:J1755)</f>
        <v>100</v>
      </c>
      <c r="L1756" s="293"/>
    </row>
    <row r="1757" spans="1:12" x14ac:dyDescent="0.25">
      <c r="B1757" s="293"/>
      <c r="C1757" s="293"/>
      <c r="D1757" s="293"/>
      <c r="E1757" s="293"/>
      <c r="F1757" s="293"/>
      <c r="G1757" s="293"/>
      <c r="H1757" s="293"/>
      <c r="I1757" s="293"/>
      <c r="J1757" s="293"/>
      <c r="L1757" s="293">
        <f t="shared" si="306"/>
        <v>0</v>
      </c>
    </row>
    <row r="1758" spans="1:12" x14ac:dyDescent="0.25">
      <c r="A1758" s="47" t="s">
        <v>4264</v>
      </c>
      <c r="B1758" s="293"/>
      <c r="C1758" s="293"/>
      <c r="D1758" s="293"/>
      <c r="E1758" s="293"/>
      <c r="F1758" s="293"/>
      <c r="G1758" s="293"/>
      <c r="H1758" s="293"/>
      <c r="I1758" s="293"/>
      <c r="J1758" s="293"/>
      <c r="L1758" s="293">
        <f t="shared" si="306"/>
        <v>0</v>
      </c>
    </row>
    <row r="1759" spans="1:12" x14ac:dyDescent="0.25">
      <c r="A1759" t="s">
        <v>87</v>
      </c>
      <c r="B1759" s="293"/>
      <c r="C1759" s="293"/>
      <c r="D1759" s="293"/>
      <c r="E1759" s="293"/>
      <c r="F1759" s="293"/>
      <c r="G1759" s="293"/>
      <c r="H1759" s="293"/>
      <c r="I1759" s="293"/>
      <c r="J1759" s="293"/>
      <c r="L1759" s="293">
        <f t="shared" si="306"/>
        <v>0</v>
      </c>
    </row>
    <row r="1760" spans="1:12" x14ac:dyDescent="0.25">
      <c r="A1760" t="s">
        <v>4265</v>
      </c>
      <c r="B1760" s="293"/>
      <c r="C1760" s="293"/>
      <c r="D1760" s="293"/>
      <c r="E1760" s="293"/>
      <c r="F1760" s="293"/>
      <c r="G1760" s="293"/>
      <c r="H1760" s="293"/>
      <c r="I1760" s="293"/>
      <c r="J1760" s="293"/>
      <c r="L1760" s="293">
        <f t="shared" si="306"/>
        <v>0</v>
      </c>
    </row>
    <row r="1761" spans="1:12" x14ac:dyDescent="0.25">
      <c r="B1761" s="293"/>
      <c r="C1761" s="293"/>
      <c r="D1761" s="293"/>
      <c r="E1761" s="293"/>
      <c r="F1761" s="293"/>
      <c r="G1761" s="293"/>
      <c r="H1761" s="293"/>
      <c r="I1761" s="293"/>
      <c r="J1761" s="293"/>
      <c r="L1761" s="293">
        <f t="shared" si="306"/>
        <v>0</v>
      </c>
    </row>
    <row r="1762" spans="1:12" x14ac:dyDescent="0.25">
      <c r="B1762" s="293"/>
      <c r="C1762" s="293"/>
      <c r="D1762" s="293"/>
      <c r="E1762" s="293"/>
      <c r="F1762" s="293"/>
      <c r="G1762" s="293"/>
      <c r="H1762" s="293"/>
      <c r="I1762" s="293"/>
      <c r="J1762" s="293"/>
      <c r="L1762" s="293">
        <f t="shared" si="306"/>
        <v>0</v>
      </c>
    </row>
    <row r="1763" spans="1:12" x14ac:dyDescent="0.25">
      <c r="B1763" s="293"/>
      <c r="C1763" s="293"/>
      <c r="D1763" s="293"/>
      <c r="E1763" s="293"/>
      <c r="F1763" s="293"/>
      <c r="G1763" s="293"/>
      <c r="H1763" s="293"/>
      <c r="I1763" s="293"/>
      <c r="J1763" s="293"/>
      <c r="L1763" s="293">
        <f t="shared" si="306"/>
        <v>0</v>
      </c>
    </row>
    <row r="1764" spans="1:12" x14ac:dyDescent="0.25">
      <c r="B1764" s="293"/>
      <c r="C1764" s="293"/>
      <c r="D1764" s="293"/>
      <c r="E1764" s="293"/>
      <c r="F1764" s="293"/>
      <c r="G1764" s="293"/>
      <c r="H1764" s="293"/>
      <c r="I1764" s="293"/>
      <c r="J1764" s="293"/>
      <c r="L1764" s="293">
        <f t="shared" si="306"/>
        <v>0</v>
      </c>
    </row>
    <row r="1765" spans="1:12" x14ac:dyDescent="0.25">
      <c r="A1765" t="s">
        <v>4266</v>
      </c>
      <c r="B1765" s="293"/>
      <c r="C1765" s="293"/>
      <c r="D1765" s="293"/>
      <c r="E1765" s="293"/>
      <c r="F1765" s="293"/>
      <c r="G1765" s="293"/>
      <c r="H1765" s="293"/>
      <c r="I1765" s="293"/>
      <c r="J1765" s="293"/>
      <c r="L1765" s="293">
        <f t="shared" si="306"/>
        <v>0</v>
      </c>
    </row>
    <row r="1766" spans="1:12" x14ac:dyDescent="0.25">
      <c r="A1766" t="s">
        <v>66</v>
      </c>
      <c r="B1766" s="293"/>
      <c r="C1766" s="293"/>
      <c r="D1766" s="293"/>
      <c r="E1766" s="293"/>
      <c r="F1766" s="293"/>
      <c r="G1766" s="293"/>
      <c r="H1766" s="293"/>
      <c r="I1766" s="293"/>
      <c r="J1766" s="293"/>
      <c r="L1766" s="293">
        <f t="shared" si="306"/>
        <v>0</v>
      </c>
    </row>
    <row r="1767" spans="1:12" x14ac:dyDescent="0.25">
      <c r="B1767" s="293"/>
      <c r="C1767" s="293"/>
      <c r="D1767" s="293"/>
      <c r="E1767" s="293"/>
      <c r="F1767" s="293"/>
      <c r="G1767" s="293"/>
      <c r="H1767" s="293"/>
      <c r="I1767" s="293"/>
      <c r="J1767" s="293"/>
      <c r="L1767" s="293">
        <f t="shared" si="306"/>
        <v>0</v>
      </c>
    </row>
    <row r="1768" spans="1:12" x14ac:dyDescent="0.25">
      <c r="B1768" s="293"/>
      <c r="C1768" s="293"/>
      <c r="D1768" s="293"/>
      <c r="E1768" s="293"/>
      <c r="F1768" s="293"/>
      <c r="G1768" s="293"/>
      <c r="H1768" s="293"/>
      <c r="I1768" s="293"/>
      <c r="J1768" s="293"/>
      <c r="L1768" s="293">
        <f t="shared" si="306"/>
        <v>0</v>
      </c>
    </row>
    <row r="1769" spans="1:12" x14ac:dyDescent="0.25">
      <c r="B1769" s="293"/>
      <c r="C1769" s="293"/>
      <c r="D1769" s="293"/>
      <c r="E1769" s="293"/>
      <c r="F1769" s="293"/>
      <c r="G1769" s="293"/>
      <c r="H1769" s="293"/>
      <c r="I1769" s="293"/>
      <c r="J1769" s="293"/>
      <c r="L1769" s="293">
        <f t="shared" si="306"/>
        <v>0</v>
      </c>
    </row>
    <row r="1770" spans="1:12" x14ac:dyDescent="0.25">
      <c r="B1770" s="293"/>
      <c r="C1770" s="293"/>
      <c r="D1770" s="293"/>
      <c r="E1770" s="293"/>
      <c r="F1770" s="293"/>
      <c r="G1770" s="293"/>
      <c r="H1770" s="293"/>
      <c r="I1770" s="293"/>
      <c r="J1770" s="293"/>
      <c r="L1770" s="293">
        <f t="shared" si="306"/>
        <v>0</v>
      </c>
    </row>
    <row r="1771" spans="1:12" x14ac:dyDescent="0.25">
      <c r="A1771" s="47" t="s">
        <v>4267</v>
      </c>
      <c r="B1771" s="296">
        <f>SUM(B1759:B1770)</f>
        <v>0</v>
      </c>
      <c r="C1771" s="296">
        <f t="shared" ref="C1771" si="316">SUM(C1759:C1770)</f>
        <v>0</v>
      </c>
      <c r="D1771" s="296">
        <f t="shared" ref="D1771" si="317">SUM(D1759:D1770)</f>
        <v>0</v>
      </c>
      <c r="E1771" s="296">
        <f t="shared" ref="E1771" si="318">SUM(E1759:E1770)</f>
        <v>0</v>
      </c>
      <c r="F1771" s="296">
        <f t="shared" ref="F1771" si="319">SUM(F1759:F1770)</f>
        <v>0</v>
      </c>
      <c r="G1771" s="296">
        <f t="shared" ref="G1771" si="320">SUM(G1759:G1770)</f>
        <v>0</v>
      </c>
      <c r="H1771" s="296">
        <f t="shared" ref="H1771" si="321">SUM(H1759:H1770)</f>
        <v>0</v>
      </c>
      <c r="I1771" s="296">
        <f t="shared" ref="I1771" si="322">SUM(I1759:I1770)</f>
        <v>0</v>
      </c>
      <c r="J1771" s="296">
        <f t="shared" ref="J1771" si="323">SUM(J1759:J1770)</f>
        <v>0</v>
      </c>
      <c r="L1771" s="293">
        <f t="shared" si="306"/>
        <v>0</v>
      </c>
    </row>
    <row r="1772" spans="1:12" x14ac:dyDescent="0.25">
      <c r="B1772" s="293"/>
      <c r="C1772" s="293"/>
      <c r="D1772" s="293"/>
      <c r="E1772" s="293"/>
      <c r="F1772" s="293"/>
      <c r="G1772" s="293"/>
      <c r="H1772" s="293"/>
      <c r="I1772" s="293"/>
      <c r="J1772" s="293"/>
      <c r="L1772" s="293">
        <f t="shared" si="306"/>
        <v>0</v>
      </c>
    </row>
    <row r="1773" spans="1:12" ht="15.75" thickBot="1" x14ac:dyDescent="0.3">
      <c r="A1773" s="47" t="s">
        <v>4268</v>
      </c>
      <c r="B1773" s="301">
        <f>B1756-B1771</f>
        <v>300</v>
      </c>
      <c r="C1773" s="301">
        <f t="shared" ref="C1773:J1773" si="324">C1756-C1771</f>
        <v>200</v>
      </c>
      <c r="D1773" s="301">
        <f t="shared" si="324"/>
        <v>200</v>
      </c>
      <c r="E1773" s="301">
        <f t="shared" si="324"/>
        <v>200</v>
      </c>
      <c r="F1773" s="301">
        <f t="shared" si="324"/>
        <v>200</v>
      </c>
      <c r="G1773" s="301">
        <f t="shared" si="324"/>
        <v>100</v>
      </c>
      <c r="H1773" s="301">
        <f t="shared" si="324"/>
        <v>100</v>
      </c>
      <c r="I1773" s="301">
        <f t="shared" si="324"/>
        <v>100</v>
      </c>
      <c r="J1773" s="301">
        <f t="shared" si="324"/>
        <v>100</v>
      </c>
      <c r="L1773" s="293"/>
    </row>
    <row r="1774" spans="1:12" ht="15.75" thickTop="1" x14ac:dyDescent="0.25">
      <c r="B1774" s="293"/>
      <c r="C1774" s="293"/>
      <c r="D1774" s="293"/>
      <c r="E1774" s="293"/>
      <c r="F1774" s="293"/>
      <c r="G1774" s="293"/>
      <c r="H1774" s="293"/>
      <c r="I1774" s="293"/>
      <c r="J1774" s="293"/>
      <c r="L1774" s="293">
        <f t="shared" si="306"/>
        <v>0</v>
      </c>
    </row>
    <row r="1775" spans="1:12" x14ac:dyDescent="0.25">
      <c r="A1775" s="281"/>
      <c r="B1775" s="316"/>
      <c r="C1775" s="316"/>
      <c r="D1775" s="316"/>
      <c r="E1775" s="316"/>
      <c r="F1775" s="316"/>
      <c r="G1775" s="316"/>
      <c r="H1775" s="316"/>
      <c r="I1775" s="316"/>
      <c r="J1775" s="316"/>
      <c r="L1775" s="293">
        <f t="shared" si="306"/>
        <v>0</v>
      </c>
    </row>
    <row r="1776" spans="1:12" x14ac:dyDescent="0.25">
      <c r="B1776" s="293"/>
      <c r="C1776" s="293"/>
      <c r="D1776" s="293"/>
      <c r="E1776" s="293"/>
      <c r="F1776" s="293"/>
      <c r="G1776" s="293"/>
      <c r="H1776" s="293"/>
      <c r="I1776" s="293"/>
      <c r="J1776" s="293"/>
      <c r="L1776" s="293">
        <f t="shared" si="306"/>
        <v>0</v>
      </c>
    </row>
    <row r="1777" spans="1:12" x14ac:dyDescent="0.25">
      <c r="A1777" s="280" t="s">
        <v>4375</v>
      </c>
      <c r="B1777" s="293"/>
      <c r="C1777" s="293"/>
      <c r="D1777" s="293"/>
      <c r="E1777" s="293"/>
      <c r="F1777" s="293"/>
      <c r="G1777" s="293"/>
      <c r="H1777" s="293"/>
      <c r="I1777" s="293"/>
      <c r="J1777" s="293"/>
      <c r="L1777" s="293">
        <f t="shared" si="306"/>
        <v>0</v>
      </c>
    </row>
    <row r="1778" spans="1:12" x14ac:dyDescent="0.25">
      <c r="B1778" s="293"/>
      <c r="C1778" s="293"/>
      <c r="D1778" s="293"/>
      <c r="E1778" s="293"/>
      <c r="F1778" s="293"/>
      <c r="G1778" s="293"/>
      <c r="H1778" s="293"/>
      <c r="I1778" s="293"/>
      <c r="J1778" s="293"/>
      <c r="L1778" s="293">
        <f t="shared" si="306"/>
        <v>0</v>
      </c>
    </row>
    <row r="1779" spans="1:12" x14ac:dyDescent="0.25">
      <c r="A1779" s="47" t="s">
        <v>4260</v>
      </c>
      <c r="B1779" s="293"/>
      <c r="C1779" s="293"/>
      <c r="D1779" s="293"/>
      <c r="E1779" s="293"/>
      <c r="F1779" s="293"/>
      <c r="G1779" s="293"/>
      <c r="H1779" s="293"/>
      <c r="I1779" s="293"/>
      <c r="J1779" s="293"/>
      <c r="L1779" s="293">
        <f t="shared" si="306"/>
        <v>0</v>
      </c>
    </row>
    <row r="1780" spans="1:12" x14ac:dyDescent="0.25">
      <c r="A1780" t="s">
        <v>4262</v>
      </c>
      <c r="B1780" s="293"/>
      <c r="C1780" s="293"/>
      <c r="D1780" s="293"/>
      <c r="E1780" s="293"/>
      <c r="F1780" s="293"/>
      <c r="G1780" s="293"/>
      <c r="H1780" s="293"/>
      <c r="I1780" s="293"/>
      <c r="J1780" s="293"/>
      <c r="L1780" s="293">
        <f t="shared" si="306"/>
        <v>0</v>
      </c>
    </row>
    <row r="1781" spans="1:12" x14ac:dyDescent="0.25">
      <c r="A1781" t="s">
        <v>4261</v>
      </c>
      <c r="B1781" s="293">
        <f>capitalrevdata!F71</f>
        <v>200</v>
      </c>
      <c r="C1781" s="293">
        <f>capitalrevdata!G71</f>
        <v>100</v>
      </c>
      <c r="D1781" s="293">
        <f>capitalrevdata!H71</f>
        <v>100</v>
      </c>
      <c r="E1781" s="293">
        <f>capitalrevdata!I71</f>
        <v>100</v>
      </c>
      <c r="F1781" s="293">
        <f>capitalrevdata!J71</f>
        <v>100</v>
      </c>
      <c r="G1781" s="293">
        <f>capitalrevdata!K71</f>
        <v>100</v>
      </c>
      <c r="H1781" s="293">
        <f>capitalrevdata!L71</f>
        <v>100</v>
      </c>
      <c r="I1781" s="293">
        <f>capitalrevdata!M71</f>
        <v>100</v>
      </c>
      <c r="J1781" s="293">
        <f>capitalrevdata!N71</f>
        <v>100</v>
      </c>
      <c r="L1781" s="293">
        <f t="shared" si="306"/>
        <v>100</v>
      </c>
    </row>
    <row r="1782" spans="1:12" x14ac:dyDescent="0.25">
      <c r="A1782" t="s">
        <v>66</v>
      </c>
      <c r="B1782" s="293"/>
      <c r="C1782" s="293"/>
      <c r="D1782" s="293"/>
      <c r="E1782" s="293"/>
      <c r="F1782" s="293"/>
      <c r="G1782" s="293"/>
      <c r="H1782" s="293"/>
      <c r="I1782" s="293"/>
      <c r="J1782" s="293"/>
      <c r="L1782" s="293">
        <f t="shared" si="306"/>
        <v>0</v>
      </c>
    </row>
    <row r="1783" spans="1:12" x14ac:dyDescent="0.25">
      <c r="B1783" s="293"/>
      <c r="C1783" s="293"/>
      <c r="D1783" s="293"/>
      <c r="E1783" s="293"/>
      <c r="F1783" s="293"/>
      <c r="G1783" s="293"/>
      <c r="H1783" s="293"/>
      <c r="I1783" s="293"/>
      <c r="J1783" s="293"/>
      <c r="L1783" s="293">
        <f t="shared" si="306"/>
        <v>0</v>
      </c>
    </row>
    <row r="1784" spans="1:12" x14ac:dyDescent="0.25">
      <c r="B1784" s="293"/>
      <c r="C1784" s="293"/>
      <c r="D1784" s="293"/>
      <c r="E1784" s="293"/>
      <c r="F1784" s="293"/>
      <c r="G1784" s="293"/>
      <c r="H1784" s="293"/>
      <c r="I1784" s="293"/>
      <c r="J1784" s="293"/>
      <c r="L1784" s="293">
        <f t="shared" si="306"/>
        <v>0</v>
      </c>
    </row>
    <row r="1785" spans="1:12" x14ac:dyDescent="0.25">
      <c r="B1785" s="293"/>
      <c r="C1785" s="293"/>
      <c r="D1785" s="293"/>
      <c r="E1785" s="293"/>
      <c r="F1785" s="293"/>
      <c r="G1785" s="293"/>
      <c r="H1785" s="293"/>
      <c r="I1785" s="293"/>
      <c r="J1785" s="293"/>
      <c r="L1785" s="293">
        <f t="shared" si="306"/>
        <v>0</v>
      </c>
    </row>
    <row r="1786" spans="1:12" x14ac:dyDescent="0.25">
      <c r="B1786" s="293"/>
      <c r="C1786" s="293"/>
      <c r="D1786" s="293"/>
      <c r="E1786" s="293"/>
      <c r="F1786" s="293"/>
      <c r="G1786" s="293"/>
      <c r="H1786" s="293"/>
      <c r="I1786" s="293"/>
      <c r="J1786" s="293"/>
      <c r="L1786" s="293">
        <f t="shared" si="306"/>
        <v>0</v>
      </c>
    </row>
    <row r="1787" spans="1:12" x14ac:dyDescent="0.25">
      <c r="A1787" s="47" t="s">
        <v>4263</v>
      </c>
      <c r="B1787" s="296">
        <f>SUM(B1777:B1786)</f>
        <v>200</v>
      </c>
      <c r="C1787" s="296">
        <f t="shared" ref="C1787" si="325">SUM(C1777:C1786)</f>
        <v>100</v>
      </c>
      <c r="D1787" s="296">
        <f t="shared" ref="D1787" si="326">SUM(D1777:D1786)</f>
        <v>100</v>
      </c>
      <c r="E1787" s="296">
        <f t="shared" ref="E1787" si="327">SUM(E1777:E1786)</f>
        <v>100</v>
      </c>
      <c r="F1787" s="296">
        <f t="shared" ref="F1787" si="328">SUM(F1777:F1786)</f>
        <v>100</v>
      </c>
      <c r="G1787" s="296">
        <f t="shared" ref="G1787" si="329">SUM(G1777:G1786)</f>
        <v>100</v>
      </c>
      <c r="H1787" s="296">
        <f t="shared" ref="H1787" si="330">SUM(H1777:H1786)</f>
        <v>100</v>
      </c>
      <c r="I1787" s="296">
        <f t="shared" ref="I1787" si="331">SUM(I1777:I1786)</f>
        <v>100</v>
      </c>
      <c r="J1787" s="296">
        <f t="shared" ref="J1787" si="332">SUM(J1777:J1786)</f>
        <v>100</v>
      </c>
      <c r="L1787" s="293"/>
    </row>
    <row r="1788" spans="1:12" x14ac:dyDescent="0.25">
      <c r="B1788" s="293"/>
      <c r="C1788" s="293"/>
      <c r="D1788" s="293"/>
      <c r="E1788" s="293"/>
      <c r="F1788" s="293"/>
      <c r="G1788" s="293"/>
      <c r="H1788" s="293"/>
      <c r="I1788" s="293"/>
      <c r="J1788" s="293"/>
      <c r="L1788" s="293">
        <f t="shared" si="306"/>
        <v>0</v>
      </c>
    </row>
    <row r="1789" spans="1:12" x14ac:dyDescent="0.25">
      <c r="A1789" s="47" t="s">
        <v>4264</v>
      </c>
      <c r="B1789" s="293"/>
      <c r="C1789" s="293"/>
      <c r="D1789" s="293"/>
      <c r="E1789" s="293"/>
      <c r="F1789" s="293"/>
      <c r="G1789" s="293"/>
      <c r="H1789" s="293"/>
      <c r="I1789" s="293"/>
      <c r="J1789" s="293"/>
      <c r="L1789" s="293">
        <f t="shared" si="306"/>
        <v>0</v>
      </c>
    </row>
    <row r="1790" spans="1:12" x14ac:dyDescent="0.25">
      <c r="A1790" t="s">
        <v>87</v>
      </c>
      <c r="B1790" s="293"/>
      <c r="C1790" s="293"/>
      <c r="D1790" s="293"/>
      <c r="E1790" s="293"/>
      <c r="F1790" s="293"/>
      <c r="G1790" s="293"/>
      <c r="H1790" s="293"/>
      <c r="I1790" s="293"/>
      <c r="J1790" s="293"/>
      <c r="L1790" s="293">
        <f t="shared" si="306"/>
        <v>0</v>
      </c>
    </row>
    <row r="1791" spans="1:12" x14ac:dyDescent="0.25">
      <c r="A1791" t="s">
        <v>4265</v>
      </c>
      <c r="B1791" s="293"/>
      <c r="C1791" s="293"/>
      <c r="D1791" s="293"/>
      <c r="E1791" s="293"/>
      <c r="F1791" s="293"/>
      <c r="G1791" s="293"/>
      <c r="H1791" s="293"/>
      <c r="I1791" s="293"/>
      <c r="J1791" s="293"/>
      <c r="L1791" s="293">
        <f t="shared" si="306"/>
        <v>0</v>
      </c>
    </row>
    <row r="1792" spans="1:12" x14ac:dyDescent="0.25">
      <c r="B1792" s="293"/>
      <c r="C1792" s="293"/>
      <c r="D1792" s="293"/>
      <c r="E1792" s="293"/>
      <c r="F1792" s="293"/>
      <c r="G1792" s="293"/>
      <c r="H1792" s="293"/>
      <c r="I1792" s="293"/>
      <c r="J1792" s="293"/>
      <c r="L1792" s="293">
        <f t="shared" si="306"/>
        <v>0</v>
      </c>
    </row>
    <row r="1793" spans="1:12" x14ac:dyDescent="0.25">
      <c r="B1793" s="293"/>
      <c r="C1793" s="293"/>
      <c r="D1793" s="293"/>
      <c r="E1793" s="293"/>
      <c r="F1793" s="293"/>
      <c r="G1793" s="293"/>
      <c r="H1793" s="293"/>
      <c r="I1793" s="293"/>
      <c r="J1793" s="293"/>
      <c r="L1793" s="293">
        <f t="shared" si="306"/>
        <v>0</v>
      </c>
    </row>
    <row r="1794" spans="1:12" x14ac:dyDescent="0.25">
      <c r="B1794" s="293"/>
      <c r="C1794" s="293"/>
      <c r="D1794" s="293"/>
      <c r="E1794" s="293"/>
      <c r="F1794" s="293"/>
      <c r="G1794" s="293"/>
      <c r="H1794" s="293"/>
      <c r="I1794" s="293"/>
      <c r="J1794" s="293"/>
      <c r="L1794" s="293">
        <f t="shared" si="306"/>
        <v>0</v>
      </c>
    </row>
    <row r="1795" spans="1:12" x14ac:dyDescent="0.25">
      <c r="B1795" s="293"/>
      <c r="C1795" s="293"/>
      <c r="D1795" s="293"/>
      <c r="E1795" s="293"/>
      <c r="F1795" s="293"/>
      <c r="G1795" s="293"/>
      <c r="H1795" s="293"/>
      <c r="I1795" s="293"/>
      <c r="J1795" s="293"/>
      <c r="L1795" s="293">
        <f t="shared" si="306"/>
        <v>0</v>
      </c>
    </row>
    <row r="1796" spans="1:12" x14ac:dyDescent="0.25">
      <c r="A1796" t="s">
        <v>4266</v>
      </c>
      <c r="B1796" s="293"/>
      <c r="C1796" s="293"/>
      <c r="D1796" s="293"/>
      <c r="E1796" s="293"/>
      <c r="F1796" s="293"/>
      <c r="G1796" s="293"/>
      <c r="H1796" s="293"/>
      <c r="I1796" s="293"/>
      <c r="J1796" s="293"/>
      <c r="L1796" s="293">
        <f t="shared" si="306"/>
        <v>0</v>
      </c>
    </row>
    <row r="1797" spans="1:12" x14ac:dyDescent="0.25">
      <c r="A1797" t="s">
        <v>66</v>
      </c>
      <c r="B1797" s="293"/>
      <c r="C1797" s="293"/>
      <c r="D1797" s="293"/>
      <c r="E1797" s="293"/>
      <c r="F1797" s="293"/>
      <c r="G1797" s="293"/>
      <c r="H1797" s="293"/>
      <c r="I1797" s="293"/>
      <c r="J1797" s="293"/>
      <c r="L1797" s="293">
        <f t="shared" si="306"/>
        <v>0</v>
      </c>
    </row>
    <row r="1798" spans="1:12" x14ac:dyDescent="0.25">
      <c r="B1798" s="293"/>
      <c r="C1798" s="293"/>
      <c r="D1798" s="293"/>
      <c r="E1798" s="293"/>
      <c r="F1798" s="293"/>
      <c r="G1798" s="293"/>
      <c r="H1798" s="293"/>
      <c r="I1798" s="293"/>
      <c r="J1798" s="293"/>
      <c r="L1798" s="293">
        <f t="shared" si="306"/>
        <v>0</v>
      </c>
    </row>
    <row r="1799" spans="1:12" x14ac:dyDescent="0.25">
      <c r="B1799" s="293"/>
      <c r="C1799" s="293"/>
      <c r="D1799" s="293"/>
      <c r="E1799" s="293"/>
      <c r="F1799" s="293"/>
      <c r="G1799" s="293"/>
      <c r="H1799" s="293"/>
      <c r="I1799" s="293"/>
      <c r="J1799" s="293"/>
      <c r="L1799" s="293">
        <f t="shared" si="306"/>
        <v>0</v>
      </c>
    </row>
    <row r="1800" spans="1:12" x14ac:dyDescent="0.25">
      <c r="B1800" s="293"/>
      <c r="C1800" s="293"/>
      <c r="D1800" s="293"/>
      <c r="E1800" s="293"/>
      <c r="F1800" s="293"/>
      <c r="G1800" s="293"/>
      <c r="H1800" s="293"/>
      <c r="I1800" s="293"/>
      <c r="J1800" s="293"/>
      <c r="L1800" s="293">
        <f t="shared" si="306"/>
        <v>0</v>
      </c>
    </row>
    <row r="1801" spans="1:12" x14ac:dyDescent="0.25">
      <c r="B1801" s="293"/>
      <c r="C1801" s="293"/>
      <c r="D1801" s="293"/>
      <c r="E1801" s="293"/>
      <c r="F1801" s="293"/>
      <c r="G1801" s="293"/>
      <c r="H1801" s="293"/>
      <c r="I1801" s="293"/>
      <c r="J1801" s="293"/>
      <c r="L1801" s="293">
        <f t="shared" si="306"/>
        <v>0</v>
      </c>
    </row>
    <row r="1802" spans="1:12" x14ac:dyDescent="0.25">
      <c r="A1802" s="47" t="s">
        <v>4267</v>
      </c>
      <c r="B1802" s="296">
        <f>SUM(B1790:B1801)</f>
        <v>0</v>
      </c>
      <c r="C1802" s="296">
        <f t="shared" ref="C1802" si="333">SUM(C1790:C1801)</f>
        <v>0</v>
      </c>
      <c r="D1802" s="296">
        <f t="shared" ref="D1802" si="334">SUM(D1790:D1801)</f>
        <v>0</v>
      </c>
      <c r="E1802" s="296">
        <f t="shared" ref="E1802" si="335">SUM(E1790:E1801)</f>
        <v>0</v>
      </c>
      <c r="F1802" s="296">
        <f t="shared" ref="F1802" si="336">SUM(F1790:F1801)</f>
        <v>0</v>
      </c>
      <c r="G1802" s="296">
        <f t="shared" ref="G1802" si="337">SUM(G1790:G1801)</f>
        <v>0</v>
      </c>
      <c r="H1802" s="296">
        <f t="shared" ref="H1802" si="338">SUM(H1790:H1801)</f>
        <v>0</v>
      </c>
      <c r="I1802" s="296">
        <f t="shared" ref="I1802" si="339">SUM(I1790:I1801)</f>
        <v>0</v>
      </c>
      <c r="J1802" s="296">
        <f t="shared" ref="J1802" si="340">SUM(J1790:J1801)</f>
        <v>0</v>
      </c>
      <c r="L1802" s="293">
        <f t="shared" si="306"/>
        <v>0</v>
      </c>
    </row>
    <row r="1803" spans="1:12" x14ac:dyDescent="0.25">
      <c r="B1803" s="293"/>
      <c r="C1803" s="293"/>
      <c r="D1803" s="293"/>
      <c r="E1803" s="293"/>
      <c r="F1803" s="293"/>
      <c r="G1803" s="293"/>
      <c r="H1803" s="293"/>
      <c r="I1803" s="293"/>
      <c r="J1803" s="293"/>
      <c r="L1803" s="293">
        <f t="shared" si="306"/>
        <v>0</v>
      </c>
    </row>
    <row r="1804" spans="1:12" ht="15.75" thickBot="1" x14ac:dyDescent="0.3">
      <c r="A1804" s="47" t="s">
        <v>4268</v>
      </c>
      <c r="B1804" s="301">
        <f>B1787-B1802</f>
        <v>200</v>
      </c>
      <c r="C1804" s="301">
        <f t="shared" ref="C1804:J1804" si="341">C1787-C1802</f>
        <v>100</v>
      </c>
      <c r="D1804" s="301">
        <f t="shared" si="341"/>
        <v>100</v>
      </c>
      <c r="E1804" s="301">
        <f t="shared" si="341"/>
        <v>100</v>
      </c>
      <c r="F1804" s="301">
        <f t="shared" si="341"/>
        <v>100</v>
      </c>
      <c r="G1804" s="301">
        <f t="shared" si="341"/>
        <v>100</v>
      </c>
      <c r="H1804" s="301">
        <f t="shared" si="341"/>
        <v>100</v>
      </c>
      <c r="I1804" s="301">
        <f t="shared" si="341"/>
        <v>100</v>
      </c>
      <c r="J1804" s="301">
        <f t="shared" si="341"/>
        <v>100</v>
      </c>
      <c r="L1804" s="293"/>
    </row>
    <row r="1805" spans="1:12" ht="15.75" thickTop="1" x14ac:dyDescent="0.25">
      <c r="B1805" s="293"/>
      <c r="C1805" s="293"/>
      <c r="D1805" s="293"/>
      <c r="E1805" s="293"/>
      <c r="F1805" s="293"/>
      <c r="G1805" s="293"/>
      <c r="H1805" s="293"/>
      <c r="I1805" s="293"/>
      <c r="J1805" s="293"/>
      <c r="L1805" s="293">
        <f t="shared" ref="L1805:L1868" si="342">J1805</f>
        <v>0</v>
      </c>
    </row>
    <row r="1806" spans="1:12" x14ac:dyDescent="0.25">
      <c r="A1806" s="281"/>
      <c r="B1806" s="316"/>
      <c r="C1806" s="316"/>
      <c r="D1806" s="316"/>
      <c r="E1806" s="316"/>
      <c r="F1806" s="316"/>
      <c r="G1806" s="316"/>
      <c r="H1806" s="316"/>
      <c r="I1806" s="316"/>
      <c r="J1806" s="316"/>
      <c r="L1806" s="293">
        <f t="shared" si="342"/>
        <v>0</v>
      </c>
    </row>
    <row r="1807" spans="1:12" x14ac:dyDescent="0.25">
      <c r="B1807" s="293"/>
      <c r="C1807" s="293"/>
      <c r="D1807" s="293"/>
      <c r="E1807" s="293"/>
      <c r="F1807" s="293"/>
      <c r="G1807" s="293"/>
      <c r="H1807" s="293"/>
      <c r="I1807" s="293"/>
      <c r="J1807" s="293"/>
      <c r="L1807" s="293">
        <f t="shared" si="342"/>
        <v>0</v>
      </c>
    </row>
    <row r="1808" spans="1:12" x14ac:dyDescent="0.25">
      <c r="A1808" s="280" t="s">
        <v>4376</v>
      </c>
      <c r="B1808" s="293"/>
      <c r="C1808" s="293"/>
      <c r="D1808" s="293"/>
      <c r="E1808" s="293"/>
      <c r="F1808" s="293"/>
      <c r="G1808" s="293"/>
      <c r="H1808" s="293"/>
      <c r="I1808" s="293"/>
      <c r="J1808" s="293"/>
      <c r="L1808" s="293">
        <f t="shared" si="342"/>
        <v>0</v>
      </c>
    </row>
    <row r="1809" spans="1:12" x14ac:dyDescent="0.25">
      <c r="B1809" s="293"/>
      <c r="C1809" s="293"/>
      <c r="D1809" s="293"/>
      <c r="E1809" s="293"/>
      <c r="F1809" s="293"/>
      <c r="G1809" s="293"/>
      <c r="H1809" s="293"/>
      <c r="I1809" s="293"/>
      <c r="J1809" s="293"/>
      <c r="L1809" s="293">
        <f t="shared" si="342"/>
        <v>0</v>
      </c>
    </row>
    <row r="1810" spans="1:12" x14ac:dyDescent="0.25">
      <c r="A1810" s="47" t="s">
        <v>4260</v>
      </c>
      <c r="B1810" s="293"/>
      <c r="C1810" s="293"/>
      <c r="D1810" s="293"/>
      <c r="E1810" s="293"/>
      <c r="F1810" s="293"/>
      <c r="G1810" s="293"/>
      <c r="H1810" s="293"/>
      <c r="I1810" s="293"/>
      <c r="J1810" s="293"/>
      <c r="L1810" s="293">
        <f t="shared" si="342"/>
        <v>0</v>
      </c>
    </row>
    <row r="1811" spans="1:12" x14ac:dyDescent="0.25">
      <c r="A1811" t="s">
        <v>4262</v>
      </c>
      <c r="B1811" s="293"/>
      <c r="C1811" s="293"/>
      <c r="D1811" s="293"/>
      <c r="E1811" s="293"/>
      <c r="F1811" s="293"/>
      <c r="G1811" s="293"/>
      <c r="H1811" s="293"/>
      <c r="I1811" s="293"/>
      <c r="J1811" s="293"/>
      <c r="L1811" s="293">
        <f t="shared" si="342"/>
        <v>0</v>
      </c>
    </row>
    <row r="1812" spans="1:12" x14ac:dyDescent="0.25">
      <c r="A1812" t="s">
        <v>4261</v>
      </c>
      <c r="B1812" s="293">
        <f>capitalrevdata!F72</f>
        <v>0</v>
      </c>
      <c r="C1812" s="293">
        <f>capitalrevdata!G72</f>
        <v>0</v>
      </c>
      <c r="D1812" s="293">
        <f>capitalrevdata!H72</f>
        <v>0</v>
      </c>
      <c r="E1812" s="293">
        <f>capitalrevdata!I72</f>
        <v>0</v>
      </c>
      <c r="F1812" s="293">
        <f>capitalrevdata!J72</f>
        <v>0</v>
      </c>
      <c r="G1812" s="293">
        <f>capitalrevdata!K72</f>
        <v>0</v>
      </c>
      <c r="H1812" s="293">
        <f>capitalrevdata!L72</f>
        <v>0</v>
      </c>
      <c r="I1812" s="293">
        <f>capitalrevdata!M72</f>
        <v>0</v>
      </c>
      <c r="J1812" s="293">
        <f>capitalrevdata!N72</f>
        <v>0</v>
      </c>
      <c r="L1812" s="293">
        <f t="shared" si="342"/>
        <v>0</v>
      </c>
    </row>
    <row r="1813" spans="1:12" x14ac:dyDescent="0.25">
      <c r="A1813" t="s">
        <v>66</v>
      </c>
      <c r="B1813" s="293"/>
      <c r="C1813" s="293"/>
      <c r="D1813" s="293"/>
      <c r="E1813" s="293"/>
      <c r="F1813" s="293"/>
      <c r="G1813" s="293"/>
      <c r="H1813" s="293"/>
      <c r="I1813" s="293"/>
      <c r="J1813" s="293"/>
      <c r="L1813" s="293">
        <f t="shared" si="342"/>
        <v>0</v>
      </c>
    </row>
    <row r="1814" spans="1:12" x14ac:dyDescent="0.25">
      <c r="B1814" s="293"/>
      <c r="C1814" s="293"/>
      <c r="D1814" s="293"/>
      <c r="E1814" s="293"/>
      <c r="F1814" s="293"/>
      <c r="G1814" s="293"/>
      <c r="H1814" s="293"/>
      <c r="I1814" s="293"/>
      <c r="J1814" s="293"/>
      <c r="L1814" s="293">
        <f t="shared" si="342"/>
        <v>0</v>
      </c>
    </row>
    <row r="1815" spans="1:12" x14ac:dyDescent="0.25">
      <c r="B1815" s="293"/>
      <c r="C1815" s="293"/>
      <c r="D1815" s="293"/>
      <c r="E1815" s="293"/>
      <c r="F1815" s="293"/>
      <c r="G1815" s="293"/>
      <c r="H1815" s="293"/>
      <c r="I1815" s="293"/>
      <c r="J1815" s="293"/>
      <c r="L1815" s="293">
        <f t="shared" si="342"/>
        <v>0</v>
      </c>
    </row>
    <row r="1816" spans="1:12" x14ac:dyDescent="0.25">
      <c r="B1816" s="293"/>
      <c r="C1816" s="293"/>
      <c r="D1816" s="293"/>
      <c r="E1816" s="293"/>
      <c r="F1816" s="293"/>
      <c r="G1816" s="293"/>
      <c r="H1816" s="293"/>
      <c r="I1816" s="293"/>
      <c r="J1816" s="293"/>
      <c r="L1816" s="293">
        <f t="shared" si="342"/>
        <v>0</v>
      </c>
    </row>
    <row r="1817" spans="1:12" x14ac:dyDescent="0.25">
      <c r="B1817" s="293"/>
      <c r="C1817" s="293"/>
      <c r="D1817" s="293"/>
      <c r="E1817" s="293"/>
      <c r="F1817" s="293"/>
      <c r="G1817" s="293"/>
      <c r="H1817" s="293"/>
      <c r="I1817" s="293"/>
      <c r="J1817" s="293"/>
      <c r="L1817" s="293">
        <f t="shared" si="342"/>
        <v>0</v>
      </c>
    </row>
    <row r="1818" spans="1:12" x14ac:dyDescent="0.25">
      <c r="A1818" s="47" t="s">
        <v>4263</v>
      </c>
      <c r="B1818" s="296">
        <f>SUM(B1808:B1817)</f>
        <v>0</v>
      </c>
      <c r="C1818" s="296">
        <f t="shared" ref="C1818" si="343">SUM(C1808:C1817)</f>
        <v>0</v>
      </c>
      <c r="D1818" s="296">
        <f t="shared" ref="D1818" si="344">SUM(D1808:D1817)</f>
        <v>0</v>
      </c>
      <c r="E1818" s="296">
        <f t="shared" ref="E1818" si="345">SUM(E1808:E1817)</f>
        <v>0</v>
      </c>
      <c r="F1818" s="296">
        <f t="shared" ref="F1818" si="346">SUM(F1808:F1817)</f>
        <v>0</v>
      </c>
      <c r="G1818" s="296">
        <f t="shared" ref="G1818" si="347">SUM(G1808:G1817)</f>
        <v>0</v>
      </c>
      <c r="H1818" s="296">
        <f t="shared" ref="H1818" si="348">SUM(H1808:H1817)</f>
        <v>0</v>
      </c>
      <c r="I1818" s="296">
        <f t="shared" ref="I1818" si="349">SUM(I1808:I1817)</f>
        <v>0</v>
      </c>
      <c r="J1818" s="296">
        <f t="shared" ref="J1818" si="350">SUM(J1808:J1817)</f>
        <v>0</v>
      </c>
      <c r="L1818" s="293">
        <f t="shared" si="342"/>
        <v>0</v>
      </c>
    </row>
    <row r="1819" spans="1:12" x14ac:dyDescent="0.25">
      <c r="B1819" s="293"/>
      <c r="C1819" s="293"/>
      <c r="D1819" s="293"/>
      <c r="E1819" s="293"/>
      <c r="F1819" s="293"/>
      <c r="G1819" s="293"/>
      <c r="H1819" s="293"/>
      <c r="I1819" s="293"/>
      <c r="J1819" s="293"/>
      <c r="L1819" s="293">
        <f t="shared" si="342"/>
        <v>0</v>
      </c>
    </row>
    <row r="1820" spans="1:12" x14ac:dyDescent="0.25">
      <c r="A1820" s="47" t="s">
        <v>4264</v>
      </c>
      <c r="B1820" s="293"/>
      <c r="C1820" s="293"/>
      <c r="D1820" s="293"/>
      <c r="E1820" s="293"/>
      <c r="F1820" s="293"/>
      <c r="G1820" s="293"/>
      <c r="H1820" s="293"/>
      <c r="I1820" s="293"/>
      <c r="J1820" s="293"/>
      <c r="L1820" s="293">
        <f t="shared" si="342"/>
        <v>0</v>
      </c>
    </row>
    <row r="1821" spans="1:12" x14ac:dyDescent="0.25">
      <c r="A1821" t="s">
        <v>87</v>
      </c>
      <c r="B1821" s="293"/>
      <c r="C1821" s="293"/>
      <c r="D1821" s="293"/>
      <c r="E1821" s="293"/>
      <c r="F1821" s="293"/>
      <c r="G1821" s="293"/>
      <c r="H1821" s="293"/>
      <c r="I1821" s="293"/>
      <c r="J1821" s="293"/>
      <c r="L1821" s="293">
        <f t="shared" si="342"/>
        <v>0</v>
      </c>
    </row>
    <row r="1822" spans="1:12" x14ac:dyDescent="0.25">
      <c r="A1822" t="s">
        <v>4265</v>
      </c>
      <c r="B1822" s="293"/>
      <c r="C1822" s="293"/>
      <c r="D1822" s="293"/>
      <c r="E1822" s="293"/>
      <c r="F1822" s="293"/>
      <c r="G1822" s="293"/>
      <c r="H1822" s="293"/>
      <c r="I1822" s="293"/>
      <c r="J1822" s="293"/>
      <c r="L1822" s="293">
        <f t="shared" si="342"/>
        <v>0</v>
      </c>
    </row>
    <row r="1823" spans="1:12" x14ac:dyDescent="0.25">
      <c r="B1823" s="293"/>
      <c r="C1823" s="293"/>
      <c r="D1823" s="293"/>
      <c r="E1823" s="293"/>
      <c r="F1823" s="293"/>
      <c r="G1823" s="293"/>
      <c r="H1823" s="293"/>
      <c r="I1823" s="293"/>
      <c r="J1823" s="293"/>
      <c r="L1823" s="293">
        <f t="shared" si="342"/>
        <v>0</v>
      </c>
    </row>
    <row r="1824" spans="1:12" x14ac:dyDescent="0.25">
      <c r="B1824" s="293"/>
      <c r="C1824" s="293"/>
      <c r="D1824" s="293"/>
      <c r="E1824" s="293"/>
      <c r="F1824" s="293"/>
      <c r="G1824" s="293"/>
      <c r="H1824" s="293"/>
      <c r="I1824" s="293"/>
      <c r="J1824" s="293"/>
      <c r="L1824" s="293">
        <f t="shared" si="342"/>
        <v>0</v>
      </c>
    </row>
    <row r="1825" spans="1:12" x14ac:dyDescent="0.25">
      <c r="B1825" s="293"/>
      <c r="C1825" s="293"/>
      <c r="D1825" s="293"/>
      <c r="E1825" s="293"/>
      <c r="F1825" s="293"/>
      <c r="G1825" s="293"/>
      <c r="H1825" s="293"/>
      <c r="I1825" s="293"/>
      <c r="J1825" s="293"/>
      <c r="L1825" s="293">
        <f t="shared" si="342"/>
        <v>0</v>
      </c>
    </row>
    <row r="1826" spans="1:12" x14ac:dyDescent="0.25">
      <c r="B1826" s="293"/>
      <c r="C1826" s="293"/>
      <c r="D1826" s="293"/>
      <c r="E1826" s="293"/>
      <c r="F1826" s="293"/>
      <c r="G1826" s="293"/>
      <c r="H1826" s="293"/>
      <c r="I1826" s="293"/>
      <c r="J1826" s="293"/>
      <c r="L1826" s="293">
        <f t="shared" si="342"/>
        <v>0</v>
      </c>
    </row>
    <row r="1827" spans="1:12" x14ac:dyDescent="0.25">
      <c r="A1827" t="s">
        <v>4266</v>
      </c>
      <c r="B1827" s="293"/>
      <c r="C1827" s="293"/>
      <c r="D1827" s="293"/>
      <c r="E1827" s="293"/>
      <c r="F1827" s="293"/>
      <c r="G1827" s="293"/>
      <c r="H1827" s="293"/>
      <c r="I1827" s="293"/>
      <c r="J1827" s="293"/>
      <c r="L1827" s="293">
        <f t="shared" si="342"/>
        <v>0</v>
      </c>
    </row>
    <row r="1828" spans="1:12" x14ac:dyDescent="0.25">
      <c r="A1828" t="s">
        <v>66</v>
      </c>
      <c r="B1828" s="293"/>
      <c r="C1828" s="293"/>
      <c r="D1828" s="293"/>
      <c r="E1828" s="293"/>
      <c r="F1828" s="293"/>
      <c r="G1828" s="293"/>
      <c r="H1828" s="293"/>
      <c r="I1828" s="293"/>
      <c r="J1828" s="293"/>
      <c r="L1828" s="293">
        <f t="shared" si="342"/>
        <v>0</v>
      </c>
    </row>
    <row r="1829" spans="1:12" x14ac:dyDescent="0.25">
      <c r="B1829" s="293"/>
      <c r="C1829" s="293"/>
      <c r="D1829" s="293"/>
      <c r="E1829" s="293"/>
      <c r="F1829" s="293"/>
      <c r="G1829" s="293"/>
      <c r="H1829" s="293"/>
      <c r="I1829" s="293"/>
      <c r="J1829" s="293"/>
      <c r="L1829" s="293">
        <f t="shared" si="342"/>
        <v>0</v>
      </c>
    </row>
    <row r="1830" spans="1:12" x14ac:dyDescent="0.25">
      <c r="B1830" s="293"/>
      <c r="C1830" s="293"/>
      <c r="D1830" s="293"/>
      <c r="E1830" s="293"/>
      <c r="F1830" s="293"/>
      <c r="G1830" s="293"/>
      <c r="H1830" s="293"/>
      <c r="I1830" s="293"/>
      <c r="J1830" s="293"/>
      <c r="L1830" s="293">
        <f t="shared" si="342"/>
        <v>0</v>
      </c>
    </row>
    <row r="1831" spans="1:12" x14ac:dyDescent="0.25">
      <c r="B1831" s="293"/>
      <c r="C1831" s="293"/>
      <c r="D1831" s="293"/>
      <c r="E1831" s="293"/>
      <c r="F1831" s="293"/>
      <c r="G1831" s="293"/>
      <c r="H1831" s="293"/>
      <c r="I1831" s="293"/>
      <c r="J1831" s="293"/>
      <c r="L1831" s="293">
        <f t="shared" si="342"/>
        <v>0</v>
      </c>
    </row>
    <row r="1832" spans="1:12" x14ac:dyDescent="0.25">
      <c r="B1832" s="293"/>
      <c r="C1832" s="293"/>
      <c r="D1832" s="293"/>
      <c r="E1832" s="293"/>
      <c r="F1832" s="293"/>
      <c r="G1832" s="293"/>
      <c r="H1832" s="293"/>
      <c r="I1832" s="293"/>
      <c r="J1832" s="293"/>
      <c r="L1832" s="293">
        <f t="shared" si="342"/>
        <v>0</v>
      </c>
    </row>
    <row r="1833" spans="1:12" x14ac:dyDescent="0.25">
      <c r="A1833" s="47" t="s">
        <v>4267</v>
      </c>
      <c r="B1833" s="296">
        <f>SUM(B1821:B1832)</f>
        <v>0</v>
      </c>
      <c r="C1833" s="296">
        <f t="shared" ref="C1833" si="351">SUM(C1821:C1832)</f>
        <v>0</v>
      </c>
      <c r="D1833" s="296">
        <f t="shared" ref="D1833" si="352">SUM(D1821:D1832)</f>
        <v>0</v>
      </c>
      <c r="E1833" s="296">
        <f t="shared" ref="E1833" si="353">SUM(E1821:E1832)</f>
        <v>0</v>
      </c>
      <c r="F1833" s="296">
        <f t="shared" ref="F1833" si="354">SUM(F1821:F1832)</f>
        <v>0</v>
      </c>
      <c r="G1833" s="296">
        <f t="shared" ref="G1833" si="355">SUM(G1821:G1832)</f>
        <v>0</v>
      </c>
      <c r="H1833" s="296">
        <f t="shared" ref="H1833" si="356">SUM(H1821:H1832)</f>
        <v>0</v>
      </c>
      <c r="I1833" s="296">
        <f t="shared" ref="I1833" si="357">SUM(I1821:I1832)</f>
        <v>0</v>
      </c>
      <c r="J1833" s="296">
        <f t="shared" ref="J1833" si="358">SUM(J1821:J1832)</f>
        <v>0</v>
      </c>
      <c r="L1833" s="293">
        <f t="shared" si="342"/>
        <v>0</v>
      </c>
    </row>
    <row r="1834" spans="1:12" x14ac:dyDescent="0.25">
      <c r="B1834" s="293"/>
      <c r="C1834" s="293"/>
      <c r="D1834" s="293"/>
      <c r="E1834" s="293"/>
      <c r="F1834" s="293"/>
      <c r="G1834" s="293"/>
      <c r="H1834" s="293"/>
      <c r="I1834" s="293"/>
      <c r="J1834" s="293"/>
      <c r="L1834" s="293">
        <f t="shared" si="342"/>
        <v>0</v>
      </c>
    </row>
    <row r="1835" spans="1:12" ht="15.75" thickBot="1" x14ac:dyDescent="0.3">
      <c r="A1835" s="47" t="s">
        <v>4268</v>
      </c>
      <c r="B1835" s="301">
        <f>B1818-B1833</f>
        <v>0</v>
      </c>
      <c r="C1835" s="301">
        <f t="shared" ref="C1835:J1835" si="359">C1818-C1833</f>
        <v>0</v>
      </c>
      <c r="D1835" s="301">
        <f t="shared" si="359"/>
        <v>0</v>
      </c>
      <c r="E1835" s="301">
        <f t="shared" si="359"/>
        <v>0</v>
      </c>
      <c r="F1835" s="301">
        <f t="shared" si="359"/>
        <v>0</v>
      </c>
      <c r="G1835" s="301">
        <f t="shared" si="359"/>
        <v>0</v>
      </c>
      <c r="H1835" s="301">
        <f t="shared" si="359"/>
        <v>0</v>
      </c>
      <c r="I1835" s="301">
        <f t="shared" si="359"/>
        <v>0</v>
      </c>
      <c r="J1835" s="301">
        <f t="shared" si="359"/>
        <v>0</v>
      </c>
      <c r="L1835" s="293">
        <f t="shared" si="342"/>
        <v>0</v>
      </c>
    </row>
    <row r="1836" spans="1:12" ht="15.75" thickTop="1" x14ac:dyDescent="0.25">
      <c r="B1836" s="293"/>
      <c r="C1836" s="293"/>
      <c r="D1836" s="293"/>
      <c r="E1836" s="293"/>
      <c r="F1836" s="293"/>
      <c r="G1836" s="293"/>
      <c r="H1836" s="293"/>
      <c r="I1836" s="293"/>
      <c r="J1836" s="293"/>
      <c r="L1836" s="293">
        <f t="shared" si="342"/>
        <v>0</v>
      </c>
    </row>
    <row r="1837" spans="1:12" x14ac:dyDescent="0.25">
      <c r="A1837" s="281"/>
      <c r="B1837" s="316"/>
      <c r="C1837" s="316"/>
      <c r="D1837" s="316"/>
      <c r="E1837" s="316"/>
      <c r="F1837" s="316"/>
      <c r="G1837" s="316"/>
      <c r="H1837" s="316"/>
      <c r="I1837" s="316"/>
      <c r="J1837" s="316"/>
      <c r="L1837" s="293">
        <f t="shared" si="342"/>
        <v>0</v>
      </c>
    </row>
    <row r="1838" spans="1:12" x14ac:dyDescent="0.25">
      <c r="B1838" s="293"/>
      <c r="C1838" s="293"/>
      <c r="D1838" s="293"/>
      <c r="E1838" s="293"/>
      <c r="F1838" s="293"/>
      <c r="G1838" s="293"/>
      <c r="H1838" s="293"/>
      <c r="I1838" s="293"/>
      <c r="J1838" s="293"/>
      <c r="L1838" s="293">
        <f t="shared" si="342"/>
        <v>0</v>
      </c>
    </row>
    <row r="1839" spans="1:12" x14ac:dyDescent="0.25">
      <c r="A1839" s="280" t="s">
        <v>4377</v>
      </c>
      <c r="B1839" s="293"/>
      <c r="C1839" s="293"/>
      <c r="D1839" s="293"/>
      <c r="E1839" s="293"/>
      <c r="F1839" s="293"/>
      <c r="G1839" s="293"/>
      <c r="H1839" s="293"/>
      <c r="I1839" s="293"/>
      <c r="J1839" s="293"/>
      <c r="L1839" s="293">
        <f t="shared" si="342"/>
        <v>0</v>
      </c>
    </row>
    <row r="1840" spans="1:12" x14ac:dyDescent="0.25">
      <c r="B1840" s="293"/>
      <c r="C1840" s="293"/>
      <c r="D1840" s="293"/>
      <c r="E1840" s="293"/>
      <c r="F1840" s="293"/>
      <c r="G1840" s="293"/>
      <c r="H1840" s="293"/>
      <c r="I1840" s="293"/>
      <c r="J1840" s="293"/>
      <c r="L1840" s="293">
        <f t="shared" si="342"/>
        <v>0</v>
      </c>
    </row>
    <row r="1841" spans="1:12" x14ac:dyDescent="0.25">
      <c r="A1841" s="47" t="s">
        <v>4260</v>
      </c>
      <c r="B1841" s="293"/>
      <c r="C1841" s="293"/>
      <c r="D1841" s="293"/>
      <c r="E1841" s="293"/>
      <c r="F1841" s="293"/>
      <c r="G1841" s="293"/>
      <c r="H1841" s="293"/>
      <c r="I1841" s="293"/>
      <c r="J1841" s="293"/>
      <c r="L1841" s="293">
        <f t="shared" si="342"/>
        <v>0</v>
      </c>
    </row>
    <row r="1842" spans="1:12" x14ac:dyDescent="0.25">
      <c r="A1842" t="s">
        <v>4262</v>
      </c>
      <c r="B1842" s="293"/>
      <c r="C1842" s="293"/>
      <c r="D1842" s="293"/>
      <c r="E1842" s="293"/>
      <c r="F1842" s="293"/>
      <c r="G1842" s="293"/>
      <c r="H1842" s="293"/>
      <c r="I1842" s="293"/>
      <c r="J1842" s="293"/>
      <c r="L1842" s="293">
        <f t="shared" si="342"/>
        <v>0</v>
      </c>
    </row>
    <row r="1843" spans="1:12" x14ac:dyDescent="0.25">
      <c r="A1843" t="s">
        <v>4261</v>
      </c>
      <c r="B1843" s="293">
        <f>capitalrevdata!F73</f>
        <v>1300</v>
      </c>
      <c r="C1843" s="293">
        <f>capitalrevdata!G73</f>
        <v>1000</v>
      </c>
      <c r="D1843" s="293">
        <f>capitalrevdata!H73</f>
        <v>800</v>
      </c>
      <c r="E1843" s="293">
        <f>capitalrevdata!I73</f>
        <v>800</v>
      </c>
      <c r="F1843" s="293">
        <f>capitalrevdata!J73</f>
        <v>800</v>
      </c>
      <c r="G1843" s="293">
        <f>capitalrevdata!K73</f>
        <v>700</v>
      </c>
      <c r="H1843" s="293">
        <f>capitalrevdata!L73</f>
        <v>700</v>
      </c>
      <c r="I1843" s="293">
        <f>capitalrevdata!M73</f>
        <v>700</v>
      </c>
      <c r="J1843" s="293">
        <f>capitalrevdata!N73</f>
        <v>700</v>
      </c>
      <c r="L1843" s="293">
        <f t="shared" si="342"/>
        <v>700</v>
      </c>
    </row>
    <row r="1844" spans="1:12" x14ac:dyDescent="0.25">
      <c r="A1844" t="s">
        <v>66</v>
      </c>
      <c r="B1844" s="293"/>
      <c r="C1844" s="293"/>
      <c r="D1844" s="293"/>
      <c r="E1844" s="293"/>
      <c r="F1844" s="293"/>
      <c r="G1844" s="293"/>
      <c r="H1844" s="293"/>
      <c r="I1844" s="293"/>
      <c r="J1844" s="293"/>
      <c r="L1844" s="293">
        <f t="shared" si="342"/>
        <v>0</v>
      </c>
    </row>
    <row r="1845" spans="1:12" x14ac:dyDescent="0.25">
      <c r="B1845" s="293"/>
      <c r="C1845" s="293"/>
      <c r="D1845" s="293"/>
      <c r="E1845" s="293"/>
      <c r="F1845" s="293"/>
      <c r="G1845" s="293"/>
      <c r="H1845" s="293"/>
      <c r="I1845" s="293"/>
      <c r="J1845" s="293"/>
      <c r="L1845" s="293">
        <f t="shared" si="342"/>
        <v>0</v>
      </c>
    </row>
    <row r="1846" spans="1:12" x14ac:dyDescent="0.25">
      <c r="B1846" s="293"/>
      <c r="C1846" s="293"/>
      <c r="D1846" s="293"/>
      <c r="E1846" s="293"/>
      <c r="F1846" s="293"/>
      <c r="G1846" s="293"/>
      <c r="H1846" s="293"/>
      <c r="I1846" s="293"/>
      <c r="J1846" s="293"/>
      <c r="L1846" s="293">
        <f t="shared" si="342"/>
        <v>0</v>
      </c>
    </row>
    <row r="1847" spans="1:12" x14ac:dyDescent="0.25">
      <c r="B1847" s="293"/>
      <c r="C1847" s="293"/>
      <c r="D1847" s="293"/>
      <c r="E1847" s="293"/>
      <c r="F1847" s="293"/>
      <c r="G1847" s="293"/>
      <c r="H1847" s="293"/>
      <c r="I1847" s="293"/>
      <c r="J1847" s="293"/>
      <c r="L1847" s="293">
        <f t="shared" si="342"/>
        <v>0</v>
      </c>
    </row>
    <row r="1848" spans="1:12" x14ac:dyDescent="0.25">
      <c r="B1848" s="293"/>
      <c r="C1848" s="293"/>
      <c r="D1848" s="293"/>
      <c r="E1848" s="293"/>
      <c r="F1848" s="293"/>
      <c r="G1848" s="293"/>
      <c r="H1848" s="293"/>
      <c r="I1848" s="293"/>
      <c r="J1848" s="293"/>
      <c r="L1848" s="293">
        <f t="shared" si="342"/>
        <v>0</v>
      </c>
    </row>
    <row r="1849" spans="1:12" x14ac:dyDescent="0.25">
      <c r="A1849" s="47" t="s">
        <v>4263</v>
      </c>
      <c r="B1849" s="296">
        <f>SUM(B1839:B1848)</f>
        <v>1300</v>
      </c>
      <c r="C1849" s="296">
        <f t="shared" ref="C1849" si="360">SUM(C1839:C1848)</f>
        <v>1000</v>
      </c>
      <c r="D1849" s="296">
        <f t="shared" ref="D1849" si="361">SUM(D1839:D1848)</f>
        <v>800</v>
      </c>
      <c r="E1849" s="296">
        <f t="shared" ref="E1849" si="362">SUM(E1839:E1848)</f>
        <v>800</v>
      </c>
      <c r="F1849" s="296">
        <f t="shared" ref="F1849" si="363">SUM(F1839:F1848)</f>
        <v>800</v>
      </c>
      <c r="G1849" s="296">
        <f t="shared" ref="G1849" si="364">SUM(G1839:G1848)</f>
        <v>700</v>
      </c>
      <c r="H1849" s="296">
        <f t="shared" ref="H1849" si="365">SUM(H1839:H1848)</f>
        <v>700</v>
      </c>
      <c r="I1849" s="296">
        <f t="shared" ref="I1849" si="366">SUM(I1839:I1848)</f>
        <v>700</v>
      </c>
      <c r="J1849" s="296">
        <f t="shared" ref="J1849" si="367">SUM(J1839:J1848)</f>
        <v>700</v>
      </c>
      <c r="L1849" s="293"/>
    </row>
    <row r="1850" spans="1:12" x14ac:dyDescent="0.25">
      <c r="B1850" s="293"/>
      <c r="C1850" s="293"/>
      <c r="D1850" s="293"/>
      <c r="E1850" s="293"/>
      <c r="F1850" s="293"/>
      <c r="G1850" s="293"/>
      <c r="H1850" s="293"/>
      <c r="I1850" s="293"/>
      <c r="J1850" s="293"/>
      <c r="L1850" s="293">
        <f t="shared" si="342"/>
        <v>0</v>
      </c>
    </row>
    <row r="1851" spans="1:12" x14ac:dyDescent="0.25">
      <c r="A1851" s="47" t="s">
        <v>4264</v>
      </c>
      <c r="B1851" s="293"/>
      <c r="C1851" s="293"/>
      <c r="D1851" s="293"/>
      <c r="E1851" s="293"/>
      <c r="F1851" s="293"/>
      <c r="G1851" s="293"/>
      <c r="H1851" s="293"/>
      <c r="I1851" s="293"/>
      <c r="J1851" s="293"/>
      <c r="L1851" s="293">
        <f t="shared" si="342"/>
        <v>0</v>
      </c>
    </row>
    <row r="1852" spans="1:12" x14ac:dyDescent="0.25">
      <c r="A1852" t="s">
        <v>87</v>
      </c>
      <c r="B1852" s="293"/>
      <c r="C1852" s="293"/>
      <c r="D1852" s="293"/>
      <c r="E1852" s="293"/>
      <c r="F1852" s="293"/>
      <c r="G1852" s="293"/>
      <c r="H1852" s="293"/>
      <c r="I1852" s="293"/>
      <c r="J1852" s="293"/>
      <c r="L1852" s="293">
        <f t="shared" si="342"/>
        <v>0</v>
      </c>
    </row>
    <row r="1853" spans="1:12" x14ac:dyDescent="0.25">
      <c r="A1853" t="s">
        <v>4265</v>
      </c>
      <c r="B1853" s="293"/>
      <c r="C1853" s="293"/>
      <c r="D1853" s="293"/>
      <c r="E1853" s="293"/>
      <c r="F1853" s="293"/>
      <c r="G1853" s="293"/>
      <c r="H1853" s="293"/>
      <c r="I1853" s="293"/>
      <c r="J1853" s="293"/>
      <c r="L1853" s="293">
        <f t="shared" si="342"/>
        <v>0</v>
      </c>
    </row>
    <row r="1854" spans="1:12" x14ac:dyDescent="0.25">
      <c r="B1854" s="293"/>
      <c r="C1854" s="293"/>
      <c r="D1854" s="293"/>
      <c r="E1854" s="293"/>
      <c r="F1854" s="293"/>
      <c r="G1854" s="293"/>
      <c r="H1854" s="293"/>
      <c r="I1854" s="293"/>
      <c r="J1854" s="293"/>
      <c r="L1854" s="293">
        <f t="shared" si="342"/>
        <v>0</v>
      </c>
    </row>
    <row r="1855" spans="1:12" x14ac:dyDescent="0.25">
      <c r="B1855" s="293"/>
      <c r="C1855" s="293"/>
      <c r="D1855" s="293"/>
      <c r="E1855" s="293"/>
      <c r="F1855" s="293"/>
      <c r="G1855" s="293"/>
      <c r="H1855" s="293"/>
      <c r="I1855" s="293"/>
      <c r="J1855" s="293"/>
      <c r="L1855" s="293">
        <f t="shared" si="342"/>
        <v>0</v>
      </c>
    </row>
    <row r="1856" spans="1:12" x14ac:dyDescent="0.25">
      <c r="B1856" s="293"/>
      <c r="C1856" s="293"/>
      <c r="D1856" s="293"/>
      <c r="E1856" s="293"/>
      <c r="F1856" s="293"/>
      <c r="G1856" s="293"/>
      <c r="H1856" s="293"/>
      <c r="I1856" s="293"/>
      <c r="J1856" s="293"/>
      <c r="L1856" s="293">
        <f t="shared" si="342"/>
        <v>0</v>
      </c>
    </row>
    <row r="1857" spans="1:12" x14ac:dyDescent="0.25">
      <c r="B1857" s="293"/>
      <c r="C1857" s="293"/>
      <c r="D1857" s="293"/>
      <c r="E1857" s="293"/>
      <c r="F1857" s="293"/>
      <c r="G1857" s="293"/>
      <c r="H1857" s="293"/>
      <c r="I1857" s="293"/>
      <c r="J1857" s="293"/>
      <c r="L1857" s="293">
        <f t="shared" si="342"/>
        <v>0</v>
      </c>
    </row>
    <row r="1858" spans="1:12" x14ac:dyDescent="0.25">
      <c r="A1858" t="s">
        <v>4266</v>
      </c>
      <c r="B1858" s="293"/>
      <c r="C1858" s="293"/>
      <c r="D1858" s="293"/>
      <c r="E1858" s="293"/>
      <c r="F1858" s="293"/>
      <c r="G1858" s="293"/>
      <c r="H1858" s="293"/>
      <c r="I1858" s="293"/>
      <c r="J1858" s="293"/>
      <c r="L1858" s="293">
        <f t="shared" si="342"/>
        <v>0</v>
      </c>
    </row>
    <row r="1859" spans="1:12" x14ac:dyDescent="0.25">
      <c r="A1859" t="s">
        <v>66</v>
      </c>
      <c r="B1859" s="293"/>
      <c r="C1859" s="293"/>
      <c r="D1859" s="293"/>
      <c r="E1859" s="293"/>
      <c r="F1859" s="293"/>
      <c r="G1859" s="293"/>
      <c r="H1859" s="293"/>
      <c r="I1859" s="293"/>
      <c r="J1859" s="293"/>
      <c r="L1859" s="293">
        <f t="shared" si="342"/>
        <v>0</v>
      </c>
    </row>
    <row r="1860" spans="1:12" x14ac:dyDescent="0.25">
      <c r="B1860" s="293"/>
      <c r="C1860" s="293"/>
      <c r="D1860" s="293"/>
      <c r="E1860" s="293"/>
      <c r="F1860" s="293"/>
      <c r="G1860" s="293"/>
      <c r="H1860" s="293"/>
      <c r="I1860" s="293"/>
      <c r="J1860" s="293"/>
      <c r="L1860" s="293">
        <f t="shared" si="342"/>
        <v>0</v>
      </c>
    </row>
    <row r="1861" spans="1:12" x14ac:dyDescent="0.25">
      <c r="B1861" s="293"/>
      <c r="C1861" s="293"/>
      <c r="D1861" s="293"/>
      <c r="E1861" s="293"/>
      <c r="F1861" s="293"/>
      <c r="G1861" s="293"/>
      <c r="H1861" s="293"/>
      <c r="I1861" s="293"/>
      <c r="J1861" s="293"/>
      <c r="L1861" s="293">
        <f t="shared" si="342"/>
        <v>0</v>
      </c>
    </row>
    <row r="1862" spans="1:12" x14ac:dyDescent="0.25">
      <c r="B1862" s="293"/>
      <c r="C1862" s="293"/>
      <c r="D1862" s="293"/>
      <c r="E1862" s="293"/>
      <c r="F1862" s="293"/>
      <c r="G1862" s="293"/>
      <c r="H1862" s="293"/>
      <c r="I1862" s="293"/>
      <c r="J1862" s="293"/>
      <c r="L1862" s="293">
        <f t="shared" si="342"/>
        <v>0</v>
      </c>
    </row>
    <row r="1863" spans="1:12" x14ac:dyDescent="0.25">
      <c r="B1863" s="293"/>
      <c r="C1863" s="293"/>
      <c r="D1863" s="293"/>
      <c r="E1863" s="293"/>
      <c r="F1863" s="293"/>
      <c r="G1863" s="293"/>
      <c r="H1863" s="293"/>
      <c r="I1863" s="293"/>
      <c r="J1863" s="293"/>
      <c r="L1863" s="293">
        <f t="shared" si="342"/>
        <v>0</v>
      </c>
    </row>
    <row r="1864" spans="1:12" x14ac:dyDescent="0.25">
      <c r="A1864" s="47" t="s">
        <v>4267</v>
      </c>
      <c r="B1864" s="296">
        <f>SUM(B1852:B1863)</f>
        <v>0</v>
      </c>
      <c r="C1864" s="296">
        <f t="shared" ref="C1864" si="368">SUM(C1852:C1863)</f>
        <v>0</v>
      </c>
      <c r="D1864" s="296">
        <f t="shared" ref="D1864" si="369">SUM(D1852:D1863)</f>
        <v>0</v>
      </c>
      <c r="E1864" s="296">
        <f t="shared" ref="E1864" si="370">SUM(E1852:E1863)</f>
        <v>0</v>
      </c>
      <c r="F1864" s="296">
        <f t="shared" ref="F1864" si="371">SUM(F1852:F1863)</f>
        <v>0</v>
      </c>
      <c r="G1864" s="296">
        <f t="shared" ref="G1864" si="372">SUM(G1852:G1863)</f>
        <v>0</v>
      </c>
      <c r="H1864" s="296">
        <f t="shared" ref="H1864" si="373">SUM(H1852:H1863)</f>
        <v>0</v>
      </c>
      <c r="I1864" s="296">
        <f t="shared" ref="I1864" si="374">SUM(I1852:I1863)</f>
        <v>0</v>
      </c>
      <c r="J1864" s="296">
        <f t="shared" ref="J1864" si="375">SUM(J1852:J1863)</f>
        <v>0</v>
      </c>
      <c r="L1864" s="293">
        <f t="shared" si="342"/>
        <v>0</v>
      </c>
    </row>
    <row r="1865" spans="1:12" x14ac:dyDescent="0.25">
      <c r="B1865" s="293"/>
      <c r="C1865" s="293"/>
      <c r="D1865" s="293"/>
      <c r="E1865" s="293"/>
      <c r="F1865" s="293"/>
      <c r="G1865" s="293"/>
      <c r="H1865" s="293"/>
      <c r="I1865" s="293"/>
      <c r="J1865" s="293"/>
      <c r="L1865" s="293">
        <f t="shared" si="342"/>
        <v>0</v>
      </c>
    </row>
    <row r="1866" spans="1:12" ht="15.75" thickBot="1" x14ac:dyDescent="0.3">
      <c r="A1866" s="47" t="s">
        <v>4268</v>
      </c>
      <c r="B1866" s="301">
        <f>B1849-B1864</f>
        <v>1300</v>
      </c>
      <c r="C1866" s="301">
        <f t="shared" ref="C1866:J1866" si="376">C1849-C1864</f>
        <v>1000</v>
      </c>
      <c r="D1866" s="301">
        <f t="shared" si="376"/>
        <v>800</v>
      </c>
      <c r="E1866" s="301">
        <f t="shared" si="376"/>
        <v>800</v>
      </c>
      <c r="F1866" s="301">
        <f t="shared" si="376"/>
        <v>800</v>
      </c>
      <c r="G1866" s="301">
        <f t="shared" si="376"/>
        <v>700</v>
      </c>
      <c r="H1866" s="301">
        <f t="shared" si="376"/>
        <v>700</v>
      </c>
      <c r="I1866" s="301">
        <f t="shared" si="376"/>
        <v>700</v>
      </c>
      <c r="J1866" s="301">
        <f t="shared" si="376"/>
        <v>700</v>
      </c>
      <c r="L1866" s="293"/>
    </row>
    <row r="1867" spans="1:12" ht="15.75" thickTop="1" x14ac:dyDescent="0.25">
      <c r="B1867" s="293"/>
      <c r="C1867" s="293"/>
      <c r="D1867" s="293"/>
      <c r="E1867" s="293"/>
      <c r="F1867" s="293"/>
      <c r="G1867" s="293"/>
      <c r="H1867" s="293"/>
      <c r="I1867" s="293"/>
      <c r="J1867" s="293"/>
      <c r="L1867" s="293">
        <f t="shared" si="342"/>
        <v>0</v>
      </c>
    </row>
    <row r="1868" spans="1:12" x14ac:dyDescent="0.25">
      <c r="A1868" s="281"/>
      <c r="B1868" s="316"/>
      <c r="C1868" s="316"/>
      <c r="D1868" s="316"/>
      <c r="E1868" s="316"/>
      <c r="F1868" s="316"/>
      <c r="G1868" s="316"/>
      <c r="H1868" s="316"/>
      <c r="I1868" s="316"/>
      <c r="J1868" s="316"/>
      <c r="L1868" s="293">
        <f t="shared" si="342"/>
        <v>0</v>
      </c>
    </row>
    <row r="1869" spans="1:12" x14ac:dyDescent="0.25">
      <c r="B1869" s="293"/>
      <c r="C1869" s="293"/>
      <c r="D1869" s="293"/>
      <c r="E1869" s="293"/>
      <c r="F1869" s="293"/>
      <c r="G1869" s="293"/>
      <c r="H1869" s="293"/>
      <c r="I1869" s="293"/>
      <c r="J1869" s="293"/>
      <c r="L1869" s="293">
        <f t="shared" ref="L1869:L1927" si="377">J1869</f>
        <v>0</v>
      </c>
    </row>
    <row r="1870" spans="1:12" x14ac:dyDescent="0.25">
      <c r="A1870" s="280" t="s">
        <v>4378</v>
      </c>
      <c r="B1870" s="293"/>
      <c r="C1870" s="293"/>
      <c r="D1870" s="293"/>
      <c r="E1870" s="293"/>
      <c r="F1870" s="293"/>
      <c r="G1870" s="293"/>
      <c r="H1870" s="293"/>
      <c r="I1870" s="293"/>
      <c r="J1870" s="293"/>
      <c r="L1870" s="293">
        <f t="shared" si="377"/>
        <v>0</v>
      </c>
    </row>
    <row r="1871" spans="1:12" x14ac:dyDescent="0.25">
      <c r="B1871" s="293"/>
      <c r="C1871" s="293"/>
      <c r="D1871" s="293"/>
      <c r="E1871" s="293"/>
      <c r="F1871" s="293"/>
      <c r="G1871" s="293"/>
      <c r="H1871" s="293"/>
      <c r="I1871" s="293"/>
      <c r="J1871" s="293"/>
      <c r="L1871" s="293">
        <f t="shared" si="377"/>
        <v>0</v>
      </c>
    </row>
    <row r="1872" spans="1:12" x14ac:dyDescent="0.25">
      <c r="A1872" s="47" t="s">
        <v>4260</v>
      </c>
      <c r="B1872" s="293"/>
      <c r="C1872" s="293"/>
      <c r="D1872" s="293"/>
      <c r="E1872" s="293"/>
      <c r="F1872" s="293"/>
      <c r="G1872" s="293"/>
      <c r="H1872" s="293"/>
      <c r="I1872" s="293"/>
      <c r="J1872" s="293"/>
      <c r="L1872" s="293">
        <f t="shared" si="377"/>
        <v>0</v>
      </c>
    </row>
    <row r="1873" spans="1:12" x14ac:dyDescent="0.25">
      <c r="A1873" t="s">
        <v>4262</v>
      </c>
      <c r="B1873" s="293"/>
      <c r="C1873" s="293"/>
      <c r="D1873" s="293"/>
      <c r="E1873" s="293"/>
      <c r="F1873" s="293"/>
      <c r="G1873" s="293"/>
      <c r="H1873" s="293"/>
      <c r="I1873" s="293"/>
      <c r="J1873" s="293"/>
      <c r="L1873" s="293">
        <f t="shared" si="377"/>
        <v>0</v>
      </c>
    </row>
    <row r="1874" spans="1:12" x14ac:dyDescent="0.25">
      <c r="A1874" t="s">
        <v>4261</v>
      </c>
      <c r="B1874" s="293">
        <f>capitalrevdata!F74</f>
        <v>7600</v>
      </c>
      <c r="C1874" s="293">
        <f>capitalrevdata!G74</f>
        <v>6100</v>
      </c>
      <c r="D1874" s="293">
        <f>capitalrevdata!H74</f>
        <v>5100</v>
      </c>
      <c r="E1874" s="293">
        <f>capitalrevdata!I74</f>
        <v>5100</v>
      </c>
      <c r="F1874" s="293">
        <f>capitalrevdata!J74</f>
        <v>5100</v>
      </c>
      <c r="G1874" s="293">
        <f>capitalrevdata!K74</f>
        <v>4000</v>
      </c>
      <c r="H1874" s="293">
        <f>capitalrevdata!L74</f>
        <v>4000</v>
      </c>
      <c r="I1874" s="293">
        <f>capitalrevdata!M74</f>
        <v>4000</v>
      </c>
      <c r="J1874" s="293">
        <f>capitalrevdata!N74</f>
        <v>4000</v>
      </c>
      <c r="L1874" s="293">
        <f t="shared" si="377"/>
        <v>4000</v>
      </c>
    </row>
    <row r="1875" spans="1:12" x14ac:dyDescent="0.25">
      <c r="A1875" t="s">
        <v>66</v>
      </c>
      <c r="B1875" s="293"/>
      <c r="C1875" s="293"/>
      <c r="D1875" s="293"/>
      <c r="E1875" s="293"/>
      <c r="F1875" s="293"/>
      <c r="G1875" s="293"/>
      <c r="H1875" s="293"/>
      <c r="I1875" s="293"/>
      <c r="J1875" s="293"/>
      <c r="L1875" s="293">
        <f t="shared" si="377"/>
        <v>0</v>
      </c>
    </row>
    <row r="1876" spans="1:12" x14ac:dyDescent="0.25">
      <c r="B1876" s="293"/>
      <c r="C1876" s="293"/>
      <c r="D1876" s="293"/>
      <c r="E1876" s="293"/>
      <c r="F1876" s="293"/>
      <c r="G1876" s="293"/>
      <c r="H1876" s="293"/>
      <c r="I1876" s="293"/>
      <c r="J1876" s="293"/>
      <c r="L1876" s="293">
        <f t="shared" si="377"/>
        <v>0</v>
      </c>
    </row>
    <row r="1877" spans="1:12" x14ac:dyDescent="0.25">
      <c r="B1877" s="293"/>
      <c r="C1877" s="293"/>
      <c r="D1877" s="293"/>
      <c r="E1877" s="293"/>
      <c r="F1877" s="293"/>
      <c r="G1877" s="293"/>
      <c r="H1877" s="293"/>
      <c r="I1877" s="293"/>
      <c r="J1877" s="293"/>
      <c r="L1877" s="293">
        <f t="shared" si="377"/>
        <v>0</v>
      </c>
    </row>
    <row r="1878" spans="1:12" x14ac:dyDescent="0.25">
      <c r="B1878" s="293"/>
      <c r="C1878" s="293"/>
      <c r="D1878" s="293"/>
      <c r="E1878" s="293"/>
      <c r="F1878" s="293"/>
      <c r="G1878" s="293"/>
      <c r="H1878" s="293"/>
      <c r="I1878" s="293"/>
      <c r="J1878" s="293"/>
      <c r="L1878" s="293">
        <f t="shared" si="377"/>
        <v>0</v>
      </c>
    </row>
    <row r="1879" spans="1:12" x14ac:dyDescent="0.25">
      <c r="B1879" s="293"/>
      <c r="C1879" s="293"/>
      <c r="D1879" s="293"/>
      <c r="E1879" s="293"/>
      <c r="F1879" s="293"/>
      <c r="G1879" s="293"/>
      <c r="H1879" s="293"/>
      <c r="I1879" s="293"/>
      <c r="J1879" s="293"/>
      <c r="L1879" s="293">
        <f t="shared" si="377"/>
        <v>0</v>
      </c>
    </row>
    <row r="1880" spans="1:12" x14ac:dyDescent="0.25">
      <c r="A1880" s="47" t="s">
        <v>4263</v>
      </c>
      <c r="B1880" s="296">
        <f>SUM(B1870:B1879)</f>
        <v>7600</v>
      </c>
      <c r="C1880" s="296">
        <f t="shared" ref="C1880" si="378">SUM(C1870:C1879)</f>
        <v>6100</v>
      </c>
      <c r="D1880" s="296">
        <f t="shared" ref="D1880" si="379">SUM(D1870:D1879)</f>
        <v>5100</v>
      </c>
      <c r="E1880" s="296">
        <f t="shared" ref="E1880" si="380">SUM(E1870:E1879)</f>
        <v>5100</v>
      </c>
      <c r="F1880" s="296">
        <f t="shared" ref="F1880" si="381">SUM(F1870:F1879)</f>
        <v>5100</v>
      </c>
      <c r="G1880" s="296">
        <f t="shared" ref="G1880" si="382">SUM(G1870:G1879)</f>
        <v>4000</v>
      </c>
      <c r="H1880" s="296">
        <f t="shared" ref="H1880" si="383">SUM(H1870:H1879)</f>
        <v>4000</v>
      </c>
      <c r="I1880" s="296">
        <f t="shared" ref="I1880" si="384">SUM(I1870:I1879)</f>
        <v>4000</v>
      </c>
      <c r="J1880" s="296">
        <f t="shared" ref="J1880" si="385">SUM(J1870:J1879)</f>
        <v>4000</v>
      </c>
      <c r="L1880" s="293"/>
    </row>
    <row r="1881" spans="1:12" x14ac:dyDescent="0.25">
      <c r="B1881" s="293"/>
      <c r="C1881" s="293"/>
      <c r="D1881" s="293"/>
      <c r="E1881" s="293"/>
      <c r="F1881" s="293"/>
      <c r="G1881" s="293"/>
      <c r="H1881" s="293"/>
      <c r="I1881" s="293"/>
      <c r="J1881" s="293"/>
      <c r="L1881" s="293">
        <f t="shared" si="377"/>
        <v>0</v>
      </c>
    </row>
    <row r="1882" spans="1:12" x14ac:dyDescent="0.25">
      <c r="A1882" s="47" t="s">
        <v>4264</v>
      </c>
      <c r="B1882" s="293"/>
      <c r="C1882" s="293"/>
      <c r="D1882" s="293"/>
      <c r="E1882" s="293"/>
      <c r="F1882" s="293"/>
      <c r="G1882" s="293"/>
      <c r="H1882" s="293"/>
      <c r="I1882" s="293"/>
      <c r="J1882" s="293"/>
      <c r="L1882" s="293">
        <f t="shared" si="377"/>
        <v>0</v>
      </c>
    </row>
    <row r="1883" spans="1:12" x14ac:dyDescent="0.25">
      <c r="A1883" t="s">
        <v>87</v>
      </c>
      <c r="B1883" s="293"/>
      <c r="C1883" s="293"/>
      <c r="D1883" s="293"/>
      <c r="E1883" s="293"/>
      <c r="F1883" s="293"/>
      <c r="G1883" s="293"/>
      <c r="H1883" s="293"/>
      <c r="I1883" s="293"/>
      <c r="J1883" s="293"/>
      <c r="L1883" s="293">
        <f t="shared" si="377"/>
        <v>0</v>
      </c>
    </row>
    <row r="1884" spans="1:12" x14ac:dyDescent="0.25">
      <c r="A1884" t="s">
        <v>4265</v>
      </c>
      <c r="B1884" s="293"/>
      <c r="C1884" s="293"/>
      <c r="D1884" s="293"/>
      <c r="E1884" s="293"/>
      <c r="F1884" s="293"/>
      <c r="G1884" s="293"/>
      <c r="H1884" s="293"/>
      <c r="I1884" s="293"/>
      <c r="J1884" s="293"/>
      <c r="L1884" s="293">
        <f t="shared" si="377"/>
        <v>0</v>
      </c>
    </row>
    <row r="1885" spans="1:12" x14ac:dyDescent="0.25">
      <c r="B1885" s="293"/>
      <c r="C1885" s="293"/>
      <c r="D1885" s="293"/>
      <c r="E1885" s="293"/>
      <c r="F1885" s="293"/>
      <c r="G1885" s="293"/>
      <c r="H1885" s="293"/>
      <c r="I1885" s="293"/>
      <c r="J1885" s="293"/>
      <c r="L1885" s="293">
        <f t="shared" si="377"/>
        <v>0</v>
      </c>
    </row>
    <row r="1886" spans="1:12" x14ac:dyDescent="0.25">
      <c r="B1886" s="293"/>
      <c r="C1886" s="293"/>
      <c r="D1886" s="293"/>
      <c r="E1886" s="293"/>
      <c r="F1886" s="293"/>
      <c r="G1886" s="293"/>
      <c r="H1886" s="293"/>
      <c r="I1886" s="293"/>
      <c r="J1886" s="293"/>
      <c r="L1886" s="293">
        <f t="shared" si="377"/>
        <v>0</v>
      </c>
    </row>
    <row r="1887" spans="1:12" x14ac:dyDescent="0.25">
      <c r="B1887" s="293"/>
      <c r="C1887" s="293"/>
      <c r="D1887" s="293"/>
      <c r="E1887" s="293"/>
      <c r="F1887" s="293"/>
      <c r="G1887" s="293"/>
      <c r="H1887" s="293"/>
      <c r="I1887" s="293"/>
      <c r="J1887" s="293"/>
      <c r="L1887" s="293">
        <f t="shared" si="377"/>
        <v>0</v>
      </c>
    </row>
    <row r="1888" spans="1:12" x14ac:dyDescent="0.25">
      <c r="B1888" s="293"/>
      <c r="C1888" s="293"/>
      <c r="D1888" s="293"/>
      <c r="E1888" s="293"/>
      <c r="F1888" s="293"/>
      <c r="G1888" s="293"/>
      <c r="H1888" s="293"/>
      <c r="I1888" s="293"/>
      <c r="J1888" s="293"/>
      <c r="L1888" s="293">
        <f t="shared" si="377"/>
        <v>0</v>
      </c>
    </row>
    <row r="1889" spans="1:12" x14ac:dyDescent="0.25">
      <c r="A1889" t="s">
        <v>4266</v>
      </c>
      <c r="B1889" s="293"/>
      <c r="C1889" s="293"/>
      <c r="D1889" s="293"/>
      <c r="E1889" s="293"/>
      <c r="F1889" s="293"/>
      <c r="G1889" s="293"/>
      <c r="H1889" s="293"/>
      <c r="I1889" s="293"/>
      <c r="J1889" s="293"/>
      <c r="L1889" s="293">
        <f t="shared" si="377"/>
        <v>0</v>
      </c>
    </row>
    <row r="1890" spans="1:12" x14ac:dyDescent="0.25">
      <c r="A1890" t="s">
        <v>66</v>
      </c>
      <c r="B1890" s="293"/>
      <c r="C1890" s="293"/>
      <c r="D1890" s="293"/>
      <c r="E1890" s="293"/>
      <c r="F1890" s="293"/>
      <c r="G1890" s="293"/>
      <c r="H1890" s="293"/>
      <c r="I1890" s="293"/>
      <c r="J1890" s="293"/>
      <c r="L1890" s="293">
        <f t="shared" si="377"/>
        <v>0</v>
      </c>
    </row>
    <row r="1891" spans="1:12" x14ac:dyDescent="0.25">
      <c r="B1891" s="293"/>
      <c r="C1891" s="293"/>
      <c r="D1891" s="293"/>
      <c r="E1891" s="293"/>
      <c r="F1891" s="293"/>
      <c r="G1891" s="293"/>
      <c r="H1891" s="293"/>
      <c r="I1891" s="293"/>
      <c r="J1891" s="293"/>
      <c r="L1891" s="293">
        <f t="shared" si="377"/>
        <v>0</v>
      </c>
    </row>
    <row r="1892" spans="1:12" x14ac:dyDescent="0.25">
      <c r="B1892" s="293"/>
      <c r="C1892" s="293"/>
      <c r="D1892" s="293"/>
      <c r="E1892" s="293"/>
      <c r="F1892" s="293"/>
      <c r="G1892" s="293"/>
      <c r="H1892" s="293"/>
      <c r="I1892" s="293"/>
      <c r="J1892" s="293"/>
      <c r="L1892" s="293">
        <f t="shared" si="377"/>
        <v>0</v>
      </c>
    </row>
    <row r="1893" spans="1:12" x14ac:dyDescent="0.25">
      <c r="B1893" s="293"/>
      <c r="C1893" s="293"/>
      <c r="D1893" s="293"/>
      <c r="E1893" s="293"/>
      <c r="F1893" s="293"/>
      <c r="G1893" s="293"/>
      <c r="H1893" s="293"/>
      <c r="I1893" s="293"/>
      <c r="J1893" s="293"/>
      <c r="L1893" s="293">
        <f t="shared" si="377"/>
        <v>0</v>
      </c>
    </row>
    <row r="1894" spans="1:12" x14ac:dyDescent="0.25">
      <c r="B1894" s="293"/>
      <c r="C1894" s="293"/>
      <c r="D1894" s="293"/>
      <c r="E1894" s="293"/>
      <c r="F1894" s="293"/>
      <c r="G1894" s="293"/>
      <c r="H1894" s="293"/>
      <c r="I1894" s="293"/>
      <c r="J1894" s="293"/>
      <c r="L1894" s="293">
        <f t="shared" si="377"/>
        <v>0</v>
      </c>
    </row>
    <row r="1895" spans="1:12" x14ac:dyDescent="0.25">
      <c r="A1895" s="47" t="s">
        <v>4267</v>
      </c>
      <c r="B1895" s="296">
        <f>SUM(B1883:B1894)</f>
        <v>0</v>
      </c>
      <c r="C1895" s="296">
        <f t="shared" ref="C1895" si="386">SUM(C1883:C1894)</f>
        <v>0</v>
      </c>
      <c r="D1895" s="296">
        <f t="shared" ref="D1895" si="387">SUM(D1883:D1894)</f>
        <v>0</v>
      </c>
      <c r="E1895" s="296">
        <f t="shared" ref="E1895" si="388">SUM(E1883:E1894)</f>
        <v>0</v>
      </c>
      <c r="F1895" s="296">
        <f t="shared" ref="F1895" si="389">SUM(F1883:F1894)</f>
        <v>0</v>
      </c>
      <c r="G1895" s="296">
        <f t="shared" ref="G1895" si="390">SUM(G1883:G1894)</f>
        <v>0</v>
      </c>
      <c r="H1895" s="296">
        <f t="shared" ref="H1895" si="391">SUM(H1883:H1894)</f>
        <v>0</v>
      </c>
      <c r="I1895" s="296">
        <f t="shared" ref="I1895" si="392">SUM(I1883:I1894)</f>
        <v>0</v>
      </c>
      <c r="J1895" s="296">
        <f t="shared" ref="J1895" si="393">SUM(J1883:J1894)</f>
        <v>0</v>
      </c>
      <c r="L1895" s="293">
        <f t="shared" si="377"/>
        <v>0</v>
      </c>
    </row>
    <row r="1896" spans="1:12" x14ac:dyDescent="0.25">
      <c r="B1896" s="293"/>
      <c r="C1896" s="293"/>
      <c r="D1896" s="293"/>
      <c r="E1896" s="293"/>
      <c r="F1896" s="293"/>
      <c r="G1896" s="293"/>
      <c r="H1896" s="293"/>
      <c r="I1896" s="293"/>
      <c r="J1896" s="293"/>
      <c r="L1896" s="293">
        <f t="shared" si="377"/>
        <v>0</v>
      </c>
    </row>
    <row r="1897" spans="1:12" ht="15.75" thickBot="1" x14ac:dyDescent="0.3">
      <c r="A1897" s="47" t="s">
        <v>4268</v>
      </c>
      <c r="B1897" s="301">
        <f>B1880-B1895</f>
        <v>7600</v>
      </c>
      <c r="C1897" s="301">
        <f t="shared" ref="C1897:J1897" si="394">C1880-C1895</f>
        <v>6100</v>
      </c>
      <c r="D1897" s="301">
        <f t="shared" si="394"/>
        <v>5100</v>
      </c>
      <c r="E1897" s="301">
        <f t="shared" si="394"/>
        <v>5100</v>
      </c>
      <c r="F1897" s="301">
        <f t="shared" si="394"/>
        <v>5100</v>
      </c>
      <c r="G1897" s="301">
        <f t="shared" si="394"/>
        <v>4000</v>
      </c>
      <c r="H1897" s="301">
        <f t="shared" si="394"/>
        <v>4000</v>
      </c>
      <c r="I1897" s="301">
        <f t="shared" si="394"/>
        <v>4000</v>
      </c>
      <c r="J1897" s="301">
        <f t="shared" si="394"/>
        <v>4000</v>
      </c>
      <c r="L1897" s="293"/>
    </row>
    <row r="1898" spans="1:12" ht="15.75" thickTop="1" x14ac:dyDescent="0.25">
      <c r="B1898" s="293"/>
      <c r="C1898" s="293"/>
      <c r="D1898" s="293"/>
      <c r="E1898" s="293"/>
      <c r="F1898" s="293"/>
      <c r="G1898" s="293"/>
      <c r="H1898" s="293"/>
      <c r="I1898" s="293"/>
      <c r="J1898" s="293"/>
      <c r="L1898" s="293">
        <f t="shared" si="377"/>
        <v>0</v>
      </c>
    </row>
    <row r="1899" spans="1:12" x14ac:dyDescent="0.25">
      <c r="A1899" s="281"/>
      <c r="B1899" s="316"/>
      <c r="C1899" s="316"/>
      <c r="D1899" s="316"/>
      <c r="E1899" s="316"/>
      <c r="F1899" s="316"/>
      <c r="G1899" s="316"/>
      <c r="H1899" s="316"/>
      <c r="I1899" s="316"/>
      <c r="J1899" s="316"/>
      <c r="L1899" s="293">
        <f t="shared" si="377"/>
        <v>0</v>
      </c>
    </row>
    <row r="1900" spans="1:12" x14ac:dyDescent="0.25">
      <c r="B1900" s="293"/>
      <c r="C1900" s="293"/>
      <c r="D1900" s="293"/>
      <c r="E1900" s="293"/>
      <c r="F1900" s="293"/>
      <c r="G1900" s="293"/>
      <c r="H1900" s="293"/>
      <c r="I1900" s="293"/>
      <c r="J1900" s="293"/>
      <c r="L1900" s="293">
        <f t="shared" si="377"/>
        <v>0</v>
      </c>
    </row>
    <row r="1901" spans="1:12" x14ac:dyDescent="0.25">
      <c r="A1901" s="280" t="s">
        <v>4379</v>
      </c>
      <c r="B1901" s="293"/>
      <c r="C1901" s="293"/>
      <c r="D1901" s="293"/>
      <c r="E1901" s="293"/>
      <c r="F1901" s="293"/>
      <c r="G1901" s="293"/>
      <c r="H1901" s="293"/>
      <c r="I1901" s="293"/>
      <c r="J1901" s="293"/>
      <c r="L1901" s="293">
        <f t="shared" si="377"/>
        <v>0</v>
      </c>
    </row>
    <row r="1902" spans="1:12" x14ac:dyDescent="0.25">
      <c r="B1902" s="293"/>
      <c r="C1902" s="293"/>
      <c r="D1902" s="293"/>
      <c r="E1902" s="293"/>
      <c r="F1902" s="293"/>
      <c r="G1902" s="293"/>
      <c r="H1902" s="293"/>
      <c r="I1902" s="293"/>
      <c r="J1902" s="293"/>
      <c r="L1902" s="293">
        <f t="shared" si="377"/>
        <v>0</v>
      </c>
    </row>
    <row r="1903" spans="1:12" x14ac:dyDescent="0.25">
      <c r="A1903" s="47" t="s">
        <v>4260</v>
      </c>
      <c r="B1903" s="293"/>
      <c r="C1903" s="293"/>
      <c r="D1903" s="293"/>
      <c r="E1903" s="293"/>
      <c r="F1903" s="293"/>
      <c r="G1903" s="293"/>
      <c r="H1903" s="293"/>
      <c r="I1903" s="293"/>
      <c r="J1903" s="293"/>
      <c r="L1903" s="293">
        <f t="shared" si="377"/>
        <v>0</v>
      </c>
    </row>
    <row r="1904" spans="1:12" x14ac:dyDescent="0.25">
      <c r="A1904" t="s">
        <v>4262</v>
      </c>
      <c r="B1904" s="293"/>
      <c r="C1904" s="293"/>
      <c r="D1904" s="293"/>
      <c r="E1904" s="293"/>
      <c r="F1904" s="293"/>
      <c r="G1904" s="293"/>
      <c r="H1904" s="293"/>
      <c r="I1904" s="293"/>
      <c r="J1904" s="293"/>
      <c r="L1904" s="293">
        <f t="shared" si="377"/>
        <v>0</v>
      </c>
    </row>
    <row r="1905" spans="1:12" x14ac:dyDescent="0.25">
      <c r="A1905" t="s">
        <v>4261</v>
      </c>
      <c r="B1905" s="293">
        <f>capitalrevdata!F65</f>
        <v>59800</v>
      </c>
      <c r="C1905" s="293">
        <f>capitalrevdata!G65</f>
        <v>47800</v>
      </c>
      <c r="D1905" s="293">
        <f>capitalrevdata!H65</f>
        <v>39800</v>
      </c>
      <c r="E1905" s="293">
        <f>capitalrevdata!I65</f>
        <v>39800</v>
      </c>
      <c r="F1905" s="293">
        <f>capitalrevdata!J65</f>
        <v>39800</v>
      </c>
      <c r="G1905" s="293">
        <f>capitalrevdata!K65</f>
        <v>31900</v>
      </c>
      <c r="H1905" s="293">
        <f>capitalrevdata!L65</f>
        <v>31900</v>
      </c>
      <c r="I1905" s="293">
        <f>capitalrevdata!M65</f>
        <v>31900</v>
      </c>
      <c r="J1905" s="293">
        <f>capitalrevdata!N65</f>
        <v>31900</v>
      </c>
      <c r="K1905" s="293"/>
      <c r="L1905" s="293">
        <f t="shared" si="377"/>
        <v>31900</v>
      </c>
    </row>
    <row r="1906" spans="1:12" x14ac:dyDescent="0.25">
      <c r="A1906" t="s">
        <v>66</v>
      </c>
      <c r="B1906" s="293"/>
      <c r="C1906" s="293"/>
      <c r="D1906" s="293"/>
      <c r="E1906" s="293"/>
      <c r="F1906" s="293"/>
      <c r="G1906" s="293"/>
      <c r="H1906" s="293"/>
      <c r="I1906" s="293"/>
      <c r="J1906" s="293"/>
      <c r="L1906" s="293">
        <f t="shared" si="377"/>
        <v>0</v>
      </c>
    </row>
    <row r="1907" spans="1:12" x14ac:dyDescent="0.25">
      <c r="B1907" s="293"/>
      <c r="C1907" s="293"/>
      <c r="D1907" s="293"/>
      <c r="E1907" s="293"/>
      <c r="F1907" s="293"/>
      <c r="G1907" s="293"/>
      <c r="H1907" s="293"/>
      <c r="I1907" s="293"/>
      <c r="J1907" s="293"/>
      <c r="L1907" s="293">
        <f t="shared" si="377"/>
        <v>0</v>
      </c>
    </row>
    <row r="1908" spans="1:12" x14ac:dyDescent="0.25">
      <c r="B1908" s="293"/>
      <c r="C1908" s="293"/>
      <c r="D1908" s="293"/>
      <c r="E1908" s="293"/>
      <c r="F1908" s="293"/>
      <c r="G1908" s="293"/>
      <c r="H1908" s="293"/>
      <c r="I1908" s="293"/>
      <c r="J1908" s="293"/>
      <c r="L1908" s="293">
        <f t="shared" si="377"/>
        <v>0</v>
      </c>
    </row>
    <row r="1909" spans="1:12" x14ac:dyDescent="0.25">
      <c r="B1909" s="293"/>
      <c r="C1909" s="293"/>
      <c r="D1909" s="293"/>
      <c r="E1909" s="293"/>
      <c r="F1909" s="293"/>
      <c r="G1909" s="293"/>
      <c r="H1909" s="293"/>
      <c r="I1909" s="293"/>
      <c r="J1909" s="293"/>
      <c r="L1909" s="293">
        <f t="shared" si="377"/>
        <v>0</v>
      </c>
    </row>
    <row r="1910" spans="1:12" x14ac:dyDescent="0.25">
      <c r="B1910" s="293"/>
      <c r="C1910" s="293"/>
      <c r="D1910" s="293"/>
      <c r="E1910" s="293"/>
      <c r="F1910" s="293"/>
      <c r="G1910" s="293"/>
      <c r="H1910" s="293"/>
      <c r="I1910" s="293"/>
      <c r="J1910" s="293"/>
      <c r="L1910" s="293">
        <f t="shared" si="377"/>
        <v>0</v>
      </c>
    </row>
    <row r="1911" spans="1:12" x14ac:dyDescent="0.25">
      <c r="A1911" s="47" t="s">
        <v>4263</v>
      </c>
      <c r="B1911" s="296">
        <f>SUM(B1901:B1910)</f>
        <v>59800</v>
      </c>
      <c r="C1911" s="296">
        <f t="shared" ref="C1911" si="395">SUM(C1901:C1910)</f>
        <v>47800</v>
      </c>
      <c r="D1911" s="296">
        <f t="shared" ref="D1911" si="396">SUM(D1901:D1910)</f>
        <v>39800</v>
      </c>
      <c r="E1911" s="296">
        <f t="shared" ref="E1911" si="397">SUM(E1901:E1910)</f>
        <v>39800</v>
      </c>
      <c r="F1911" s="296">
        <f t="shared" ref="F1911" si="398">SUM(F1901:F1910)</f>
        <v>39800</v>
      </c>
      <c r="G1911" s="296">
        <f t="shared" ref="G1911" si="399">SUM(G1901:G1910)</f>
        <v>31900</v>
      </c>
      <c r="H1911" s="296">
        <f t="shared" ref="H1911" si="400">SUM(H1901:H1910)</f>
        <v>31900</v>
      </c>
      <c r="I1911" s="296">
        <f t="shared" ref="I1911" si="401">SUM(I1901:I1910)</f>
        <v>31900</v>
      </c>
      <c r="J1911" s="296">
        <f t="shared" ref="J1911" si="402">SUM(J1901:J1910)</f>
        <v>31900</v>
      </c>
      <c r="L1911" s="293"/>
    </row>
    <row r="1912" spans="1:12" x14ac:dyDescent="0.25">
      <c r="B1912" s="293"/>
      <c r="C1912" s="293"/>
      <c r="D1912" s="293"/>
      <c r="E1912" s="293"/>
      <c r="F1912" s="293"/>
      <c r="G1912" s="293"/>
      <c r="H1912" s="293"/>
      <c r="I1912" s="293"/>
      <c r="J1912" s="293"/>
      <c r="L1912" s="293"/>
    </row>
    <row r="1913" spans="1:12" x14ac:dyDescent="0.25">
      <c r="A1913" s="47" t="s">
        <v>4264</v>
      </c>
      <c r="B1913" s="293"/>
      <c r="C1913" s="293"/>
      <c r="D1913" s="293"/>
      <c r="E1913" s="293"/>
      <c r="F1913" s="293"/>
      <c r="G1913" s="293"/>
      <c r="H1913" s="293"/>
      <c r="I1913" s="293"/>
      <c r="J1913" s="293"/>
      <c r="L1913" s="293">
        <f t="shared" si="377"/>
        <v>0</v>
      </c>
    </row>
    <row r="1914" spans="1:12" x14ac:dyDescent="0.25">
      <c r="A1914" t="s">
        <v>87</v>
      </c>
      <c r="B1914" s="293"/>
      <c r="C1914" s="293"/>
      <c r="D1914" s="293"/>
      <c r="E1914" s="293"/>
      <c r="F1914" s="293"/>
      <c r="G1914" s="293"/>
      <c r="H1914" s="293"/>
      <c r="I1914" s="293"/>
      <c r="J1914" s="293"/>
      <c r="L1914" s="293">
        <f t="shared" si="377"/>
        <v>0</v>
      </c>
    </row>
    <row r="1915" spans="1:12" x14ac:dyDescent="0.25">
      <c r="A1915" t="s">
        <v>4265</v>
      </c>
      <c r="B1915" s="293"/>
      <c r="C1915" s="293"/>
      <c r="D1915" s="293"/>
      <c r="E1915" s="293"/>
      <c r="F1915" s="293"/>
      <c r="G1915" s="293"/>
      <c r="H1915" s="293"/>
      <c r="I1915" s="293"/>
      <c r="J1915" s="293"/>
      <c r="L1915" s="293">
        <f t="shared" si="377"/>
        <v>0</v>
      </c>
    </row>
    <row r="1916" spans="1:12" x14ac:dyDescent="0.25">
      <c r="B1916" s="293"/>
      <c r="C1916" s="293"/>
      <c r="D1916" s="293"/>
      <c r="E1916" s="293"/>
      <c r="F1916" s="293"/>
      <c r="G1916" s="293"/>
      <c r="H1916" s="293"/>
      <c r="I1916" s="293"/>
      <c r="J1916" s="293"/>
      <c r="L1916" s="293">
        <f t="shared" si="377"/>
        <v>0</v>
      </c>
    </row>
    <row r="1917" spans="1:12" x14ac:dyDescent="0.25">
      <c r="B1917" s="293"/>
      <c r="C1917" s="293"/>
      <c r="D1917" s="293"/>
      <c r="E1917" s="293"/>
      <c r="F1917" s="293"/>
      <c r="G1917" s="293"/>
      <c r="H1917" s="293"/>
      <c r="I1917" s="293"/>
      <c r="J1917" s="293"/>
      <c r="L1917" s="293">
        <f t="shared" si="377"/>
        <v>0</v>
      </c>
    </row>
    <row r="1918" spans="1:12" x14ac:dyDescent="0.25">
      <c r="B1918" s="293"/>
      <c r="C1918" s="293"/>
      <c r="D1918" s="293"/>
      <c r="E1918" s="293"/>
      <c r="F1918" s="293"/>
      <c r="G1918" s="293"/>
      <c r="H1918" s="293"/>
      <c r="I1918" s="293"/>
      <c r="J1918" s="293"/>
      <c r="L1918" s="293">
        <f t="shared" si="377"/>
        <v>0</v>
      </c>
    </row>
    <row r="1919" spans="1:12" x14ac:dyDescent="0.25">
      <c r="B1919" s="293"/>
      <c r="C1919" s="293"/>
      <c r="D1919" s="293"/>
      <c r="E1919" s="293"/>
      <c r="F1919" s="293"/>
      <c r="G1919" s="293"/>
      <c r="H1919" s="293"/>
      <c r="I1919" s="293"/>
      <c r="J1919" s="293"/>
      <c r="L1919" s="293">
        <f t="shared" si="377"/>
        <v>0</v>
      </c>
    </row>
    <row r="1920" spans="1:12" x14ac:dyDescent="0.25">
      <c r="A1920" t="s">
        <v>4266</v>
      </c>
      <c r="B1920" s="293"/>
      <c r="C1920" s="293"/>
      <c r="D1920" s="293"/>
      <c r="E1920" s="293"/>
      <c r="F1920" s="293"/>
      <c r="G1920" s="293"/>
      <c r="H1920" s="293"/>
      <c r="I1920" s="293"/>
      <c r="J1920" s="293"/>
      <c r="L1920" s="293">
        <f t="shared" si="377"/>
        <v>0</v>
      </c>
    </row>
    <row r="1921" spans="1:12" x14ac:dyDescent="0.25">
      <c r="A1921" t="s">
        <v>66</v>
      </c>
      <c r="B1921" s="293"/>
      <c r="C1921" s="293"/>
      <c r="D1921" s="293"/>
      <c r="E1921" s="293"/>
      <c r="F1921" s="293"/>
      <c r="G1921" s="293"/>
      <c r="H1921" s="293"/>
      <c r="I1921" s="293"/>
      <c r="J1921" s="293"/>
      <c r="L1921" s="293">
        <f t="shared" si="377"/>
        <v>0</v>
      </c>
    </row>
    <row r="1922" spans="1:12" x14ac:dyDescent="0.25">
      <c r="B1922" s="293"/>
      <c r="C1922" s="293"/>
      <c r="D1922" s="293"/>
      <c r="E1922" s="293"/>
      <c r="F1922" s="293"/>
      <c r="G1922" s="293"/>
      <c r="H1922" s="293"/>
      <c r="I1922" s="293"/>
      <c r="J1922" s="293"/>
      <c r="L1922" s="293">
        <f t="shared" si="377"/>
        <v>0</v>
      </c>
    </row>
    <row r="1923" spans="1:12" x14ac:dyDescent="0.25">
      <c r="B1923" s="293"/>
      <c r="C1923" s="293"/>
      <c r="D1923" s="293"/>
      <c r="E1923" s="293"/>
      <c r="F1923" s="293"/>
      <c r="G1923" s="293"/>
      <c r="H1923" s="293"/>
      <c r="I1923" s="293"/>
      <c r="J1923" s="293"/>
      <c r="L1923" s="293">
        <f t="shared" si="377"/>
        <v>0</v>
      </c>
    </row>
    <row r="1924" spans="1:12" x14ac:dyDescent="0.25">
      <c r="B1924" s="293"/>
      <c r="C1924" s="293"/>
      <c r="D1924" s="293"/>
      <c r="E1924" s="293"/>
      <c r="F1924" s="293"/>
      <c r="G1924" s="293"/>
      <c r="H1924" s="293"/>
      <c r="I1924" s="293"/>
      <c r="J1924" s="293"/>
      <c r="L1924" s="293">
        <f t="shared" si="377"/>
        <v>0</v>
      </c>
    </row>
    <row r="1925" spans="1:12" x14ac:dyDescent="0.25">
      <c r="B1925" s="293"/>
      <c r="C1925" s="293"/>
      <c r="D1925" s="293"/>
      <c r="E1925" s="293"/>
      <c r="F1925" s="293"/>
      <c r="G1925" s="293"/>
      <c r="H1925" s="293"/>
      <c r="I1925" s="293"/>
      <c r="J1925" s="293"/>
      <c r="L1925" s="293">
        <f t="shared" si="377"/>
        <v>0</v>
      </c>
    </row>
    <row r="1926" spans="1:12" x14ac:dyDescent="0.25">
      <c r="A1926" s="47" t="s">
        <v>4267</v>
      </c>
      <c r="B1926" s="296">
        <f>SUM(B1914:B1925)</f>
        <v>0</v>
      </c>
      <c r="C1926" s="296">
        <f t="shared" ref="C1926" si="403">SUM(C1914:C1925)</f>
        <v>0</v>
      </c>
      <c r="D1926" s="296">
        <f t="shared" ref="D1926" si="404">SUM(D1914:D1925)</f>
        <v>0</v>
      </c>
      <c r="E1926" s="296">
        <f t="shared" ref="E1926" si="405">SUM(E1914:E1925)</f>
        <v>0</v>
      </c>
      <c r="F1926" s="296">
        <f t="shared" ref="F1926" si="406">SUM(F1914:F1925)</f>
        <v>0</v>
      </c>
      <c r="G1926" s="296">
        <f t="shared" ref="G1926" si="407">SUM(G1914:G1925)</f>
        <v>0</v>
      </c>
      <c r="H1926" s="296">
        <f t="shared" ref="H1926" si="408">SUM(H1914:H1925)</f>
        <v>0</v>
      </c>
      <c r="I1926" s="296">
        <f t="shared" ref="I1926" si="409">SUM(I1914:I1925)</f>
        <v>0</v>
      </c>
      <c r="J1926" s="296">
        <f t="shared" ref="J1926" si="410">SUM(J1914:J1925)</f>
        <v>0</v>
      </c>
      <c r="L1926" s="293">
        <f t="shared" si="377"/>
        <v>0</v>
      </c>
    </row>
    <row r="1927" spans="1:12" x14ac:dyDescent="0.25">
      <c r="B1927" s="293"/>
      <c r="C1927" s="293"/>
      <c r="D1927" s="293"/>
      <c r="E1927" s="293"/>
      <c r="F1927" s="293"/>
      <c r="G1927" s="293"/>
      <c r="H1927" s="293"/>
      <c r="I1927" s="293"/>
      <c r="J1927" s="293"/>
      <c r="L1927" s="293">
        <f t="shared" si="377"/>
        <v>0</v>
      </c>
    </row>
    <row r="1928" spans="1:12" ht="15.75" thickBot="1" x14ac:dyDescent="0.3">
      <c r="A1928" s="47" t="s">
        <v>4268</v>
      </c>
      <c r="B1928" s="301">
        <f>B1911-B1926</f>
        <v>59800</v>
      </c>
      <c r="C1928" s="301">
        <f t="shared" ref="C1928:J1928" si="411">C1911-C1926</f>
        <v>47800</v>
      </c>
      <c r="D1928" s="301">
        <f t="shared" si="411"/>
        <v>39800</v>
      </c>
      <c r="E1928" s="301">
        <f t="shared" si="411"/>
        <v>39800</v>
      </c>
      <c r="F1928" s="301">
        <f t="shared" si="411"/>
        <v>39800</v>
      </c>
      <c r="G1928" s="301">
        <f t="shared" si="411"/>
        <v>31900</v>
      </c>
      <c r="H1928" s="301">
        <f t="shared" si="411"/>
        <v>31900</v>
      </c>
      <c r="I1928" s="301">
        <f t="shared" si="411"/>
        <v>31900</v>
      </c>
      <c r="J1928" s="301">
        <f t="shared" si="411"/>
        <v>31900</v>
      </c>
      <c r="L1928" s="293"/>
    </row>
    <row r="1929" spans="1:12" ht="15.75" thickTop="1" x14ac:dyDescent="0.25">
      <c r="B1929" s="293"/>
      <c r="C1929" s="293"/>
      <c r="D1929" s="293"/>
      <c r="E1929" s="293"/>
      <c r="F1929" s="293"/>
      <c r="G1929" s="293"/>
      <c r="H1929" s="293"/>
      <c r="I1929" s="293"/>
      <c r="J1929" s="293"/>
    </row>
    <row r="1930" spans="1:12" x14ac:dyDescent="0.25">
      <c r="A1930" s="281"/>
      <c r="B1930" s="316"/>
      <c r="C1930" s="316"/>
      <c r="D1930" s="316"/>
      <c r="E1930" s="316"/>
      <c r="F1930" s="316"/>
      <c r="G1930" s="316"/>
      <c r="H1930" s="316"/>
      <c r="I1930" s="316"/>
      <c r="J1930" s="316"/>
      <c r="L1930" s="293">
        <f>SUM(L107:L1929)</f>
        <v>1833800</v>
      </c>
    </row>
    <row r="1931" spans="1:12" x14ac:dyDescent="0.25">
      <c r="B1931" s="293"/>
      <c r="C1931" s="293"/>
      <c r="D1931" s="293"/>
      <c r="E1931" s="293"/>
      <c r="F1931" s="293"/>
      <c r="G1931" s="293"/>
      <c r="H1931" s="293"/>
      <c r="I1931" s="293"/>
      <c r="J1931" s="293"/>
    </row>
    <row r="1932" spans="1:12" x14ac:dyDescent="0.25">
      <c r="A1932" s="280" t="s">
        <v>4380</v>
      </c>
      <c r="B1932" s="293"/>
      <c r="C1932" s="293"/>
      <c r="D1932" s="293"/>
      <c r="E1932" s="293"/>
      <c r="F1932" s="293"/>
      <c r="G1932" s="293"/>
      <c r="H1932" s="293"/>
      <c r="I1932" s="293"/>
      <c r="J1932" s="293"/>
    </row>
    <row r="1933" spans="1:12" x14ac:dyDescent="0.25">
      <c r="B1933" s="293"/>
      <c r="C1933" s="293"/>
      <c r="D1933" s="293"/>
      <c r="E1933" s="293"/>
      <c r="F1933" s="293"/>
      <c r="G1933" s="293"/>
      <c r="H1933" s="293"/>
      <c r="I1933" s="293"/>
      <c r="J1933" s="293"/>
    </row>
    <row r="1934" spans="1:12" x14ac:dyDescent="0.25">
      <c r="A1934" s="47" t="s">
        <v>4260</v>
      </c>
      <c r="B1934" s="293"/>
      <c r="C1934" s="293"/>
      <c r="D1934" s="293"/>
      <c r="E1934" s="293"/>
      <c r="F1934" s="293"/>
      <c r="G1934" s="293"/>
      <c r="H1934" s="293"/>
      <c r="I1934" s="293"/>
      <c r="J1934" s="293"/>
    </row>
    <row r="1935" spans="1:12" x14ac:dyDescent="0.25">
      <c r="A1935" t="s">
        <v>4262</v>
      </c>
      <c r="B1935" s="293"/>
      <c r="C1935" s="293"/>
      <c r="D1935" s="293"/>
      <c r="E1935" s="293"/>
      <c r="F1935" s="293"/>
      <c r="G1935" s="293"/>
      <c r="H1935" s="293"/>
      <c r="I1935" s="293"/>
      <c r="J1935" s="293"/>
    </row>
    <row r="1936" spans="1:12" x14ac:dyDescent="0.25">
      <c r="A1936" t="s">
        <v>4261</v>
      </c>
      <c r="B1936" s="293"/>
      <c r="C1936" s="293"/>
      <c r="D1936" s="293"/>
      <c r="E1936" s="293"/>
      <c r="F1936" s="293"/>
      <c r="G1936" s="293"/>
      <c r="H1936" s="293"/>
      <c r="I1936" s="293"/>
      <c r="J1936" s="293"/>
    </row>
    <row r="1937" spans="1:10" x14ac:dyDescent="0.25">
      <c r="A1937" t="s">
        <v>66</v>
      </c>
      <c r="B1937" s="293"/>
      <c r="C1937" s="293"/>
      <c r="D1937" s="293"/>
      <c r="E1937" s="293"/>
      <c r="F1937" s="293"/>
      <c r="G1937" s="293"/>
      <c r="H1937" s="293"/>
      <c r="I1937" s="293"/>
      <c r="J1937" s="293"/>
    </row>
    <row r="1938" spans="1:10" x14ac:dyDescent="0.25">
      <c r="B1938" s="293"/>
      <c r="C1938" s="293"/>
      <c r="D1938" s="293"/>
      <c r="E1938" s="293"/>
      <c r="F1938" s="293"/>
      <c r="G1938" s="293"/>
      <c r="H1938" s="293"/>
      <c r="I1938" s="293"/>
      <c r="J1938" s="293"/>
    </row>
    <row r="1939" spans="1:10" x14ac:dyDescent="0.25">
      <c r="B1939" s="293"/>
      <c r="C1939" s="293"/>
      <c r="D1939" s="293"/>
      <c r="E1939" s="293"/>
      <c r="F1939" s="293"/>
      <c r="G1939" s="293"/>
      <c r="H1939" s="293"/>
      <c r="I1939" s="293"/>
      <c r="J1939" s="293"/>
    </row>
    <row r="1940" spans="1:10" x14ac:dyDescent="0.25">
      <c r="B1940" s="293"/>
      <c r="C1940" s="293"/>
      <c r="D1940" s="293"/>
      <c r="E1940" s="293"/>
      <c r="F1940" s="293"/>
      <c r="G1940" s="293"/>
      <c r="H1940" s="293"/>
      <c r="I1940" s="293"/>
      <c r="J1940" s="293"/>
    </row>
    <row r="1941" spans="1:10" x14ac:dyDescent="0.25">
      <c r="B1941" s="293"/>
      <c r="C1941" s="293"/>
      <c r="D1941" s="293"/>
      <c r="E1941" s="293"/>
      <c r="F1941" s="293"/>
      <c r="G1941" s="293"/>
      <c r="H1941" s="293"/>
      <c r="I1941" s="293"/>
      <c r="J1941" s="293"/>
    </row>
    <row r="1942" spans="1:10" x14ac:dyDescent="0.25">
      <c r="A1942" s="47" t="s">
        <v>4263</v>
      </c>
      <c r="B1942" s="296">
        <f>SUM(B1932:B1941)</f>
        <v>0</v>
      </c>
      <c r="C1942" s="296">
        <f t="shared" ref="C1942" si="412">SUM(C1932:C1941)</f>
        <v>0</v>
      </c>
      <c r="D1942" s="296">
        <f t="shared" ref="D1942" si="413">SUM(D1932:D1941)</f>
        <v>0</v>
      </c>
      <c r="E1942" s="296">
        <f t="shared" ref="E1942" si="414">SUM(E1932:E1941)</f>
        <v>0</v>
      </c>
      <c r="F1942" s="296">
        <f t="shared" ref="F1942" si="415">SUM(F1932:F1941)</f>
        <v>0</v>
      </c>
      <c r="G1942" s="296">
        <f t="shared" ref="G1942" si="416">SUM(G1932:G1941)</f>
        <v>0</v>
      </c>
      <c r="H1942" s="296">
        <f t="shared" ref="H1942" si="417">SUM(H1932:H1941)</f>
        <v>0</v>
      </c>
      <c r="I1942" s="296">
        <f t="shared" ref="I1942" si="418">SUM(I1932:I1941)</f>
        <v>0</v>
      </c>
      <c r="J1942" s="296">
        <f t="shared" ref="J1942" si="419">SUM(J1932:J1941)</f>
        <v>0</v>
      </c>
    </row>
    <row r="1943" spans="1:10" x14ac:dyDescent="0.25">
      <c r="B1943" s="293"/>
      <c r="C1943" s="293"/>
      <c r="D1943" s="293"/>
      <c r="E1943" s="293"/>
      <c r="F1943" s="293"/>
      <c r="G1943" s="293"/>
      <c r="H1943" s="293"/>
      <c r="I1943" s="293"/>
      <c r="J1943" s="293"/>
    </row>
    <row r="1944" spans="1:10" x14ac:dyDescent="0.25">
      <c r="A1944" s="47" t="s">
        <v>4264</v>
      </c>
      <c r="B1944" s="293"/>
      <c r="C1944" s="293"/>
      <c r="D1944" s="293"/>
      <c r="E1944" s="293"/>
      <c r="F1944" s="293"/>
      <c r="G1944" s="293"/>
      <c r="H1944" s="293"/>
      <c r="I1944" s="293"/>
      <c r="J1944" s="293"/>
    </row>
    <row r="1945" spans="1:10" x14ac:dyDescent="0.25">
      <c r="A1945" t="s">
        <v>87</v>
      </c>
      <c r="B1945" s="293"/>
      <c r="C1945" s="293"/>
      <c r="D1945" s="293"/>
      <c r="E1945" s="293"/>
      <c r="F1945" s="293"/>
      <c r="G1945" s="293"/>
      <c r="H1945" s="293"/>
      <c r="I1945" s="293"/>
      <c r="J1945" s="293"/>
    </row>
    <row r="1946" spans="1:10" x14ac:dyDescent="0.25">
      <c r="A1946" t="s">
        <v>4265</v>
      </c>
      <c r="B1946" s="293"/>
      <c r="C1946" s="293"/>
      <c r="D1946" s="293"/>
      <c r="E1946" s="293"/>
      <c r="F1946" s="293"/>
      <c r="G1946" s="293"/>
      <c r="H1946" s="293"/>
      <c r="I1946" s="293"/>
      <c r="J1946" s="293"/>
    </row>
    <row r="1947" spans="1:10" x14ac:dyDescent="0.25">
      <c r="B1947" s="293"/>
      <c r="C1947" s="293"/>
      <c r="D1947" s="293"/>
      <c r="E1947" s="293"/>
      <c r="F1947" s="293"/>
      <c r="G1947" s="293"/>
      <c r="H1947" s="293"/>
      <c r="I1947" s="293"/>
      <c r="J1947" s="293"/>
    </row>
    <row r="1948" spans="1:10" x14ac:dyDescent="0.25">
      <c r="B1948" s="293"/>
      <c r="C1948" s="293"/>
      <c r="D1948" s="293"/>
      <c r="E1948" s="293"/>
      <c r="F1948" s="293"/>
      <c r="G1948" s="293"/>
      <c r="H1948" s="293"/>
      <c r="I1948" s="293"/>
      <c r="J1948" s="293"/>
    </row>
    <row r="1949" spans="1:10" x14ac:dyDescent="0.25">
      <c r="B1949" s="293"/>
      <c r="C1949" s="293"/>
      <c r="D1949" s="293"/>
      <c r="E1949" s="293"/>
      <c r="F1949" s="293"/>
      <c r="G1949" s="293"/>
      <c r="H1949" s="293"/>
      <c r="I1949" s="293"/>
      <c r="J1949" s="293"/>
    </row>
    <row r="1950" spans="1:10" x14ac:dyDescent="0.25">
      <c r="B1950" s="293"/>
      <c r="C1950" s="293"/>
      <c r="D1950" s="293"/>
      <c r="E1950" s="293"/>
      <c r="F1950" s="293"/>
      <c r="G1950" s="293"/>
      <c r="H1950" s="293"/>
      <c r="I1950" s="293"/>
      <c r="J1950" s="293"/>
    </row>
    <row r="1951" spans="1:10" x14ac:dyDescent="0.25">
      <c r="A1951" t="s">
        <v>4266</v>
      </c>
      <c r="B1951" s="293"/>
      <c r="C1951" s="293"/>
      <c r="D1951" s="293"/>
      <c r="E1951" s="293"/>
      <c r="F1951" s="293"/>
      <c r="G1951" s="293"/>
      <c r="H1951" s="293"/>
      <c r="I1951" s="293"/>
      <c r="J1951" s="293"/>
    </row>
    <row r="1952" spans="1:10" x14ac:dyDescent="0.25">
      <c r="A1952" t="s">
        <v>66</v>
      </c>
      <c r="B1952" s="293"/>
      <c r="C1952" s="293"/>
      <c r="D1952" s="293"/>
      <c r="E1952" s="293"/>
      <c r="F1952" s="293"/>
      <c r="G1952" s="293"/>
      <c r="H1952" s="293"/>
      <c r="I1952" s="293"/>
      <c r="J1952" s="293"/>
    </row>
    <row r="1953" spans="1:10" x14ac:dyDescent="0.25">
      <c r="B1953" s="293"/>
      <c r="C1953" s="293"/>
      <c r="D1953" s="293"/>
      <c r="E1953" s="293"/>
      <c r="F1953" s="293"/>
      <c r="G1953" s="293"/>
      <c r="H1953" s="293"/>
      <c r="I1953" s="293"/>
      <c r="J1953" s="293"/>
    </row>
    <row r="1954" spans="1:10" x14ac:dyDescent="0.25">
      <c r="B1954" s="293"/>
      <c r="C1954" s="293"/>
      <c r="D1954" s="293"/>
      <c r="E1954" s="293"/>
      <c r="F1954" s="293"/>
      <c r="G1954" s="293"/>
      <c r="H1954" s="293"/>
      <c r="I1954" s="293"/>
      <c r="J1954" s="293"/>
    </row>
    <row r="1955" spans="1:10" x14ac:dyDescent="0.25">
      <c r="B1955" s="293"/>
      <c r="C1955" s="293"/>
      <c r="D1955" s="293"/>
      <c r="E1955" s="293"/>
      <c r="F1955" s="293"/>
      <c r="G1955" s="293"/>
      <c r="H1955" s="293"/>
      <c r="I1955" s="293"/>
      <c r="J1955" s="293"/>
    </row>
    <row r="1956" spans="1:10" x14ac:dyDescent="0.25">
      <c r="B1956" s="293"/>
      <c r="C1956" s="293"/>
      <c r="D1956" s="293"/>
      <c r="E1956" s="293"/>
      <c r="F1956" s="293"/>
      <c r="G1956" s="293"/>
      <c r="H1956" s="293"/>
      <c r="I1956" s="293"/>
      <c r="J1956" s="293"/>
    </row>
    <row r="1957" spans="1:10" x14ac:dyDescent="0.25">
      <c r="A1957" s="47" t="s">
        <v>4267</v>
      </c>
      <c r="B1957" s="296">
        <f>SUM(B1945:B1956)</f>
        <v>0</v>
      </c>
      <c r="C1957" s="296">
        <f t="shared" ref="C1957" si="420">SUM(C1945:C1956)</f>
        <v>0</v>
      </c>
      <c r="D1957" s="296">
        <f t="shared" ref="D1957" si="421">SUM(D1945:D1956)</f>
        <v>0</v>
      </c>
      <c r="E1957" s="296">
        <f t="shared" ref="E1957" si="422">SUM(E1945:E1956)</f>
        <v>0</v>
      </c>
      <c r="F1957" s="296">
        <f t="shared" ref="F1957" si="423">SUM(F1945:F1956)</f>
        <v>0</v>
      </c>
      <c r="G1957" s="296">
        <f t="shared" ref="G1957" si="424">SUM(G1945:G1956)</f>
        <v>0</v>
      </c>
      <c r="H1957" s="296">
        <f t="shared" ref="H1957" si="425">SUM(H1945:H1956)</f>
        <v>0</v>
      </c>
      <c r="I1957" s="296">
        <f t="shared" ref="I1957" si="426">SUM(I1945:I1956)</f>
        <v>0</v>
      </c>
      <c r="J1957" s="296">
        <f t="shared" ref="J1957" si="427">SUM(J1945:J1956)</f>
        <v>0</v>
      </c>
    </row>
    <row r="1958" spans="1:10" x14ac:dyDescent="0.25">
      <c r="B1958" s="293"/>
      <c r="C1958" s="293"/>
      <c r="D1958" s="293"/>
      <c r="E1958" s="293"/>
      <c r="F1958" s="293"/>
      <c r="G1958" s="293"/>
      <c r="H1958" s="293"/>
      <c r="I1958" s="293"/>
      <c r="J1958" s="293"/>
    </row>
    <row r="1959" spans="1:10" ht="15.75" thickBot="1" x14ac:dyDescent="0.3">
      <c r="A1959" s="47" t="s">
        <v>4268</v>
      </c>
      <c r="B1959" s="301">
        <f>B1942-B1957</f>
        <v>0</v>
      </c>
      <c r="C1959" s="301">
        <f t="shared" ref="C1959:J1959" si="428">C1942-C1957</f>
        <v>0</v>
      </c>
      <c r="D1959" s="301">
        <f t="shared" si="428"/>
        <v>0</v>
      </c>
      <c r="E1959" s="301">
        <f t="shared" si="428"/>
        <v>0</v>
      </c>
      <c r="F1959" s="301">
        <f t="shared" si="428"/>
        <v>0</v>
      </c>
      <c r="G1959" s="301">
        <f t="shared" si="428"/>
        <v>0</v>
      </c>
      <c r="H1959" s="301">
        <f t="shared" si="428"/>
        <v>0</v>
      </c>
      <c r="I1959" s="301">
        <f t="shared" si="428"/>
        <v>0</v>
      </c>
      <c r="J1959" s="301">
        <f t="shared" si="428"/>
        <v>0</v>
      </c>
    </row>
    <row r="1960" spans="1:10" ht="15.75" thickTop="1" x14ac:dyDescent="0.25">
      <c r="B1960" s="293"/>
      <c r="C1960" s="293"/>
      <c r="D1960" s="293"/>
      <c r="E1960" s="293"/>
      <c r="F1960" s="293"/>
      <c r="G1960" s="293"/>
      <c r="H1960" s="293"/>
      <c r="I1960" s="293"/>
      <c r="J1960" s="293"/>
    </row>
    <row r="1961" spans="1:10" x14ac:dyDescent="0.25">
      <c r="A1961" s="281"/>
      <c r="B1961" s="316"/>
      <c r="C1961" s="316"/>
      <c r="D1961" s="316"/>
      <c r="E1961" s="316"/>
      <c r="F1961" s="316"/>
      <c r="G1961" s="316"/>
      <c r="H1961" s="316"/>
      <c r="I1961" s="316"/>
      <c r="J1961" s="316"/>
    </row>
    <row r="1962" spans="1:10" x14ac:dyDescent="0.25">
      <c r="B1962" s="293"/>
      <c r="C1962" s="293"/>
      <c r="D1962" s="293"/>
      <c r="E1962" s="293"/>
      <c r="F1962" s="293"/>
      <c r="G1962" s="293"/>
      <c r="H1962" s="293"/>
      <c r="I1962" s="293"/>
      <c r="J1962" s="293"/>
    </row>
    <row r="1963" spans="1:10" x14ac:dyDescent="0.25">
      <c r="A1963" s="47" t="s">
        <v>4381</v>
      </c>
      <c r="B1963" s="293"/>
      <c r="C1963" s="293"/>
      <c r="D1963" s="293"/>
      <c r="E1963" s="293"/>
      <c r="F1963" s="293"/>
      <c r="G1963" s="293"/>
      <c r="H1963" s="293"/>
      <c r="I1963" s="293"/>
      <c r="J1963" s="293"/>
    </row>
    <row r="1964" spans="1:10" x14ac:dyDescent="0.25">
      <c r="A1964" t="s">
        <v>4317</v>
      </c>
      <c r="B1964" s="293">
        <f>'reservecalc-internal'!B1546</f>
        <v>20757900</v>
      </c>
      <c r="C1964" s="293">
        <f>'reservecalc-internal'!C1546</f>
        <v>21196100</v>
      </c>
      <c r="D1964" s="293">
        <f>'reservecalc-internal'!D1546</f>
        <v>22756300</v>
      </c>
      <c r="E1964" s="293">
        <f>'reservecalc-internal'!E1546</f>
        <v>24585200</v>
      </c>
      <c r="F1964" s="293">
        <f>'reservecalc-internal'!F1546</f>
        <v>25084900</v>
      </c>
      <c r="G1964" s="293">
        <f>'reservecalc-internal'!G1546</f>
        <v>25597500</v>
      </c>
      <c r="H1964" s="293">
        <f>'reservecalc-internal'!H1546</f>
        <v>26120700</v>
      </c>
      <c r="I1964" s="293">
        <f>'reservecalc-internal'!I1546</f>
        <v>26657000</v>
      </c>
      <c r="J1964" s="293">
        <f>'reservecalc-internal'!J1546</f>
        <v>27206400</v>
      </c>
    </row>
    <row r="1965" spans="1:10" x14ac:dyDescent="0.25">
      <c r="A1965" t="s">
        <v>4316</v>
      </c>
      <c r="B1965" s="293">
        <f>'reservecalc-internal'!B1547</f>
        <v>24199500</v>
      </c>
      <c r="C1965" s="293">
        <f>'reservecalc-internal'!C1547</f>
        <v>20579300</v>
      </c>
      <c r="D1965" s="293">
        <f>'reservecalc-internal'!D1547</f>
        <v>23296801</v>
      </c>
      <c r="E1965" s="293">
        <f>'reservecalc-internal'!E1547</f>
        <v>22762500</v>
      </c>
      <c r="F1965" s="293">
        <f>'reservecalc-internal'!F1547</f>
        <v>23145500</v>
      </c>
      <c r="G1965" s="293">
        <f>'reservecalc-internal'!G1547</f>
        <v>23540700</v>
      </c>
      <c r="H1965" s="293">
        <f>'reservecalc-internal'!H1547</f>
        <v>24109300</v>
      </c>
      <c r="I1965" s="293">
        <f>'reservecalc-internal'!I1547</f>
        <v>24536700</v>
      </c>
      <c r="J1965" s="293">
        <f>'reservecalc-internal'!J1547</f>
        <v>25081900</v>
      </c>
    </row>
    <row r="1966" spans="1:10" x14ac:dyDescent="0.25">
      <c r="A1966" t="s">
        <v>4382</v>
      </c>
      <c r="B1966" s="293">
        <f>B16+B50+B81+B113+B144+B175+B206+B237+B268+B299+B330+B361+B392+B423+B454+B485+B516+B547+B578+B609+B640+B671+B702+B733+B764+B795+B826+B857+B888+B919+B981+B1012+B1043+B1074+B1105+B1136+B1167+B1198+B1229+B1260+B1291+B1322+B1353+B1384+B1415+B1446+B1477+B1508+B1539+B1570+B1601+B1632+B1663+B1694+B1725+B1756+B1787+B1818+B1849+B1880+B1911+B1942+B950</f>
        <v>3337800</v>
      </c>
      <c r="C1966" s="293">
        <f t="shared" ref="C1966:J1966" si="429">C16+C50+C81+C113+C144+C175+C206+C237+C268+C299+C330+C361+C392+C423+C454+C485+C516+C547+C578+C609+C640+C671+C702+C733+C764+C795+C826+C857+C888+C919+C981+C1012+C1043+C1074+C1105+C1136+C1167+C1198+C1229+C1260+C1291+C1322+C1353+C1384+C1415+C1446+C1477+C1508+C1539+C1570+C1601+C1632+C1663+C1694+C1725+C1756+C1787+C1818+C1849+C1880+C1911+C1942+C950</f>
        <v>3045500</v>
      </c>
      <c r="D1966" s="293">
        <f t="shared" si="429"/>
        <v>2955600</v>
      </c>
      <c r="E1966" s="293">
        <f t="shared" si="429"/>
        <v>3015400</v>
      </c>
      <c r="F1966" s="293">
        <f t="shared" si="429"/>
        <v>3053100</v>
      </c>
      <c r="G1966" s="293">
        <f t="shared" si="429"/>
        <v>2922100</v>
      </c>
      <c r="H1966" s="293">
        <f t="shared" si="429"/>
        <v>2997300</v>
      </c>
      <c r="I1966" s="293">
        <f t="shared" si="429"/>
        <v>3087700</v>
      </c>
      <c r="J1966" s="293">
        <f t="shared" si="429"/>
        <v>3266900</v>
      </c>
    </row>
    <row r="1967" spans="1:10" x14ac:dyDescent="0.25">
      <c r="A1967" t="s">
        <v>4383</v>
      </c>
      <c r="B1967" s="293">
        <f>B34+B65+B97+B128+B159+B190+B221+B252+B283+B314+B345+B376+B407+B438+B469+B500+B531+B562+B593+B624+B655+B686+B717+B748+B779+B810+B841+B872+B903+B934+B996+B1027+B1058+B1089+B1120+B1151+B1182+B1213+B1244+B1275+B1306+B1337+B1368+B1399+B1430+B1461+B1492+B1523+B1554+B1585+B1616+B1647+B1678+B1709+B1740+B1771+B1802+B1833+B1864+B1895+B1926+B1957+B965</f>
        <v>1392100</v>
      </c>
      <c r="C1967" s="293">
        <f t="shared" ref="C1967:J1967" si="430">C34+C65+C97+C128+C159+C190+C221+C252+C283+C314+C345+C376+C407+C438+C469+C500+C531+C562+C593+C624+C655+C686+C717+C748+C779+C810+C841+C872+C903+C934+C996+C1027+C1058+C1089+C1120+C1151+C1182+C1213+C1244+C1275+C1306+C1337+C1368+C1399+C1430+C1461+C1492+C1523+C1554+C1585+C1616+C1647+C1678+C1709+C1740+C1771+C1802+C1833+C1864+C1895+C1926+C1957+C965</f>
        <v>729500</v>
      </c>
      <c r="D1967" s="293">
        <f t="shared" si="430"/>
        <v>1101200</v>
      </c>
      <c r="E1967" s="293">
        <f t="shared" si="430"/>
        <v>751000</v>
      </c>
      <c r="F1967" s="293">
        <f t="shared" si="430"/>
        <v>702200</v>
      </c>
      <c r="G1967" s="293">
        <f t="shared" si="430"/>
        <v>713600</v>
      </c>
      <c r="H1967" s="293">
        <f t="shared" si="430"/>
        <v>728100</v>
      </c>
      <c r="I1967" s="293">
        <f t="shared" si="430"/>
        <v>743000</v>
      </c>
      <c r="J1967" s="293">
        <f t="shared" si="430"/>
        <v>758200</v>
      </c>
    </row>
    <row r="1968" spans="1:10" x14ac:dyDescent="0.25">
      <c r="B1968" s="293"/>
      <c r="C1968" s="293"/>
      <c r="D1968" s="293"/>
      <c r="E1968" s="293"/>
      <c r="F1968" s="293"/>
      <c r="G1968" s="293"/>
      <c r="H1968" s="293"/>
      <c r="I1968" s="293"/>
      <c r="J1968" s="293"/>
    </row>
    <row r="1969" spans="1:10" x14ac:dyDescent="0.25">
      <c r="A1969" s="281"/>
      <c r="B1969" s="316"/>
      <c r="C1969" s="316"/>
      <c r="D1969" s="316"/>
      <c r="E1969" s="316"/>
      <c r="F1969" s="316"/>
      <c r="G1969" s="316"/>
      <c r="H1969" s="316"/>
      <c r="I1969" s="316"/>
      <c r="J1969" s="316"/>
    </row>
    <row r="1970" spans="1:10" x14ac:dyDescent="0.25">
      <c r="B1970" s="293"/>
      <c r="C1970" s="293"/>
      <c r="D1970" s="293"/>
      <c r="E1970" s="293"/>
      <c r="F1970" s="293"/>
      <c r="G1970" s="293"/>
      <c r="H1970" s="293"/>
      <c r="I1970" s="293"/>
      <c r="J1970" s="293"/>
    </row>
    <row r="1971" spans="1:10" x14ac:dyDescent="0.25">
      <c r="A1971" s="47" t="s">
        <v>3224</v>
      </c>
      <c r="B1971" s="293"/>
      <c r="C1971" s="293"/>
      <c r="D1971" s="293"/>
      <c r="E1971" s="293"/>
      <c r="F1971" s="293"/>
      <c r="G1971" s="293"/>
      <c r="H1971" s="293"/>
      <c r="I1971" s="293"/>
      <c r="J1971" s="293"/>
    </row>
    <row r="1972" spans="1:10" x14ac:dyDescent="0.25">
      <c r="B1972" s="293"/>
      <c r="C1972" s="293"/>
      <c r="D1972" s="293"/>
      <c r="E1972" s="293"/>
      <c r="F1972" s="293"/>
      <c r="G1972" s="293"/>
      <c r="H1972" s="293"/>
      <c r="I1972" s="293"/>
      <c r="J1972" s="293"/>
    </row>
    <row r="1973" spans="1:10" x14ac:dyDescent="0.25">
      <c r="A1973" s="280" t="s">
        <v>4384</v>
      </c>
      <c r="B1973" s="293"/>
      <c r="C1973" s="293"/>
      <c r="D1973" s="293"/>
      <c r="E1973" s="293"/>
      <c r="F1973" s="293"/>
      <c r="G1973" s="293"/>
      <c r="H1973" s="293"/>
      <c r="I1973" s="293"/>
      <c r="J1973" s="293"/>
    </row>
    <row r="1974" spans="1:10" x14ac:dyDescent="0.25">
      <c r="B1974" s="293"/>
      <c r="C1974" s="293"/>
      <c r="D1974" s="293"/>
      <c r="E1974" s="293"/>
      <c r="F1974" s="293"/>
      <c r="G1974" s="293"/>
      <c r="H1974" s="293"/>
      <c r="I1974" s="293"/>
      <c r="J1974" s="293"/>
    </row>
    <row r="1975" spans="1:10" x14ac:dyDescent="0.25">
      <c r="A1975" s="47" t="s">
        <v>4260</v>
      </c>
      <c r="B1975" s="293"/>
      <c r="C1975" s="293"/>
      <c r="D1975" s="293"/>
      <c r="E1975" s="293"/>
      <c r="F1975" s="293"/>
      <c r="G1975" s="293"/>
      <c r="H1975" s="293"/>
      <c r="I1975" s="293"/>
      <c r="J1975" s="293"/>
    </row>
    <row r="1976" spans="1:10" x14ac:dyDescent="0.25">
      <c r="A1976" t="s">
        <v>4262</v>
      </c>
      <c r="B1976" s="293"/>
      <c r="C1976" s="293"/>
      <c r="D1976" s="293"/>
      <c r="E1976" s="293"/>
      <c r="F1976" s="293"/>
      <c r="G1976" s="293"/>
      <c r="H1976" s="293"/>
      <c r="I1976" s="293"/>
      <c r="J1976" s="293"/>
    </row>
    <row r="1977" spans="1:10" x14ac:dyDescent="0.25">
      <c r="A1977" t="s">
        <v>4261</v>
      </c>
      <c r="B1977" s="293">
        <f>capitalrevdata!E259</f>
        <v>600000</v>
      </c>
      <c r="C1977" s="293">
        <f>capitalrevdata!F259</f>
        <v>600000</v>
      </c>
      <c r="D1977" s="293">
        <f>capitalrevdata!G259</f>
        <v>600000</v>
      </c>
      <c r="E1977" s="293">
        <f>capitalrevdata!H259</f>
        <v>600000</v>
      </c>
      <c r="F1977" s="293">
        <f>capitalrevdata!I259</f>
        <v>600000</v>
      </c>
      <c r="G1977" s="293">
        <f>capitalrevdata!J259</f>
        <v>600000</v>
      </c>
      <c r="H1977" s="293">
        <f>capitalrevdata!K259</f>
        <v>600000</v>
      </c>
      <c r="I1977" s="293">
        <f>capitalrevdata!L259</f>
        <v>600000</v>
      </c>
      <c r="J1977" s="293">
        <f>capitalrevdata!M259</f>
        <v>600000</v>
      </c>
    </row>
    <row r="1978" spans="1:10" x14ac:dyDescent="0.25">
      <c r="A1978" t="s">
        <v>66</v>
      </c>
      <c r="B1978" s="293"/>
      <c r="C1978" s="293"/>
      <c r="D1978" s="293"/>
      <c r="E1978" s="293"/>
      <c r="F1978" s="293"/>
      <c r="G1978" s="293"/>
      <c r="H1978" s="293"/>
      <c r="I1978" s="293"/>
      <c r="J1978" s="293"/>
    </row>
    <row r="1979" spans="1:10" x14ac:dyDescent="0.25">
      <c r="B1979" s="293"/>
      <c r="C1979" s="293"/>
      <c r="D1979" s="293"/>
      <c r="E1979" s="293"/>
      <c r="F1979" s="293"/>
      <c r="G1979" s="293"/>
      <c r="H1979" s="293"/>
      <c r="I1979" s="293"/>
      <c r="J1979" s="293"/>
    </row>
    <row r="1980" spans="1:10" x14ac:dyDescent="0.25">
      <c r="B1980" s="293"/>
      <c r="C1980" s="293"/>
      <c r="D1980" s="293"/>
      <c r="E1980" s="293"/>
      <c r="F1980" s="293"/>
      <c r="G1980" s="293"/>
      <c r="H1980" s="293"/>
      <c r="I1980" s="293"/>
      <c r="J1980" s="293"/>
    </row>
    <row r="1981" spans="1:10" x14ac:dyDescent="0.25">
      <c r="B1981" s="293"/>
      <c r="C1981" s="293"/>
      <c r="D1981" s="293"/>
      <c r="E1981" s="293"/>
      <c r="F1981" s="293"/>
      <c r="G1981" s="293"/>
      <c r="H1981" s="293"/>
      <c r="I1981" s="293"/>
      <c r="J1981" s="293"/>
    </row>
    <row r="1982" spans="1:10" x14ac:dyDescent="0.25">
      <c r="B1982" s="293"/>
      <c r="C1982" s="293"/>
      <c r="D1982" s="293"/>
      <c r="E1982" s="293"/>
      <c r="F1982" s="293"/>
      <c r="G1982" s="293"/>
      <c r="H1982" s="293"/>
      <c r="I1982" s="293"/>
      <c r="J1982" s="293"/>
    </row>
    <row r="1983" spans="1:10" x14ac:dyDescent="0.25">
      <c r="A1983" s="47" t="s">
        <v>4263</v>
      </c>
      <c r="B1983" s="296">
        <f>SUM(B1973:B1982)</f>
        <v>600000</v>
      </c>
      <c r="C1983" s="296">
        <f t="shared" ref="C1983" si="431">SUM(C1973:C1982)</f>
        <v>600000</v>
      </c>
      <c r="D1983" s="296">
        <f t="shared" ref="D1983" si="432">SUM(D1973:D1982)</f>
        <v>600000</v>
      </c>
      <c r="E1983" s="296">
        <f t="shared" ref="E1983" si="433">SUM(E1973:E1982)</f>
        <v>600000</v>
      </c>
      <c r="F1983" s="296">
        <f t="shared" ref="F1983" si="434">SUM(F1973:F1982)</f>
        <v>600000</v>
      </c>
      <c r="G1983" s="296">
        <f t="shared" ref="G1983" si="435">SUM(G1973:G1982)</f>
        <v>600000</v>
      </c>
      <c r="H1983" s="296">
        <f t="shared" ref="H1983" si="436">SUM(H1973:H1982)</f>
        <v>600000</v>
      </c>
      <c r="I1983" s="296">
        <f t="shared" ref="I1983" si="437">SUM(I1973:I1982)</f>
        <v>600000</v>
      </c>
      <c r="J1983" s="296">
        <f t="shared" ref="J1983" si="438">SUM(J1973:J1982)</f>
        <v>600000</v>
      </c>
    </row>
    <row r="1984" spans="1:10" x14ac:dyDescent="0.25">
      <c r="B1984" s="293"/>
      <c r="C1984" s="293"/>
      <c r="D1984" s="293"/>
      <c r="E1984" s="293"/>
      <c r="F1984" s="293"/>
      <c r="G1984" s="293"/>
      <c r="H1984" s="293"/>
      <c r="I1984" s="293"/>
      <c r="J1984" s="293"/>
    </row>
    <row r="1985" spans="1:10" x14ac:dyDescent="0.25">
      <c r="A1985" s="47" t="s">
        <v>4264</v>
      </c>
      <c r="B1985" s="293"/>
      <c r="C1985" s="293"/>
      <c r="D1985" s="293"/>
      <c r="E1985" s="293"/>
      <c r="F1985" s="293"/>
      <c r="G1985" s="293"/>
      <c r="H1985" s="293"/>
      <c r="I1985" s="293"/>
      <c r="J1985" s="293"/>
    </row>
    <row r="1986" spans="1:10" x14ac:dyDescent="0.25">
      <c r="A1986" t="s">
        <v>87</v>
      </c>
      <c r="B1986" s="293"/>
      <c r="C1986" s="293"/>
      <c r="D1986" s="293"/>
      <c r="E1986" s="293"/>
      <c r="F1986" s="293"/>
      <c r="G1986" s="293"/>
      <c r="H1986" s="293"/>
      <c r="I1986" s="293"/>
      <c r="J1986" s="293"/>
    </row>
    <row r="1987" spans="1:10" x14ac:dyDescent="0.25">
      <c r="A1987" t="s">
        <v>4265</v>
      </c>
      <c r="B1987" s="293">
        <f>capitalexpdata!G689+capitalexpdata!G690</f>
        <v>2001236</v>
      </c>
      <c r="C1987" s="293">
        <f>capitalexpdata!H689+capitalexpdata!H690</f>
        <v>110000</v>
      </c>
      <c r="D1987" s="293">
        <f>capitalexpdata!I689+capitalexpdata!I690</f>
        <v>110000</v>
      </c>
      <c r="E1987" s="293">
        <f>capitalexpdata!J689+capitalexpdata!J690</f>
        <v>210000</v>
      </c>
      <c r="F1987" s="293">
        <f>capitalexpdata!K689+capitalexpdata!K690</f>
        <v>706583</v>
      </c>
      <c r="G1987" s="293">
        <f>capitalexpdata!L689+capitalexpdata!L690</f>
        <v>110000</v>
      </c>
      <c r="H1987" s="293">
        <f>capitalexpdata!M689+capitalexpdata!M690</f>
        <v>110000</v>
      </c>
      <c r="I1987" s="293">
        <f>capitalexpdata!N689+capitalexpdata!N690</f>
        <v>110000</v>
      </c>
      <c r="J1987" s="293">
        <f>capitalexpdata!O689+capitalexpdata!O690</f>
        <v>160000</v>
      </c>
    </row>
    <row r="1988" spans="1:10" x14ac:dyDescent="0.25">
      <c r="B1988" s="293"/>
      <c r="C1988" s="293"/>
      <c r="D1988" s="293"/>
      <c r="E1988" s="293"/>
      <c r="F1988" s="293"/>
      <c r="G1988" s="293"/>
      <c r="H1988" s="293"/>
      <c r="I1988" s="293"/>
      <c r="J1988" s="293"/>
    </row>
    <row r="1989" spans="1:10" x14ac:dyDescent="0.25">
      <c r="B1989" s="293"/>
      <c r="C1989" s="293"/>
      <c r="D1989" s="293"/>
      <c r="E1989" s="293"/>
      <c r="F1989" s="293"/>
      <c r="G1989" s="293"/>
      <c r="H1989" s="293"/>
      <c r="I1989" s="293"/>
      <c r="J1989" s="293"/>
    </row>
    <row r="1990" spans="1:10" x14ac:dyDescent="0.25">
      <c r="B1990" s="293"/>
      <c r="C1990" s="293"/>
      <c r="D1990" s="293"/>
      <c r="E1990" s="293"/>
      <c r="F1990" s="293"/>
      <c r="G1990" s="293"/>
      <c r="H1990" s="293"/>
      <c r="I1990" s="293"/>
      <c r="J1990" s="293"/>
    </row>
    <row r="1991" spans="1:10" x14ac:dyDescent="0.25">
      <c r="B1991" s="293"/>
      <c r="C1991" s="293"/>
      <c r="D1991" s="293"/>
      <c r="E1991" s="293"/>
      <c r="F1991" s="293"/>
      <c r="G1991" s="293"/>
      <c r="H1991" s="293"/>
      <c r="I1991" s="293"/>
      <c r="J1991" s="293"/>
    </row>
    <row r="1992" spans="1:10" x14ac:dyDescent="0.25">
      <c r="A1992" t="s">
        <v>4266</v>
      </c>
      <c r="B1992" s="293"/>
      <c r="C1992" s="293"/>
      <c r="D1992" s="293"/>
      <c r="E1992" s="293"/>
      <c r="F1992" s="293"/>
      <c r="G1992" s="293"/>
      <c r="H1992" s="293"/>
      <c r="I1992" s="293"/>
      <c r="J1992" s="293"/>
    </row>
    <row r="1993" spans="1:10" x14ac:dyDescent="0.25">
      <c r="A1993" t="s">
        <v>66</v>
      </c>
      <c r="B1993" s="293"/>
      <c r="C1993" s="293"/>
      <c r="D1993" s="293"/>
      <c r="E1993" s="293"/>
      <c r="F1993" s="293"/>
      <c r="G1993" s="293"/>
      <c r="H1993" s="293"/>
      <c r="I1993" s="293"/>
      <c r="J1993" s="293"/>
    </row>
    <row r="1994" spans="1:10" x14ac:dyDescent="0.25">
      <c r="B1994" s="293"/>
      <c r="C1994" s="293"/>
      <c r="D1994" s="293"/>
      <c r="E1994" s="293"/>
      <c r="F1994" s="293"/>
      <c r="G1994" s="293"/>
      <c r="H1994" s="293"/>
      <c r="I1994" s="293"/>
      <c r="J1994" s="293"/>
    </row>
    <row r="1995" spans="1:10" x14ac:dyDescent="0.25">
      <c r="B1995" s="293"/>
      <c r="C1995" s="293"/>
      <c r="D1995" s="293"/>
      <c r="E1995" s="293"/>
      <c r="F1995" s="293"/>
      <c r="G1995" s="293"/>
      <c r="H1995" s="293"/>
      <c r="I1995" s="293"/>
      <c r="J1995" s="293"/>
    </row>
    <row r="1996" spans="1:10" x14ac:dyDescent="0.25">
      <c r="B1996" s="293"/>
      <c r="C1996" s="293"/>
      <c r="D1996" s="293"/>
      <c r="E1996" s="293"/>
      <c r="F1996" s="293"/>
      <c r="G1996" s="293"/>
      <c r="H1996" s="293"/>
      <c r="I1996" s="293"/>
      <c r="J1996" s="293"/>
    </row>
    <row r="1997" spans="1:10" x14ac:dyDescent="0.25">
      <c r="B1997" s="293"/>
      <c r="C1997" s="293"/>
      <c r="D1997" s="293"/>
      <c r="E1997" s="293"/>
      <c r="F1997" s="293"/>
      <c r="G1997" s="293"/>
      <c r="H1997" s="293"/>
      <c r="I1997" s="293"/>
      <c r="J1997" s="293"/>
    </row>
    <row r="1998" spans="1:10" x14ac:dyDescent="0.25">
      <c r="A1998" s="47" t="s">
        <v>4267</v>
      </c>
      <c r="B1998" s="296">
        <f>SUM(B1986:B1997)</f>
        <v>2001236</v>
      </c>
      <c r="C1998" s="296">
        <f t="shared" ref="C1998" si="439">SUM(C1986:C1997)</f>
        <v>110000</v>
      </c>
      <c r="D1998" s="296">
        <f t="shared" ref="D1998" si="440">SUM(D1986:D1997)</f>
        <v>110000</v>
      </c>
      <c r="E1998" s="296">
        <f t="shared" ref="E1998" si="441">SUM(E1986:E1997)</f>
        <v>210000</v>
      </c>
      <c r="F1998" s="296">
        <f t="shared" ref="F1998" si="442">SUM(F1986:F1997)</f>
        <v>706583</v>
      </c>
      <c r="G1998" s="296">
        <f t="shared" ref="G1998" si="443">SUM(G1986:G1997)</f>
        <v>110000</v>
      </c>
      <c r="H1998" s="296">
        <f t="shared" ref="H1998" si="444">SUM(H1986:H1997)</f>
        <v>110000</v>
      </c>
      <c r="I1998" s="296">
        <f t="shared" ref="I1998" si="445">SUM(I1986:I1997)</f>
        <v>110000</v>
      </c>
      <c r="J1998" s="296">
        <f t="shared" ref="J1998" si="446">SUM(J1986:J1997)</f>
        <v>160000</v>
      </c>
    </row>
    <row r="1999" spans="1:10" x14ac:dyDescent="0.25">
      <c r="B1999" s="293"/>
      <c r="C1999" s="293"/>
      <c r="D1999" s="293"/>
      <c r="E1999" s="293"/>
      <c r="F1999" s="293"/>
      <c r="G1999" s="293"/>
      <c r="H1999" s="293"/>
      <c r="I1999" s="293"/>
      <c r="J1999" s="293"/>
    </row>
    <row r="2000" spans="1:10" ht="15.75" thickBot="1" x14ac:dyDescent="0.3">
      <c r="A2000" s="47" t="s">
        <v>4268</v>
      </c>
      <c r="B2000" s="301">
        <f>B1983-B1998</f>
        <v>-1401236</v>
      </c>
      <c r="C2000" s="301">
        <f t="shared" ref="C2000:J2000" si="447">C1983-C1998</f>
        <v>490000</v>
      </c>
      <c r="D2000" s="301">
        <f t="shared" si="447"/>
        <v>490000</v>
      </c>
      <c r="E2000" s="301">
        <f t="shared" si="447"/>
        <v>390000</v>
      </c>
      <c r="F2000" s="301">
        <f t="shared" si="447"/>
        <v>-106583</v>
      </c>
      <c r="G2000" s="301">
        <f t="shared" si="447"/>
        <v>490000</v>
      </c>
      <c r="H2000" s="301">
        <f t="shared" si="447"/>
        <v>490000</v>
      </c>
      <c r="I2000" s="301">
        <f t="shared" si="447"/>
        <v>490000</v>
      </c>
      <c r="J2000" s="301">
        <f t="shared" si="447"/>
        <v>440000</v>
      </c>
    </row>
    <row r="2001" spans="1:10" ht="15.75" thickTop="1" x14ac:dyDescent="0.25">
      <c r="B2001" s="293"/>
      <c r="C2001" s="293"/>
      <c r="D2001" s="293"/>
      <c r="E2001" s="293"/>
      <c r="F2001" s="293"/>
      <c r="G2001" s="293"/>
      <c r="H2001" s="293"/>
      <c r="I2001" s="293"/>
      <c r="J2001" s="293"/>
    </row>
    <row r="2002" spans="1:10" x14ac:dyDescent="0.25">
      <c r="A2002" s="280" t="s">
        <v>4385</v>
      </c>
      <c r="B2002" s="293"/>
      <c r="C2002" s="293"/>
      <c r="D2002" s="293"/>
      <c r="E2002" s="293"/>
      <c r="F2002" s="293"/>
      <c r="G2002" s="293"/>
      <c r="H2002" s="293"/>
      <c r="I2002" s="293"/>
      <c r="J2002" s="293"/>
    </row>
    <row r="2003" spans="1:10" x14ac:dyDescent="0.25">
      <c r="B2003" s="293"/>
      <c r="C2003" s="293"/>
      <c r="D2003" s="293"/>
      <c r="E2003" s="293"/>
      <c r="F2003" s="293"/>
      <c r="G2003" s="293"/>
      <c r="H2003" s="293"/>
      <c r="I2003" s="293"/>
      <c r="J2003" s="293"/>
    </row>
    <row r="2004" spans="1:10" x14ac:dyDescent="0.25">
      <c r="A2004" s="47" t="s">
        <v>4260</v>
      </c>
      <c r="B2004" s="293"/>
      <c r="C2004" s="293"/>
      <c r="D2004" s="293"/>
      <c r="E2004" s="293"/>
      <c r="F2004" s="293"/>
      <c r="G2004" s="293"/>
      <c r="H2004" s="293"/>
      <c r="I2004" s="293"/>
      <c r="J2004" s="293"/>
    </row>
    <row r="2005" spans="1:10" x14ac:dyDescent="0.25">
      <c r="A2005" t="s">
        <v>4262</v>
      </c>
      <c r="B2005" s="293">
        <f>-operatingdata!F1962</f>
        <v>9001800</v>
      </c>
      <c r="C2005" s="293">
        <f>-operatingdata!G1962</f>
        <v>8988100</v>
      </c>
      <c r="D2005" s="293">
        <f>-operatingdata!H1962</f>
        <v>9036600</v>
      </c>
      <c r="E2005" s="293">
        <f>-operatingdata!I1962</f>
        <v>9046700</v>
      </c>
      <c r="F2005" s="293">
        <f>-operatingdata!J1962</f>
        <v>9064200</v>
      </c>
      <c r="G2005" s="293">
        <f>-operatingdata!K1962</f>
        <v>9069500</v>
      </c>
      <c r="H2005" s="293">
        <f>-operatingdata!L1962</f>
        <v>9105600</v>
      </c>
      <c r="I2005" s="293">
        <f>-operatingdata!M1962</f>
        <v>9142800</v>
      </c>
      <c r="J2005" s="293">
        <f>-operatingdata!N1962</f>
        <v>9201700</v>
      </c>
    </row>
    <row r="2006" spans="1:10" x14ac:dyDescent="0.25">
      <c r="A2006" t="s">
        <v>4261</v>
      </c>
      <c r="B2006" s="293"/>
      <c r="C2006" s="293"/>
      <c r="D2006" s="293"/>
      <c r="E2006" s="293"/>
      <c r="F2006" s="293"/>
      <c r="G2006" s="293"/>
      <c r="H2006" s="293"/>
      <c r="I2006" s="293"/>
      <c r="J2006" s="293"/>
    </row>
    <row r="2007" spans="1:10" x14ac:dyDescent="0.25">
      <c r="A2007" t="s">
        <v>66</v>
      </c>
      <c r="B2007" s="293"/>
      <c r="C2007" s="293"/>
      <c r="D2007" s="293"/>
      <c r="E2007" s="293"/>
      <c r="F2007" s="293"/>
      <c r="G2007" s="293"/>
      <c r="H2007" s="293"/>
      <c r="I2007" s="293"/>
      <c r="J2007" s="293"/>
    </row>
    <row r="2008" spans="1:10" x14ac:dyDescent="0.25">
      <c r="B2008" s="293"/>
      <c r="C2008" s="293"/>
      <c r="D2008" s="293"/>
      <c r="E2008" s="293"/>
      <c r="F2008" s="293"/>
      <c r="G2008" s="293"/>
      <c r="H2008" s="293"/>
      <c r="I2008" s="293"/>
      <c r="J2008" s="293"/>
    </row>
    <row r="2009" spans="1:10" x14ac:dyDescent="0.25">
      <c r="B2009" s="293"/>
      <c r="C2009" s="293"/>
      <c r="D2009" s="293"/>
      <c r="E2009" s="293"/>
      <c r="F2009" s="293"/>
      <c r="G2009" s="293"/>
      <c r="H2009" s="293"/>
      <c r="I2009" s="293"/>
      <c r="J2009" s="293"/>
    </row>
    <row r="2010" spans="1:10" x14ac:dyDescent="0.25">
      <c r="B2010" s="293"/>
      <c r="C2010" s="293"/>
      <c r="D2010" s="293"/>
      <c r="E2010" s="293"/>
      <c r="F2010" s="293"/>
      <c r="G2010" s="293"/>
      <c r="H2010" s="293"/>
      <c r="I2010" s="293"/>
      <c r="J2010" s="293"/>
    </row>
    <row r="2011" spans="1:10" x14ac:dyDescent="0.25">
      <c r="B2011" s="293"/>
      <c r="C2011" s="293"/>
      <c r="D2011" s="293"/>
      <c r="E2011" s="293"/>
      <c r="F2011" s="293"/>
      <c r="G2011" s="293"/>
      <c r="H2011" s="293"/>
      <c r="I2011" s="293"/>
      <c r="J2011" s="293"/>
    </row>
    <row r="2012" spans="1:10" x14ac:dyDescent="0.25">
      <c r="A2012" s="47" t="s">
        <v>4263</v>
      </c>
      <c r="B2012" s="296">
        <f>SUM(B2002:B2011)</f>
        <v>9001800</v>
      </c>
      <c r="C2012" s="296">
        <f t="shared" ref="C2012" si="448">SUM(C2002:C2011)</f>
        <v>8988100</v>
      </c>
      <c r="D2012" s="296">
        <f t="shared" ref="D2012" si="449">SUM(D2002:D2011)</f>
        <v>9036600</v>
      </c>
      <c r="E2012" s="296">
        <f t="shared" ref="E2012" si="450">SUM(E2002:E2011)</f>
        <v>9046700</v>
      </c>
      <c r="F2012" s="296">
        <f t="shared" ref="F2012" si="451">SUM(F2002:F2011)</f>
        <v>9064200</v>
      </c>
      <c r="G2012" s="296">
        <f t="shared" ref="G2012" si="452">SUM(G2002:G2011)</f>
        <v>9069500</v>
      </c>
      <c r="H2012" s="296">
        <f t="shared" ref="H2012" si="453">SUM(H2002:H2011)</f>
        <v>9105600</v>
      </c>
      <c r="I2012" s="296">
        <f t="shared" ref="I2012" si="454">SUM(I2002:I2011)</f>
        <v>9142800</v>
      </c>
      <c r="J2012" s="296">
        <f t="shared" ref="J2012" si="455">SUM(J2002:J2011)</f>
        <v>9201700</v>
      </c>
    </row>
    <row r="2013" spans="1:10" x14ac:dyDescent="0.25">
      <c r="B2013" s="293"/>
      <c r="C2013" s="293"/>
      <c r="D2013" s="293"/>
      <c r="E2013" s="293"/>
      <c r="F2013" s="293"/>
      <c r="G2013" s="293"/>
      <c r="H2013" s="293"/>
      <c r="I2013" s="293"/>
      <c r="J2013" s="293"/>
    </row>
    <row r="2014" spans="1:10" x14ac:dyDescent="0.25">
      <c r="A2014" s="47" t="s">
        <v>4264</v>
      </c>
      <c r="B2014" s="293"/>
      <c r="C2014" s="293"/>
      <c r="D2014" s="293"/>
      <c r="E2014" s="293"/>
      <c r="F2014" s="293"/>
      <c r="G2014" s="293"/>
      <c r="H2014" s="293"/>
      <c r="I2014" s="293"/>
      <c r="J2014" s="293"/>
    </row>
    <row r="2015" spans="1:10" x14ac:dyDescent="0.25">
      <c r="A2015" t="s">
        <v>87</v>
      </c>
      <c r="B2015" s="293">
        <f>operatingdata!F1928</f>
        <v>8480600</v>
      </c>
      <c r="C2015" s="293">
        <f>operatingdata!G1928</f>
        <v>8638400</v>
      </c>
      <c r="D2015" s="293">
        <f>operatingdata!H1928</f>
        <v>8799100</v>
      </c>
      <c r="E2015" s="293">
        <f>operatingdata!I1928</f>
        <v>8962800</v>
      </c>
      <c r="F2015" s="293">
        <f>operatingdata!J1928</f>
        <v>9129800</v>
      </c>
      <c r="G2015" s="293">
        <f>operatingdata!K1928</f>
        <v>9300100</v>
      </c>
      <c r="H2015" s="293">
        <f>operatingdata!L1928</f>
        <v>9514000</v>
      </c>
      <c r="I2015" s="293">
        <f>operatingdata!M1928</f>
        <v>9733200</v>
      </c>
      <c r="J2015" s="293">
        <f>operatingdata!N1928</f>
        <v>9957800</v>
      </c>
    </row>
    <row r="2016" spans="1:10" x14ac:dyDescent="0.25">
      <c r="A2016" t="s">
        <v>4392</v>
      </c>
      <c r="B2016" s="293">
        <f>-operatingdata!F1926</f>
        <v>-1181300</v>
      </c>
      <c r="C2016" s="293">
        <f>-operatingdata!G1926</f>
        <v>-1193100</v>
      </c>
      <c r="D2016" s="293">
        <f>-operatingdata!H1926</f>
        <v>-1205000</v>
      </c>
      <c r="E2016" s="293">
        <f>-operatingdata!I1926</f>
        <v>-1217100</v>
      </c>
      <c r="F2016" s="293">
        <f>-operatingdata!J1926</f>
        <v>-1229300</v>
      </c>
      <c r="G2016" s="293">
        <f>-operatingdata!K1926</f>
        <v>-1241600</v>
      </c>
      <c r="H2016" s="293">
        <f>-operatingdata!L1926</f>
        <v>-1254000</v>
      </c>
      <c r="I2016" s="293">
        <f>-operatingdata!M1926</f>
        <v>-1266500</v>
      </c>
      <c r="J2016" s="293">
        <f>-operatingdata!N1926</f>
        <v>-1279200</v>
      </c>
    </row>
    <row r="2017" spans="1:10" x14ac:dyDescent="0.25">
      <c r="A2017" t="s">
        <v>4265</v>
      </c>
      <c r="B2017" s="293">
        <f>capitalexpdata!G688+capitalexpdata!G686</f>
        <v>2271236</v>
      </c>
      <c r="C2017" s="293">
        <f>capitalexpdata!H688+capitalexpdata!H686</f>
        <v>2060000</v>
      </c>
      <c r="D2017" s="293">
        <f>capitalexpdata!I688+capitalexpdata!I686</f>
        <v>396184</v>
      </c>
      <c r="E2017" s="293">
        <f>capitalexpdata!J688+capitalexpdata!J686</f>
        <v>968659</v>
      </c>
      <c r="F2017" s="293">
        <f>capitalexpdata!K688+capitalexpdata!K686</f>
        <v>35000</v>
      </c>
      <c r="G2017" s="293">
        <f>capitalexpdata!L688+capitalexpdata!L686</f>
        <v>1464573</v>
      </c>
      <c r="H2017" s="293">
        <f>capitalexpdata!M688+capitalexpdata!M686</f>
        <v>20000</v>
      </c>
      <c r="I2017" s="293">
        <f>capitalexpdata!N688+capitalexpdata!N686</f>
        <v>20000</v>
      </c>
      <c r="J2017" s="293">
        <f>capitalexpdata!O688+capitalexpdata!O686</f>
        <v>87500</v>
      </c>
    </row>
    <row r="2018" spans="1:10" x14ac:dyDescent="0.25">
      <c r="B2018" s="293"/>
      <c r="C2018" s="293"/>
      <c r="D2018" s="293"/>
      <c r="E2018" s="293"/>
      <c r="F2018" s="293"/>
      <c r="G2018" s="293"/>
      <c r="H2018" s="293"/>
      <c r="I2018" s="293"/>
      <c r="J2018" s="293"/>
    </row>
    <row r="2019" spans="1:10" x14ac:dyDescent="0.25">
      <c r="B2019" s="293"/>
      <c r="C2019" s="293"/>
      <c r="D2019" s="293"/>
      <c r="E2019" s="293"/>
      <c r="F2019" s="293"/>
      <c r="G2019" s="293"/>
      <c r="H2019" s="293"/>
      <c r="I2019" s="293"/>
      <c r="J2019" s="293"/>
    </row>
    <row r="2020" spans="1:10" x14ac:dyDescent="0.25">
      <c r="B2020" s="293"/>
      <c r="C2020" s="293"/>
      <c r="D2020" s="293"/>
      <c r="E2020" s="293"/>
      <c r="F2020" s="293"/>
      <c r="G2020" s="293"/>
      <c r="H2020" s="293"/>
      <c r="I2020" s="293"/>
      <c r="J2020" s="293"/>
    </row>
    <row r="2021" spans="1:10" x14ac:dyDescent="0.25">
      <c r="B2021" s="293"/>
      <c r="C2021" s="293"/>
      <c r="D2021" s="293"/>
      <c r="E2021" s="293"/>
      <c r="F2021" s="293"/>
      <c r="G2021" s="293"/>
      <c r="H2021" s="293"/>
      <c r="I2021" s="293"/>
      <c r="J2021" s="293"/>
    </row>
    <row r="2022" spans="1:10" x14ac:dyDescent="0.25">
      <c r="A2022" t="s">
        <v>4266</v>
      </c>
      <c r="B2022" s="293"/>
      <c r="C2022" s="293"/>
      <c r="D2022" s="293"/>
      <c r="E2022" s="293"/>
      <c r="F2022" s="293"/>
      <c r="G2022" s="293"/>
      <c r="H2022" s="293"/>
      <c r="I2022" s="293"/>
      <c r="J2022" s="293"/>
    </row>
    <row r="2023" spans="1:10" x14ac:dyDescent="0.25">
      <c r="A2023" t="s">
        <v>66</v>
      </c>
      <c r="B2023" s="293"/>
      <c r="C2023" s="293"/>
      <c r="D2023" s="293"/>
      <c r="E2023" s="293"/>
      <c r="F2023" s="293"/>
      <c r="G2023" s="293"/>
      <c r="H2023" s="293"/>
      <c r="I2023" s="293"/>
      <c r="J2023" s="293"/>
    </row>
    <row r="2024" spans="1:10" x14ac:dyDescent="0.25">
      <c r="B2024" s="293"/>
      <c r="C2024" s="293"/>
      <c r="D2024" s="293"/>
      <c r="E2024" s="293"/>
      <c r="F2024" s="293"/>
      <c r="G2024" s="293"/>
      <c r="H2024" s="293"/>
      <c r="I2024" s="293"/>
      <c r="J2024" s="293"/>
    </row>
    <row r="2025" spans="1:10" x14ac:dyDescent="0.25">
      <c r="B2025" s="293"/>
      <c r="C2025" s="293"/>
      <c r="D2025" s="293"/>
      <c r="E2025" s="293"/>
      <c r="F2025" s="293"/>
      <c r="G2025" s="293"/>
      <c r="H2025" s="293"/>
      <c r="I2025" s="293"/>
      <c r="J2025" s="293"/>
    </row>
    <row r="2026" spans="1:10" x14ac:dyDescent="0.25">
      <c r="B2026" s="293"/>
      <c r="C2026" s="293"/>
      <c r="D2026" s="293"/>
      <c r="E2026" s="293"/>
      <c r="F2026" s="293"/>
      <c r="G2026" s="293"/>
      <c r="H2026" s="293"/>
      <c r="I2026" s="293"/>
      <c r="J2026" s="293"/>
    </row>
    <row r="2027" spans="1:10" x14ac:dyDescent="0.25">
      <c r="B2027" s="293"/>
      <c r="C2027" s="293"/>
      <c r="D2027" s="293"/>
      <c r="E2027" s="293"/>
      <c r="F2027" s="293"/>
      <c r="G2027" s="293"/>
      <c r="H2027" s="293"/>
      <c r="I2027" s="293"/>
      <c r="J2027" s="293"/>
    </row>
    <row r="2028" spans="1:10" x14ac:dyDescent="0.25">
      <c r="A2028" s="47" t="s">
        <v>4267</v>
      </c>
      <c r="B2028" s="296">
        <f>SUM(B2015:B2027)</f>
        <v>9570536</v>
      </c>
      <c r="C2028" s="296">
        <f t="shared" ref="C2028" si="456">SUM(C2015:C2027)</f>
        <v>9505300</v>
      </c>
      <c r="D2028" s="296">
        <f t="shared" ref="D2028" si="457">SUM(D2015:D2027)</f>
        <v>7990284</v>
      </c>
      <c r="E2028" s="296">
        <f t="shared" ref="E2028" si="458">SUM(E2015:E2027)</f>
        <v>8714359</v>
      </c>
      <c r="F2028" s="296">
        <f t="shared" ref="F2028" si="459">SUM(F2015:F2027)</f>
        <v>7935500</v>
      </c>
      <c r="G2028" s="296">
        <f t="shared" ref="G2028" si="460">SUM(G2015:G2027)</f>
        <v>9523073</v>
      </c>
      <c r="H2028" s="296">
        <f t="shared" ref="H2028" si="461">SUM(H2015:H2027)</f>
        <v>8280000</v>
      </c>
      <c r="I2028" s="296">
        <f t="shared" ref="I2028" si="462">SUM(I2015:I2027)</f>
        <v>8486700</v>
      </c>
      <c r="J2028" s="296">
        <f t="shared" ref="J2028" si="463">SUM(J2015:J2027)</f>
        <v>8766100</v>
      </c>
    </row>
    <row r="2029" spans="1:10" x14ac:dyDescent="0.25">
      <c r="B2029" s="293"/>
      <c r="C2029" s="293"/>
      <c r="D2029" s="293"/>
      <c r="E2029" s="293"/>
      <c r="F2029" s="293"/>
      <c r="G2029" s="293"/>
      <c r="H2029" s="293"/>
      <c r="I2029" s="293"/>
      <c r="J2029" s="293"/>
    </row>
    <row r="2030" spans="1:10" ht="15.75" thickBot="1" x14ac:dyDescent="0.3">
      <c r="A2030" s="47" t="s">
        <v>4268</v>
      </c>
      <c r="B2030" s="301">
        <f>B2012-B2028</f>
        <v>-568736</v>
      </c>
      <c r="C2030" s="301">
        <f t="shared" ref="C2030:J2030" si="464">C2012-C2028</f>
        <v>-517200</v>
      </c>
      <c r="D2030" s="301">
        <f t="shared" si="464"/>
        <v>1046316</v>
      </c>
      <c r="E2030" s="301">
        <f t="shared" si="464"/>
        <v>332341</v>
      </c>
      <c r="F2030" s="301">
        <f t="shared" si="464"/>
        <v>1128700</v>
      </c>
      <c r="G2030" s="301">
        <f t="shared" si="464"/>
        <v>-453573</v>
      </c>
      <c r="H2030" s="301">
        <f t="shared" si="464"/>
        <v>825600</v>
      </c>
      <c r="I2030" s="301">
        <f t="shared" si="464"/>
        <v>656100</v>
      </c>
      <c r="J2030" s="301">
        <f t="shared" si="464"/>
        <v>435600</v>
      </c>
    </row>
    <row r="2031" spans="1:10" ht="15.75" thickTop="1" x14ac:dyDescent="0.25">
      <c r="B2031" s="293"/>
      <c r="C2031" s="293"/>
      <c r="D2031" s="293"/>
      <c r="E2031" s="293"/>
      <c r="F2031" s="293"/>
      <c r="G2031" s="293"/>
      <c r="H2031" s="293"/>
      <c r="I2031" s="293"/>
      <c r="J2031" s="293"/>
    </row>
    <row r="2032" spans="1:10" x14ac:dyDescent="0.25">
      <c r="A2032" s="281"/>
      <c r="B2032" s="316"/>
      <c r="C2032" s="316"/>
      <c r="D2032" s="316"/>
      <c r="E2032" s="316"/>
      <c r="F2032" s="316"/>
      <c r="G2032" s="316"/>
      <c r="H2032" s="316"/>
      <c r="I2032" s="316"/>
      <c r="J2032" s="316"/>
    </row>
    <row r="2033" spans="1:10" x14ac:dyDescent="0.25">
      <c r="B2033" s="293"/>
      <c r="C2033" s="293"/>
      <c r="D2033" s="293"/>
      <c r="E2033" s="293"/>
      <c r="F2033" s="293"/>
      <c r="G2033" s="293"/>
      <c r="H2033" s="293"/>
      <c r="I2033" s="293"/>
      <c r="J2033" s="293"/>
    </row>
    <row r="2034" spans="1:10" x14ac:dyDescent="0.25">
      <c r="A2034" s="47" t="s">
        <v>4386</v>
      </c>
      <c r="B2034" s="293"/>
      <c r="C2034" s="293"/>
      <c r="D2034" s="293"/>
      <c r="E2034" s="293"/>
      <c r="F2034" s="293"/>
      <c r="G2034" s="293"/>
      <c r="H2034" s="293"/>
      <c r="I2034" s="293"/>
      <c r="J2034" s="293"/>
    </row>
    <row r="2035" spans="1:10" x14ac:dyDescent="0.25">
      <c r="A2035" t="s">
        <v>4382</v>
      </c>
      <c r="B2035" s="293">
        <f>B1983+B2012</f>
        <v>9601800</v>
      </c>
      <c r="C2035" s="293">
        <f t="shared" ref="C2035:J2035" si="465">C1983+C2012</f>
        <v>9588100</v>
      </c>
      <c r="D2035" s="293">
        <f t="shared" si="465"/>
        <v>9636600</v>
      </c>
      <c r="E2035" s="293">
        <f t="shared" si="465"/>
        <v>9646700</v>
      </c>
      <c r="F2035" s="293">
        <f t="shared" si="465"/>
        <v>9664200</v>
      </c>
      <c r="G2035" s="293">
        <f t="shared" si="465"/>
        <v>9669500</v>
      </c>
      <c r="H2035" s="293">
        <f t="shared" si="465"/>
        <v>9705600</v>
      </c>
      <c r="I2035" s="293">
        <f t="shared" si="465"/>
        <v>9742800</v>
      </c>
      <c r="J2035" s="293">
        <f t="shared" si="465"/>
        <v>9801700</v>
      </c>
    </row>
    <row r="2036" spans="1:10" x14ac:dyDescent="0.25">
      <c r="A2036" t="s">
        <v>4383</v>
      </c>
      <c r="B2036" s="293">
        <f>B1998+B2028</f>
        <v>11571772</v>
      </c>
      <c r="C2036" s="293">
        <f t="shared" ref="C2036:J2036" si="466">C1998+C2028</f>
        <v>9615300</v>
      </c>
      <c r="D2036" s="293">
        <f t="shared" si="466"/>
        <v>8100284</v>
      </c>
      <c r="E2036" s="293">
        <f t="shared" si="466"/>
        <v>8924359</v>
      </c>
      <c r="F2036" s="293">
        <f t="shared" si="466"/>
        <v>8642083</v>
      </c>
      <c r="G2036" s="293">
        <f t="shared" si="466"/>
        <v>9633073</v>
      </c>
      <c r="H2036" s="293">
        <f t="shared" si="466"/>
        <v>8390000</v>
      </c>
      <c r="I2036" s="293">
        <f t="shared" si="466"/>
        <v>8596700</v>
      </c>
      <c r="J2036" s="293">
        <f t="shared" si="466"/>
        <v>8926100</v>
      </c>
    </row>
    <row r="2037" spans="1:10" x14ac:dyDescent="0.25">
      <c r="B2037" s="293"/>
      <c r="C2037" s="293"/>
      <c r="D2037" s="293"/>
      <c r="E2037" s="293"/>
      <c r="F2037" s="293"/>
      <c r="G2037" s="293"/>
      <c r="H2037" s="293"/>
      <c r="I2037" s="293"/>
      <c r="J2037" s="293"/>
    </row>
    <row r="2038" spans="1:10" x14ac:dyDescent="0.25">
      <c r="A2038" s="281"/>
      <c r="B2038" s="316"/>
      <c r="C2038" s="316"/>
      <c r="D2038" s="316"/>
      <c r="E2038" s="316"/>
      <c r="F2038" s="316"/>
      <c r="G2038" s="316"/>
      <c r="H2038" s="316"/>
      <c r="I2038" s="316"/>
      <c r="J2038" s="316"/>
    </row>
    <row r="2039" spans="1:10" x14ac:dyDescent="0.25">
      <c r="B2039" s="293"/>
      <c r="C2039" s="293"/>
      <c r="D2039" s="293"/>
      <c r="E2039" s="293"/>
      <c r="F2039" s="293"/>
      <c r="G2039" s="293"/>
      <c r="H2039" s="293"/>
      <c r="I2039" s="293"/>
      <c r="J2039" s="293"/>
    </row>
    <row r="2040" spans="1:10" x14ac:dyDescent="0.25">
      <c r="A2040" s="47" t="s">
        <v>4169</v>
      </c>
      <c r="B2040" s="293"/>
      <c r="C2040" s="293"/>
      <c r="D2040" s="293"/>
      <c r="E2040" s="293"/>
      <c r="F2040" s="293"/>
      <c r="G2040" s="293"/>
      <c r="H2040" s="293"/>
      <c r="I2040" s="293"/>
      <c r="J2040" s="293"/>
    </row>
    <row r="2041" spans="1:10" x14ac:dyDescent="0.25">
      <c r="B2041" s="293"/>
      <c r="C2041" s="293"/>
      <c r="D2041" s="293"/>
      <c r="E2041" s="293"/>
      <c r="F2041" s="293"/>
      <c r="G2041" s="293"/>
      <c r="H2041" s="293"/>
      <c r="I2041" s="293"/>
      <c r="J2041" s="293"/>
    </row>
    <row r="2042" spans="1:10" x14ac:dyDescent="0.25">
      <c r="A2042" s="280" t="s">
        <v>4384</v>
      </c>
      <c r="B2042" s="293"/>
      <c r="C2042" s="293"/>
      <c r="D2042" s="293"/>
      <c r="E2042" s="293"/>
      <c r="F2042" s="293"/>
      <c r="G2042" s="293"/>
      <c r="H2042" s="293"/>
      <c r="I2042" s="293"/>
      <c r="J2042" s="293"/>
    </row>
    <row r="2043" spans="1:10" x14ac:dyDescent="0.25">
      <c r="B2043" s="293"/>
      <c r="C2043" s="293"/>
      <c r="D2043" s="293"/>
      <c r="E2043" s="293"/>
      <c r="F2043" s="293"/>
      <c r="G2043" s="293"/>
      <c r="H2043" s="293"/>
      <c r="I2043" s="293"/>
      <c r="J2043" s="293"/>
    </row>
    <row r="2044" spans="1:10" x14ac:dyDescent="0.25">
      <c r="A2044" s="47" t="s">
        <v>4260</v>
      </c>
      <c r="B2044" s="293"/>
      <c r="C2044" s="293"/>
      <c r="D2044" s="293"/>
      <c r="E2044" s="293"/>
      <c r="F2044" s="293"/>
      <c r="G2044" s="293"/>
      <c r="H2044" s="293"/>
      <c r="I2044" s="293"/>
      <c r="J2044" s="293"/>
    </row>
    <row r="2045" spans="1:10" x14ac:dyDescent="0.25">
      <c r="A2045" t="s">
        <v>4262</v>
      </c>
      <c r="B2045" s="293"/>
      <c r="C2045" s="293"/>
      <c r="D2045" s="293"/>
      <c r="E2045" s="293"/>
      <c r="F2045" s="293"/>
      <c r="G2045" s="293"/>
      <c r="H2045" s="293"/>
      <c r="I2045" s="293"/>
      <c r="J2045" s="293"/>
    </row>
    <row r="2046" spans="1:10" x14ac:dyDescent="0.25">
      <c r="A2046" t="s">
        <v>4261</v>
      </c>
      <c r="B2046" s="293">
        <f>capitalrevdata!F319</f>
        <v>1400000</v>
      </c>
      <c r="C2046" s="293">
        <f>capitalrevdata!G319</f>
        <v>1400000</v>
      </c>
      <c r="D2046" s="293">
        <f>capitalrevdata!H319</f>
        <v>1400000</v>
      </c>
      <c r="E2046" s="293">
        <f>capitalrevdata!I319</f>
        <v>1400000</v>
      </c>
      <c r="F2046" s="293">
        <f>capitalrevdata!J319</f>
        <v>1400000</v>
      </c>
      <c r="G2046" s="293">
        <f>capitalrevdata!K319</f>
        <v>1400000</v>
      </c>
      <c r="H2046" s="293">
        <f>capitalrevdata!L319</f>
        <v>1400000</v>
      </c>
      <c r="I2046" s="293">
        <f>capitalrevdata!M319</f>
        <v>1400000</v>
      </c>
      <c r="J2046" s="293">
        <f>capitalrevdata!N319</f>
        <v>1400000</v>
      </c>
    </row>
    <row r="2047" spans="1:10" x14ac:dyDescent="0.25">
      <c r="A2047" t="s">
        <v>66</v>
      </c>
      <c r="B2047" s="293"/>
      <c r="C2047" s="293"/>
      <c r="D2047" s="293"/>
      <c r="E2047" s="293"/>
      <c r="F2047" s="293"/>
      <c r="G2047" s="293"/>
      <c r="H2047" s="293"/>
      <c r="I2047" s="293"/>
      <c r="J2047" s="293"/>
    </row>
    <row r="2048" spans="1:10" x14ac:dyDescent="0.25">
      <c r="B2048" s="293"/>
      <c r="C2048" s="293"/>
      <c r="D2048" s="293"/>
      <c r="E2048" s="293"/>
      <c r="F2048" s="293"/>
      <c r="G2048" s="293"/>
      <c r="H2048" s="293"/>
      <c r="I2048" s="293"/>
      <c r="J2048" s="293"/>
    </row>
    <row r="2049" spans="1:10" x14ac:dyDescent="0.25">
      <c r="B2049" s="293"/>
      <c r="C2049" s="293"/>
      <c r="D2049" s="293"/>
      <c r="E2049" s="293"/>
      <c r="F2049" s="293"/>
      <c r="G2049" s="293"/>
      <c r="H2049" s="293"/>
      <c r="I2049" s="293"/>
      <c r="J2049" s="293"/>
    </row>
    <row r="2050" spans="1:10" x14ac:dyDescent="0.25">
      <c r="B2050" s="293"/>
      <c r="C2050" s="293"/>
      <c r="D2050" s="293"/>
      <c r="E2050" s="293"/>
      <c r="F2050" s="293"/>
      <c r="G2050" s="293"/>
      <c r="H2050" s="293"/>
      <c r="I2050" s="293"/>
      <c r="J2050" s="293"/>
    </row>
    <row r="2051" spans="1:10" x14ac:dyDescent="0.25">
      <c r="B2051" s="293"/>
      <c r="C2051" s="293"/>
      <c r="D2051" s="293"/>
      <c r="E2051" s="293"/>
      <c r="F2051" s="293"/>
      <c r="G2051" s="293"/>
      <c r="H2051" s="293"/>
      <c r="I2051" s="293"/>
      <c r="J2051" s="293"/>
    </row>
    <row r="2052" spans="1:10" x14ac:dyDescent="0.25">
      <c r="A2052" s="47" t="s">
        <v>4263</v>
      </c>
      <c r="B2052" s="296">
        <f>SUM(B2042:B2051)</f>
        <v>1400000</v>
      </c>
      <c r="C2052" s="296">
        <f t="shared" ref="C2052" si="467">SUM(C2042:C2051)</f>
        <v>1400000</v>
      </c>
      <c r="D2052" s="296">
        <f t="shared" ref="D2052" si="468">SUM(D2042:D2051)</f>
        <v>1400000</v>
      </c>
      <c r="E2052" s="296">
        <f t="shared" ref="E2052" si="469">SUM(E2042:E2051)</f>
        <v>1400000</v>
      </c>
      <c r="F2052" s="296">
        <f t="shared" ref="F2052" si="470">SUM(F2042:F2051)</f>
        <v>1400000</v>
      </c>
      <c r="G2052" s="296">
        <f t="shared" ref="G2052" si="471">SUM(G2042:G2051)</f>
        <v>1400000</v>
      </c>
      <c r="H2052" s="296">
        <f t="shared" ref="H2052" si="472">SUM(H2042:H2051)</f>
        <v>1400000</v>
      </c>
      <c r="I2052" s="296">
        <f t="shared" ref="I2052" si="473">SUM(I2042:I2051)</f>
        <v>1400000</v>
      </c>
      <c r="J2052" s="296">
        <f t="shared" ref="J2052" si="474">SUM(J2042:J2051)</f>
        <v>1400000</v>
      </c>
    </row>
    <row r="2053" spans="1:10" x14ac:dyDescent="0.25">
      <c r="B2053" s="293"/>
      <c r="C2053" s="293"/>
      <c r="D2053" s="293"/>
      <c r="E2053" s="293"/>
      <c r="F2053" s="293"/>
      <c r="G2053" s="293"/>
      <c r="H2053" s="293"/>
      <c r="I2053" s="293"/>
      <c r="J2053" s="293"/>
    </row>
    <row r="2054" spans="1:10" x14ac:dyDescent="0.25">
      <c r="A2054" s="47" t="s">
        <v>4264</v>
      </c>
      <c r="B2054" s="293"/>
      <c r="C2054" s="293"/>
      <c r="D2054" s="293"/>
      <c r="E2054" s="293"/>
      <c r="F2054" s="293"/>
      <c r="G2054" s="293"/>
      <c r="H2054" s="293"/>
      <c r="I2054" s="293"/>
      <c r="J2054" s="293"/>
    </row>
    <row r="2055" spans="1:10" x14ac:dyDescent="0.25">
      <c r="A2055" t="s">
        <v>87</v>
      </c>
      <c r="B2055" s="293"/>
      <c r="C2055" s="293"/>
      <c r="D2055" s="293"/>
      <c r="E2055" s="293"/>
      <c r="F2055" s="293"/>
      <c r="G2055" s="293"/>
      <c r="H2055" s="293"/>
      <c r="I2055" s="293"/>
      <c r="J2055" s="293"/>
    </row>
    <row r="2056" spans="1:10" x14ac:dyDescent="0.25">
      <c r="A2056" t="s">
        <v>4265</v>
      </c>
      <c r="B2056" s="293">
        <f>capitalexpdata!G767+capitalexpdata!G768</f>
        <v>849784</v>
      </c>
      <c r="C2056" s="293">
        <f>capitalexpdata!H767+capitalexpdata!H768</f>
        <v>220000</v>
      </c>
      <c r="D2056" s="293">
        <f>capitalexpdata!I767+capitalexpdata!I768</f>
        <v>11530000</v>
      </c>
      <c r="E2056" s="293">
        <f>capitalexpdata!J767+capitalexpdata!J768</f>
        <v>130000</v>
      </c>
      <c r="F2056" s="293">
        <f>capitalexpdata!K767+capitalexpdata!K768</f>
        <v>1083087</v>
      </c>
      <c r="G2056" s="293">
        <f>capitalexpdata!L767+capitalexpdata!L768</f>
        <v>270000</v>
      </c>
      <c r="H2056" s="293">
        <f>capitalexpdata!M767+capitalexpdata!M768</f>
        <v>1220000</v>
      </c>
      <c r="I2056" s="293">
        <f>capitalexpdata!N767+capitalexpdata!N768</f>
        <v>3124000</v>
      </c>
      <c r="J2056" s="293">
        <f>capitalexpdata!O767+capitalexpdata!O768</f>
        <v>11624383</v>
      </c>
    </row>
    <row r="2057" spans="1:10" x14ac:dyDescent="0.25">
      <c r="B2057" s="293"/>
      <c r="C2057" s="293"/>
      <c r="D2057" s="293"/>
      <c r="E2057" s="293"/>
      <c r="F2057" s="293"/>
      <c r="G2057" s="293"/>
      <c r="H2057" s="293"/>
      <c r="I2057" s="293"/>
      <c r="J2057" s="293"/>
    </row>
    <row r="2058" spans="1:10" x14ac:dyDescent="0.25">
      <c r="B2058" s="293"/>
      <c r="C2058" s="293"/>
      <c r="D2058" s="293"/>
      <c r="E2058" s="293"/>
      <c r="F2058" s="293"/>
      <c r="G2058" s="293"/>
      <c r="H2058" s="293"/>
      <c r="I2058" s="293"/>
      <c r="J2058" s="293"/>
    </row>
    <row r="2059" spans="1:10" x14ac:dyDescent="0.25">
      <c r="B2059" s="293"/>
      <c r="C2059" s="293"/>
      <c r="D2059" s="293"/>
      <c r="E2059" s="293"/>
      <c r="F2059" s="293"/>
      <c r="G2059" s="293"/>
      <c r="H2059" s="293"/>
      <c r="I2059" s="293"/>
      <c r="J2059" s="293"/>
    </row>
    <row r="2060" spans="1:10" x14ac:dyDescent="0.25">
      <c r="B2060" s="293"/>
      <c r="C2060" s="293"/>
      <c r="D2060" s="293"/>
      <c r="E2060" s="293"/>
      <c r="F2060" s="293"/>
      <c r="G2060" s="293"/>
      <c r="H2060" s="293"/>
      <c r="I2060" s="293"/>
      <c r="J2060" s="293"/>
    </row>
    <row r="2061" spans="1:10" x14ac:dyDescent="0.25">
      <c r="A2061" t="s">
        <v>4266</v>
      </c>
      <c r="B2061" s="293"/>
      <c r="C2061" s="293"/>
      <c r="D2061" s="293"/>
      <c r="E2061" s="293"/>
      <c r="F2061" s="293"/>
      <c r="G2061" s="293"/>
      <c r="H2061" s="293"/>
      <c r="I2061" s="293"/>
      <c r="J2061" s="293"/>
    </row>
    <row r="2062" spans="1:10" x14ac:dyDescent="0.25">
      <c r="A2062" t="s">
        <v>66</v>
      </c>
      <c r="B2062" s="293"/>
      <c r="C2062" s="293"/>
      <c r="D2062" s="293"/>
      <c r="E2062" s="293"/>
      <c r="F2062" s="293"/>
      <c r="G2062" s="293"/>
      <c r="H2062" s="293"/>
      <c r="I2062" s="293"/>
      <c r="J2062" s="293"/>
    </row>
    <row r="2063" spans="1:10" x14ac:dyDescent="0.25">
      <c r="B2063" s="293"/>
      <c r="C2063" s="293"/>
      <c r="D2063" s="293"/>
      <c r="E2063" s="293"/>
      <c r="F2063" s="293"/>
      <c r="G2063" s="293"/>
      <c r="H2063" s="293"/>
      <c r="I2063" s="293"/>
      <c r="J2063" s="293"/>
    </row>
    <row r="2064" spans="1:10" x14ac:dyDescent="0.25">
      <c r="B2064" s="293"/>
      <c r="C2064" s="293"/>
      <c r="D2064" s="293"/>
      <c r="E2064" s="293"/>
      <c r="F2064" s="293"/>
      <c r="G2064" s="293"/>
      <c r="H2064" s="293"/>
      <c r="I2064" s="293"/>
      <c r="J2064" s="293"/>
    </row>
    <row r="2065" spans="1:10" x14ac:dyDescent="0.25">
      <c r="B2065" s="293"/>
      <c r="C2065" s="293"/>
      <c r="D2065" s="293"/>
      <c r="E2065" s="293"/>
      <c r="F2065" s="293"/>
      <c r="G2065" s="293"/>
      <c r="H2065" s="293"/>
      <c r="I2065" s="293"/>
      <c r="J2065" s="293"/>
    </row>
    <row r="2066" spans="1:10" x14ac:dyDescent="0.25">
      <c r="B2066" s="293"/>
      <c r="C2066" s="293"/>
      <c r="D2066" s="293"/>
      <c r="E2066" s="293"/>
      <c r="F2066" s="293"/>
      <c r="G2066" s="293"/>
      <c r="H2066" s="293"/>
      <c r="I2066" s="293"/>
      <c r="J2066" s="293"/>
    </row>
    <row r="2067" spans="1:10" x14ac:dyDescent="0.25">
      <c r="A2067" s="47" t="s">
        <v>4267</v>
      </c>
      <c r="B2067" s="296">
        <f>SUM(B2055:B2066)</f>
        <v>849784</v>
      </c>
      <c r="C2067" s="296">
        <f t="shared" ref="C2067" si="475">SUM(C2055:C2066)</f>
        <v>220000</v>
      </c>
      <c r="D2067" s="296">
        <f t="shared" ref="D2067" si="476">SUM(D2055:D2066)</f>
        <v>11530000</v>
      </c>
      <c r="E2067" s="296">
        <f t="shared" ref="E2067" si="477">SUM(E2055:E2066)</f>
        <v>130000</v>
      </c>
      <c r="F2067" s="296">
        <f t="shared" ref="F2067" si="478">SUM(F2055:F2066)</f>
        <v>1083087</v>
      </c>
      <c r="G2067" s="296">
        <f t="shared" ref="G2067" si="479">SUM(G2055:G2066)</f>
        <v>270000</v>
      </c>
      <c r="H2067" s="296">
        <f t="shared" ref="H2067" si="480">SUM(H2055:H2066)</f>
        <v>1220000</v>
      </c>
      <c r="I2067" s="296">
        <f t="shared" ref="I2067" si="481">SUM(I2055:I2066)</f>
        <v>3124000</v>
      </c>
      <c r="J2067" s="296">
        <f t="shared" ref="J2067" si="482">SUM(J2055:J2066)</f>
        <v>11624383</v>
      </c>
    </row>
    <row r="2068" spans="1:10" x14ac:dyDescent="0.25">
      <c r="B2068" s="293"/>
      <c r="C2068" s="293"/>
      <c r="D2068" s="293"/>
      <c r="E2068" s="293"/>
      <c r="F2068" s="293"/>
      <c r="G2068" s="293"/>
      <c r="H2068" s="293"/>
      <c r="I2068" s="293"/>
      <c r="J2068" s="293"/>
    </row>
    <row r="2069" spans="1:10" ht="15.75" thickBot="1" x14ac:dyDescent="0.3">
      <c r="A2069" s="47" t="s">
        <v>4268</v>
      </c>
      <c r="B2069" s="301">
        <f>B2052-B2067</f>
        <v>550216</v>
      </c>
      <c r="C2069" s="301">
        <f t="shared" ref="C2069:J2069" si="483">C2052-C2067</f>
        <v>1180000</v>
      </c>
      <c r="D2069" s="301">
        <f t="shared" si="483"/>
        <v>-10130000</v>
      </c>
      <c r="E2069" s="301">
        <f t="shared" si="483"/>
        <v>1270000</v>
      </c>
      <c r="F2069" s="301">
        <f t="shared" si="483"/>
        <v>316913</v>
      </c>
      <c r="G2069" s="301">
        <f t="shared" si="483"/>
        <v>1130000</v>
      </c>
      <c r="H2069" s="301">
        <f t="shared" si="483"/>
        <v>180000</v>
      </c>
      <c r="I2069" s="301">
        <f t="shared" si="483"/>
        <v>-1724000</v>
      </c>
      <c r="J2069" s="301">
        <f t="shared" si="483"/>
        <v>-10224383</v>
      </c>
    </row>
    <row r="2070" spans="1:10" ht="15.75" thickTop="1" x14ac:dyDescent="0.25">
      <c r="B2070" s="293"/>
      <c r="C2070" s="293"/>
      <c r="D2070" s="293"/>
      <c r="E2070" s="293"/>
      <c r="F2070" s="293"/>
      <c r="G2070" s="293"/>
      <c r="H2070" s="293"/>
      <c r="I2070" s="293"/>
      <c r="J2070" s="293"/>
    </row>
    <row r="2071" spans="1:10" x14ac:dyDescent="0.25">
      <c r="A2071" s="280" t="s">
        <v>4385</v>
      </c>
      <c r="B2071" s="293"/>
      <c r="C2071" s="293"/>
      <c r="D2071" s="293"/>
      <c r="E2071" s="293"/>
      <c r="F2071" s="293"/>
      <c r="G2071" s="293"/>
      <c r="H2071" s="293"/>
      <c r="I2071" s="293"/>
      <c r="J2071" s="293"/>
    </row>
    <row r="2072" spans="1:10" x14ac:dyDescent="0.25">
      <c r="B2072" s="293"/>
      <c r="C2072" s="293"/>
      <c r="D2072" s="293"/>
      <c r="E2072" s="293"/>
      <c r="F2072" s="293"/>
      <c r="G2072" s="293"/>
      <c r="H2072" s="293"/>
      <c r="I2072" s="293"/>
      <c r="J2072" s="293"/>
    </row>
    <row r="2073" spans="1:10" x14ac:dyDescent="0.25">
      <c r="A2073" s="47" t="s">
        <v>4260</v>
      </c>
      <c r="B2073" s="293"/>
      <c r="C2073" s="293"/>
      <c r="D2073" s="293"/>
      <c r="E2073" s="293"/>
      <c r="F2073" s="293"/>
      <c r="G2073" s="293"/>
      <c r="H2073" s="293"/>
      <c r="I2073" s="293"/>
      <c r="J2073" s="293"/>
    </row>
    <row r="2074" spans="1:10" x14ac:dyDescent="0.25">
      <c r="A2074" t="s">
        <v>4262</v>
      </c>
      <c r="B2074" s="293">
        <f>-operatingdata!F2071</f>
        <v>15293300</v>
      </c>
      <c r="C2074" s="293">
        <f>-operatingdata!G2071</f>
        <v>15319200</v>
      </c>
      <c r="D2074" s="293">
        <f>-operatingdata!H2071</f>
        <v>15153500</v>
      </c>
      <c r="E2074" s="293">
        <f>-operatingdata!I2071</f>
        <v>15192700</v>
      </c>
      <c r="F2074" s="293">
        <f>-operatingdata!J2071</f>
        <v>15225900</v>
      </c>
      <c r="G2074" s="293">
        <f>-operatingdata!K2071</f>
        <v>15282800</v>
      </c>
      <c r="H2074" s="293">
        <f>-operatingdata!L2071</f>
        <v>15308100</v>
      </c>
      <c r="I2074" s="293">
        <f>-operatingdata!M2071</f>
        <v>15316500</v>
      </c>
      <c r="J2074" s="293">
        <f>-operatingdata!N2071</f>
        <v>15116400</v>
      </c>
    </row>
    <row r="2075" spans="1:10" x14ac:dyDescent="0.25">
      <c r="A2075" t="s">
        <v>4261</v>
      </c>
      <c r="B2075" s="293"/>
      <c r="C2075" s="293"/>
      <c r="D2075" s="293"/>
      <c r="E2075" s="293"/>
      <c r="F2075" s="293"/>
      <c r="G2075" s="293"/>
      <c r="H2075" s="293"/>
      <c r="I2075" s="293"/>
      <c r="J2075" s="293"/>
    </row>
    <row r="2076" spans="1:10" x14ac:dyDescent="0.25">
      <c r="A2076" t="s">
        <v>66</v>
      </c>
      <c r="B2076" s="293"/>
      <c r="C2076" s="293"/>
      <c r="D2076" s="293"/>
      <c r="E2076" s="293"/>
      <c r="F2076" s="293"/>
      <c r="G2076" s="293"/>
      <c r="H2076" s="293"/>
      <c r="I2076" s="293"/>
      <c r="J2076" s="293"/>
    </row>
    <row r="2077" spans="1:10" x14ac:dyDescent="0.25">
      <c r="B2077" s="293"/>
      <c r="C2077" s="293"/>
      <c r="D2077" s="293"/>
      <c r="E2077" s="293"/>
      <c r="F2077" s="293"/>
      <c r="G2077" s="293"/>
      <c r="H2077" s="293"/>
      <c r="I2077" s="293"/>
      <c r="J2077" s="293"/>
    </row>
    <row r="2078" spans="1:10" x14ac:dyDescent="0.25">
      <c r="B2078" s="293"/>
      <c r="C2078" s="293"/>
      <c r="D2078" s="293"/>
      <c r="E2078" s="293"/>
      <c r="F2078" s="293"/>
      <c r="G2078" s="293"/>
      <c r="H2078" s="293"/>
      <c r="I2078" s="293"/>
      <c r="J2078" s="293"/>
    </row>
    <row r="2079" spans="1:10" x14ac:dyDescent="0.25">
      <c r="B2079" s="293"/>
      <c r="C2079" s="293"/>
      <c r="D2079" s="293"/>
      <c r="E2079" s="293"/>
      <c r="F2079" s="293"/>
      <c r="G2079" s="293"/>
      <c r="H2079" s="293"/>
      <c r="I2079" s="293"/>
      <c r="J2079" s="293"/>
    </row>
    <row r="2080" spans="1:10" x14ac:dyDescent="0.25">
      <c r="B2080" s="293"/>
      <c r="C2080" s="293"/>
      <c r="D2080" s="293"/>
      <c r="E2080" s="293"/>
      <c r="F2080" s="293"/>
      <c r="G2080" s="293"/>
      <c r="H2080" s="293"/>
      <c r="I2080" s="293"/>
      <c r="J2080" s="293"/>
    </row>
    <row r="2081" spans="1:10" x14ac:dyDescent="0.25">
      <c r="A2081" s="47" t="s">
        <v>4263</v>
      </c>
      <c r="B2081" s="296">
        <f>SUM(B2071:B2080)</f>
        <v>15293300</v>
      </c>
      <c r="C2081" s="296">
        <f t="shared" ref="C2081" si="484">SUM(C2071:C2080)</f>
        <v>15319200</v>
      </c>
      <c r="D2081" s="296">
        <f t="shared" ref="D2081" si="485">SUM(D2071:D2080)</f>
        <v>15153500</v>
      </c>
      <c r="E2081" s="296">
        <f t="shared" ref="E2081" si="486">SUM(E2071:E2080)</f>
        <v>15192700</v>
      </c>
      <c r="F2081" s="296">
        <f t="shared" ref="F2081" si="487">SUM(F2071:F2080)</f>
        <v>15225900</v>
      </c>
      <c r="G2081" s="296">
        <f t="shared" ref="G2081" si="488">SUM(G2071:G2080)</f>
        <v>15282800</v>
      </c>
      <c r="H2081" s="296">
        <f t="shared" ref="H2081" si="489">SUM(H2071:H2080)</f>
        <v>15308100</v>
      </c>
      <c r="I2081" s="296">
        <f t="shared" ref="I2081" si="490">SUM(I2071:I2080)</f>
        <v>15316500</v>
      </c>
      <c r="J2081" s="296">
        <f t="shared" ref="J2081" si="491">SUM(J2071:J2080)</f>
        <v>15116400</v>
      </c>
    </row>
    <row r="2082" spans="1:10" x14ac:dyDescent="0.25">
      <c r="B2082" s="293"/>
      <c r="C2082" s="293"/>
      <c r="D2082" s="293"/>
      <c r="E2082" s="293"/>
      <c r="F2082" s="293"/>
      <c r="G2082" s="293"/>
      <c r="H2082" s="293"/>
      <c r="I2082" s="293"/>
      <c r="J2082" s="293"/>
    </row>
    <row r="2083" spans="1:10" x14ac:dyDescent="0.25">
      <c r="A2083" s="47" t="s">
        <v>4264</v>
      </c>
      <c r="B2083" s="293"/>
      <c r="C2083" s="293"/>
      <c r="D2083" s="293"/>
      <c r="E2083" s="293"/>
      <c r="F2083" s="293"/>
      <c r="G2083" s="293"/>
      <c r="H2083" s="293"/>
      <c r="I2083" s="293"/>
      <c r="J2083" s="293"/>
    </row>
    <row r="2084" spans="1:10" x14ac:dyDescent="0.25">
      <c r="A2084" t="s">
        <v>87</v>
      </c>
      <c r="B2084" s="293">
        <f>operatingdata!F2037</f>
        <v>14091100</v>
      </c>
      <c r="C2084" s="293">
        <f>operatingdata!G2037</f>
        <v>14162500</v>
      </c>
      <c r="D2084" s="293">
        <f>operatingdata!H2037</f>
        <v>14239800</v>
      </c>
      <c r="E2084" s="293">
        <f>operatingdata!I2037</f>
        <v>14269000</v>
      </c>
      <c r="F2084" s="293">
        <f>operatingdata!J2037</f>
        <v>14345700</v>
      </c>
      <c r="G2084" s="293">
        <f>operatingdata!K2037</f>
        <v>14387700</v>
      </c>
      <c r="H2084" s="293">
        <f>operatingdata!L2037</f>
        <v>14468300</v>
      </c>
      <c r="I2084" s="293">
        <f>operatingdata!M2037</f>
        <v>14519200</v>
      </c>
      <c r="J2084" s="293">
        <f>operatingdata!N2037</f>
        <v>14610600</v>
      </c>
    </row>
    <row r="2085" spans="1:10" x14ac:dyDescent="0.25">
      <c r="A2085" t="s">
        <v>4391</v>
      </c>
      <c r="B2085" s="293">
        <f>-operatingdata!F2035</f>
        <v>-3082400</v>
      </c>
      <c r="C2085" s="293">
        <f>-operatingdata!G2035</f>
        <v>-3113200</v>
      </c>
      <c r="D2085" s="293">
        <f>-operatingdata!H2035</f>
        <v>-3144300</v>
      </c>
      <c r="E2085" s="293">
        <f>-operatingdata!I2035</f>
        <v>-3175700</v>
      </c>
      <c r="F2085" s="293">
        <f>-operatingdata!J2035</f>
        <v>-3207500</v>
      </c>
      <c r="G2085" s="293">
        <f>-operatingdata!K2035</f>
        <v>-3239600</v>
      </c>
      <c r="H2085" s="293">
        <f>-operatingdata!L2035</f>
        <v>-3272000</v>
      </c>
      <c r="I2085" s="293">
        <f>-operatingdata!M2035</f>
        <v>-3304700</v>
      </c>
      <c r="J2085" s="293">
        <f>-operatingdata!N2035</f>
        <v>-3337700</v>
      </c>
    </row>
    <row r="2086" spans="1:10" x14ac:dyDescent="0.25">
      <c r="A2086" t="s">
        <v>4265</v>
      </c>
      <c r="B2086" s="293">
        <f>capitalexpdata!G766</f>
        <v>1122055</v>
      </c>
      <c r="C2086" s="293">
        <f>capitalexpdata!H766</f>
        <v>419631</v>
      </c>
      <c r="D2086" s="293">
        <f>capitalexpdata!I766</f>
        <v>449920</v>
      </c>
      <c r="E2086" s="293">
        <f>capitalexpdata!J766</f>
        <v>1206175</v>
      </c>
      <c r="F2086" s="293">
        <f>capitalexpdata!K766</f>
        <v>376283</v>
      </c>
      <c r="G2086" s="293">
        <f>capitalexpdata!L766</f>
        <v>512741</v>
      </c>
      <c r="H2086" s="293">
        <f>capitalexpdata!M766</f>
        <v>1209381</v>
      </c>
      <c r="I2086" s="293">
        <f>capitalexpdata!N766</f>
        <v>750340</v>
      </c>
      <c r="J2086" s="293">
        <f>capitalexpdata!O766</f>
        <v>2377219</v>
      </c>
    </row>
    <row r="2087" spans="1:10" x14ac:dyDescent="0.25">
      <c r="B2087" s="293"/>
      <c r="C2087" s="293"/>
      <c r="D2087" s="293"/>
      <c r="E2087" s="293"/>
      <c r="F2087" s="293"/>
      <c r="G2087" s="293"/>
      <c r="H2087" s="293"/>
      <c r="I2087" s="293"/>
      <c r="J2087" s="293"/>
    </row>
    <row r="2088" spans="1:10" x14ac:dyDescent="0.25">
      <c r="B2088" s="293"/>
      <c r="C2088" s="293"/>
      <c r="D2088" s="293"/>
      <c r="E2088" s="293"/>
      <c r="F2088" s="293"/>
      <c r="G2088" s="293"/>
      <c r="H2088" s="293"/>
      <c r="I2088" s="293"/>
      <c r="J2088" s="293"/>
    </row>
    <row r="2089" spans="1:10" x14ac:dyDescent="0.25">
      <c r="B2089" s="293"/>
      <c r="C2089" s="293"/>
      <c r="D2089" s="293"/>
      <c r="E2089" s="293"/>
      <c r="F2089" s="293"/>
      <c r="G2089" s="293"/>
      <c r="H2089" s="293"/>
      <c r="I2089" s="293"/>
      <c r="J2089" s="293"/>
    </row>
    <row r="2090" spans="1:10" x14ac:dyDescent="0.25">
      <c r="B2090" s="293"/>
      <c r="C2090" s="293"/>
      <c r="D2090" s="293"/>
      <c r="E2090" s="293"/>
      <c r="F2090" s="293"/>
      <c r="G2090" s="293"/>
      <c r="H2090" s="293"/>
      <c r="I2090" s="293"/>
      <c r="J2090" s="293"/>
    </row>
    <row r="2091" spans="1:10" x14ac:dyDescent="0.25">
      <c r="A2091" t="s">
        <v>4266</v>
      </c>
      <c r="B2091" s="293">
        <f>ROUND(loans!T116,-2)</f>
        <v>1699400</v>
      </c>
      <c r="C2091" s="293">
        <f>ROUND(loans!X116,-2)</f>
        <v>1811500</v>
      </c>
      <c r="D2091" s="293">
        <f>ROUND(loans!AB116,-2)</f>
        <v>1921300</v>
      </c>
      <c r="E2091" s="293">
        <f>ROUND(loans!AF116,-2)</f>
        <v>2082300</v>
      </c>
      <c r="F2091" s="293">
        <f>ROUND(loans!AJ116,-2)</f>
        <v>2199700</v>
      </c>
      <c r="G2091" s="293">
        <f>ROUND(loans!AN116,-2)</f>
        <v>2355400</v>
      </c>
      <c r="H2091" s="293">
        <f>ROUND(loans!AR116,-2)</f>
        <v>2518500</v>
      </c>
      <c r="I2091" s="293">
        <f>ROUND(loans!AV116,-2)</f>
        <v>2204400</v>
      </c>
      <c r="J2091" s="293">
        <f>ROUND(loans!AZ116,-2)</f>
        <v>2367900</v>
      </c>
    </row>
    <row r="2092" spans="1:10" x14ac:dyDescent="0.25">
      <c r="A2092" t="s">
        <v>66</v>
      </c>
      <c r="B2092" s="293"/>
      <c r="C2092" s="293"/>
      <c r="D2092" s="293"/>
      <c r="E2092" s="293"/>
      <c r="F2092" s="293"/>
      <c r="G2092" s="293"/>
      <c r="H2092" s="293"/>
      <c r="I2092" s="293"/>
      <c r="J2092" s="293"/>
    </row>
    <row r="2093" spans="1:10" x14ac:dyDescent="0.25">
      <c r="B2093" s="293"/>
      <c r="C2093" s="293"/>
      <c r="D2093" s="293"/>
      <c r="E2093" s="293"/>
      <c r="F2093" s="293"/>
      <c r="G2093" s="293"/>
      <c r="H2093" s="293"/>
      <c r="I2093" s="293"/>
      <c r="J2093" s="293"/>
    </row>
    <row r="2094" spans="1:10" x14ac:dyDescent="0.25">
      <c r="B2094" s="293"/>
      <c r="C2094" s="293"/>
      <c r="D2094" s="293"/>
      <c r="E2094" s="293"/>
      <c r="F2094" s="293"/>
      <c r="G2094" s="293"/>
      <c r="H2094" s="293"/>
      <c r="I2094" s="293"/>
      <c r="J2094" s="293"/>
    </row>
    <row r="2095" spans="1:10" x14ac:dyDescent="0.25">
      <c r="B2095" s="293"/>
      <c r="C2095" s="293"/>
      <c r="D2095" s="293"/>
      <c r="E2095" s="293"/>
      <c r="F2095" s="293"/>
      <c r="G2095" s="293"/>
      <c r="H2095" s="293"/>
      <c r="I2095" s="293"/>
      <c r="J2095" s="293"/>
    </row>
    <row r="2096" spans="1:10" x14ac:dyDescent="0.25">
      <c r="B2096" s="293"/>
      <c r="C2096" s="293"/>
      <c r="D2096" s="293"/>
      <c r="E2096" s="293"/>
      <c r="F2096" s="293"/>
      <c r="G2096" s="293"/>
      <c r="H2096" s="293"/>
      <c r="I2096" s="293"/>
      <c r="J2096" s="293"/>
    </row>
    <row r="2097" spans="1:10" x14ac:dyDescent="0.25">
      <c r="A2097" s="47" t="s">
        <v>4267</v>
      </c>
      <c r="B2097" s="296">
        <f>SUM(B2084:B2096)</f>
        <v>13830155</v>
      </c>
      <c r="C2097" s="296">
        <f t="shared" ref="C2097" si="492">SUM(C2084:C2096)</f>
        <v>13280431</v>
      </c>
      <c r="D2097" s="296">
        <f t="shared" ref="D2097" si="493">SUM(D2084:D2096)</f>
        <v>13466720</v>
      </c>
      <c r="E2097" s="296">
        <f t="shared" ref="E2097" si="494">SUM(E2084:E2096)</f>
        <v>14381775</v>
      </c>
      <c r="F2097" s="296">
        <f t="shared" ref="F2097" si="495">SUM(F2084:F2096)</f>
        <v>13714183</v>
      </c>
      <c r="G2097" s="296">
        <f t="shared" ref="G2097" si="496">SUM(G2084:G2096)</f>
        <v>14016241</v>
      </c>
      <c r="H2097" s="296">
        <f t="shared" ref="H2097" si="497">SUM(H2084:H2096)</f>
        <v>14924181</v>
      </c>
      <c r="I2097" s="296">
        <f t="shared" ref="I2097" si="498">SUM(I2084:I2096)</f>
        <v>14169240</v>
      </c>
      <c r="J2097" s="296">
        <f t="shared" ref="J2097" si="499">SUM(J2084:J2096)</f>
        <v>16018019</v>
      </c>
    </row>
    <row r="2098" spans="1:10" x14ac:dyDescent="0.25">
      <c r="B2098" s="293"/>
      <c r="C2098" s="293"/>
      <c r="D2098" s="293"/>
      <c r="E2098" s="293"/>
      <c r="F2098" s="293"/>
      <c r="G2098" s="293"/>
      <c r="H2098" s="293"/>
      <c r="I2098" s="293"/>
      <c r="J2098" s="293"/>
    </row>
    <row r="2099" spans="1:10" ht="15.75" thickBot="1" x14ac:dyDescent="0.3">
      <c r="A2099" s="47" t="s">
        <v>4268</v>
      </c>
      <c r="B2099" s="301">
        <f>B2081-B2097</f>
        <v>1463145</v>
      </c>
      <c r="C2099" s="301">
        <f t="shared" ref="C2099:J2099" si="500">C2081-C2097</f>
        <v>2038769</v>
      </c>
      <c r="D2099" s="301">
        <f t="shared" si="500"/>
        <v>1686780</v>
      </c>
      <c r="E2099" s="301">
        <f t="shared" si="500"/>
        <v>810925</v>
      </c>
      <c r="F2099" s="301">
        <f t="shared" si="500"/>
        <v>1511717</v>
      </c>
      <c r="G2099" s="301">
        <f t="shared" si="500"/>
        <v>1266559</v>
      </c>
      <c r="H2099" s="301">
        <f t="shared" si="500"/>
        <v>383919</v>
      </c>
      <c r="I2099" s="301">
        <f t="shared" si="500"/>
        <v>1147260</v>
      </c>
      <c r="J2099" s="301">
        <f t="shared" si="500"/>
        <v>-901619</v>
      </c>
    </row>
    <row r="2100" spans="1:10" ht="15.75" thickTop="1" x14ac:dyDescent="0.25">
      <c r="A2100" s="47"/>
      <c r="B2100" s="300"/>
      <c r="C2100" s="300"/>
      <c r="D2100" s="300"/>
      <c r="E2100" s="300"/>
      <c r="F2100" s="300"/>
      <c r="G2100" s="300"/>
      <c r="H2100" s="300"/>
      <c r="I2100" s="300"/>
      <c r="J2100" s="300"/>
    </row>
    <row r="2101" spans="1:10" x14ac:dyDescent="0.25">
      <c r="A2101" s="280" t="s">
        <v>4387</v>
      </c>
      <c r="B2101" s="293"/>
      <c r="C2101" s="293"/>
      <c r="D2101" s="293"/>
      <c r="E2101" s="293"/>
      <c r="F2101" s="293"/>
      <c r="G2101" s="293"/>
      <c r="H2101" s="293"/>
      <c r="I2101" s="293"/>
      <c r="J2101" s="293"/>
    </row>
    <row r="2102" spans="1:10" x14ac:dyDescent="0.25">
      <c r="B2102" s="293"/>
      <c r="C2102" s="293"/>
      <c r="D2102" s="293"/>
      <c r="E2102" s="293"/>
      <c r="F2102" s="293"/>
      <c r="G2102" s="293"/>
      <c r="H2102" s="293"/>
      <c r="I2102" s="293"/>
      <c r="J2102" s="293"/>
    </row>
    <row r="2103" spans="1:10" x14ac:dyDescent="0.25">
      <c r="A2103" s="47" t="s">
        <v>4260</v>
      </c>
      <c r="B2103" s="293"/>
      <c r="C2103" s="293"/>
      <c r="D2103" s="293"/>
      <c r="E2103" s="293"/>
      <c r="F2103" s="293"/>
      <c r="G2103" s="293"/>
      <c r="H2103" s="293"/>
      <c r="I2103" s="293"/>
      <c r="J2103" s="293"/>
    </row>
    <row r="2104" spans="1:10" x14ac:dyDescent="0.25">
      <c r="A2104" t="s">
        <v>4262</v>
      </c>
      <c r="B2104" s="293"/>
      <c r="C2104" s="293"/>
      <c r="D2104" s="293"/>
      <c r="E2104" s="293"/>
      <c r="F2104" s="293"/>
      <c r="G2104" s="293"/>
      <c r="H2104" s="293"/>
      <c r="I2104" s="293"/>
      <c r="J2104" s="293"/>
    </row>
    <row r="2105" spans="1:10" x14ac:dyDescent="0.25">
      <c r="A2105" t="s">
        <v>4261</v>
      </c>
      <c r="B2105" s="293"/>
      <c r="C2105" s="293"/>
      <c r="D2105" s="293"/>
      <c r="E2105" s="293"/>
      <c r="F2105" s="293"/>
      <c r="G2105" s="293"/>
      <c r="H2105" s="293"/>
      <c r="I2105" s="293"/>
      <c r="J2105" s="293"/>
    </row>
    <row r="2106" spans="1:10" x14ac:dyDescent="0.25">
      <c r="A2106" t="s">
        <v>66</v>
      </c>
      <c r="B2106" s="293"/>
      <c r="C2106" s="293"/>
      <c r="D2106" s="293"/>
      <c r="E2106" s="293"/>
      <c r="F2106" s="293"/>
      <c r="G2106" s="293"/>
      <c r="H2106" s="293"/>
      <c r="I2106" s="293"/>
      <c r="J2106" s="293"/>
    </row>
    <row r="2107" spans="1:10" x14ac:dyDescent="0.25">
      <c r="B2107" s="293"/>
      <c r="C2107" s="293"/>
      <c r="D2107" s="293"/>
      <c r="E2107" s="293"/>
      <c r="F2107" s="293"/>
      <c r="G2107" s="293"/>
      <c r="H2107" s="293"/>
      <c r="I2107" s="293"/>
      <c r="J2107" s="293"/>
    </row>
    <row r="2108" spans="1:10" x14ac:dyDescent="0.25">
      <c r="B2108" s="293"/>
      <c r="C2108" s="293"/>
      <c r="D2108" s="293"/>
      <c r="E2108" s="293"/>
      <c r="F2108" s="293"/>
      <c r="G2108" s="293"/>
      <c r="H2108" s="293"/>
      <c r="I2108" s="293"/>
      <c r="J2108" s="293"/>
    </row>
    <row r="2109" spans="1:10" x14ac:dyDescent="0.25">
      <c r="B2109" s="293"/>
      <c r="C2109" s="293"/>
      <c r="D2109" s="293"/>
      <c r="E2109" s="293"/>
      <c r="F2109" s="293"/>
      <c r="G2109" s="293"/>
      <c r="H2109" s="293"/>
      <c r="I2109" s="293"/>
      <c r="J2109" s="293"/>
    </row>
    <row r="2110" spans="1:10" x14ac:dyDescent="0.25">
      <c r="B2110" s="293"/>
      <c r="C2110" s="293"/>
      <c r="D2110" s="293"/>
      <c r="E2110" s="293"/>
      <c r="F2110" s="293"/>
      <c r="G2110" s="293"/>
      <c r="H2110" s="293"/>
      <c r="I2110" s="293"/>
      <c r="J2110" s="293"/>
    </row>
    <row r="2111" spans="1:10" x14ac:dyDescent="0.25">
      <c r="A2111" s="47" t="s">
        <v>4263</v>
      </c>
      <c r="B2111" s="296">
        <f>SUM(B2101:B2110)</f>
        <v>0</v>
      </c>
      <c r="C2111" s="296">
        <f t="shared" ref="C2111" si="501">SUM(C2101:C2110)</f>
        <v>0</v>
      </c>
      <c r="D2111" s="296">
        <f t="shared" ref="D2111" si="502">SUM(D2101:D2110)</f>
        <v>0</v>
      </c>
      <c r="E2111" s="296">
        <f t="shared" ref="E2111" si="503">SUM(E2101:E2110)</f>
        <v>0</v>
      </c>
      <c r="F2111" s="296">
        <f t="shared" ref="F2111" si="504">SUM(F2101:F2110)</f>
        <v>0</v>
      </c>
      <c r="G2111" s="296">
        <f t="shared" ref="G2111" si="505">SUM(G2101:G2110)</f>
        <v>0</v>
      </c>
      <c r="H2111" s="296">
        <f t="shared" ref="H2111" si="506">SUM(H2101:H2110)</f>
        <v>0</v>
      </c>
      <c r="I2111" s="296">
        <f t="shared" ref="I2111" si="507">SUM(I2101:I2110)</f>
        <v>0</v>
      </c>
      <c r="J2111" s="296">
        <f t="shared" ref="J2111" si="508">SUM(J2101:J2110)</f>
        <v>0</v>
      </c>
    </row>
    <row r="2112" spans="1:10" x14ac:dyDescent="0.25">
      <c r="B2112" s="293"/>
      <c r="C2112" s="293"/>
      <c r="D2112" s="293"/>
      <c r="E2112" s="293"/>
      <c r="F2112" s="293"/>
      <c r="G2112" s="293"/>
      <c r="H2112" s="293"/>
      <c r="I2112" s="293"/>
      <c r="J2112" s="293"/>
    </row>
    <row r="2113" spans="1:10" x14ac:dyDescent="0.25">
      <c r="A2113" s="47" t="s">
        <v>4264</v>
      </c>
      <c r="B2113" s="293"/>
      <c r="C2113" s="293"/>
      <c r="D2113" s="293"/>
      <c r="E2113" s="293"/>
      <c r="F2113" s="293"/>
      <c r="G2113" s="293"/>
      <c r="H2113" s="293"/>
      <c r="I2113" s="293"/>
      <c r="J2113" s="293"/>
    </row>
    <row r="2114" spans="1:10" x14ac:dyDescent="0.25">
      <c r="A2114" t="s">
        <v>87</v>
      </c>
      <c r="B2114" s="293"/>
      <c r="C2114" s="293"/>
      <c r="D2114" s="293"/>
      <c r="E2114" s="293"/>
      <c r="F2114" s="293"/>
      <c r="G2114" s="293"/>
      <c r="H2114" s="293"/>
      <c r="I2114" s="293"/>
      <c r="J2114" s="293"/>
    </row>
    <row r="2115" spans="1:10" x14ac:dyDescent="0.25">
      <c r="A2115" t="s">
        <v>4265</v>
      </c>
      <c r="B2115" s="293"/>
      <c r="C2115" s="293"/>
      <c r="D2115" s="293"/>
      <c r="E2115" s="293"/>
      <c r="F2115" s="293"/>
      <c r="G2115" s="293"/>
      <c r="H2115" s="293"/>
      <c r="I2115" s="293"/>
      <c r="J2115" s="293"/>
    </row>
    <row r="2116" spans="1:10" x14ac:dyDescent="0.25">
      <c r="B2116" s="293"/>
      <c r="C2116" s="293"/>
      <c r="D2116" s="293"/>
      <c r="E2116" s="293"/>
      <c r="F2116" s="293"/>
      <c r="G2116" s="293"/>
      <c r="H2116" s="293"/>
      <c r="I2116" s="293"/>
      <c r="J2116" s="293"/>
    </row>
    <row r="2117" spans="1:10" x14ac:dyDescent="0.25">
      <c r="B2117" s="293"/>
      <c r="C2117" s="293"/>
      <c r="D2117" s="293"/>
      <c r="E2117" s="293"/>
      <c r="F2117" s="293"/>
      <c r="G2117" s="293"/>
      <c r="H2117" s="293"/>
      <c r="I2117" s="293"/>
      <c r="J2117" s="293"/>
    </row>
    <row r="2118" spans="1:10" x14ac:dyDescent="0.25">
      <c r="B2118" s="293"/>
      <c r="C2118" s="293"/>
      <c r="D2118" s="293"/>
      <c r="E2118" s="293"/>
      <c r="F2118" s="293"/>
      <c r="G2118" s="293"/>
      <c r="H2118" s="293"/>
      <c r="I2118" s="293"/>
      <c r="J2118" s="293"/>
    </row>
    <row r="2119" spans="1:10" x14ac:dyDescent="0.25">
      <c r="B2119" s="293"/>
      <c r="C2119" s="293"/>
      <c r="D2119" s="293"/>
      <c r="E2119" s="293"/>
      <c r="F2119" s="293"/>
      <c r="G2119" s="293"/>
      <c r="H2119" s="293"/>
      <c r="I2119" s="293"/>
      <c r="J2119" s="293"/>
    </row>
    <row r="2120" spans="1:10" x14ac:dyDescent="0.25">
      <c r="A2120" t="s">
        <v>4266</v>
      </c>
      <c r="B2120" s="293"/>
      <c r="C2120" s="293"/>
      <c r="D2120" s="293"/>
      <c r="E2120" s="293"/>
      <c r="F2120" s="293"/>
      <c r="G2120" s="293"/>
      <c r="H2120" s="293"/>
      <c r="I2120" s="293"/>
      <c r="J2120" s="293"/>
    </row>
    <row r="2121" spans="1:10" x14ac:dyDescent="0.25">
      <c r="A2121" t="s">
        <v>66</v>
      </c>
      <c r="B2121" s="293"/>
      <c r="C2121" s="293"/>
      <c r="D2121" s="293"/>
      <c r="E2121" s="293"/>
      <c r="F2121" s="293"/>
      <c r="G2121" s="293"/>
      <c r="H2121" s="293"/>
      <c r="I2121" s="293"/>
      <c r="J2121" s="293"/>
    </row>
    <row r="2122" spans="1:10" x14ac:dyDescent="0.25">
      <c r="B2122" s="293"/>
      <c r="C2122" s="293"/>
      <c r="D2122" s="293"/>
      <c r="E2122" s="293"/>
      <c r="F2122" s="293"/>
      <c r="G2122" s="293"/>
      <c r="H2122" s="293"/>
      <c r="I2122" s="293"/>
      <c r="J2122" s="293"/>
    </row>
    <row r="2123" spans="1:10" x14ac:dyDescent="0.25">
      <c r="B2123" s="293"/>
      <c r="C2123" s="293"/>
      <c r="D2123" s="293"/>
      <c r="E2123" s="293"/>
      <c r="F2123" s="293"/>
      <c r="G2123" s="293"/>
      <c r="H2123" s="293"/>
      <c r="I2123" s="293"/>
      <c r="J2123" s="293"/>
    </row>
    <row r="2124" spans="1:10" x14ac:dyDescent="0.25">
      <c r="B2124" s="293"/>
      <c r="C2124" s="293"/>
      <c r="D2124" s="293"/>
      <c r="E2124" s="293"/>
      <c r="F2124" s="293"/>
      <c r="G2124" s="293"/>
      <c r="H2124" s="293"/>
      <c r="I2124" s="293"/>
      <c r="J2124" s="293"/>
    </row>
    <row r="2125" spans="1:10" x14ac:dyDescent="0.25">
      <c r="B2125" s="293"/>
      <c r="C2125" s="293"/>
      <c r="D2125" s="293"/>
      <c r="E2125" s="293"/>
      <c r="F2125" s="293"/>
      <c r="G2125" s="293"/>
      <c r="H2125" s="293"/>
      <c r="I2125" s="293"/>
      <c r="J2125" s="293"/>
    </row>
    <row r="2126" spans="1:10" x14ac:dyDescent="0.25">
      <c r="A2126" s="47" t="s">
        <v>4267</v>
      </c>
      <c r="B2126" s="296">
        <f>SUM(B2114:B2125)</f>
        <v>0</v>
      </c>
      <c r="C2126" s="296">
        <f t="shared" ref="C2126" si="509">SUM(C2114:C2125)</f>
        <v>0</v>
      </c>
      <c r="D2126" s="296">
        <f t="shared" ref="D2126" si="510">SUM(D2114:D2125)</f>
        <v>0</v>
      </c>
      <c r="E2126" s="296">
        <f t="shared" ref="E2126" si="511">SUM(E2114:E2125)</f>
        <v>0</v>
      </c>
      <c r="F2126" s="296">
        <f t="shared" ref="F2126" si="512">SUM(F2114:F2125)</f>
        <v>0</v>
      </c>
      <c r="G2126" s="296">
        <f t="shared" ref="G2126" si="513">SUM(G2114:G2125)</f>
        <v>0</v>
      </c>
      <c r="H2126" s="296">
        <f t="shared" ref="H2126" si="514">SUM(H2114:H2125)</f>
        <v>0</v>
      </c>
      <c r="I2126" s="296">
        <f t="shared" ref="I2126" si="515">SUM(I2114:I2125)</f>
        <v>0</v>
      </c>
      <c r="J2126" s="296">
        <f t="shared" ref="J2126" si="516">SUM(J2114:J2125)</f>
        <v>0</v>
      </c>
    </row>
    <row r="2127" spans="1:10" x14ac:dyDescent="0.25">
      <c r="B2127" s="293"/>
      <c r="C2127" s="293"/>
      <c r="D2127" s="293"/>
      <c r="E2127" s="293"/>
      <c r="F2127" s="293"/>
      <c r="G2127" s="293"/>
      <c r="H2127" s="293"/>
      <c r="I2127" s="293"/>
      <c r="J2127" s="293"/>
    </row>
    <row r="2128" spans="1:10" ht="15.75" thickBot="1" x14ac:dyDescent="0.3">
      <c r="A2128" s="47" t="s">
        <v>4268</v>
      </c>
      <c r="B2128" s="301">
        <f>B2111-B2126</f>
        <v>0</v>
      </c>
      <c r="C2128" s="301">
        <f t="shared" ref="C2128:J2128" si="517">C2111-C2126</f>
        <v>0</v>
      </c>
      <c r="D2128" s="301">
        <f t="shared" si="517"/>
        <v>0</v>
      </c>
      <c r="E2128" s="301">
        <f t="shared" si="517"/>
        <v>0</v>
      </c>
      <c r="F2128" s="301">
        <f t="shared" si="517"/>
        <v>0</v>
      </c>
      <c r="G2128" s="301">
        <f t="shared" si="517"/>
        <v>0</v>
      </c>
      <c r="H2128" s="301">
        <f t="shared" si="517"/>
        <v>0</v>
      </c>
      <c r="I2128" s="301">
        <f t="shared" si="517"/>
        <v>0</v>
      </c>
      <c r="J2128" s="301">
        <f t="shared" si="517"/>
        <v>0</v>
      </c>
    </row>
    <row r="2129" spans="1:10" ht="15.75" thickTop="1" x14ac:dyDescent="0.25">
      <c r="A2129" s="47"/>
      <c r="B2129" s="300"/>
      <c r="C2129" s="300"/>
      <c r="D2129" s="300"/>
      <c r="E2129" s="300"/>
      <c r="F2129" s="300"/>
      <c r="G2129" s="300"/>
      <c r="H2129" s="300"/>
      <c r="I2129" s="300"/>
      <c r="J2129" s="300"/>
    </row>
    <row r="2130" spans="1:10" x14ac:dyDescent="0.25">
      <c r="A2130" s="281"/>
      <c r="B2130" s="316"/>
      <c r="C2130" s="316"/>
      <c r="D2130" s="316"/>
      <c r="E2130" s="316"/>
      <c r="F2130" s="316"/>
      <c r="G2130" s="316"/>
      <c r="H2130" s="316"/>
      <c r="I2130" s="316"/>
      <c r="J2130" s="316"/>
    </row>
    <row r="2131" spans="1:10" x14ac:dyDescent="0.25">
      <c r="B2131" s="293"/>
      <c r="C2131" s="293"/>
      <c r="D2131" s="293"/>
      <c r="E2131" s="293"/>
      <c r="F2131" s="293"/>
      <c r="G2131" s="293"/>
      <c r="H2131" s="293"/>
      <c r="I2131" s="293"/>
      <c r="J2131" s="293"/>
    </row>
    <row r="2132" spans="1:10" x14ac:dyDescent="0.25">
      <c r="A2132" s="47" t="s">
        <v>4388</v>
      </c>
      <c r="B2132" s="293"/>
      <c r="C2132" s="293"/>
      <c r="D2132" s="293"/>
      <c r="E2132" s="293"/>
      <c r="F2132" s="293"/>
      <c r="G2132" s="293"/>
      <c r="H2132" s="293"/>
      <c r="I2132" s="293"/>
      <c r="J2132" s="293"/>
    </row>
    <row r="2133" spans="1:10" x14ac:dyDescent="0.25">
      <c r="A2133" t="s">
        <v>4382</v>
      </c>
      <c r="B2133" s="293">
        <f>B2052+B2081+B2111</f>
        <v>16693300</v>
      </c>
      <c r="C2133" s="293">
        <f t="shared" ref="C2133:J2133" si="518">C2052+C2081+C2111</f>
        <v>16719200</v>
      </c>
      <c r="D2133" s="293">
        <f t="shared" si="518"/>
        <v>16553500</v>
      </c>
      <c r="E2133" s="293">
        <f t="shared" si="518"/>
        <v>16592700</v>
      </c>
      <c r="F2133" s="293">
        <f t="shared" si="518"/>
        <v>16625900</v>
      </c>
      <c r="G2133" s="293">
        <f t="shared" si="518"/>
        <v>16682800</v>
      </c>
      <c r="H2133" s="293">
        <f t="shared" si="518"/>
        <v>16708100</v>
      </c>
      <c r="I2133" s="293">
        <f t="shared" si="518"/>
        <v>16716500</v>
      </c>
      <c r="J2133" s="293">
        <f t="shared" si="518"/>
        <v>16516400</v>
      </c>
    </row>
    <row r="2134" spans="1:10" x14ac:dyDescent="0.25">
      <c r="A2134" t="s">
        <v>4383</v>
      </c>
      <c r="B2134" s="293">
        <f>B2067+B2097+B2126</f>
        <v>14679939</v>
      </c>
      <c r="C2134" s="293">
        <f t="shared" ref="C2134:J2134" si="519">C2067+C2097+C2126</f>
        <v>13500431</v>
      </c>
      <c r="D2134" s="293">
        <f t="shared" si="519"/>
        <v>24996720</v>
      </c>
      <c r="E2134" s="293">
        <f t="shared" si="519"/>
        <v>14511775</v>
      </c>
      <c r="F2134" s="293">
        <f t="shared" si="519"/>
        <v>14797270</v>
      </c>
      <c r="G2134" s="293">
        <f t="shared" si="519"/>
        <v>14286241</v>
      </c>
      <c r="H2134" s="293">
        <f t="shared" si="519"/>
        <v>16144181</v>
      </c>
      <c r="I2134" s="293">
        <f t="shared" si="519"/>
        <v>17293240</v>
      </c>
      <c r="J2134" s="293">
        <f t="shared" si="519"/>
        <v>27642402</v>
      </c>
    </row>
    <row r="2135" spans="1:10" x14ac:dyDescent="0.25">
      <c r="B2135" s="293"/>
      <c r="C2135" s="293"/>
      <c r="D2135" s="293"/>
      <c r="E2135" s="293"/>
      <c r="F2135" s="293"/>
      <c r="G2135" s="293"/>
      <c r="H2135" s="293"/>
      <c r="I2135" s="293"/>
      <c r="J2135" s="293"/>
    </row>
    <row r="2136" spans="1:10" x14ac:dyDescent="0.25">
      <c r="A2136" s="281"/>
      <c r="B2136" s="316"/>
      <c r="C2136" s="316"/>
      <c r="D2136" s="316"/>
      <c r="E2136" s="316"/>
      <c r="F2136" s="316"/>
      <c r="G2136" s="316"/>
      <c r="H2136" s="316"/>
      <c r="I2136" s="316"/>
      <c r="J2136" s="316"/>
    </row>
    <row r="2137" spans="1:10" x14ac:dyDescent="0.25">
      <c r="B2137" s="293"/>
      <c r="C2137" s="293"/>
      <c r="D2137" s="293"/>
      <c r="E2137" s="293"/>
      <c r="F2137" s="293"/>
      <c r="G2137" s="293"/>
      <c r="H2137" s="293"/>
      <c r="I2137" s="293"/>
      <c r="J2137" s="293"/>
    </row>
    <row r="2138" spans="1:10" x14ac:dyDescent="0.25">
      <c r="B2138" s="293"/>
      <c r="C2138" s="293"/>
      <c r="D2138" s="293"/>
      <c r="E2138" s="293"/>
      <c r="F2138" s="293"/>
      <c r="G2138" s="293"/>
      <c r="H2138" s="293"/>
      <c r="I2138" s="293"/>
      <c r="J2138" s="293"/>
    </row>
    <row r="2139" spans="1:10" x14ac:dyDescent="0.25">
      <c r="B2139" s="293"/>
      <c r="C2139" s="293"/>
      <c r="D2139" s="293"/>
      <c r="E2139" s="293"/>
      <c r="F2139" s="293"/>
      <c r="G2139" s="293"/>
      <c r="H2139" s="293"/>
      <c r="I2139" s="293"/>
      <c r="J2139" s="293"/>
    </row>
    <row r="2140" spans="1:10" x14ac:dyDescent="0.25">
      <c r="B2140" s="293"/>
      <c r="C2140" s="293"/>
      <c r="D2140" s="293"/>
      <c r="E2140" s="293"/>
      <c r="F2140" s="293"/>
      <c r="G2140" s="293"/>
      <c r="H2140" s="293"/>
      <c r="I2140" s="293"/>
      <c r="J2140" s="293"/>
    </row>
    <row r="2141" spans="1:10" x14ac:dyDescent="0.25">
      <c r="B2141" s="293"/>
      <c r="C2141" s="293"/>
      <c r="D2141" s="293"/>
      <c r="E2141" s="293"/>
      <c r="F2141" s="293"/>
      <c r="G2141" s="293"/>
      <c r="H2141" s="293"/>
      <c r="I2141" s="293"/>
      <c r="J2141" s="293"/>
    </row>
    <row r="2142" spans="1:10" x14ac:dyDescent="0.25">
      <c r="B2142" s="293"/>
      <c r="C2142" s="293"/>
      <c r="D2142" s="293"/>
      <c r="E2142" s="293"/>
      <c r="F2142" s="293"/>
      <c r="G2142" s="293"/>
      <c r="H2142" s="293"/>
      <c r="I2142" s="293"/>
      <c r="J2142" s="293"/>
    </row>
    <row r="2143" spans="1:10" x14ac:dyDescent="0.25">
      <c r="B2143" s="293"/>
      <c r="C2143" s="293"/>
      <c r="D2143" s="293"/>
      <c r="E2143" s="293"/>
      <c r="F2143" s="293"/>
      <c r="G2143" s="293"/>
      <c r="H2143" s="293"/>
      <c r="I2143" s="293"/>
      <c r="J2143" s="293"/>
    </row>
    <row r="2144" spans="1:10" x14ac:dyDescent="0.25">
      <c r="B2144" s="293"/>
      <c r="C2144" s="293"/>
      <c r="D2144" s="293"/>
      <c r="E2144" s="293"/>
      <c r="F2144" s="293"/>
      <c r="G2144" s="293"/>
      <c r="H2144" s="293"/>
      <c r="I2144" s="293"/>
      <c r="J2144" s="293"/>
    </row>
    <row r="2145" spans="2:10" x14ac:dyDescent="0.25">
      <c r="B2145" s="293"/>
      <c r="C2145" s="293"/>
      <c r="D2145" s="293"/>
      <c r="E2145" s="293"/>
      <c r="F2145" s="293"/>
      <c r="G2145" s="293"/>
      <c r="H2145" s="293"/>
      <c r="I2145" s="293"/>
      <c r="J2145" s="293"/>
    </row>
    <row r="2146" spans="2:10" x14ac:dyDescent="0.25">
      <c r="B2146" s="293"/>
      <c r="C2146" s="293"/>
      <c r="D2146" s="293"/>
      <c r="E2146" s="293"/>
      <c r="F2146" s="293"/>
      <c r="G2146" s="293"/>
      <c r="H2146" s="293"/>
      <c r="I2146" s="293"/>
      <c r="J2146" s="293"/>
    </row>
    <row r="2147" spans="2:10" x14ac:dyDescent="0.25">
      <c r="B2147" s="293"/>
      <c r="C2147" s="293"/>
      <c r="D2147" s="293"/>
      <c r="E2147" s="293"/>
      <c r="F2147" s="293"/>
      <c r="G2147" s="293"/>
      <c r="H2147" s="293"/>
      <c r="I2147" s="293"/>
      <c r="J2147" s="293"/>
    </row>
    <row r="2148" spans="2:10" x14ac:dyDescent="0.25">
      <c r="B2148" s="293"/>
      <c r="C2148" s="293"/>
      <c r="D2148" s="293"/>
      <c r="E2148" s="293"/>
      <c r="F2148" s="293"/>
      <c r="G2148" s="293"/>
      <c r="H2148" s="293"/>
      <c r="I2148" s="293"/>
      <c r="J2148" s="293"/>
    </row>
    <row r="2149" spans="2:10" x14ac:dyDescent="0.25">
      <c r="B2149" s="293"/>
      <c r="C2149" s="293"/>
      <c r="D2149" s="293"/>
      <c r="E2149" s="293"/>
      <c r="F2149" s="293"/>
      <c r="G2149" s="293"/>
      <c r="H2149" s="293"/>
      <c r="I2149" s="293"/>
      <c r="J2149" s="293"/>
    </row>
    <row r="2150" spans="2:10" x14ac:dyDescent="0.25">
      <c r="B2150" s="293"/>
      <c r="C2150" s="293"/>
      <c r="D2150" s="293"/>
      <c r="E2150" s="293"/>
      <c r="F2150" s="293"/>
      <c r="G2150" s="293"/>
      <c r="H2150" s="293"/>
      <c r="I2150" s="293"/>
      <c r="J2150" s="293"/>
    </row>
    <row r="2151" spans="2:10" x14ac:dyDescent="0.25">
      <c r="B2151" s="293"/>
      <c r="C2151" s="293"/>
      <c r="D2151" s="293"/>
      <c r="E2151" s="293"/>
      <c r="F2151" s="293"/>
      <c r="G2151" s="293"/>
      <c r="H2151" s="293"/>
      <c r="I2151" s="293"/>
      <c r="J2151" s="293"/>
    </row>
    <row r="2152" spans="2:10" x14ac:dyDescent="0.25">
      <c r="B2152" s="293"/>
      <c r="C2152" s="293"/>
      <c r="D2152" s="293"/>
      <c r="E2152" s="293"/>
      <c r="F2152" s="293"/>
      <c r="G2152" s="293"/>
      <c r="H2152" s="293"/>
      <c r="I2152" s="293"/>
      <c r="J2152" s="293"/>
    </row>
    <row r="2153" spans="2:10" x14ac:dyDescent="0.25">
      <c r="B2153" s="293"/>
      <c r="C2153" s="293"/>
      <c r="D2153" s="293"/>
      <c r="E2153" s="293"/>
      <c r="F2153" s="293"/>
      <c r="G2153" s="293"/>
      <c r="H2153" s="293"/>
      <c r="I2153" s="293"/>
      <c r="J2153" s="293"/>
    </row>
    <row r="2154" spans="2:10" x14ac:dyDescent="0.25">
      <c r="B2154" s="293"/>
      <c r="C2154" s="293"/>
      <c r="D2154" s="293"/>
      <c r="E2154" s="293"/>
      <c r="F2154" s="293"/>
      <c r="G2154" s="293"/>
      <c r="H2154" s="293"/>
      <c r="I2154" s="293"/>
      <c r="J2154" s="293"/>
    </row>
    <row r="2155" spans="2:10" x14ac:dyDescent="0.25">
      <c r="B2155" s="293"/>
      <c r="C2155" s="293"/>
      <c r="D2155" s="293"/>
      <c r="E2155" s="293"/>
      <c r="F2155" s="293"/>
      <c r="G2155" s="293"/>
      <c r="H2155" s="293"/>
      <c r="I2155" s="293"/>
      <c r="J2155" s="293"/>
    </row>
    <row r="2156" spans="2:10" x14ac:dyDescent="0.25">
      <c r="B2156" s="293"/>
      <c r="C2156" s="293"/>
      <c r="D2156" s="293"/>
      <c r="E2156" s="293"/>
      <c r="F2156" s="293"/>
      <c r="G2156" s="293"/>
      <c r="H2156" s="293"/>
      <c r="I2156" s="293"/>
      <c r="J2156" s="293"/>
    </row>
    <row r="2157" spans="2:10" x14ac:dyDescent="0.25">
      <c r="B2157" s="293"/>
      <c r="C2157" s="293"/>
      <c r="D2157" s="293"/>
      <c r="E2157" s="293"/>
      <c r="F2157" s="293"/>
      <c r="G2157" s="293"/>
      <c r="H2157" s="293"/>
      <c r="I2157" s="293"/>
      <c r="J2157" s="293"/>
    </row>
    <row r="2158" spans="2:10" x14ac:dyDescent="0.25">
      <c r="B2158" s="293"/>
      <c r="C2158" s="293"/>
      <c r="D2158" s="293"/>
      <c r="E2158" s="293"/>
      <c r="F2158" s="293"/>
      <c r="G2158" s="293"/>
      <c r="H2158" s="293"/>
      <c r="I2158" s="293"/>
      <c r="J2158" s="293"/>
    </row>
    <row r="2159" spans="2:10" x14ac:dyDescent="0.25">
      <c r="B2159" s="293"/>
      <c r="C2159" s="293"/>
      <c r="D2159" s="293"/>
      <c r="E2159" s="293"/>
      <c r="F2159" s="293"/>
      <c r="G2159" s="293"/>
      <c r="H2159" s="293"/>
      <c r="I2159" s="293"/>
      <c r="J2159" s="293"/>
    </row>
    <row r="2160" spans="2:10" x14ac:dyDescent="0.25">
      <c r="B2160" s="293"/>
      <c r="C2160" s="293"/>
      <c r="D2160" s="293"/>
      <c r="E2160" s="293"/>
      <c r="F2160" s="293"/>
      <c r="G2160" s="293"/>
      <c r="H2160" s="293"/>
      <c r="I2160" s="293"/>
      <c r="J2160" s="293"/>
    </row>
    <row r="2161" spans="2:10" x14ac:dyDescent="0.25">
      <c r="B2161" s="293"/>
      <c r="C2161" s="293"/>
      <c r="D2161" s="293"/>
      <c r="E2161" s="293"/>
      <c r="F2161" s="293"/>
      <c r="G2161" s="293"/>
      <c r="H2161" s="293"/>
      <c r="I2161" s="293"/>
      <c r="J2161" s="293"/>
    </row>
    <row r="2162" spans="2:10" x14ac:dyDescent="0.25">
      <c r="B2162" s="293"/>
      <c r="C2162" s="293"/>
      <c r="D2162" s="293"/>
      <c r="E2162" s="293"/>
      <c r="F2162" s="293"/>
      <c r="G2162" s="293"/>
      <c r="H2162" s="293"/>
      <c r="I2162" s="293"/>
      <c r="J2162" s="293"/>
    </row>
    <row r="2163" spans="2:10" x14ac:dyDescent="0.25">
      <c r="B2163" s="293"/>
      <c r="C2163" s="293"/>
      <c r="D2163" s="293"/>
      <c r="E2163" s="293"/>
      <c r="F2163" s="293"/>
      <c r="G2163" s="293"/>
      <c r="H2163" s="293"/>
      <c r="I2163" s="293"/>
      <c r="J2163" s="293"/>
    </row>
    <row r="2164" spans="2:10" x14ac:dyDescent="0.25">
      <c r="B2164" s="293"/>
      <c r="C2164" s="293"/>
      <c r="D2164" s="293"/>
      <c r="E2164" s="293"/>
      <c r="F2164" s="293"/>
      <c r="G2164" s="293"/>
      <c r="H2164" s="293"/>
      <c r="I2164" s="293"/>
      <c r="J2164" s="293"/>
    </row>
    <row r="2165" spans="2:10" x14ac:dyDescent="0.25">
      <c r="B2165" s="293"/>
      <c r="C2165" s="293"/>
      <c r="D2165" s="293"/>
      <c r="E2165" s="293"/>
      <c r="F2165" s="293"/>
      <c r="G2165" s="293"/>
      <c r="H2165" s="293"/>
      <c r="I2165" s="293"/>
      <c r="J2165" s="293"/>
    </row>
    <row r="2166" spans="2:10" x14ac:dyDescent="0.25">
      <c r="B2166" s="293"/>
      <c r="C2166" s="293"/>
      <c r="D2166" s="293"/>
      <c r="E2166" s="293"/>
      <c r="F2166" s="293"/>
      <c r="G2166" s="293"/>
      <c r="H2166" s="293"/>
      <c r="I2166" s="293"/>
      <c r="J2166" s="293"/>
    </row>
    <row r="2167" spans="2:10" x14ac:dyDescent="0.25">
      <c r="B2167" s="293"/>
      <c r="C2167" s="293"/>
      <c r="D2167" s="293"/>
      <c r="E2167" s="293"/>
      <c r="F2167" s="293"/>
      <c r="G2167" s="293"/>
      <c r="H2167" s="293"/>
      <c r="I2167" s="293"/>
      <c r="J2167" s="293"/>
    </row>
    <row r="2168" spans="2:10" x14ac:dyDescent="0.25">
      <c r="B2168" s="293"/>
      <c r="C2168" s="293"/>
      <c r="D2168" s="293"/>
      <c r="E2168" s="293"/>
      <c r="F2168" s="293"/>
      <c r="G2168" s="293"/>
      <c r="H2168" s="293"/>
      <c r="I2168" s="293"/>
      <c r="J2168" s="293"/>
    </row>
    <row r="2169" spans="2:10" x14ac:dyDescent="0.25">
      <c r="B2169" s="293"/>
      <c r="C2169" s="293"/>
      <c r="D2169" s="293"/>
      <c r="E2169" s="293"/>
      <c r="F2169" s="293"/>
      <c r="G2169" s="293"/>
      <c r="H2169" s="293"/>
      <c r="I2169" s="293"/>
      <c r="J2169" s="293"/>
    </row>
    <row r="2170" spans="2:10" x14ac:dyDescent="0.25">
      <c r="B2170" s="293"/>
      <c r="C2170" s="293"/>
      <c r="D2170" s="293"/>
      <c r="E2170" s="293"/>
      <c r="F2170" s="293"/>
      <c r="G2170" s="293"/>
      <c r="H2170" s="293"/>
      <c r="I2170" s="293"/>
      <c r="J2170" s="293"/>
    </row>
    <row r="2171" spans="2:10" x14ac:dyDescent="0.25">
      <c r="B2171" s="293"/>
      <c r="C2171" s="293"/>
      <c r="D2171" s="293"/>
      <c r="E2171" s="293"/>
      <c r="F2171" s="293"/>
      <c r="G2171" s="293"/>
      <c r="H2171" s="293"/>
      <c r="I2171" s="293"/>
      <c r="J2171" s="293"/>
    </row>
    <row r="2172" spans="2:10" x14ac:dyDescent="0.25">
      <c r="B2172" s="293"/>
      <c r="C2172" s="293"/>
      <c r="D2172" s="293"/>
      <c r="E2172" s="293"/>
      <c r="F2172" s="293"/>
      <c r="G2172" s="293"/>
      <c r="H2172" s="293"/>
      <c r="I2172" s="293"/>
      <c r="J2172" s="293"/>
    </row>
    <row r="2173" spans="2:10" x14ac:dyDescent="0.25">
      <c r="B2173" s="293"/>
      <c r="C2173" s="293"/>
      <c r="D2173" s="293"/>
      <c r="E2173" s="293"/>
      <c r="F2173" s="293"/>
      <c r="G2173" s="293"/>
      <c r="H2173" s="293"/>
      <c r="I2173" s="293"/>
      <c r="J2173" s="293"/>
    </row>
    <row r="2174" spans="2:10" x14ac:dyDescent="0.25">
      <c r="B2174" s="293"/>
      <c r="C2174" s="293"/>
      <c r="D2174" s="293"/>
      <c r="E2174" s="293"/>
      <c r="F2174" s="293"/>
      <c r="G2174" s="293"/>
      <c r="H2174" s="293"/>
      <c r="I2174" s="293"/>
      <c r="J2174" s="293"/>
    </row>
    <row r="2175" spans="2:10" x14ac:dyDescent="0.25">
      <c r="B2175" s="293"/>
      <c r="C2175" s="293"/>
      <c r="D2175" s="293"/>
      <c r="E2175" s="293"/>
      <c r="F2175" s="293"/>
      <c r="G2175" s="293"/>
      <c r="H2175" s="293"/>
      <c r="I2175" s="293"/>
      <c r="J2175" s="293"/>
    </row>
    <row r="2176" spans="2:10" x14ac:dyDescent="0.25">
      <c r="B2176" s="293"/>
      <c r="C2176" s="293"/>
      <c r="D2176" s="293"/>
      <c r="E2176" s="293"/>
      <c r="F2176" s="293"/>
      <c r="G2176" s="293"/>
      <c r="H2176" s="293"/>
      <c r="I2176" s="293"/>
      <c r="J2176" s="293"/>
    </row>
    <row r="2177" spans="2:10" x14ac:dyDescent="0.25">
      <c r="B2177" s="293"/>
      <c r="C2177" s="293"/>
      <c r="D2177" s="293"/>
      <c r="E2177" s="293"/>
      <c r="F2177" s="293"/>
      <c r="G2177" s="293"/>
      <c r="H2177" s="293"/>
      <c r="I2177" s="293"/>
      <c r="J2177" s="293"/>
    </row>
    <row r="2178" spans="2:10" x14ac:dyDescent="0.25">
      <c r="B2178" s="293"/>
      <c r="C2178" s="293"/>
      <c r="D2178" s="293"/>
      <c r="E2178" s="293"/>
      <c r="F2178" s="293"/>
      <c r="G2178" s="293"/>
      <c r="H2178" s="293"/>
      <c r="I2178" s="293"/>
      <c r="J2178" s="293"/>
    </row>
    <row r="2179" spans="2:10" x14ac:dyDescent="0.25">
      <c r="B2179" s="293"/>
      <c r="C2179" s="293"/>
      <c r="D2179" s="293"/>
      <c r="E2179" s="293"/>
      <c r="F2179" s="293"/>
      <c r="G2179" s="293"/>
      <c r="H2179" s="293"/>
      <c r="I2179" s="293"/>
      <c r="J2179" s="293"/>
    </row>
    <row r="2180" spans="2:10" x14ac:dyDescent="0.25">
      <c r="B2180" s="293"/>
      <c r="C2180" s="293"/>
      <c r="D2180" s="293"/>
      <c r="E2180" s="293"/>
      <c r="F2180" s="293"/>
      <c r="G2180" s="293"/>
      <c r="H2180" s="293"/>
      <c r="I2180" s="293"/>
      <c r="J2180" s="293"/>
    </row>
    <row r="2181" spans="2:10" x14ac:dyDescent="0.25">
      <c r="B2181" s="293"/>
      <c r="C2181" s="293"/>
      <c r="D2181" s="293"/>
      <c r="E2181" s="293"/>
      <c r="F2181" s="293"/>
      <c r="G2181" s="293"/>
      <c r="H2181" s="293"/>
      <c r="I2181" s="293"/>
      <c r="J2181" s="293"/>
    </row>
    <row r="2182" spans="2:10" x14ac:dyDescent="0.25">
      <c r="B2182" s="293"/>
      <c r="C2182" s="293"/>
      <c r="D2182" s="293"/>
      <c r="E2182" s="293"/>
      <c r="F2182" s="293"/>
      <c r="G2182" s="293"/>
      <c r="H2182" s="293"/>
      <c r="I2182" s="293"/>
      <c r="J2182" s="293"/>
    </row>
    <row r="2183" spans="2:10" x14ac:dyDescent="0.25">
      <c r="B2183" s="293"/>
      <c r="C2183" s="293"/>
      <c r="D2183" s="293"/>
      <c r="E2183" s="293"/>
      <c r="F2183" s="293"/>
      <c r="G2183" s="293"/>
      <c r="H2183" s="293"/>
      <c r="I2183" s="293"/>
      <c r="J2183" s="293"/>
    </row>
    <row r="2184" spans="2:10" x14ac:dyDescent="0.25">
      <c r="B2184" s="293"/>
      <c r="C2184" s="293"/>
      <c r="D2184" s="293"/>
      <c r="E2184" s="293"/>
      <c r="F2184" s="293"/>
      <c r="G2184" s="293"/>
      <c r="H2184" s="293"/>
      <c r="I2184" s="293"/>
      <c r="J2184" s="293"/>
    </row>
    <row r="2185" spans="2:10" x14ac:dyDescent="0.25">
      <c r="B2185" s="293"/>
      <c r="C2185" s="293"/>
      <c r="D2185" s="293"/>
      <c r="E2185" s="293"/>
      <c r="F2185" s="293"/>
      <c r="G2185" s="293"/>
      <c r="H2185" s="293"/>
      <c r="I2185" s="293"/>
      <c r="J2185" s="293"/>
    </row>
    <row r="2186" spans="2:10" x14ac:dyDescent="0.25">
      <c r="B2186" s="293"/>
      <c r="C2186" s="293"/>
      <c r="D2186" s="293"/>
      <c r="E2186" s="293"/>
      <c r="F2186" s="293"/>
      <c r="G2186" s="293"/>
      <c r="H2186" s="293"/>
      <c r="I2186" s="293"/>
      <c r="J2186" s="293"/>
    </row>
    <row r="2187" spans="2:10" x14ac:dyDescent="0.25">
      <c r="B2187" s="293"/>
      <c r="C2187" s="293"/>
      <c r="D2187" s="293"/>
      <c r="E2187" s="293"/>
      <c r="F2187" s="293"/>
      <c r="G2187" s="293"/>
      <c r="H2187" s="293"/>
      <c r="I2187" s="293"/>
      <c r="J2187" s="293"/>
    </row>
    <row r="2188" spans="2:10" x14ac:dyDescent="0.25">
      <c r="B2188" s="293"/>
      <c r="C2188" s="293"/>
      <c r="D2188" s="293"/>
      <c r="E2188" s="293"/>
      <c r="F2188" s="293"/>
      <c r="G2188" s="293"/>
      <c r="H2188" s="293"/>
      <c r="I2188" s="293"/>
      <c r="J2188" s="293"/>
    </row>
    <row r="2189" spans="2:10" x14ac:dyDescent="0.25">
      <c r="B2189" s="293"/>
      <c r="C2189" s="293"/>
      <c r="D2189" s="293"/>
      <c r="E2189" s="293"/>
      <c r="F2189" s="293"/>
      <c r="G2189" s="293"/>
      <c r="H2189" s="293"/>
      <c r="I2189" s="293"/>
      <c r="J2189" s="293"/>
    </row>
    <row r="2190" spans="2:10" x14ac:dyDescent="0.25">
      <c r="B2190" s="293"/>
      <c r="C2190" s="293"/>
      <c r="D2190" s="293"/>
      <c r="E2190" s="293"/>
      <c r="F2190" s="293"/>
      <c r="G2190" s="293"/>
      <c r="H2190" s="293"/>
      <c r="I2190" s="293"/>
      <c r="J2190" s="293"/>
    </row>
    <row r="2191" spans="2:10" x14ac:dyDescent="0.25">
      <c r="B2191" s="293"/>
      <c r="C2191" s="293"/>
      <c r="D2191" s="293"/>
      <c r="E2191" s="293"/>
      <c r="F2191" s="293"/>
      <c r="G2191" s="293"/>
      <c r="H2191" s="293"/>
      <c r="I2191" s="293"/>
      <c r="J2191" s="293"/>
    </row>
    <row r="2192" spans="2:10" x14ac:dyDescent="0.25">
      <c r="B2192" s="293"/>
      <c r="C2192" s="293"/>
      <c r="D2192" s="293"/>
      <c r="E2192" s="293"/>
      <c r="F2192" s="293"/>
      <c r="G2192" s="293"/>
      <c r="H2192" s="293"/>
      <c r="I2192" s="293"/>
      <c r="J2192" s="293"/>
    </row>
    <row r="2193" spans="2:10" x14ac:dyDescent="0.25">
      <c r="B2193" s="293"/>
      <c r="C2193" s="293"/>
      <c r="D2193" s="293"/>
      <c r="E2193" s="293"/>
      <c r="F2193" s="293"/>
      <c r="G2193" s="293"/>
      <c r="H2193" s="293"/>
      <c r="I2193" s="293"/>
      <c r="J2193" s="293"/>
    </row>
    <row r="2194" spans="2:10" x14ac:dyDescent="0.25">
      <c r="B2194" s="293"/>
      <c r="C2194" s="293"/>
      <c r="D2194" s="293"/>
      <c r="E2194" s="293"/>
      <c r="F2194" s="293"/>
      <c r="G2194" s="293"/>
      <c r="H2194" s="293"/>
      <c r="I2194" s="293"/>
      <c r="J2194" s="293"/>
    </row>
    <row r="2195" spans="2:10" x14ac:dyDescent="0.25">
      <c r="B2195" s="293"/>
      <c r="C2195" s="293"/>
      <c r="D2195" s="293"/>
      <c r="E2195" s="293"/>
      <c r="F2195" s="293"/>
      <c r="G2195" s="293"/>
      <c r="H2195" s="293"/>
      <c r="I2195" s="293"/>
      <c r="J2195" s="293"/>
    </row>
    <row r="2196" spans="2:10" x14ac:dyDescent="0.25">
      <c r="B2196" s="293"/>
      <c r="C2196" s="293"/>
      <c r="D2196" s="293"/>
      <c r="E2196" s="293"/>
      <c r="F2196" s="293"/>
      <c r="G2196" s="293"/>
      <c r="H2196" s="293"/>
      <c r="I2196" s="293"/>
      <c r="J2196" s="293"/>
    </row>
    <row r="2197" spans="2:10" x14ac:dyDescent="0.25">
      <c r="B2197" s="293"/>
      <c r="C2197" s="293"/>
      <c r="D2197" s="293"/>
      <c r="E2197" s="293"/>
      <c r="F2197" s="293"/>
      <c r="G2197" s="293"/>
      <c r="H2197" s="293"/>
      <c r="I2197" s="293"/>
      <c r="J2197" s="293"/>
    </row>
    <row r="2198" spans="2:10" x14ac:dyDescent="0.25">
      <c r="B2198" s="293"/>
      <c r="C2198" s="293"/>
      <c r="D2198" s="293"/>
      <c r="E2198" s="293"/>
      <c r="F2198" s="293"/>
      <c r="G2198" s="293"/>
      <c r="H2198" s="293"/>
      <c r="I2198" s="293"/>
      <c r="J2198" s="293"/>
    </row>
    <row r="2199" spans="2:10" x14ac:dyDescent="0.25">
      <c r="B2199" s="293"/>
      <c r="C2199" s="293"/>
      <c r="D2199" s="293"/>
      <c r="E2199" s="293"/>
      <c r="F2199" s="293"/>
      <c r="G2199" s="293"/>
      <c r="H2199" s="293"/>
      <c r="I2199" s="293"/>
      <c r="J2199" s="293"/>
    </row>
    <row r="2200" spans="2:10" x14ac:dyDescent="0.25">
      <c r="B2200" s="293"/>
      <c r="C2200" s="293"/>
      <c r="D2200" s="293"/>
      <c r="E2200" s="293"/>
      <c r="F2200" s="293"/>
      <c r="G2200" s="293"/>
      <c r="H2200" s="293"/>
      <c r="I2200" s="293"/>
      <c r="J2200" s="293"/>
    </row>
    <row r="2201" spans="2:10" x14ac:dyDescent="0.25">
      <c r="B2201" s="293"/>
      <c r="C2201" s="293"/>
      <c r="D2201" s="293"/>
      <c r="E2201" s="293"/>
      <c r="F2201" s="293"/>
      <c r="G2201" s="293"/>
      <c r="H2201" s="293"/>
      <c r="I2201" s="293"/>
      <c r="J2201" s="293"/>
    </row>
    <row r="2202" spans="2:10" x14ac:dyDescent="0.25">
      <c r="B2202" s="293"/>
      <c r="C2202" s="293"/>
      <c r="D2202" s="293"/>
      <c r="E2202" s="293"/>
      <c r="F2202" s="293"/>
      <c r="G2202" s="293"/>
      <c r="H2202" s="293"/>
      <c r="I2202" s="293"/>
      <c r="J2202" s="293"/>
    </row>
    <row r="2203" spans="2:10" x14ac:dyDescent="0.25">
      <c r="B2203" s="293"/>
      <c r="C2203" s="293"/>
      <c r="D2203" s="293"/>
      <c r="E2203" s="293"/>
      <c r="F2203" s="293"/>
      <c r="G2203" s="293"/>
      <c r="H2203" s="293"/>
      <c r="I2203" s="293"/>
      <c r="J2203" s="293"/>
    </row>
    <row r="2204" spans="2:10" x14ac:dyDescent="0.25">
      <c r="B2204" s="293"/>
      <c r="C2204" s="293"/>
      <c r="D2204" s="293"/>
      <c r="E2204" s="293"/>
      <c r="F2204" s="293"/>
      <c r="G2204" s="293"/>
      <c r="H2204" s="293"/>
      <c r="I2204" s="293"/>
      <c r="J2204" s="293"/>
    </row>
    <row r="2205" spans="2:10" x14ac:dyDescent="0.25">
      <c r="B2205" s="293"/>
      <c r="C2205" s="293"/>
      <c r="D2205" s="293"/>
      <c r="E2205" s="293"/>
      <c r="F2205" s="293"/>
      <c r="G2205" s="293"/>
      <c r="H2205" s="293"/>
      <c r="I2205" s="293"/>
      <c r="J2205" s="293"/>
    </row>
    <row r="2206" spans="2:10" x14ac:dyDescent="0.25">
      <c r="B2206" s="293"/>
      <c r="C2206" s="293"/>
      <c r="D2206" s="293"/>
      <c r="E2206" s="293"/>
      <c r="F2206" s="293"/>
      <c r="G2206" s="293"/>
      <c r="H2206" s="293"/>
      <c r="I2206" s="293"/>
      <c r="J2206" s="293"/>
    </row>
    <row r="2207" spans="2:10" x14ac:dyDescent="0.25">
      <c r="B2207" s="293"/>
      <c r="C2207" s="293"/>
      <c r="D2207" s="293"/>
      <c r="E2207" s="293"/>
      <c r="F2207" s="293"/>
      <c r="G2207" s="293"/>
      <c r="H2207" s="293"/>
      <c r="I2207" s="293"/>
      <c r="J2207" s="293"/>
    </row>
    <row r="2208" spans="2:10" x14ac:dyDescent="0.25">
      <c r="B2208" s="293"/>
      <c r="C2208" s="293"/>
      <c r="D2208" s="293"/>
      <c r="E2208" s="293"/>
      <c r="F2208" s="293"/>
      <c r="G2208" s="293"/>
      <c r="H2208" s="293"/>
      <c r="I2208" s="293"/>
      <c r="J2208" s="293"/>
    </row>
    <row r="2209" spans="2:10" x14ac:dyDescent="0.25">
      <c r="B2209" s="293"/>
      <c r="C2209" s="293"/>
      <c r="D2209" s="293"/>
      <c r="E2209" s="293"/>
      <c r="F2209" s="293"/>
      <c r="G2209" s="293"/>
      <c r="H2209" s="293"/>
      <c r="I2209" s="293"/>
      <c r="J2209" s="293"/>
    </row>
    <row r="2210" spans="2:10" x14ac:dyDescent="0.25">
      <c r="B2210" s="293"/>
      <c r="C2210" s="293"/>
      <c r="D2210" s="293"/>
      <c r="E2210" s="293"/>
      <c r="F2210" s="293"/>
      <c r="G2210" s="293"/>
      <c r="H2210" s="293"/>
      <c r="I2210" s="293"/>
      <c r="J2210" s="293"/>
    </row>
    <row r="2211" spans="2:10" x14ac:dyDescent="0.25">
      <c r="B2211" s="293"/>
      <c r="C2211" s="293"/>
      <c r="D2211" s="293"/>
      <c r="E2211" s="293"/>
      <c r="F2211" s="293"/>
      <c r="G2211" s="293"/>
      <c r="H2211" s="293"/>
      <c r="I2211" s="293"/>
      <c r="J2211" s="293"/>
    </row>
    <row r="2212" spans="2:10" x14ac:dyDescent="0.25">
      <c r="B2212" s="293"/>
      <c r="C2212" s="293"/>
      <c r="D2212" s="293"/>
      <c r="E2212" s="293"/>
      <c r="F2212" s="293"/>
      <c r="G2212" s="293"/>
      <c r="H2212" s="293"/>
      <c r="I2212" s="293"/>
      <c r="J2212" s="293"/>
    </row>
    <row r="2213" spans="2:10" x14ac:dyDescent="0.25">
      <c r="B2213" s="293"/>
      <c r="C2213" s="293"/>
      <c r="D2213" s="293"/>
      <c r="E2213" s="293"/>
      <c r="F2213" s="293"/>
      <c r="G2213" s="293"/>
      <c r="H2213" s="293"/>
      <c r="I2213" s="293"/>
      <c r="J2213" s="293"/>
    </row>
    <row r="2214" spans="2:10" x14ac:dyDescent="0.25">
      <c r="B2214" s="293"/>
      <c r="C2214" s="293"/>
      <c r="D2214" s="293"/>
      <c r="E2214" s="293"/>
      <c r="F2214" s="293"/>
      <c r="G2214" s="293"/>
      <c r="H2214" s="293"/>
      <c r="I2214" s="293"/>
      <c r="J2214" s="293"/>
    </row>
    <row r="2215" spans="2:10" x14ac:dyDescent="0.25">
      <c r="B2215" s="293"/>
      <c r="C2215" s="293"/>
      <c r="D2215" s="293"/>
      <c r="E2215" s="293"/>
      <c r="F2215" s="293"/>
      <c r="G2215" s="293"/>
      <c r="H2215" s="293"/>
      <c r="I2215" s="293"/>
      <c r="J2215" s="293"/>
    </row>
    <row r="2216" spans="2:10" x14ac:dyDescent="0.25">
      <c r="B2216" s="293"/>
      <c r="C2216" s="293"/>
      <c r="D2216" s="293"/>
      <c r="E2216" s="293"/>
      <c r="F2216" s="293"/>
      <c r="G2216" s="293"/>
      <c r="H2216" s="293"/>
      <c r="I2216" s="293"/>
      <c r="J2216" s="293"/>
    </row>
    <row r="2217" spans="2:10" x14ac:dyDescent="0.25">
      <c r="B2217" s="293"/>
      <c r="C2217" s="293"/>
      <c r="D2217" s="293"/>
      <c r="E2217" s="293"/>
      <c r="F2217" s="293"/>
      <c r="G2217" s="293"/>
      <c r="H2217" s="293"/>
      <c r="I2217" s="293"/>
      <c r="J2217" s="293"/>
    </row>
    <row r="2218" spans="2:10" x14ac:dyDescent="0.25">
      <c r="B2218" s="293"/>
      <c r="C2218" s="293"/>
      <c r="D2218" s="293"/>
      <c r="E2218" s="293"/>
      <c r="F2218" s="293"/>
      <c r="G2218" s="293"/>
      <c r="H2218" s="293"/>
      <c r="I2218" s="293"/>
      <c r="J2218" s="293"/>
    </row>
    <row r="2219" spans="2:10" x14ac:dyDescent="0.25">
      <c r="B2219" s="293"/>
      <c r="C2219" s="293"/>
      <c r="D2219" s="293"/>
      <c r="E2219" s="293"/>
      <c r="F2219" s="293"/>
      <c r="G2219" s="293"/>
      <c r="H2219" s="293"/>
      <c r="I2219" s="293"/>
      <c r="J2219" s="293"/>
    </row>
    <row r="2220" spans="2:10" x14ac:dyDescent="0.25">
      <c r="B2220" s="293"/>
      <c r="C2220" s="293"/>
      <c r="D2220" s="293"/>
      <c r="E2220" s="293"/>
      <c r="F2220" s="293"/>
      <c r="G2220" s="293"/>
      <c r="H2220" s="293"/>
      <c r="I2220" s="293"/>
      <c r="J2220" s="293"/>
    </row>
    <row r="2221" spans="2:10" x14ac:dyDescent="0.25">
      <c r="B2221" s="293"/>
      <c r="C2221" s="293"/>
      <c r="D2221" s="293"/>
      <c r="E2221" s="293"/>
      <c r="F2221" s="293"/>
      <c r="G2221" s="293"/>
      <c r="H2221" s="293"/>
      <c r="I2221" s="293"/>
      <c r="J2221" s="293"/>
    </row>
    <row r="2222" spans="2:10" x14ac:dyDescent="0.25">
      <c r="B2222" s="293"/>
      <c r="C2222" s="293"/>
      <c r="D2222" s="293"/>
      <c r="E2222" s="293"/>
      <c r="F2222" s="293"/>
      <c r="G2222" s="293"/>
      <c r="H2222" s="293"/>
      <c r="I2222" s="293"/>
      <c r="J2222" s="293"/>
    </row>
    <row r="2223" spans="2:10" x14ac:dyDescent="0.25">
      <c r="B2223" s="293"/>
      <c r="C2223" s="293"/>
      <c r="D2223" s="293"/>
      <c r="E2223" s="293"/>
      <c r="F2223" s="293"/>
      <c r="G2223" s="293"/>
      <c r="H2223" s="293"/>
      <c r="I2223" s="293"/>
      <c r="J2223" s="293"/>
    </row>
    <row r="2224" spans="2:10" x14ac:dyDescent="0.25">
      <c r="B2224" s="293"/>
      <c r="C2224" s="293"/>
      <c r="D2224" s="293"/>
      <c r="E2224" s="293"/>
      <c r="F2224" s="293"/>
      <c r="G2224" s="293"/>
      <c r="H2224" s="293"/>
      <c r="I2224" s="293"/>
      <c r="J2224" s="293"/>
    </row>
    <row r="2225" spans="2:10" x14ac:dyDescent="0.25">
      <c r="B2225" s="293"/>
      <c r="C2225" s="293"/>
      <c r="D2225" s="293"/>
      <c r="E2225" s="293"/>
      <c r="F2225" s="293"/>
      <c r="G2225" s="293"/>
      <c r="H2225" s="293"/>
      <c r="I2225" s="293"/>
      <c r="J2225" s="293"/>
    </row>
    <row r="2226" spans="2:10" x14ac:dyDescent="0.25">
      <c r="B2226" s="293"/>
      <c r="C2226" s="293"/>
      <c r="D2226" s="293"/>
      <c r="E2226" s="293"/>
      <c r="F2226" s="293"/>
      <c r="G2226" s="293"/>
      <c r="H2226" s="293"/>
      <c r="I2226" s="293"/>
      <c r="J2226" s="293"/>
    </row>
    <row r="2227" spans="2:10" x14ac:dyDescent="0.25">
      <c r="B2227" s="293"/>
      <c r="C2227" s="293"/>
      <c r="D2227" s="293"/>
      <c r="E2227" s="293"/>
      <c r="F2227" s="293"/>
      <c r="G2227" s="293"/>
      <c r="H2227" s="293"/>
      <c r="I2227" s="293"/>
      <c r="J2227" s="293"/>
    </row>
    <row r="2228" spans="2:10" x14ac:dyDescent="0.25">
      <c r="B2228" s="293"/>
      <c r="C2228" s="293"/>
      <c r="D2228" s="293"/>
      <c r="E2228" s="293"/>
      <c r="F2228" s="293"/>
      <c r="G2228" s="293"/>
      <c r="H2228" s="293"/>
      <c r="I2228" s="293"/>
      <c r="J2228" s="293"/>
    </row>
    <row r="2229" spans="2:10" x14ac:dyDescent="0.25">
      <c r="B2229" s="293"/>
      <c r="C2229" s="293"/>
      <c r="D2229" s="293"/>
      <c r="E2229" s="293"/>
      <c r="F2229" s="293"/>
      <c r="G2229" s="293"/>
      <c r="H2229" s="293"/>
      <c r="I2229" s="293"/>
      <c r="J2229" s="293"/>
    </row>
    <row r="2230" spans="2:10" x14ac:dyDescent="0.25">
      <c r="B2230" s="293"/>
      <c r="C2230" s="293"/>
      <c r="D2230" s="293"/>
      <c r="E2230" s="293"/>
      <c r="F2230" s="293"/>
      <c r="G2230" s="293"/>
      <c r="H2230" s="293"/>
      <c r="I2230" s="293"/>
      <c r="J2230" s="293"/>
    </row>
    <row r="2231" spans="2:10" x14ac:dyDescent="0.25">
      <c r="B2231" s="293"/>
      <c r="C2231" s="293"/>
      <c r="D2231" s="293"/>
      <c r="E2231" s="293"/>
      <c r="F2231" s="293"/>
      <c r="G2231" s="293"/>
      <c r="H2231" s="293"/>
      <c r="I2231" s="293"/>
      <c r="J2231" s="293"/>
    </row>
    <row r="2232" spans="2:10" x14ac:dyDescent="0.25">
      <c r="B2232" s="293"/>
      <c r="C2232" s="293"/>
      <c r="D2232" s="293"/>
      <c r="E2232" s="293"/>
      <c r="F2232" s="293"/>
      <c r="G2232" s="293"/>
      <c r="H2232" s="293"/>
      <c r="I2232" s="293"/>
      <c r="J2232" s="293"/>
    </row>
    <row r="2233" spans="2:10" x14ac:dyDescent="0.25">
      <c r="B2233" s="293"/>
      <c r="C2233" s="293"/>
      <c r="D2233" s="293"/>
      <c r="E2233" s="293"/>
      <c r="F2233" s="293"/>
      <c r="G2233" s="293"/>
      <c r="H2233" s="293"/>
      <c r="I2233" s="293"/>
      <c r="J2233" s="293"/>
    </row>
    <row r="2234" spans="2:10" x14ac:dyDescent="0.25">
      <c r="B2234" s="293"/>
      <c r="C2234" s="293"/>
      <c r="D2234" s="293"/>
      <c r="E2234" s="293"/>
      <c r="F2234" s="293"/>
      <c r="G2234" s="293"/>
      <c r="H2234" s="293"/>
      <c r="I2234" s="293"/>
      <c r="J2234" s="293"/>
    </row>
    <row r="2235" spans="2:10" x14ac:dyDescent="0.25">
      <c r="B2235" s="293"/>
      <c r="C2235" s="293"/>
      <c r="D2235" s="293"/>
      <c r="E2235" s="293"/>
      <c r="F2235" s="293"/>
      <c r="G2235" s="293"/>
      <c r="H2235" s="293"/>
      <c r="I2235" s="293"/>
      <c r="J2235" s="293"/>
    </row>
    <row r="2236" spans="2:10" x14ac:dyDescent="0.25">
      <c r="B2236" s="293"/>
      <c r="C2236" s="293"/>
      <c r="D2236" s="293"/>
      <c r="E2236" s="293"/>
      <c r="F2236" s="293"/>
      <c r="G2236" s="293"/>
      <c r="H2236" s="293"/>
      <c r="I2236" s="293"/>
      <c r="J2236" s="293"/>
    </row>
    <row r="2237" spans="2:10" x14ac:dyDescent="0.25">
      <c r="B2237" s="293"/>
      <c r="C2237" s="293"/>
      <c r="D2237" s="293"/>
      <c r="E2237" s="293"/>
      <c r="F2237" s="293"/>
      <c r="G2237" s="293"/>
      <c r="H2237" s="293"/>
      <c r="I2237" s="293"/>
      <c r="J2237" s="293"/>
    </row>
    <row r="2238" spans="2:10" x14ac:dyDescent="0.25">
      <c r="B2238" s="293"/>
      <c r="C2238" s="293"/>
      <c r="D2238" s="293"/>
      <c r="E2238" s="293"/>
      <c r="F2238" s="293"/>
      <c r="G2238" s="293"/>
      <c r="H2238" s="293"/>
      <c r="I2238" s="293"/>
      <c r="J2238" s="293"/>
    </row>
    <row r="2239" spans="2:10" x14ac:dyDescent="0.25">
      <c r="B2239" s="293"/>
      <c r="C2239" s="293"/>
      <c r="D2239" s="293"/>
      <c r="E2239" s="293"/>
      <c r="F2239" s="293"/>
      <c r="G2239" s="293"/>
      <c r="H2239" s="293"/>
      <c r="I2239" s="293"/>
      <c r="J2239" s="293"/>
    </row>
    <row r="2240" spans="2:10" x14ac:dyDescent="0.25">
      <c r="B2240" s="293"/>
      <c r="C2240" s="293"/>
      <c r="D2240" s="293"/>
      <c r="E2240" s="293"/>
      <c r="F2240" s="293"/>
      <c r="G2240" s="293"/>
      <c r="H2240" s="293"/>
      <c r="I2240" s="293"/>
      <c r="J2240" s="293"/>
    </row>
    <row r="2241" spans="2:10" x14ac:dyDescent="0.25">
      <c r="B2241" s="293"/>
      <c r="C2241" s="293"/>
      <c r="D2241" s="293"/>
      <c r="E2241" s="293"/>
      <c r="F2241" s="293"/>
      <c r="G2241" s="293"/>
      <c r="H2241" s="293"/>
      <c r="I2241" s="293"/>
      <c r="J2241" s="293"/>
    </row>
    <row r="2242" spans="2:10" x14ac:dyDescent="0.25">
      <c r="B2242" s="293"/>
      <c r="C2242" s="293"/>
      <c r="D2242" s="293"/>
      <c r="E2242" s="293"/>
      <c r="F2242" s="293"/>
      <c r="G2242" s="293"/>
      <c r="H2242" s="293"/>
      <c r="I2242" s="293"/>
      <c r="J2242" s="293"/>
    </row>
    <row r="2243" spans="2:10" x14ac:dyDescent="0.25">
      <c r="B2243" s="293"/>
      <c r="C2243" s="293"/>
      <c r="D2243" s="293"/>
      <c r="E2243" s="293"/>
      <c r="F2243" s="293"/>
      <c r="G2243" s="293"/>
      <c r="H2243" s="293"/>
      <c r="I2243" s="293"/>
      <c r="J2243" s="293"/>
    </row>
    <row r="2244" spans="2:10" x14ac:dyDescent="0.25">
      <c r="B2244" s="293"/>
      <c r="C2244" s="293"/>
      <c r="D2244" s="293"/>
      <c r="E2244" s="293"/>
      <c r="F2244" s="293"/>
      <c r="G2244" s="293"/>
      <c r="H2244" s="293"/>
      <c r="I2244" s="293"/>
      <c r="J2244" s="293"/>
    </row>
    <row r="2245" spans="2:10" x14ac:dyDescent="0.25">
      <c r="B2245" s="293"/>
      <c r="C2245" s="293"/>
      <c r="D2245" s="293"/>
      <c r="E2245" s="293"/>
      <c r="F2245" s="293"/>
      <c r="G2245" s="293"/>
      <c r="H2245" s="293"/>
      <c r="I2245" s="293"/>
      <c r="J2245" s="293"/>
    </row>
    <row r="2246" spans="2:10" x14ac:dyDescent="0.25">
      <c r="B2246" s="293"/>
      <c r="C2246" s="293"/>
      <c r="D2246" s="293"/>
      <c r="E2246" s="293"/>
      <c r="F2246" s="293"/>
      <c r="G2246" s="293"/>
      <c r="H2246" s="293"/>
      <c r="I2246" s="293"/>
      <c r="J2246" s="293"/>
    </row>
    <row r="2247" spans="2:10" x14ac:dyDescent="0.25">
      <c r="B2247" s="293"/>
      <c r="C2247" s="293"/>
      <c r="D2247" s="293"/>
      <c r="E2247" s="293"/>
      <c r="F2247" s="293"/>
      <c r="G2247" s="293"/>
      <c r="H2247" s="293"/>
      <c r="I2247" s="293"/>
      <c r="J2247" s="293"/>
    </row>
    <row r="2248" spans="2:10" x14ac:dyDescent="0.25">
      <c r="B2248" s="293"/>
      <c r="C2248" s="293"/>
      <c r="D2248" s="293"/>
      <c r="E2248" s="293"/>
      <c r="F2248" s="293"/>
      <c r="G2248" s="293"/>
      <c r="H2248" s="293"/>
      <c r="I2248" s="293"/>
      <c r="J2248" s="293"/>
    </row>
    <row r="2249" spans="2:10" x14ac:dyDescent="0.25">
      <c r="B2249" s="293"/>
      <c r="C2249" s="293"/>
      <c r="D2249" s="293"/>
      <c r="E2249" s="293"/>
      <c r="F2249" s="293"/>
      <c r="G2249" s="293"/>
      <c r="H2249" s="293"/>
      <c r="I2249" s="293"/>
      <c r="J2249" s="293"/>
    </row>
    <row r="2250" spans="2:10" x14ac:dyDescent="0.25">
      <c r="B2250" s="293"/>
      <c r="C2250" s="293"/>
      <c r="D2250" s="293"/>
      <c r="E2250" s="293"/>
      <c r="F2250" s="293"/>
      <c r="G2250" s="293"/>
      <c r="H2250" s="293"/>
      <c r="I2250" s="293"/>
      <c r="J2250" s="293"/>
    </row>
    <row r="2251" spans="2:10" x14ac:dyDescent="0.25">
      <c r="B2251" s="293"/>
      <c r="C2251" s="293"/>
      <c r="D2251" s="293"/>
      <c r="E2251" s="293"/>
      <c r="F2251" s="293"/>
      <c r="G2251" s="293"/>
      <c r="H2251" s="293"/>
      <c r="I2251" s="293"/>
      <c r="J2251" s="293"/>
    </row>
    <row r="2252" spans="2:10" x14ac:dyDescent="0.25">
      <c r="B2252" s="293"/>
      <c r="C2252" s="293"/>
      <c r="D2252" s="293"/>
      <c r="E2252" s="293"/>
      <c r="F2252" s="293"/>
      <c r="G2252" s="293"/>
      <c r="H2252" s="293"/>
      <c r="I2252" s="293"/>
      <c r="J2252" s="293"/>
    </row>
    <row r="2253" spans="2:10" x14ac:dyDescent="0.25">
      <c r="B2253" s="293"/>
      <c r="C2253" s="293"/>
      <c r="D2253" s="293"/>
      <c r="E2253" s="293"/>
      <c r="F2253" s="293"/>
      <c r="G2253" s="293"/>
      <c r="H2253" s="293"/>
      <c r="I2253" s="293"/>
      <c r="J2253" s="293"/>
    </row>
    <row r="2254" spans="2:10" x14ac:dyDescent="0.25">
      <c r="B2254" s="293"/>
      <c r="C2254" s="293"/>
      <c r="D2254" s="293"/>
      <c r="E2254" s="293"/>
      <c r="F2254" s="293"/>
      <c r="G2254" s="293"/>
      <c r="H2254" s="293"/>
      <c r="I2254" s="293"/>
      <c r="J2254" s="293"/>
    </row>
    <row r="2255" spans="2:10" x14ac:dyDescent="0.25">
      <c r="B2255" s="293"/>
      <c r="C2255" s="293"/>
      <c r="D2255" s="293"/>
      <c r="E2255" s="293"/>
      <c r="F2255" s="293"/>
      <c r="G2255" s="293"/>
      <c r="H2255" s="293"/>
      <c r="I2255" s="293"/>
      <c r="J2255" s="293"/>
    </row>
    <row r="2256" spans="2:10" x14ac:dyDescent="0.25">
      <c r="B2256" s="293"/>
      <c r="C2256" s="293"/>
      <c r="D2256" s="293"/>
      <c r="E2256" s="293"/>
      <c r="F2256" s="293"/>
      <c r="G2256" s="293"/>
      <c r="H2256" s="293"/>
      <c r="I2256" s="293"/>
      <c r="J2256" s="293"/>
    </row>
    <row r="2257" spans="2:10" x14ac:dyDescent="0.25">
      <c r="B2257" s="293"/>
      <c r="C2257" s="293"/>
      <c r="D2257" s="293"/>
      <c r="E2257" s="293"/>
      <c r="F2257" s="293"/>
      <c r="G2257" s="293"/>
      <c r="H2257" s="293"/>
      <c r="I2257" s="293"/>
      <c r="J2257" s="293"/>
    </row>
    <row r="2258" spans="2:10" x14ac:dyDescent="0.25">
      <c r="B2258" s="293"/>
      <c r="C2258" s="293"/>
      <c r="D2258" s="293"/>
      <c r="E2258" s="293"/>
      <c r="F2258" s="293"/>
      <c r="G2258" s="293"/>
      <c r="H2258" s="293"/>
      <c r="I2258" s="293"/>
      <c r="J2258" s="293"/>
    </row>
    <row r="2259" spans="2:10" x14ac:dyDescent="0.25">
      <c r="B2259" s="293"/>
      <c r="C2259" s="293"/>
      <c r="D2259" s="293"/>
      <c r="E2259" s="293"/>
      <c r="F2259" s="293"/>
      <c r="G2259" s="293"/>
      <c r="H2259" s="293"/>
      <c r="I2259" s="293"/>
      <c r="J2259" s="293"/>
    </row>
    <row r="2260" spans="2:10" x14ac:dyDescent="0.25">
      <c r="B2260" s="293"/>
      <c r="C2260" s="293"/>
      <c r="D2260" s="293"/>
      <c r="E2260" s="293"/>
      <c r="F2260" s="293"/>
      <c r="G2260" s="293"/>
      <c r="H2260" s="293"/>
      <c r="I2260" s="293"/>
      <c r="J2260" s="293"/>
    </row>
    <row r="2261" spans="2:10" x14ac:dyDescent="0.25">
      <c r="B2261" s="293"/>
      <c r="C2261" s="293"/>
      <c r="D2261" s="293"/>
      <c r="E2261" s="293"/>
      <c r="F2261" s="293"/>
      <c r="G2261" s="293"/>
      <c r="H2261" s="293"/>
      <c r="I2261" s="293"/>
      <c r="J2261" s="293"/>
    </row>
    <row r="2262" spans="2:10" x14ac:dyDescent="0.25">
      <c r="B2262" s="293"/>
      <c r="C2262" s="293"/>
      <c r="D2262" s="293"/>
      <c r="E2262" s="293"/>
      <c r="F2262" s="293"/>
      <c r="G2262" s="293"/>
      <c r="H2262" s="293"/>
      <c r="I2262" s="293"/>
      <c r="J2262" s="293"/>
    </row>
    <row r="2263" spans="2:10" x14ac:dyDescent="0.25">
      <c r="B2263" s="293"/>
      <c r="C2263" s="293"/>
      <c r="D2263" s="293"/>
      <c r="E2263" s="293"/>
      <c r="F2263" s="293"/>
      <c r="G2263" s="293"/>
      <c r="H2263" s="293"/>
      <c r="I2263" s="293"/>
      <c r="J2263" s="293"/>
    </row>
    <row r="2264" spans="2:10" x14ac:dyDescent="0.25">
      <c r="B2264" s="293"/>
      <c r="C2264" s="293"/>
      <c r="D2264" s="293"/>
      <c r="E2264" s="293"/>
      <c r="F2264" s="293"/>
      <c r="G2264" s="293"/>
      <c r="H2264" s="293"/>
      <c r="I2264" s="293"/>
      <c r="J2264" s="293"/>
    </row>
    <row r="2265" spans="2:10" x14ac:dyDescent="0.25">
      <c r="B2265" s="293"/>
      <c r="C2265" s="293"/>
      <c r="D2265" s="293"/>
      <c r="E2265" s="293"/>
      <c r="F2265" s="293"/>
      <c r="G2265" s="293"/>
      <c r="H2265" s="293"/>
      <c r="I2265" s="293"/>
      <c r="J2265" s="293"/>
    </row>
    <row r="2266" spans="2:10" x14ac:dyDescent="0.25">
      <c r="B2266" s="293"/>
      <c r="C2266" s="293"/>
      <c r="D2266" s="293"/>
      <c r="E2266" s="293"/>
      <c r="F2266" s="293"/>
      <c r="G2266" s="293"/>
      <c r="H2266" s="293"/>
      <c r="I2266" s="293"/>
      <c r="J2266" s="293"/>
    </row>
  </sheetData>
  <pageMargins left="0.70866141732283472" right="0.70866141732283472" top="0.74803149606299213" bottom="0.74803149606299213" header="0.31496062992125984" footer="0.31496062992125984"/>
  <pageSetup paperSize="9" scale="8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15"/>
  <sheetViews>
    <sheetView topLeftCell="A25" zoomScaleNormal="100" workbookViewId="0">
      <selection activeCell="A30" sqref="A30:K57"/>
    </sheetView>
  </sheetViews>
  <sheetFormatPr defaultRowHeight="15" x14ac:dyDescent="0.25"/>
  <cols>
    <col min="1" max="1" width="62.5703125" customWidth="1"/>
    <col min="2" max="11" width="10.7109375" style="39" customWidth="1"/>
    <col min="12" max="12" width="10.140625" bestFit="1" customWidth="1"/>
  </cols>
  <sheetData>
    <row r="1" spans="1:11" ht="18.75" x14ac:dyDescent="0.3">
      <c r="A1" s="496" t="s">
        <v>33</v>
      </c>
      <c r="B1" s="497"/>
      <c r="C1" s="497"/>
      <c r="D1" s="497"/>
      <c r="E1" s="497"/>
      <c r="F1" s="497"/>
      <c r="G1" s="497"/>
      <c r="H1" s="497"/>
      <c r="I1" s="497"/>
      <c r="J1" s="497"/>
      <c r="K1" s="498"/>
    </row>
    <row r="2" spans="1:11" ht="18.75" x14ac:dyDescent="0.3">
      <c r="A2" s="499" t="s">
        <v>4609</v>
      </c>
      <c r="B2" s="500"/>
      <c r="C2" s="500"/>
      <c r="D2" s="500"/>
      <c r="E2" s="500"/>
      <c r="F2" s="500"/>
      <c r="G2" s="500"/>
      <c r="H2" s="500"/>
      <c r="I2" s="500"/>
      <c r="J2" s="500"/>
      <c r="K2" s="501"/>
    </row>
    <row r="3" spans="1:11" x14ac:dyDescent="0.25">
      <c r="A3" s="11"/>
      <c r="B3" s="29" t="s">
        <v>29</v>
      </c>
      <c r="C3" s="30"/>
      <c r="D3" s="30"/>
      <c r="E3" s="30"/>
      <c r="F3" s="30"/>
      <c r="G3" s="30"/>
      <c r="H3" s="30"/>
      <c r="I3" s="30"/>
      <c r="J3" s="30"/>
      <c r="K3" s="31"/>
    </row>
    <row r="4" spans="1:11" x14ac:dyDescent="0.25">
      <c r="A4" s="7"/>
      <c r="B4" s="32" t="s">
        <v>28</v>
      </c>
      <c r="C4" s="494" t="s">
        <v>30</v>
      </c>
      <c r="D4" s="494"/>
      <c r="E4" s="494"/>
      <c r="F4" s="494"/>
      <c r="G4" s="494"/>
      <c r="H4" s="494"/>
      <c r="I4" s="494"/>
      <c r="J4" s="494"/>
      <c r="K4" s="495"/>
    </row>
    <row r="5" spans="1:11" x14ac:dyDescent="0.25">
      <c r="A5" s="8"/>
      <c r="B5" s="40">
        <v>2017</v>
      </c>
      <c r="C5" s="41">
        <v>2018</v>
      </c>
      <c r="D5" s="41">
        <v>2019</v>
      </c>
      <c r="E5" s="41">
        <v>2020</v>
      </c>
      <c r="F5" s="41">
        <v>2021</v>
      </c>
      <c r="G5" s="41">
        <v>2022</v>
      </c>
      <c r="H5" s="41">
        <v>2023</v>
      </c>
      <c r="I5" s="41">
        <v>2024</v>
      </c>
      <c r="J5" s="41">
        <v>2025</v>
      </c>
      <c r="K5" s="42">
        <v>2026</v>
      </c>
    </row>
    <row r="6" spans="1:11" x14ac:dyDescent="0.25">
      <c r="A6" s="7"/>
      <c r="B6" s="317"/>
      <c r="C6" s="298"/>
      <c r="D6" s="298"/>
      <c r="E6" s="298"/>
      <c r="F6" s="298"/>
      <c r="G6" s="298"/>
      <c r="H6" s="298"/>
      <c r="I6" s="298"/>
      <c r="J6" s="298"/>
      <c r="K6" s="313"/>
    </row>
    <row r="7" spans="1:11" x14ac:dyDescent="0.25">
      <c r="A7" s="12" t="s">
        <v>31</v>
      </c>
      <c r="B7" s="317"/>
      <c r="C7" s="298"/>
      <c r="D7" s="298"/>
      <c r="E7" s="298"/>
      <c r="F7" s="298"/>
      <c r="G7" s="298"/>
      <c r="H7" s="298"/>
      <c r="I7" s="298"/>
      <c r="J7" s="298"/>
      <c r="K7" s="313"/>
    </row>
    <row r="8" spans="1:11" x14ac:dyDescent="0.25">
      <c r="A8" s="7" t="s">
        <v>32</v>
      </c>
      <c r="B8" s="317">
        <f t="shared" ref="B8:K8" si="0">B37+B66+B95</f>
        <v>37240000</v>
      </c>
      <c r="C8" s="298">
        <f t="shared" si="0"/>
        <v>38701100</v>
      </c>
      <c r="D8" s="298">
        <f t="shared" si="0"/>
        <v>40387000</v>
      </c>
      <c r="E8" s="298">
        <f t="shared" si="0"/>
        <v>42192800</v>
      </c>
      <c r="F8" s="298">
        <f t="shared" si="0"/>
        <v>44127300</v>
      </c>
      <c r="G8" s="298">
        <f t="shared" si="0"/>
        <v>44910200</v>
      </c>
      <c r="H8" s="298">
        <f t="shared" si="0"/>
        <v>45713200</v>
      </c>
      <c r="I8" s="298">
        <f t="shared" si="0"/>
        <v>46536200</v>
      </c>
      <c r="J8" s="298">
        <f t="shared" si="0"/>
        <v>47380000</v>
      </c>
      <c r="K8" s="313">
        <f t="shared" si="0"/>
        <v>48244700</v>
      </c>
    </row>
    <row r="9" spans="1:11" x14ac:dyDescent="0.25">
      <c r="A9" s="7" t="s">
        <v>34</v>
      </c>
      <c r="B9" s="317">
        <f t="shared" ref="B9:K13" si="1">B38+B67+B96</f>
        <v>27229200</v>
      </c>
      <c r="C9" s="298">
        <f t="shared" si="1"/>
        <v>27150300</v>
      </c>
      <c r="D9" s="298">
        <f t="shared" si="1"/>
        <v>27434700</v>
      </c>
      <c r="E9" s="298">
        <f t="shared" si="1"/>
        <v>27725900</v>
      </c>
      <c r="F9" s="298">
        <f t="shared" si="1"/>
        <v>28124100</v>
      </c>
      <c r="G9" s="298">
        <f t="shared" si="1"/>
        <v>28429400</v>
      </c>
      <c r="H9" s="298">
        <f t="shared" si="1"/>
        <v>28742200</v>
      </c>
      <c r="I9" s="298">
        <f t="shared" si="1"/>
        <v>29063100</v>
      </c>
      <c r="J9" s="298">
        <f t="shared" si="1"/>
        <v>29391300</v>
      </c>
      <c r="K9" s="313">
        <f t="shared" si="1"/>
        <v>29727800</v>
      </c>
    </row>
    <row r="10" spans="1:11" x14ac:dyDescent="0.25">
      <c r="A10" s="7" t="s">
        <v>35</v>
      </c>
      <c r="B10" s="317">
        <f t="shared" si="1"/>
        <v>1697400</v>
      </c>
      <c r="C10" s="298">
        <f t="shared" si="1"/>
        <v>1817100</v>
      </c>
      <c r="D10" s="298">
        <f t="shared" si="1"/>
        <v>1799400</v>
      </c>
      <c r="E10" s="298">
        <f t="shared" si="1"/>
        <v>1794200</v>
      </c>
      <c r="F10" s="298">
        <f t="shared" si="1"/>
        <v>1874400</v>
      </c>
      <c r="G10" s="298">
        <f t="shared" si="1"/>
        <v>2001000</v>
      </c>
      <c r="H10" s="298">
        <f t="shared" si="1"/>
        <v>2192400</v>
      </c>
      <c r="I10" s="298">
        <f t="shared" si="1"/>
        <v>2399800</v>
      </c>
      <c r="J10" s="298">
        <f t="shared" si="1"/>
        <v>2620100</v>
      </c>
      <c r="K10" s="313">
        <f t="shared" si="1"/>
        <v>2806400</v>
      </c>
    </row>
    <row r="11" spans="1:11" x14ac:dyDescent="0.25">
      <c r="A11" s="7" t="s">
        <v>36</v>
      </c>
      <c r="B11" s="317">
        <f t="shared" si="1"/>
        <v>1312800</v>
      </c>
      <c r="C11" s="298">
        <f t="shared" si="1"/>
        <v>1320300</v>
      </c>
      <c r="D11" s="298">
        <f t="shared" si="1"/>
        <v>1300000</v>
      </c>
      <c r="E11" s="298">
        <f t="shared" si="1"/>
        <v>1300000</v>
      </c>
      <c r="F11" s="298">
        <f t="shared" si="1"/>
        <v>1300000</v>
      </c>
      <c r="G11" s="298">
        <f t="shared" si="1"/>
        <v>1300000</v>
      </c>
      <c r="H11" s="298">
        <f t="shared" si="1"/>
        <v>1300000</v>
      </c>
      <c r="I11" s="298">
        <f t="shared" si="1"/>
        <v>1300000</v>
      </c>
      <c r="J11" s="298">
        <f t="shared" si="1"/>
        <v>1300000</v>
      </c>
      <c r="K11" s="313">
        <f t="shared" si="1"/>
        <v>1300000</v>
      </c>
    </row>
    <row r="12" spans="1:11" x14ac:dyDescent="0.25">
      <c r="A12" s="7" t="s">
        <v>37</v>
      </c>
      <c r="B12" s="317">
        <f t="shared" si="1"/>
        <v>6014400</v>
      </c>
      <c r="C12" s="298">
        <f t="shared" si="1"/>
        <v>6515000</v>
      </c>
      <c r="D12" s="298">
        <f t="shared" si="1"/>
        <v>5374700</v>
      </c>
      <c r="E12" s="298">
        <f t="shared" si="1"/>
        <v>5998200</v>
      </c>
      <c r="F12" s="298">
        <f t="shared" si="1"/>
        <v>5845200</v>
      </c>
      <c r="G12" s="298">
        <f t="shared" si="1"/>
        <v>6091100</v>
      </c>
      <c r="H12" s="298">
        <f t="shared" si="1"/>
        <v>5859600</v>
      </c>
      <c r="I12" s="298">
        <f t="shared" si="1"/>
        <v>5980600</v>
      </c>
      <c r="J12" s="298">
        <f t="shared" si="1"/>
        <v>6104300</v>
      </c>
      <c r="K12" s="313">
        <f t="shared" si="1"/>
        <v>6231000</v>
      </c>
    </row>
    <row r="13" spans="1:11" x14ac:dyDescent="0.25">
      <c r="A13" s="7" t="s">
        <v>38</v>
      </c>
      <c r="B13" s="317">
        <f t="shared" si="1"/>
        <v>18313000</v>
      </c>
      <c r="C13" s="298">
        <f t="shared" si="1"/>
        <v>3909100</v>
      </c>
      <c r="D13" s="298">
        <f t="shared" si="1"/>
        <v>3961600</v>
      </c>
      <c r="E13" s="298">
        <f t="shared" si="1"/>
        <v>3564600</v>
      </c>
      <c r="F13" s="298">
        <f t="shared" si="1"/>
        <v>3609300</v>
      </c>
      <c r="G13" s="298">
        <f t="shared" si="1"/>
        <v>3372600</v>
      </c>
      <c r="H13" s="298">
        <f t="shared" si="1"/>
        <v>3186200</v>
      </c>
      <c r="I13" s="298">
        <f t="shared" si="1"/>
        <v>3200400</v>
      </c>
      <c r="J13" s="298">
        <f t="shared" si="1"/>
        <v>3215200</v>
      </c>
      <c r="K13" s="313">
        <f t="shared" si="1"/>
        <v>2830000</v>
      </c>
    </row>
    <row r="14" spans="1:11" x14ac:dyDescent="0.25">
      <c r="A14" s="12" t="s">
        <v>39</v>
      </c>
      <c r="B14" s="318">
        <f t="shared" ref="B14:K14" si="2">SUM(B7:B13)</f>
        <v>91806800</v>
      </c>
      <c r="C14" s="296">
        <f t="shared" si="2"/>
        <v>79412900</v>
      </c>
      <c r="D14" s="296">
        <f t="shared" si="2"/>
        <v>80257400</v>
      </c>
      <c r="E14" s="296">
        <f t="shared" si="2"/>
        <v>82575700</v>
      </c>
      <c r="F14" s="296">
        <f t="shared" si="2"/>
        <v>84880300</v>
      </c>
      <c r="G14" s="296">
        <f t="shared" si="2"/>
        <v>86104300</v>
      </c>
      <c r="H14" s="296">
        <f t="shared" si="2"/>
        <v>86993600</v>
      </c>
      <c r="I14" s="296">
        <f t="shared" si="2"/>
        <v>88480100</v>
      </c>
      <c r="J14" s="296">
        <f t="shared" si="2"/>
        <v>90010900</v>
      </c>
      <c r="K14" s="314">
        <f t="shared" si="2"/>
        <v>91139900</v>
      </c>
    </row>
    <row r="15" spans="1:11" x14ac:dyDescent="0.25">
      <c r="A15" s="7"/>
      <c r="B15" s="317"/>
      <c r="C15" s="298"/>
      <c r="D15" s="298"/>
      <c r="E15" s="298"/>
      <c r="F15" s="298"/>
      <c r="G15" s="298"/>
      <c r="H15" s="298"/>
      <c r="I15" s="298"/>
      <c r="J15" s="298"/>
      <c r="K15" s="313"/>
    </row>
    <row r="16" spans="1:11" x14ac:dyDescent="0.25">
      <c r="A16" s="12" t="s">
        <v>40</v>
      </c>
      <c r="B16" s="317"/>
      <c r="C16" s="298"/>
      <c r="D16" s="298"/>
      <c r="E16" s="298"/>
      <c r="F16" s="298"/>
      <c r="G16" s="298"/>
      <c r="H16" s="298"/>
      <c r="I16" s="298"/>
      <c r="J16" s="298"/>
      <c r="K16" s="313"/>
    </row>
    <row r="17" spans="1:11" x14ac:dyDescent="0.25">
      <c r="A17" s="7" t="s">
        <v>41</v>
      </c>
      <c r="B17" s="317">
        <f t="shared" ref="B17:K17" si="3">B46+B75+B104</f>
        <v>20374000</v>
      </c>
      <c r="C17" s="298">
        <f t="shared" si="3"/>
        <v>21473100</v>
      </c>
      <c r="D17" s="298">
        <f t="shared" si="3"/>
        <v>21903000</v>
      </c>
      <c r="E17" s="298">
        <f t="shared" si="3"/>
        <v>22340300</v>
      </c>
      <c r="F17" s="298">
        <f t="shared" si="3"/>
        <v>22786700</v>
      </c>
      <c r="G17" s="298">
        <f t="shared" si="3"/>
        <v>23242200</v>
      </c>
      <c r="H17" s="298">
        <f t="shared" si="3"/>
        <v>23707000</v>
      </c>
      <c r="I17" s="298">
        <f t="shared" si="3"/>
        <v>24295800</v>
      </c>
      <c r="J17" s="298">
        <f t="shared" si="3"/>
        <v>24898900</v>
      </c>
      <c r="K17" s="313">
        <f t="shared" si="3"/>
        <v>25517700</v>
      </c>
    </row>
    <row r="18" spans="1:11" x14ac:dyDescent="0.25">
      <c r="A18" s="7" t="s">
        <v>42</v>
      </c>
      <c r="B18" s="317">
        <f t="shared" ref="B18:K21" si="4">B47+B76+B105</f>
        <v>4571900</v>
      </c>
      <c r="C18" s="298">
        <f t="shared" si="4"/>
        <v>4439300</v>
      </c>
      <c r="D18" s="298">
        <f t="shared" si="4"/>
        <v>4364200</v>
      </c>
      <c r="E18" s="298">
        <f t="shared" si="4"/>
        <v>4289700</v>
      </c>
      <c r="F18" s="298">
        <f t="shared" si="4"/>
        <v>4064500</v>
      </c>
      <c r="G18" s="298">
        <f t="shared" si="4"/>
        <v>3879600</v>
      </c>
      <c r="H18" s="298">
        <f t="shared" si="4"/>
        <v>3556900</v>
      </c>
      <c r="I18" s="298">
        <f t="shared" si="4"/>
        <v>3329600</v>
      </c>
      <c r="J18" s="298">
        <f t="shared" si="4"/>
        <v>3072600</v>
      </c>
      <c r="K18" s="313">
        <f t="shared" si="4"/>
        <v>2853800</v>
      </c>
    </row>
    <row r="19" spans="1:11" x14ac:dyDescent="0.25">
      <c r="A19" s="7" t="s">
        <v>43</v>
      </c>
      <c r="B19" s="317">
        <f t="shared" si="4"/>
        <v>30326700</v>
      </c>
      <c r="C19" s="298">
        <f t="shared" si="4"/>
        <v>29353600</v>
      </c>
      <c r="D19" s="298">
        <f t="shared" si="4"/>
        <v>30118800</v>
      </c>
      <c r="E19" s="298">
        <f t="shared" si="4"/>
        <v>30949900</v>
      </c>
      <c r="F19" s="298">
        <f t="shared" si="4"/>
        <v>31967800</v>
      </c>
      <c r="G19" s="298">
        <f t="shared" si="4"/>
        <v>32620200</v>
      </c>
      <c r="H19" s="298">
        <f t="shared" si="4"/>
        <v>33285900</v>
      </c>
      <c r="I19" s="298">
        <f t="shared" si="4"/>
        <v>34127600</v>
      </c>
      <c r="J19" s="298">
        <f t="shared" si="4"/>
        <v>34992400</v>
      </c>
      <c r="K19" s="313">
        <f t="shared" si="4"/>
        <v>35873800</v>
      </c>
    </row>
    <row r="20" spans="1:11" x14ac:dyDescent="0.25">
      <c r="A20" s="7" t="s">
        <v>44</v>
      </c>
      <c r="B20" s="317">
        <f t="shared" si="4"/>
        <v>12515100</v>
      </c>
      <c r="C20" s="298">
        <f t="shared" si="4"/>
        <v>12640200</v>
      </c>
      <c r="D20" s="298">
        <f t="shared" si="4"/>
        <v>12766800</v>
      </c>
      <c r="E20" s="298">
        <f t="shared" si="4"/>
        <v>12894600</v>
      </c>
      <c r="F20" s="298">
        <f t="shared" si="4"/>
        <v>13023500</v>
      </c>
      <c r="G20" s="298">
        <f t="shared" si="4"/>
        <v>13153500</v>
      </c>
      <c r="H20" s="298">
        <f t="shared" si="4"/>
        <v>13284900</v>
      </c>
      <c r="I20" s="298">
        <f t="shared" si="4"/>
        <v>13417600</v>
      </c>
      <c r="J20" s="298">
        <f t="shared" si="4"/>
        <v>13551200</v>
      </c>
      <c r="K20" s="313">
        <f t="shared" si="4"/>
        <v>13686700</v>
      </c>
    </row>
    <row r="21" spans="1:11" x14ac:dyDescent="0.25">
      <c r="A21" s="7" t="s">
        <v>45</v>
      </c>
      <c r="B21" s="317">
        <f t="shared" ca="1" si="4"/>
        <v>4925100</v>
      </c>
      <c r="C21" s="298">
        <f t="shared" ca="1" si="4"/>
        <v>4781100</v>
      </c>
      <c r="D21" s="298">
        <f t="shared" ca="1" si="4"/>
        <v>4876000</v>
      </c>
      <c r="E21" s="298">
        <f t="shared" ca="1" si="4"/>
        <v>5223100</v>
      </c>
      <c r="F21" s="298">
        <f t="shared" ca="1" si="4"/>
        <v>5072000</v>
      </c>
      <c r="G21" s="298">
        <f t="shared" ca="1" si="4"/>
        <v>5172400</v>
      </c>
      <c r="H21" s="298">
        <f t="shared" ca="1" si="4"/>
        <v>5274800</v>
      </c>
      <c r="I21" s="298">
        <f t="shared" ca="1" si="4"/>
        <v>5706500</v>
      </c>
      <c r="J21" s="298">
        <f t="shared" ca="1" si="4"/>
        <v>5541500</v>
      </c>
      <c r="K21" s="313">
        <f t="shared" ca="1" si="4"/>
        <v>5679700</v>
      </c>
    </row>
    <row r="22" spans="1:11" x14ac:dyDescent="0.25">
      <c r="A22" s="12" t="s">
        <v>46</v>
      </c>
      <c r="B22" s="318">
        <f t="shared" ref="B22:K22" ca="1" si="5">SUM(B17:B21)</f>
        <v>72712800</v>
      </c>
      <c r="C22" s="296">
        <f t="shared" ca="1" si="5"/>
        <v>72687300</v>
      </c>
      <c r="D22" s="296">
        <f t="shared" ca="1" si="5"/>
        <v>74028800</v>
      </c>
      <c r="E22" s="296">
        <f t="shared" ca="1" si="5"/>
        <v>75697600</v>
      </c>
      <c r="F22" s="296">
        <f t="shared" ca="1" si="5"/>
        <v>76914500</v>
      </c>
      <c r="G22" s="296">
        <f t="shared" ca="1" si="5"/>
        <v>78067900</v>
      </c>
      <c r="H22" s="296">
        <f t="shared" ca="1" si="5"/>
        <v>79109500</v>
      </c>
      <c r="I22" s="296">
        <f t="shared" ca="1" si="5"/>
        <v>80877100</v>
      </c>
      <c r="J22" s="296">
        <f t="shared" ca="1" si="5"/>
        <v>82056600</v>
      </c>
      <c r="K22" s="314">
        <f t="shared" ca="1" si="5"/>
        <v>83611700</v>
      </c>
    </row>
    <row r="23" spans="1:11" x14ac:dyDescent="0.25">
      <c r="A23" s="7"/>
      <c r="B23" s="317"/>
      <c r="C23" s="298"/>
      <c r="D23" s="298"/>
      <c r="E23" s="298"/>
      <c r="F23" s="298"/>
      <c r="G23" s="298"/>
      <c r="H23" s="298"/>
      <c r="I23" s="298"/>
      <c r="J23" s="298"/>
      <c r="K23" s="313"/>
    </row>
    <row r="24" spans="1:11" ht="15.75" thickBot="1" x14ac:dyDescent="0.3">
      <c r="A24" s="12" t="s">
        <v>47</v>
      </c>
      <c r="B24" s="319">
        <f t="shared" ref="B24:K24" ca="1" si="6">B14-B22</f>
        <v>19094000</v>
      </c>
      <c r="C24" s="301">
        <f t="shared" ca="1" si="6"/>
        <v>6725600</v>
      </c>
      <c r="D24" s="301">
        <f t="shared" ca="1" si="6"/>
        <v>6228600</v>
      </c>
      <c r="E24" s="301">
        <f t="shared" ca="1" si="6"/>
        <v>6878100</v>
      </c>
      <c r="F24" s="301">
        <f t="shared" ca="1" si="6"/>
        <v>7965800</v>
      </c>
      <c r="G24" s="301">
        <f t="shared" ca="1" si="6"/>
        <v>8036400</v>
      </c>
      <c r="H24" s="301">
        <f t="shared" ca="1" si="6"/>
        <v>7884100</v>
      </c>
      <c r="I24" s="301">
        <f t="shared" ca="1" si="6"/>
        <v>7603000</v>
      </c>
      <c r="J24" s="301">
        <f t="shared" ca="1" si="6"/>
        <v>7954300</v>
      </c>
      <c r="K24" s="315">
        <f t="shared" ca="1" si="6"/>
        <v>7528200</v>
      </c>
    </row>
    <row r="25" spans="1:11" ht="15.75" thickTop="1" x14ac:dyDescent="0.25">
      <c r="A25" s="7"/>
      <c r="B25" s="317"/>
      <c r="C25" s="298"/>
      <c r="D25" s="298"/>
      <c r="E25" s="298"/>
      <c r="F25" s="298"/>
      <c r="G25" s="298"/>
      <c r="H25" s="298"/>
      <c r="I25" s="298"/>
      <c r="J25" s="298"/>
      <c r="K25" s="313"/>
    </row>
    <row r="26" spans="1:11" x14ac:dyDescent="0.25">
      <c r="A26" s="12" t="s">
        <v>49</v>
      </c>
      <c r="B26" s="317"/>
      <c r="C26" s="298"/>
      <c r="D26" s="298"/>
      <c r="E26" s="298"/>
      <c r="F26" s="298"/>
      <c r="G26" s="298"/>
      <c r="H26" s="298"/>
      <c r="I26" s="298"/>
      <c r="J26" s="298"/>
      <c r="K26" s="313"/>
    </row>
    <row r="27" spans="1:11" x14ac:dyDescent="0.25">
      <c r="A27" s="12" t="s">
        <v>48</v>
      </c>
      <c r="B27" s="320">
        <f t="shared" ref="B27:K27" ca="1" si="7">B24-B13</f>
        <v>781000</v>
      </c>
      <c r="C27" s="321">
        <f t="shared" ca="1" si="7"/>
        <v>2816500</v>
      </c>
      <c r="D27" s="321">
        <f t="shared" ca="1" si="7"/>
        <v>2267000</v>
      </c>
      <c r="E27" s="321">
        <f t="shared" ca="1" si="7"/>
        <v>3313500</v>
      </c>
      <c r="F27" s="321">
        <f t="shared" ca="1" si="7"/>
        <v>4356500</v>
      </c>
      <c r="G27" s="321">
        <f t="shared" ca="1" si="7"/>
        <v>4663800</v>
      </c>
      <c r="H27" s="321">
        <f t="shared" ca="1" si="7"/>
        <v>4697900</v>
      </c>
      <c r="I27" s="321">
        <f t="shared" ca="1" si="7"/>
        <v>4402600</v>
      </c>
      <c r="J27" s="321">
        <f t="shared" ca="1" si="7"/>
        <v>4739100</v>
      </c>
      <c r="K27" s="322">
        <f t="shared" ca="1" si="7"/>
        <v>4698200</v>
      </c>
    </row>
    <row r="28" spans="1:11" x14ac:dyDescent="0.25">
      <c r="A28" s="8"/>
      <c r="B28" s="36"/>
      <c r="C28" s="37"/>
      <c r="D28" s="37"/>
      <c r="E28" s="37"/>
      <c r="F28" s="37"/>
      <c r="G28" s="37"/>
      <c r="H28" s="37"/>
      <c r="I28" s="37"/>
      <c r="J28" s="37"/>
      <c r="K28" s="38"/>
    </row>
    <row r="30" spans="1:11" ht="18.75" x14ac:dyDescent="0.3">
      <c r="A30" s="496" t="s">
        <v>33</v>
      </c>
      <c r="B30" s="497"/>
      <c r="C30" s="497"/>
      <c r="D30" s="497"/>
      <c r="E30" s="497"/>
      <c r="F30" s="497"/>
      <c r="G30" s="497"/>
      <c r="H30" s="497"/>
      <c r="I30" s="497"/>
      <c r="J30" s="497"/>
      <c r="K30" s="498"/>
    </row>
    <row r="31" spans="1:11" ht="18.75" x14ac:dyDescent="0.3">
      <c r="A31" s="499" t="s">
        <v>4642</v>
      </c>
      <c r="B31" s="500"/>
      <c r="C31" s="500"/>
      <c r="D31" s="500"/>
      <c r="E31" s="500"/>
      <c r="F31" s="500"/>
      <c r="G31" s="500"/>
      <c r="H31" s="500"/>
      <c r="I31" s="500"/>
      <c r="J31" s="500"/>
      <c r="K31" s="501"/>
    </row>
    <row r="32" spans="1:11" x14ac:dyDescent="0.25">
      <c r="A32" s="11"/>
      <c r="B32" s="29" t="s">
        <v>29</v>
      </c>
      <c r="C32" s="30"/>
      <c r="D32" s="30"/>
      <c r="E32" s="30"/>
      <c r="F32" s="30"/>
      <c r="G32" s="30"/>
      <c r="H32" s="30"/>
      <c r="I32" s="30"/>
      <c r="J32" s="30"/>
      <c r="K32" s="31"/>
    </row>
    <row r="33" spans="1:12" x14ac:dyDescent="0.25">
      <c r="A33" s="7"/>
      <c r="B33" s="32" t="s">
        <v>28</v>
      </c>
      <c r="C33" s="494" t="s">
        <v>30</v>
      </c>
      <c r="D33" s="494"/>
      <c r="E33" s="494"/>
      <c r="F33" s="494"/>
      <c r="G33" s="494"/>
      <c r="H33" s="494"/>
      <c r="I33" s="494"/>
      <c r="J33" s="494"/>
      <c r="K33" s="495"/>
    </row>
    <row r="34" spans="1:12" x14ac:dyDescent="0.25">
      <c r="A34" s="8"/>
      <c r="B34" s="40">
        <v>2017</v>
      </c>
      <c r="C34" s="41">
        <v>2018</v>
      </c>
      <c r="D34" s="41">
        <v>2019</v>
      </c>
      <c r="E34" s="41">
        <v>2020</v>
      </c>
      <c r="F34" s="41">
        <v>2021</v>
      </c>
      <c r="G34" s="41">
        <v>2022</v>
      </c>
      <c r="H34" s="41">
        <v>2023</v>
      </c>
      <c r="I34" s="41">
        <v>2024</v>
      </c>
      <c r="J34" s="41">
        <v>2025</v>
      </c>
      <c r="K34" s="42">
        <v>2026</v>
      </c>
    </row>
    <row r="35" spans="1:12" x14ac:dyDescent="0.25">
      <c r="A35" s="7"/>
      <c r="B35" s="317"/>
      <c r="C35" s="298"/>
      <c r="D35" s="298"/>
      <c r="E35" s="298"/>
      <c r="F35" s="298"/>
      <c r="G35" s="298"/>
      <c r="H35" s="298"/>
      <c r="I35" s="298"/>
      <c r="J35" s="298"/>
      <c r="K35" s="313"/>
    </row>
    <row r="36" spans="1:12" x14ac:dyDescent="0.25">
      <c r="A36" s="12" t="s">
        <v>31</v>
      </c>
      <c r="B36" s="317"/>
      <c r="C36" s="298"/>
      <c r="D36" s="298"/>
      <c r="E36" s="298"/>
      <c r="F36" s="298"/>
      <c r="G36" s="298"/>
      <c r="H36" s="298"/>
      <c r="I36" s="298"/>
      <c r="J36" s="298"/>
      <c r="K36" s="313"/>
    </row>
    <row r="37" spans="1:12" x14ac:dyDescent="0.25">
      <c r="A37" s="7" t="s">
        <v>32</v>
      </c>
      <c r="B37" s="317">
        <f>operatingdata!E2122</f>
        <v>24944200</v>
      </c>
      <c r="C37" s="312">
        <f>operatingdata!F2122</f>
        <v>26409400</v>
      </c>
      <c r="D37" s="298">
        <f>operatingdata!G2122</f>
        <v>28100600</v>
      </c>
      <c r="E37" s="298">
        <f>operatingdata!H2122</f>
        <v>29911900</v>
      </c>
      <c r="F37" s="298">
        <f>operatingdata!I2122</f>
        <v>31852000</v>
      </c>
      <c r="G37" s="298">
        <f>operatingdata!J2122</f>
        <v>32640700</v>
      </c>
      <c r="H37" s="298">
        <f>operatingdata!K2122</f>
        <v>33449500</v>
      </c>
      <c r="I37" s="298">
        <f>operatingdata!L2122</f>
        <v>34278500</v>
      </c>
      <c r="J37" s="298">
        <f>operatingdata!M2122</f>
        <v>35128400</v>
      </c>
      <c r="K37" s="313">
        <f>operatingdata!N2122</f>
        <v>35999400</v>
      </c>
    </row>
    <row r="38" spans="1:12" x14ac:dyDescent="0.25">
      <c r="A38" s="7" t="s">
        <v>34</v>
      </c>
      <c r="B38" s="317">
        <f>operatingdata!E2123</f>
        <v>15502200</v>
      </c>
      <c r="C38" s="312">
        <f>operatingdata!F2123</f>
        <v>15954400</v>
      </c>
      <c r="D38" s="298">
        <f>operatingdata!G2123</f>
        <v>16228100</v>
      </c>
      <c r="E38" s="298">
        <f>operatingdata!H2123</f>
        <v>16508300</v>
      </c>
      <c r="F38" s="298">
        <f>operatingdata!I2123</f>
        <v>16895200</v>
      </c>
      <c r="G38" s="298">
        <f>operatingdata!J2123</f>
        <v>17189100</v>
      </c>
      <c r="H38" s="298">
        <f>operatingdata!K2123</f>
        <v>17490100</v>
      </c>
      <c r="I38" s="298">
        <f>operatingdata!L2123</f>
        <v>17798900</v>
      </c>
      <c r="J38" s="298">
        <f>operatingdata!M2123</f>
        <v>18114900</v>
      </c>
      <c r="K38" s="313">
        <f>operatingdata!N2123</f>
        <v>18438900</v>
      </c>
    </row>
    <row r="39" spans="1:12" x14ac:dyDescent="0.25">
      <c r="A39" s="7" t="s">
        <v>35</v>
      </c>
      <c r="B39" s="317">
        <f>operatingdata!E2124</f>
        <v>1373500</v>
      </c>
      <c r="C39" s="312">
        <f>operatingdata!F2124</f>
        <v>1216900</v>
      </c>
      <c r="D39" s="298">
        <f>operatingdata!G2124</f>
        <v>1197600</v>
      </c>
      <c r="E39" s="298">
        <f>operatingdata!H2124</f>
        <v>1320400</v>
      </c>
      <c r="F39" s="298">
        <f>operatingdata!I2124</f>
        <v>1362400</v>
      </c>
      <c r="G39" s="298">
        <f>operatingdata!J2124</f>
        <v>1449500</v>
      </c>
      <c r="H39" s="298">
        <f>operatingdata!K2124</f>
        <v>1590400</v>
      </c>
      <c r="I39" s="298">
        <f>operatingdata!L2124</f>
        <v>1748400</v>
      </c>
      <c r="J39" s="298">
        <f>operatingdata!M2124</f>
        <v>1935200</v>
      </c>
      <c r="K39" s="313">
        <f>operatingdata!N2124</f>
        <v>2275100</v>
      </c>
    </row>
    <row r="40" spans="1:12" x14ac:dyDescent="0.25">
      <c r="A40" s="7" t="s">
        <v>36</v>
      </c>
      <c r="B40" s="317">
        <f>operatingdata!E2125</f>
        <v>1312800</v>
      </c>
      <c r="C40" s="312">
        <f>operatingdata!F2125</f>
        <v>1320300</v>
      </c>
      <c r="D40" s="298">
        <f>operatingdata!G2125</f>
        <v>1300000</v>
      </c>
      <c r="E40" s="298">
        <f>operatingdata!H2125</f>
        <v>1300000</v>
      </c>
      <c r="F40" s="298">
        <f>operatingdata!I2125</f>
        <v>1300000</v>
      </c>
      <c r="G40" s="298">
        <f>operatingdata!J2125</f>
        <v>1300000</v>
      </c>
      <c r="H40" s="298">
        <f>operatingdata!K2125</f>
        <v>1300000</v>
      </c>
      <c r="I40" s="298">
        <f>operatingdata!L2125</f>
        <v>1300000</v>
      </c>
      <c r="J40" s="298">
        <f>operatingdata!M2125</f>
        <v>1300000</v>
      </c>
      <c r="K40" s="313">
        <f>operatingdata!N2125</f>
        <v>1300000</v>
      </c>
    </row>
    <row r="41" spans="1:12" x14ac:dyDescent="0.25">
      <c r="A41" s="7" t="s">
        <v>37</v>
      </c>
      <c r="B41" s="317">
        <f>operatingdata!E2126</f>
        <v>5811200</v>
      </c>
      <c r="C41" s="312">
        <f>operatingdata!F2126</f>
        <v>6307700</v>
      </c>
      <c r="D41" s="298">
        <f>operatingdata!G2126</f>
        <v>5162200</v>
      </c>
      <c r="E41" s="298">
        <f>operatingdata!H2126</f>
        <v>5780400</v>
      </c>
      <c r="F41" s="298">
        <f>operatingdata!I2126</f>
        <v>5622000</v>
      </c>
      <c r="G41" s="298">
        <f>operatingdata!J2126</f>
        <v>5862300</v>
      </c>
      <c r="H41" s="298">
        <f>operatingdata!K2126</f>
        <v>5625100</v>
      </c>
      <c r="I41" s="298">
        <f>operatingdata!L2126</f>
        <v>5740200</v>
      </c>
      <c r="J41" s="298">
        <f>operatingdata!M2126</f>
        <v>5857900</v>
      </c>
      <c r="K41" s="313">
        <f>operatingdata!N2126</f>
        <v>5978400</v>
      </c>
    </row>
    <row r="42" spans="1:12" x14ac:dyDescent="0.25">
      <c r="A42" s="7" t="s">
        <v>38</v>
      </c>
      <c r="B42" s="317">
        <f>capitalrevdata!E250-capitalrevdata!E224-capitalrevdata!E236-capitalrevdata!E248</f>
        <v>16313000</v>
      </c>
      <c r="C42" s="323">
        <f>capitalrevdata!F250-capitalrevdata!F224-capitalrevdata!F236-capitalrevdata!F248</f>
        <v>1909100</v>
      </c>
      <c r="D42" s="324">
        <f>capitalrevdata!G250-capitalrevdata!G224-capitalrevdata!G236-capitalrevdata!G248</f>
        <v>1961600</v>
      </c>
      <c r="E42" s="324">
        <f>capitalrevdata!H250-capitalrevdata!H224-capitalrevdata!H236-capitalrevdata!H248</f>
        <v>1564600</v>
      </c>
      <c r="F42" s="324">
        <f>capitalrevdata!I250-capitalrevdata!I224-capitalrevdata!I236-capitalrevdata!I248</f>
        <v>1609300</v>
      </c>
      <c r="G42" s="324">
        <f>capitalrevdata!J250-capitalrevdata!J224-capitalrevdata!J236-capitalrevdata!J248</f>
        <v>1372600</v>
      </c>
      <c r="H42" s="324">
        <f>capitalrevdata!K250-capitalrevdata!K224-capitalrevdata!K236-capitalrevdata!K248</f>
        <v>1186200</v>
      </c>
      <c r="I42" s="324">
        <f>capitalrevdata!L250-capitalrevdata!L224-capitalrevdata!L236-capitalrevdata!L248</f>
        <v>1200400</v>
      </c>
      <c r="J42" s="324">
        <f>capitalrevdata!M250-capitalrevdata!M224-capitalrevdata!M236-capitalrevdata!M248</f>
        <v>1215200</v>
      </c>
      <c r="K42" s="313">
        <f>capitalrevdata!N250-capitalrevdata!N224-capitalrevdata!N236-capitalrevdata!N248</f>
        <v>830000</v>
      </c>
    </row>
    <row r="43" spans="1:12" x14ac:dyDescent="0.25">
      <c r="A43" s="12" t="s">
        <v>39</v>
      </c>
      <c r="B43" s="318">
        <f>SUM(B37:B42)</f>
        <v>65256900</v>
      </c>
      <c r="C43" s="296">
        <f t="shared" ref="C43:K43" si="8">SUM(C37:C42)</f>
        <v>53117800</v>
      </c>
      <c r="D43" s="296">
        <f t="shared" si="8"/>
        <v>53950100</v>
      </c>
      <c r="E43" s="296">
        <f t="shared" si="8"/>
        <v>56385600</v>
      </c>
      <c r="F43" s="296">
        <f t="shared" si="8"/>
        <v>58640900</v>
      </c>
      <c r="G43" s="296">
        <f t="shared" si="8"/>
        <v>59814200</v>
      </c>
      <c r="H43" s="296">
        <f t="shared" si="8"/>
        <v>60641300</v>
      </c>
      <c r="I43" s="296">
        <f t="shared" si="8"/>
        <v>62066400</v>
      </c>
      <c r="J43" s="296">
        <f t="shared" si="8"/>
        <v>63551600</v>
      </c>
      <c r="K43" s="314">
        <f t="shared" si="8"/>
        <v>64821800</v>
      </c>
    </row>
    <row r="44" spans="1:12" x14ac:dyDescent="0.25">
      <c r="A44" s="7"/>
      <c r="B44" s="317"/>
      <c r="C44" s="298"/>
      <c r="D44" s="298"/>
      <c r="E44" s="298"/>
      <c r="F44" s="298"/>
      <c r="G44" s="298"/>
      <c r="H44" s="298"/>
      <c r="I44" s="298"/>
      <c r="J44" s="298"/>
      <c r="K44" s="313"/>
    </row>
    <row r="45" spans="1:12" x14ac:dyDescent="0.25">
      <c r="A45" s="12" t="s">
        <v>40</v>
      </c>
      <c r="B45" s="317"/>
      <c r="C45" s="298"/>
      <c r="D45" s="298"/>
      <c r="E45" s="298"/>
      <c r="F45" s="298"/>
      <c r="G45" s="298"/>
      <c r="H45" s="298"/>
      <c r="I45" s="298"/>
      <c r="J45" s="298"/>
      <c r="K45" s="313"/>
    </row>
    <row r="46" spans="1:12" x14ac:dyDescent="0.25">
      <c r="A46" s="7" t="s">
        <v>41</v>
      </c>
      <c r="B46" s="317">
        <f>operatingdata!E2130+salarieswages!B22</f>
        <v>17488400</v>
      </c>
      <c r="C46" s="298">
        <f>operatingdata!F2130+salarieswages!C37</f>
        <v>17754600</v>
      </c>
      <c r="D46" s="298">
        <f>operatingdata!G2130+salarieswages!D37</f>
        <v>18109200</v>
      </c>
      <c r="E46" s="298">
        <f>operatingdata!H2130+salarieswages!E37</f>
        <v>18471200</v>
      </c>
      <c r="F46" s="298">
        <f>operatingdata!I2130+salarieswages!F37</f>
        <v>18840300</v>
      </c>
      <c r="G46" s="298">
        <f>operatingdata!J2130+salarieswages!G37</f>
        <v>19216800</v>
      </c>
      <c r="H46" s="298">
        <f>operatingdata!K2130+salarieswages!H37</f>
        <v>19600600</v>
      </c>
      <c r="I46" s="298">
        <f>operatingdata!L2130+salarieswages!I37</f>
        <v>20086300</v>
      </c>
      <c r="J46" s="298">
        <f>operatingdata!M2130+salarieswages!J37</f>
        <v>20584400</v>
      </c>
      <c r="K46" s="313">
        <f>operatingdata!N2130+salarieswages!K37</f>
        <v>21094500</v>
      </c>
    </row>
    <row r="47" spans="1:12" x14ac:dyDescent="0.25">
      <c r="A47" s="7" t="s">
        <v>42</v>
      </c>
      <c r="B47" s="317">
        <f>operatingdata!E2131</f>
        <v>1041800</v>
      </c>
      <c r="C47" s="298">
        <f>operatingdata!F2131</f>
        <v>1074000</v>
      </c>
      <c r="D47" s="298">
        <f>operatingdata!G2131</f>
        <v>1111100</v>
      </c>
      <c r="E47" s="298">
        <f>operatingdata!H2131</f>
        <v>1146300</v>
      </c>
      <c r="F47" s="298">
        <f>operatingdata!I2131</f>
        <v>1082200</v>
      </c>
      <c r="G47" s="298">
        <f>operatingdata!J2131</f>
        <v>1014600</v>
      </c>
      <c r="H47" s="298">
        <f>operatingdata!K2131</f>
        <v>847700</v>
      </c>
      <c r="I47" s="298">
        <f>operatingdata!L2131</f>
        <v>783400</v>
      </c>
      <c r="J47" s="298">
        <f>operatingdata!M2131</f>
        <v>724500</v>
      </c>
      <c r="K47" s="313">
        <f>operatingdata!N2131</f>
        <v>669200</v>
      </c>
    </row>
    <row r="48" spans="1:12" x14ac:dyDescent="0.25">
      <c r="A48" s="7" t="s">
        <v>43</v>
      </c>
      <c r="B48" s="317">
        <f>operatingdata!E2132-salarieswages!B22</f>
        <v>18500900</v>
      </c>
      <c r="C48" s="298">
        <f>operatingdata!F2132-salarieswages!C37</f>
        <v>18140200</v>
      </c>
      <c r="D48" s="298">
        <f>operatingdata!G2132-salarieswages!D37</f>
        <v>18682100</v>
      </c>
      <c r="E48" s="298">
        <f>operatingdata!H2132-salarieswages!E37</f>
        <v>19284000</v>
      </c>
      <c r="F48" s="298">
        <f>operatingdata!I2132-salarieswages!F37</f>
        <v>20068900</v>
      </c>
      <c r="G48" s="298">
        <f>operatingdata!J2132-salarieswages!G37</f>
        <v>20483500</v>
      </c>
      <c r="H48" s="298">
        <f>operatingdata!K2132-salarieswages!H37</f>
        <v>20906700</v>
      </c>
      <c r="I48" s="298">
        <f>operatingdata!L2132-salarieswages!I37</f>
        <v>21439000</v>
      </c>
      <c r="J48" s="298">
        <f>operatingdata!M2132-salarieswages!J37</f>
        <v>21986200</v>
      </c>
      <c r="K48" s="313">
        <f>operatingdata!N2132-salarieswages!K37</f>
        <v>22542900</v>
      </c>
      <c r="L48" s="293"/>
    </row>
    <row r="49" spans="1:12" x14ac:dyDescent="0.25">
      <c r="A49" s="7" t="s">
        <v>44</v>
      </c>
      <c r="B49" s="317">
        <f>operatingdata!E2133</f>
        <v>8293600</v>
      </c>
      <c r="C49" s="298">
        <f>operatingdata!F2133</f>
        <v>8376500</v>
      </c>
      <c r="D49" s="298">
        <f>operatingdata!G2133</f>
        <v>8460500</v>
      </c>
      <c r="E49" s="298">
        <f>operatingdata!H2133</f>
        <v>8545300</v>
      </c>
      <c r="F49" s="298">
        <f>operatingdata!I2133</f>
        <v>8630700</v>
      </c>
      <c r="G49" s="298">
        <f>operatingdata!J2133</f>
        <v>8716700</v>
      </c>
      <c r="H49" s="298">
        <f>operatingdata!K2133</f>
        <v>8803700</v>
      </c>
      <c r="I49" s="298">
        <f>operatingdata!L2133</f>
        <v>8891600</v>
      </c>
      <c r="J49" s="298">
        <f>operatingdata!M2133</f>
        <v>8980000</v>
      </c>
      <c r="K49" s="313">
        <f>operatingdata!N2133</f>
        <v>9069800</v>
      </c>
    </row>
    <row r="50" spans="1:12" x14ac:dyDescent="0.25">
      <c r="A50" s="7" t="s">
        <v>45</v>
      </c>
      <c r="B50" s="317">
        <f ca="1">operatingdata!E2134</f>
        <v>4914500</v>
      </c>
      <c r="C50" s="298">
        <f ca="1">operatingdata!F2134</f>
        <v>4770300</v>
      </c>
      <c r="D50" s="298">
        <f ca="1">operatingdata!G2134</f>
        <v>4865000</v>
      </c>
      <c r="E50" s="298">
        <f ca="1">operatingdata!H2134</f>
        <v>5211900</v>
      </c>
      <c r="F50" s="298">
        <f ca="1">operatingdata!I2134</f>
        <v>5060600</v>
      </c>
      <c r="G50" s="298">
        <f ca="1">operatingdata!J2134</f>
        <v>5160800</v>
      </c>
      <c r="H50" s="298">
        <f ca="1">operatingdata!K2134</f>
        <v>5263000</v>
      </c>
      <c r="I50" s="298">
        <f ca="1">operatingdata!L2134</f>
        <v>5694500</v>
      </c>
      <c r="J50" s="298">
        <f ca="1">operatingdata!M2134</f>
        <v>5529100</v>
      </c>
      <c r="K50" s="313">
        <f ca="1">operatingdata!N2134</f>
        <v>5666900</v>
      </c>
    </row>
    <row r="51" spans="1:12" x14ac:dyDescent="0.25">
      <c r="A51" s="12" t="s">
        <v>46</v>
      </c>
      <c r="B51" s="318">
        <f ca="1">SUM(B46:B50)</f>
        <v>50239200</v>
      </c>
      <c r="C51" s="296">
        <f t="shared" ref="C51:K51" ca="1" si="9">SUM(C46:C50)</f>
        <v>50115600</v>
      </c>
      <c r="D51" s="296">
        <f t="shared" ca="1" si="9"/>
        <v>51227900</v>
      </c>
      <c r="E51" s="296">
        <f t="shared" ca="1" si="9"/>
        <v>52658700</v>
      </c>
      <c r="F51" s="296">
        <f t="shared" ca="1" si="9"/>
        <v>53682700</v>
      </c>
      <c r="G51" s="296">
        <f t="shared" ca="1" si="9"/>
        <v>54592400</v>
      </c>
      <c r="H51" s="296">
        <f t="shared" ca="1" si="9"/>
        <v>55421700</v>
      </c>
      <c r="I51" s="296">
        <f t="shared" ca="1" si="9"/>
        <v>56894800</v>
      </c>
      <c r="J51" s="296">
        <f t="shared" ca="1" si="9"/>
        <v>57804200</v>
      </c>
      <c r="K51" s="314">
        <f t="shared" ca="1" si="9"/>
        <v>59043300</v>
      </c>
      <c r="L51" s="293"/>
    </row>
    <row r="52" spans="1:12" x14ac:dyDescent="0.25">
      <c r="A52" s="7"/>
      <c r="B52" s="317"/>
      <c r="C52" s="298"/>
      <c r="D52" s="298"/>
      <c r="E52" s="298"/>
      <c r="F52" s="298"/>
      <c r="G52" s="298"/>
      <c r="H52" s="298"/>
      <c r="I52" s="298"/>
      <c r="J52" s="298"/>
      <c r="K52" s="313"/>
    </row>
    <row r="53" spans="1:12" ht="15.75" thickBot="1" x14ac:dyDescent="0.3">
      <c r="A53" s="12" t="s">
        <v>47</v>
      </c>
      <c r="B53" s="319">
        <f ca="1">B43-B51</f>
        <v>15017700</v>
      </c>
      <c r="C53" s="301">
        <f t="shared" ref="C53:K53" ca="1" si="10">C43-C51</f>
        <v>3002200</v>
      </c>
      <c r="D53" s="301">
        <f t="shared" ca="1" si="10"/>
        <v>2722200</v>
      </c>
      <c r="E53" s="301">
        <f t="shared" ca="1" si="10"/>
        <v>3726900</v>
      </c>
      <c r="F53" s="301">
        <f t="shared" ca="1" si="10"/>
        <v>4958200</v>
      </c>
      <c r="G53" s="301">
        <f t="shared" ca="1" si="10"/>
        <v>5221800</v>
      </c>
      <c r="H53" s="301">
        <f t="shared" ca="1" si="10"/>
        <v>5219600</v>
      </c>
      <c r="I53" s="301">
        <f t="shared" ca="1" si="10"/>
        <v>5171600</v>
      </c>
      <c r="J53" s="301">
        <f t="shared" ca="1" si="10"/>
        <v>5747400</v>
      </c>
      <c r="K53" s="315">
        <f t="shared" ca="1" si="10"/>
        <v>5778500</v>
      </c>
    </row>
    <row r="54" spans="1:12" ht="15.75" thickTop="1" x14ac:dyDescent="0.25">
      <c r="A54" s="7"/>
      <c r="B54" s="317"/>
      <c r="C54" s="298"/>
      <c r="D54" s="298"/>
      <c r="E54" s="298"/>
      <c r="F54" s="298"/>
      <c r="G54" s="298"/>
      <c r="H54" s="298"/>
      <c r="I54" s="298"/>
      <c r="J54" s="298"/>
      <c r="K54" s="313"/>
    </row>
    <row r="55" spans="1:12" x14ac:dyDescent="0.25">
      <c r="A55" s="12" t="s">
        <v>49</v>
      </c>
      <c r="B55" s="317"/>
      <c r="C55" s="298"/>
      <c r="D55" s="298"/>
      <c r="E55" s="298"/>
      <c r="F55" s="298"/>
      <c r="G55" s="298"/>
      <c r="H55" s="298"/>
      <c r="I55" s="298"/>
      <c r="J55" s="298"/>
      <c r="K55" s="313"/>
    </row>
    <row r="56" spans="1:12" x14ac:dyDescent="0.25">
      <c r="A56" s="12" t="s">
        <v>48</v>
      </c>
      <c r="B56" s="320">
        <f ca="1">B53-B42</f>
        <v>-1295300</v>
      </c>
      <c r="C56" s="321">
        <f t="shared" ref="C56:K56" ca="1" si="11">C53-C42</f>
        <v>1093100</v>
      </c>
      <c r="D56" s="321">
        <f t="shared" ca="1" si="11"/>
        <v>760600</v>
      </c>
      <c r="E56" s="321">
        <f t="shared" ca="1" si="11"/>
        <v>2162300</v>
      </c>
      <c r="F56" s="321">
        <f t="shared" ca="1" si="11"/>
        <v>3348900</v>
      </c>
      <c r="G56" s="321">
        <f t="shared" ca="1" si="11"/>
        <v>3849200</v>
      </c>
      <c r="H56" s="321">
        <f t="shared" ca="1" si="11"/>
        <v>4033400</v>
      </c>
      <c r="I56" s="321">
        <f t="shared" ca="1" si="11"/>
        <v>3971200</v>
      </c>
      <c r="J56" s="321">
        <f t="shared" ca="1" si="11"/>
        <v>4532200</v>
      </c>
      <c r="K56" s="322">
        <f t="shared" ca="1" si="11"/>
        <v>4948500</v>
      </c>
    </row>
    <row r="57" spans="1:12" x14ac:dyDescent="0.25">
      <c r="A57" s="8"/>
      <c r="B57" s="36"/>
      <c r="C57" s="37"/>
      <c r="D57" s="37"/>
      <c r="E57" s="37"/>
      <c r="F57" s="37"/>
      <c r="G57" s="37"/>
      <c r="H57" s="37"/>
      <c r="I57" s="37"/>
      <c r="J57" s="37"/>
      <c r="K57" s="38"/>
    </row>
    <row r="59" spans="1:12" ht="18.75" x14ac:dyDescent="0.3">
      <c r="A59" s="496" t="s">
        <v>33</v>
      </c>
      <c r="B59" s="497"/>
      <c r="C59" s="497"/>
      <c r="D59" s="497"/>
      <c r="E59" s="497"/>
      <c r="F59" s="497"/>
      <c r="G59" s="497"/>
      <c r="H59" s="497"/>
      <c r="I59" s="497"/>
      <c r="J59" s="497"/>
      <c r="K59" s="498"/>
    </row>
    <row r="60" spans="1:12" ht="18.75" x14ac:dyDescent="0.3">
      <c r="A60" s="499" t="s">
        <v>4610</v>
      </c>
      <c r="B60" s="500"/>
      <c r="C60" s="500"/>
      <c r="D60" s="500"/>
      <c r="E60" s="500"/>
      <c r="F60" s="500"/>
      <c r="G60" s="500"/>
      <c r="H60" s="500"/>
      <c r="I60" s="500"/>
      <c r="J60" s="500"/>
      <c r="K60" s="501"/>
    </row>
    <row r="61" spans="1:12" x14ac:dyDescent="0.25">
      <c r="A61" s="11"/>
      <c r="B61" s="29" t="s">
        <v>29</v>
      </c>
      <c r="C61" s="30"/>
      <c r="D61" s="30"/>
      <c r="E61" s="30"/>
      <c r="F61" s="30"/>
      <c r="G61" s="30"/>
      <c r="H61" s="30"/>
      <c r="I61" s="30"/>
      <c r="J61" s="30"/>
      <c r="K61" s="31"/>
    </row>
    <row r="62" spans="1:12" x14ac:dyDescent="0.25">
      <c r="A62" s="7"/>
      <c r="B62" s="32" t="s">
        <v>28</v>
      </c>
      <c r="C62" s="494" t="s">
        <v>30</v>
      </c>
      <c r="D62" s="494"/>
      <c r="E62" s="494"/>
      <c r="F62" s="494"/>
      <c r="G62" s="494"/>
      <c r="H62" s="494"/>
      <c r="I62" s="494"/>
      <c r="J62" s="494"/>
      <c r="K62" s="495"/>
    </row>
    <row r="63" spans="1:12" x14ac:dyDescent="0.25">
      <c r="A63" s="8"/>
      <c r="B63" s="40">
        <v>2017</v>
      </c>
      <c r="C63" s="41">
        <v>2018</v>
      </c>
      <c r="D63" s="41">
        <v>2019</v>
      </c>
      <c r="E63" s="41">
        <v>2020</v>
      </c>
      <c r="F63" s="41">
        <v>2021</v>
      </c>
      <c r="G63" s="41">
        <v>2022</v>
      </c>
      <c r="H63" s="41">
        <v>2023</v>
      </c>
      <c r="I63" s="41">
        <v>2024</v>
      </c>
      <c r="J63" s="41">
        <v>2025</v>
      </c>
      <c r="K63" s="42">
        <v>2026</v>
      </c>
    </row>
    <row r="64" spans="1:12" x14ac:dyDescent="0.25">
      <c r="A64" s="7"/>
      <c r="B64" s="317"/>
      <c r="C64" s="298"/>
      <c r="D64" s="298"/>
      <c r="E64" s="298"/>
      <c r="F64" s="298"/>
      <c r="G64" s="298"/>
      <c r="H64" s="298"/>
      <c r="I64" s="298"/>
      <c r="J64" s="298"/>
      <c r="K64" s="313"/>
    </row>
    <row r="65" spans="1:11" x14ac:dyDescent="0.25">
      <c r="A65" s="12" t="s">
        <v>31</v>
      </c>
      <c r="B65" s="317"/>
      <c r="C65" s="298"/>
      <c r="D65" s="298"/>
      <c r="E65" s="298"/>
      <c r="F65" s="298"/>
      <c r="G65" s="298"/>
      <c r="H65" s="298"/>
      <c r="I65" s="298"/>
      <c r="J65" s="298"/>
      <c r="K65" s="313"/>
    </row>
    <row r="66" spans="1:11" x14ac:dyDescent="0.25">
      <c r="A66" s="7" t="s">
        <v>32</v>
      </c>
      <c r="B66" s="317">
        <f>operatingdata!E2106</f>
        <v>10050700</v>
      </c>
      <c r="C66" s="298">
        <f>operatingdata!F2106</f>
        <v>10049000</v>
      </c>
      <c r="D66" s="298">
        <f>operatingdata!G2106</f>
        <v>10046800</v>
      </c>
      <c r="E66" s="298">
        <f>operatingdata!H2106</f>
        <v>10044500</v>
      </c>
      <c r="F66" s="298">
        <f>operatingdata!I2106</f>
        <v>10042200</v>
      </c>
      <c r="G66" s="298">
        <f>operatingdata!J2106</f>
        <v>10039800</v>
      </c>
      <c r="H66" s="298">
        <f>operatingdata!K2106</f>
        <v>10037400</v>
      </c>
      <c r="I66" s="298">
        <f>operatingdata!L2106</f>
        <v>10034900</v>
      </c>
      <c r="J66" s="298">
        <f>operatingdata!M2106</f>
        <v>10032400</v>
      </c>
      <c r="K66" s="313">
        <f>operatingdata!N2106</f>
        <v>10029800</v>
      </c>
    </row>
    <row r="67" spans="1:11" x14ac:dyDescent="0.25">
      <c r="A67" s="7" t="s">
        <v>34</v>
      </c>
      <c r="B67" s="317">
        <f>operatingdata!E2107</f>
        <v>5130200</v>
      </c>
      <c r="C67" s="298">
        <f>operatingdata!F2107</f>
        <v>4699900</v>
      </c>
      <c r="D67" s="298">
        <f>operatingdata!G2107</f>
        <v>4707300</v>
      </c>
      <c r="E67" s="298">
        <f>operatingdata!H2107</f>
        <v>4714800</v>
      </c>
      <c r="F67" s="298">
        <f>operatingdata!I2107</f>
        <v>4722500</v>
      </c>
      <c r="G67" s="298">
        <f>operatingdata!J2107</f>
        <v>4730300</v>
      </c>
      <c r="H67" s="298">
        <f>operatingdata!K2107</f>
        <v>4738400</v>
      </c>
      <c r="I67" s="298">
        <f>operatingdata!L2107</f>
        <v>4746700</v>
      </c>
      <c r="J67" s="298">
        <f>operatingdata!M2107</f>
        <v>4755100</v>
      </c>
      <c r="K67" s="313">
        <f>operatingdata!N2107</f>
        <v>4763700</v>
      </c>
    </row>
    <row r="68" spans="1:11" x14ac:dyDescent="0.25">
      <c r="A68" s="7" t="s">
        <v>35</v>
      </c>
      <c r="B68" s="317">
        <f>operatingdata!E2108</f>
        <v>192900</v>
      </c>
      <c r="C68" s="298">
        <f>operatingdata!F2108</f>
        <v>441700</v>
      </c>
      <c r="D68" s="298">
        <f>operatingdata!G2108</f>
        <v>459800</v>
      </c>
      <c r="E68" s="298">
        <f>operatingdata!H2108</f>
        <v>286300</v>
      </c>
      <c r="F68" s="298">
        <f>operatingdata!I2108</f>
        <v>317400</v>
      </c>
      <c r="G68" s="298">
        <f>operatingdata!J2108</f>
        <v>342400</v>
      </c>
      <c r="H68" s="298">
        <f>operatingdata!K2108</f>
        <v>390800</v>
      </c>
      <c r="I68" s="298">
        <f>operatingdata!L2108</f>
        <v>407400</v>
      </c>
      <c r="J68" s="298">
        <f>operatingdata!M2108</f>
        <v>406900</v>
      </c>
      <c r="K68" s="313">
        <f>operatingdata!N2108</f>
        <v>197700</v>
      </c>
    </row>
    <row r="69" spans="1:11" x14ac:dyDescent="0.25">
      <c r="A69" s="7" t="s">
        <v>36</v>
      </c>
      <c r="B69" s="317">
        <f>operatingdata!E2109</f>
        <v>0</v>
      </c>
      <c r="C69" s="298">
        <f>operatingdata!F2109</f>
        <v>0</v>
      </c>
      <c r="D69" s="298">
        <f>operatingdata!G2109</f>
        <v>0</v>
      </c>
      <c r="E69" s="298">
        <f>operatingdata!H2109</f>
        <v>0</v>
      </c>
      <c r="F69" s="298">
        <f>operatingdata!I2109</f>
        <v>0</v>
      </c>
      <c r="G69" s="298">
        <f>operatingdata!J2109</f>
        <v>0</v>
      </c>
      <c r="H69" s="298">
        <f>operatingdata!K2109</f>
        <v>0</v>
      </c>
      <c r="I69" s="298">
        <f>operatingdata!L2109</f>
        <v>0</v>
      </c>
      <c r="J69" s="298">
        <f>operatingdata!M2109</f>
        <v>0</v>
      </c>
      <c r="K69" s="313">
        <f>operatingdata!N2109</f>
        <v>0</v>
      </c>
    </row>
    <row r="70" spans="1:11" x14ac:dyDescent="0.25">
      <c r="A70" s="7" t="s">
        <v>37</v>
      </c>
      <c r="B70" s="317">
        <f>operatingdata!E2110</f>
        <v>100700</v>
      </c>
      <c r="C70" s="298">
        <f>operatingdata!F2110</f>
        <v>102700</v>
      </c>
      <c r="D70" s="298">
        <f>operatingdata!G2110</f>
        <v>105300</v>
      </c>
      <c r="E70" s="298">
        <f>operatingdata!H2110</f>
        <v>107900</v>
      </c>
      <c r="F70" s="298">
        <f>operatingdata!I2110</f>
        <v>110600</v>
      </c>
      <c r="G70" s="298">
        <f>operatingdata!J2110</f>
        <v>113400</v>
      </c>
      <c r="H70" s="298">
        <f>operatingdata!K2110</f>
        <v>116200</v>
      </c>
      <c r="I70" s="298">
        <f>operatingdata!L2110</f>
        <v>119100</v>
      </c>
      <c r="J70" s="298">
        <f>operatingdata!M2110</f>
        <v>122100</v>
      </c>
      <c r="K70" s="313">
        <f>operatingdata!N2110</f>
        <v>125200</v>
      </c>
    </row>
    <row r="71" spans="1:11" x14ac:dyDescent="0.25">
      <c r="A71" s="7" t="s">
        <v>38</v>
      </c>
      <c r="B71" s="317">
        <f>capitalrevdata!E319+capitalrevdata!E331</f>
        <v>1400000</v>
      </c>
      <c r="C71" s="298">
        <f>capitalrevdata!F319+capitalrevdata!F331</f>
        <v>1400000</v>
      </c>
      <c r="D71" s="298">
        <f>capitalrevdata!G319+capitalrevdata!G331</f>
        <v>1400000</v>
      </c>
      <c r="E71" s="298">
        <f>capitalrevdata!H319+capitalrevdata!H331</f>
        <v>1400000</v>
      </c>
      <c r="F71" s="298">
        <f>capitalrevdata!I319+capitalrevdata!I331</f>
        <v>1400000</v>
      </c>
      <c r="G71" s="298">
        <f>capitalrevdata!J319+capitalrevdata!J331</f>
        <v>1400000</v>
      </c>
      <c r="H71" s="298">
        <f>capitalrevdata!K319+capitalrevdata!K331</f>
        <v>1400000</v>
      </c>
      <c r="I71" s="298">
        <f>capitalrevdata!L319+capitalrevdata!L331</f>
        <v>1400000</v>
      </c>
      <c r="J71" s="298">
        <f>capitalrevdata!M319+capitalrevdata!M331</f>
        <v>1400000</v>
      </c>
      <c r="K71" s="313">
        <f>capitalrevdata!N319+capitalrevdata!N331</f>
        <v>1400000</v>
      </c>
    </row>
    <row r="72" spans="1:11" x14ac:dyDescent="0.25">
      <c r="A72" s="12" t="s">
        <v>39</v>
      </c>
      <c r="B72" s="318">
        <f>SUM(B66:B71)</f>
        <v>16874500</v>
      </c>
      <c r="C72" s="296">
        <f t="shared" ref="C72:K72" si="12">SUM(C66:C71)</f>
        <v>16693300</v>
      </c>
      <c r="D72" s="296">
        <f t="shared" si="12"/>
        <v>16719200</v>
      </c>
      <c r="E72" s="296">
        <f t="shared" si="12"/>
        <v>16553500</v>
      </c>
      <c r="F72" s="296">
        <f t="shared" si="12"/>
        <v>16592700</v>
      </c>
      <c r="G72" s="296">
        <f t="shared" si="12"/>
        <v>16625900</v>
      </c>
      <c r="H72" s="296">
        <f t="shared" si="12"/>
        <v>16682800</v>
      </c>
      <c r="I72" s="296">
        <f t="shared" si="12"/>
        <v>16708100</v>
      </c>
      <c r="J72" s="296">
        <f t="shared" si="12"/>
        <v>16716500</v>
      </c>
      <c r="K72" s="314">
        <f t="shared" si="12"/>
        <v>16516400</v>
      </c>
    </row>
    <row r="73" spans="1:11" x14ac:dyDescent="0.25">
      <c r="A73" s="7"/>
      <c r="B73" s="317"/>
      <c r="C73" s="298"/>
      <c r="D73" s="298"/>
      <c r="E73" s="298"/>
      <c r="F73" s="298"/>
      <c r="G73" s="298"/>
      <c r="H73" s="298"/>
      <c r="I73" s="298"/>
      <c r="J73" s="298"/>
      <c r="K73" s="313"/>
    </row>
    <row r="74" spans="1:11" x14ac:dyDescent="0.25">
      <c r="A74" s="12" t="s">
        <v>40</v>
      </c>
      <c r="B74" s="317"/>
      <c r="C74" s="298"/>
      <c r="D74" s="298"/>
      <c r="E74" s="298"/>
      <c r="F74" s="298"/>
      <c r="G74" s="298"/>
      <c r="H74" s="298"/>
      <c r="I74" s="298"/>
      <c r="J74" s="298"/>
      <c r="K74" s="313"/>
    </row>
    <row r="75" spans="1:11" x14ac:dyDescent="0.25">
      <c r="A75" s="7" t="s">
        <v>41</v>
      </c>
      <c r="B75" s="317">
        <f>operatingdata!E2114+salarieswages!B24</f>
        <v>1442800</v>
      </c>
      <c r="C75" s="298">
        <f>operatingdata!F2114+salarieswages!C44</f>
        <v>1867800</v>
      </c>
      <c r="D75" s="298">
        <f>operatingdata!G2114+salarieswages!D44</f>
        <v>1905700</v>
      </c>
      <c r="E75" s="298">
        <f>operatingdata!H2114+salarieswages!E44</f>
        <v>1943700</v>
      </c>
      <c r="F75" s="298">
        <f>operatingdata!I2114+salarieswages!F44</f>
        <v>1982600</v>
      </c>
      <c r="G75" s="298">
        <f>operatingdata!J2114+salarieswages!G44</f>
        <v>2022400</v>
      </c>
      <c r="H75" s="298">
        <f>operatingdata!K2114+salarieswages!H44</f>
        <v>2063100</v>
      </c>
      <c r="I75" s="298">
        <f>operatingdata!L2114+salarieswages!I44</f>
        <v>2114900</v>
      </c>
      <c r="J75" s="298">
        <f>operatingdata!M2114+salarieswages!J44</f>
        <v>2167700</v>
      </c>
      <c r="K75" s="313">
        <f>operatingdata!N2114+salarieswages!K44</f>
        <v>2222300</v>
      </c>
    </row>
    <row r="76" spans="1:11" x14ac:dyDescent="0.25">
      <c r="A76" s="7" t="s">
        <v>42</v>
      </c>
      <c r="B76" s="317">
        <f>operatingdata!E2115</f>
        <v>3530100</v>
      </c>
      <c r="C76" s="298">
        <f>operatingdata!F2115</f>
        <v>3365300</v>
      </c>
      <c r="D76" s="298">
        <f>operatingdata!G2115</f>
        <v>3253100</v>
      </c>
      <c r="E76" s="298">
        <f>operatingdata!H2115</f>
        <v>3143400</v>
      </c>
      <c r="F76" s="298">
        <f>operatingdata!I2115</f>
        <v>2982300</v>
      </c>
      <c r="G76" s="298">
        <f>operatingdata!J2115</f>
        <v>2865000</v>
      </c>
      <c r="H76" s="298">
        <f>operatingdata!K2115</f>
        <v>2709200</v>
      </c>
      <c r="I76" s="298">
        <f>operatingdata!L2115</f>
        <v>2546200</v>
      </c>
      <c r="J76" s="298">
        <f>operatingdata!M2115</f>
        <v>2348100</v>
      </c>
      <c r="K76" s="313">
        <f>operatingdata!N2115</f>
        <v>2184600</v>
      </c>
    </row>
    <row r="77" spans="1:11" x14ac:dyDescent="0.25">
      <c r="A77" s="7" t="s">
        <v>43</v>
      </c>
      <c r="B77" s="317">
        <f>operatingdata!E2116-salarieswages!B24</f>
        <v>6087700</v>
      </c>
      <c r="C77" s="298">
        <f>operatingdata!F2116-salarieswages!C44</f>
        <v>5775600</v>
      </c>
      <c r="D77" s="298">
        <f>operatingdata!G2116-salarieswages!D44</f>
        <v>5890500</v>
      </c>
      <c r="E77" s="298">
        <f>operatingdata!H2116-salarieswages!E44</f>
        <v>6008400</v>
      </c>
      <c r="F77" s="298">
        <f>operatingdata!I2116-salarieswages!F44</f>
        <v>6128400</v>
      </c>
      <c r="G77" s="298">
        <f>operatingdata!J2116-salarieswages!G44</f>
        <v>6250800</v>
      </c>
      <c r="H77" s="298">
        <f>operatingdata!K2116-salarieswages!H44</f>
        <v>6375800</v>
      </c>
      <c r="I77" s="298">
        <f>operatingdata!L2116-salarieswages!I44</f>
        <v>6535200</v>
      </c>
      <c r="J77" s="298">
        <f>operatingdata!M2116-salarieswages!J44</f>
        <v>6698700</v>
      </c>
      <c r="K77" s="313">
        <f>operatingdata!N2116-salarieswages!K44</f>
        <v>6866000</v>
      </c>
    </row>
    <row r="78" spans="1:11" x14ac:dyDescent="0.25">
      <c r="A78" s="7" t="s">
        <v>44</v>
      </c>
      <c r="B78" s="317">
        <f>operatingdata!E2117</f>
        <v>3051900</v>
      </c>
      <c r="C78" s="298">
        <f>operatingdata!F2117</f>
        <v>3082400</v>
      </c>
      <c r="D78" s="298">
        <f>operatingdata!G2117</f>
        <v>3113200</v>
      </c>
      <c r="E78" s="298">
        <f>operatingdata!H2117</f>
        <v>3144300</v>
      </c>
      <c r="F78" s="298">
        <f>operatingdata!I2117</f>
        <v>3175700</v>
      </c>
      <c r="G78" s="298">
        <f>operatingdata!J2117</f>
        <v>3207500</v>
      </c>
      <c r="H78" s="298">
        <f>operatingdata!K2117</f>
        <v>3239600</v>
      </c>
      <c r="I78" s="298">
        <f>operatingdata!L2117</f>
        <v>3272000</v>
      </c>
      <c r="J78" s="298">
        <f>operatingdata!M2117</f>
        <v>3304700</v>
      </c>
      <c r="K78" s="313">
        <f>operatingdata!N2117</f>
        <v>3337700</v>
      </c>
    </row>
    <row r="79" spans="1:11" x14ac:dyDescent="0.25">
      <c r="A79" s="7" t="s">
        <v>45</v>
      </c>
      <c r="B79" s="317">
        <f ca="1">operatingdata!E2118</f>
        <v>0</v>
      </c>
      <c r="C79" s="298">
        <f ca="1">operatingdata!F2118</f>
        <v>0</v>
      </c>
      <c r="D79" s="298">
        <f ca="1">operatingdata!G2118</f>
        <v>0</v>
      </c>
      <c r="E79" s="298">
        <f ca="1">operatingdata!H2118</f>
        <v>0</v>
      </c>
      <c r="F79" s="298">
        <f ca="1">operatingdata!I2118</f>
        <v>0</v>
      </c>
      <c r="G79" s="298">
        <f ca="1">operatingdata!J2118</f>
        <v>0</v>
      </c>
      <c r="H79" s="298">
        <f ca="1">operatingdata!K2118</f>
        <v>0</v>
      </c>
      <c r="I79" s="298">
        <f ca="1">operatingdata!L2118</f>
        <v>0</v>
      </c>
      <c r="J79" s="298">
        <f ca="1">operatingdata!M2118</f>
        <v>0</v>
      </c>
      <c r="K79" s="313">
        <f ca="1">operatingdata!N2118</f>
        <v>0</v>
      </c>
    </row>
    <row r="80" spans="1:11" x14ac:dyDescent="0.25">
      <c r="A80" s="12" t="s">
        <v>46</v>
      </c>
      <c r="B80" s="318">
        <f ca="1">SUM(B75:B79)</f>
        <v>14112500</v>
      </c>
      <c r="C80" s="296">
        <f t="shared" ref="C80:K80" ca="1" si="13">SUM(C75:C79)</f>
        <v>14091100</v>
      </c>
      <c r="D80" s="296">
        <f t="shared" ca="1" si="13"/>
        <v>14162500</v>
      </c>
      <c r="E80" s="296">
        <f t="shared" ca="1" si="13"/>
        <v>14239800</v>
      </c>
      <c r="F80" s="296">
        <f t="shared" ca="1" si="13"/>
        <v>14269000</v>
      </c>
      <c r="G80" s="296">
        <f t="shared" ca="1" si="13"/>
        <v>14345700</v>
      </c>
      <c r="H80" s="296">
        <f t="shared" ca="1" si="13"/>
        <v>14387700</v>
      </c>
      <c r="I80" s="296">
        <f t="shared" ca="1" si="13"/>
        <v>14468300</v>
      </c>
      <c r="J80" s="296">
        <f t="shared" ca="1" si="13"/>
        <v>14519200</v>
      </c>
      <c r="K80" s="314">
        <f t="shared" ca="1" si="13"/>
        <v>14610600</v>
      </c>
    </row>
    <row r="81" spans="1:11" x14ac:dyDescent="0.25">
      <c r="A81" s="7"/>
      <c r="B81" s="317"/>
      <c r="C81" s="298"/>
      <c r="D81" s="298"/>
      <c r="E81" s="298"/>
      <c r="F81" s="298"/>
      <c r="G81" s="298"/>
      <c r="H81" s="298"/>
      <c r="I81" s="298"/>
      <c r="J81" s="298"/>
      <c r="K81" s="313"/>
    </row>
    <row r="82" spans="1:11" ht="15.75" thickBot="1" x14ac:dyDescent="0.3">
      <c r="A82" s="12" t="s">
        <v>47</v>
      </c>
      <c r="B82" s="319">
        <f ca="1">B72-B80</f>
        <v>2762000</v>
      </c>
      <c r="C82" s="301">
        <f t="shared" ref="C82:K82" ca="1" si="14">C72-C80</f>
        <v>2602200</v>
      </c>
      <c r="D82" s="301">
        <f t="shared" ca="1" si="14"/>
        <v>2556700</v>
      </c>
      <c r="E82" s="301">
        <f t="shared" ca="1" si="14"/>
        <v>2313700</v>
      </c>
      <c r="F82" s="301">
        <f t="shared" ca="1" si="14"/>
        <v>2323700</v>
      </c>
      <c r="G82" s="301">
        <f t="shared" ca="1" si="14"/>
        <v>2280200</v>
      </c>
      <c r="H82" s="301">
        <f t="shared" ca="1" si="14"/>
        <v>2295100</v>
      </c>
      <c r="I82" s="301">
        <f t="shared" ca="1" si="14"/>
        <v>2239800</v>
      </c>
      <c r="J82" s="301">
        <f t="shared" ca="1" si="14"/>
        <v>2197300</v>
      </c>
      <c r="K82" s="315">
        <f t="shared" ca="1" si="14"/>
        <v>1905800</v>
      </c>
    </row>
    <row r="83" spans="1:11" ht="15.75" thickTop="1" x14ac:dyDescent="0.25">
      <c r="A83" s="7"/>
      <c r="B83" s="317"/>
      <c r="C83" s="298"/>
      <c r="D83" s="298"/>
      <c r="E83" s="298"/>
      <c r="F83" s="298"/>
      <c r="G83" s="298"/>
      <c r="H83" s="298"/>
      <c r="I83" s="298"/>
      <c r="J83" s="298"/>
      <c r="K83" s="313"/>
    </row>
    <row r="84" spans="1:11" x14ac:dyDescent="0.25">
      <c r="A84" s="12" t="s">
        <v>49</v>
      </c>
      <c r="B84" s="317"/>
      <c r="C84" s="298"/>
      <c r="D84" s="298"/>
      <c r="E84" s="298"/>
      <c r="F84" s="298"/>
      <c r="G84" s="298"/>
      <c r="H84" s="298"/>
      <c r="I84" s="298"/>
      <c r="J84" s="298"/>
      <c r="K84" s="313"/>
    </row>
    <row r="85" spans="1:11" x14ac:dyDescent="0.25">
      <c r="A85" s="12" t="s">
        <v>48</v>
      </c>
      <c r="B85" s="320">
        <f ca="1">B82-B71</f>
        <v>1362000</v>
      </c>
      <c r="C85" s="321">
        <f t="shared" ref="C85:K85" ca="1" si="15">C82-C71</f>
        <v>1202200</v>
      </c>
      <c r="D85" s="321">
        <f t="shared" ca="1" si="15"/>
        <v>1156700</v>
      </c>
      <c r="E85" s="321">
        <f t="shared" ca="1" si="15"/>
        <v>913700</v>
      </c>
      <c r="F85" s="321">
        <f t="shared" ca="1" si="15"/>
        <v>923700</v>
      </c>
      <c r="G85" s="321">
        <f t="shared" ca="1" si="15"/>
        <v>880200</v>
      </c>
      <c r="H85" s="321">
        <f t="shared" ca="1" si="15"/>
        <v>895100</v>
      </c>
      <c r="I85" s="321">
        <f t="shared" ca="1" si="15"/>
        <v>839800</v>
      </c>
      <c r="J85" s="321">
        <f t="shared" ca="1" si="15"/>
        <v>797300</v>
      </c>
      <c r="K85" s="322">
        <f t="shared" ca="1" si="15"/>
        <v>505800</v>
      </c>
    </row>
    <row r="86" spans="1:11" x14ac:dyDescent="0.25">
      <c r="A86" s="8"/>
      <c r="B86" s="36"/>
      <c r="C86" s="37"/>
      <c r="D86" s="37"/>
      <c r="E86" s="37"/>
      <c r="F86" s="37"/>
      <c r="G86" s="37"/>
      <c r="H86" s="37"/>
      <c r="I86" s="37"/>
      <c r="J86" s="37"/>
      <c r="K86" s="38"/>
    </row>
    <row r="88" spans="1:11" ht="18.75" x14ac:dyDescent="0.3">
      <c r="A88" s="496" t="s">
        <v>33</v>
      </c>
      <c r="B88" s="497"/>
      <c r="C88" s="497"/>
      <c r="D88" s="497"/>
      <c r="E88" s="497"/>
      <c r="F88" s="497"/>
      <c r="G88" s="497"/>
      <c r="H88" s="497"/>
      <c r="I88" s="497"/>
      <c r="J88" s="497"/>
      <c r="K88" s="498"/>
    </row>
    <row r="89" spans="1:11" ht="18.75" x14ac:dyDescent="0.3">
      <c r="A89" s="499" t="s">
        <v>4611</v>
      </c>
      <c r="B89" s="500"/>
      <c r="C89" s="500"/>
      <c r="D89" s="500"/>
      <c r="E89" s="500"/>
      <c r="F89" s="500"/>
      <c r="G89" s="500"/>
      <c r="H89" s="500"/>
      <c r="I89" s="500"/>
      <c r="J89" s="500"/>
      <c r="K89" s="501"/>
    </row>
    <row r="90" spans="1:11" x14ac:dyDescent="0.25">
      <c r="A90" s="11"/>
      <c r="B90" s="29" t="s">
        <v>29</v>
      </c>
      <c r="C90" s="30"/>
      <c r="D90" s="30"/>
      <c r="E90" s="30"/>
      <c r="F90" s="30"/>
      <c r="G90" s="30"/>
      <c r="H90" s="30"/>
      <c r="I90" s="30"/>
      <c r="J90" s="30"/>
      <c r="K90" s="31"/>
    </row>
    <row r="91" spans="1:11" x14ac:dyDescent="0.25">
      <c r="A91" s="7"/>
      <c r="B91" s="32" t="s">
        <v>28</v>
      </c>
      <c r="C91" s="494" t="s">
        <v>30</v>
      </c>
      <c r="D91" s="494"/>
      <c r="E91" s="494"/>
      <c r="F91" s="494"/>
      <c r="G91" s="494"/>
      <c r="H91" s="494"/>
      <c r="I91" s="494"/>
      <c r="J91" s="494"/>
      <c r="K91" s="495"/>
    </row>
    <row r="92" spans="1:11" x14ac:dyDescent="0.25">
      <c r="A92" s="8"/>
      <c r="B92" s="40">
        <v>2017</v>
      </c>
      <c r="C92" s="41">
        <v>2018</v>
      </c>
      <c r="D92" s="41">
        <v>2019</v>
      </c>
      <c r="E92" s="41">
        <v>2020</v>
      </c>
      <c r="F92" s="41">
        <v>2021</v>
      </c>
      <c r="G92" s="41">
        <v>2022</v>
      </c>
      <c r="H92" s="41">
        <v>2023</v>
      </c>
      <c r="I92" s="41">
        <v>2024</v>
      </c>
      <c r="J92" s="41">
        <v>2025</v>
      </c>
      <c r="K92" s="42">
        <v>2026</v>
      </c>
    </row>
    <row r="93" spans="1:11" x14ac:dyDescent="0.25">
      <c r="A93" s="7"/>
      <c r="B93" s="28"/>
      <c r="C93" s="33"/>
      <c r="D93" s="33"/>
      <c r="E93" s="33"/>
      <c r="F93" s="33"/>
      <c r="G93" s="33"/>
      <c r="H93" s="33"/>
      <c r="I93" s="33"/>
      <c r="J93" s="33"/>
      <c r="K93" s="34"/>
    </row>
    <row r="94" spans="1:11" x14ac:dyDescent="0.25">
      <c r="A94" s="12" t="s">
        <v>31</v>
      </c>
      <c r="B94" s="317"/>
      <c r="C94" s="298"/>
      <c r="D94" s="298"/>
      <c r="E94" s="298"/>
      <c r="F94" s="298"/>
      <c r="G94" s="298"/>
      <c r="H94" s="298"/>
      <c r="I94" s="298"/>
      <c r="J94" s="298"/>
      <c r="K94" s="313"/>
    </row>
    <row r="95" spans="1:11" x14ac:dyDescent="0.25">
      <c r="A95" s="7" t="s">
        <v>32</v>
      </c>
      <c r="B95" s="317">
        <f>operatingdata!E2090</f>
        <v>2245100</v>
      </c>
      <c r="C95" s="298">
        <f>operatingdata!F2090</f>
        <v>2242700</v>
      </c>
      <c r="D95" s="298">
        <f>operatingdata!G2090</f>
        <v>2239600</v>
      </c>
      <c r="E95" s="298">
        <f>operatingdata!H2090</f>
        <v>2236400</v>
      </c>
      <c r="F95" s="298">
        <f>operatingdata!I2090</f>
        <v>2233100</v>
      </c>
      <c r="G95" s="298">
        <f>operatingdata!J2090</f>
        <v>2229700</v>
      </c>
      <c r="H95" s="298">
        <f>operatingdata!K2090</f>
        <v>2226300</v>
      </c>
      <c r="I95" s="298">
        <f>operatingdata!L2090</f>
        <v>2222800</v>
      </c>
      <c r="J95" s="298">
        <f>operatingdata!M2090</f>
        <v>2219200</v>
      </c>
      <c r="K95" s="313">
        <f>operatingdata!N2090</f>
        <v>2215500</v>
      </c>
    </row>
    <row r="96" spans="1:11" x14ac:dyDescent="0.25">
      <c r="A96" s="7" t="s">
        <v>34</v>
      </c>
      <c r="B96" s="317">
        <f>operatingdata!E2091</f>
        <v>6596800</v>
      </c>
      <c r="C96" s="298">
        <f>operatingdata!F2091</f>
        <v>6496000</v>
      </c>
      <c r="D96" s="298">
        <f>operatingdata!G2091</f>
        <v>6499300</v>
      </c>
      <c r="E96" s="298">
        <f>operatingdata!H2091</f>
        <v>6502800</v>
      </c>
      <c r="F96" s="298">
        <f>operatingdata!I2091</f>
        <v>6506400</v>
      </c>
      <c r="G96" s="298">
        <f>operatingdata!J2091</f>
        <v>6510000</v>
      </c>
      <c r="H96" s="298">
        <f>operatingdata!K2091</f>
        <v>6513700</v>
      </c>
      <c r="I96" s="298">
        <f>operatingdata!L2091</f>
        <v>6517500</v>
      </c>
      <c r="J96" s="298">
        <f>operatingdata!M2091</f>
        <v>6521300</v>
      </c>
      <c r="K96" s="313">
        <f>operatingdata!N2091</f>
        <v>6525200</v>
      </c>
    </row>
    <row r="97" spans="1:11" x14ac:dyDescent="0.25">
      <c r="A97" s="7" t="s">
        <v>35</v>
      </c>
      <c r="B97" s="317">
        <f>operatingdata!E2092</f>
        <v>131000</v>
      </c>
      <c r="C97" s="298">
        <f>operatingdata!F2092</f>
        <v>158500</v>
      </c>
      <c r="D97" s="298">
        <f>operatingdata!G2092</f>
        <v>142000</v>
      </c>
      <c r="E97" s="298">
        <f>operatingdata!H2092</f>
        <v>187500</v>
      </c>
      <c r="F97" s="298">
        <f>operatingdata!I2092</f>
        <v>194600</v>
      </c>
      <c r="G97" s="298">
        <f>operatingdata!J2092</f>
        <v>209100</v>
      </c>
      <c r="H97" s="298">
        <f>operatingdata!K2092</f>
        <v>211200</v>
      </c>
      <c r="I97" s="298">
        <f>operatingdata!L2092</f>
        <v>244000</v>
      </c>
      <c r="J97" s="298">
        <f>operatingdata!M2092</f>
        <v>278000</v>
      </c>
      <c r="K97" s="313">
        <f>operatingdata!N2092</f>
        <v>333600</v>
      </c>
    </row>
    <row r="98" spans="1:11" x14ac:dyDescent="0.25">
      <c r="A98" s="7" t="s">
        <v>36</v>
      </c>
      <c r="B98" s="317">
        <f>operatingdata!E2093</f>
        <v>0</v>
      </c>
      <c r="C98" s="298">
        <f>operatingdata!F2093</f>
        <v>0</v>
      </c>
      <c r="D98" s="298">
        <f>operatingdata!G2093</f>
        <v>0</v>
      </c>
      <c r="E98" s="298">
        <f>operatingdata!H2093</f>
        <v>0</v>
      </c>
      <c r="F98" s="298">
        <f>operatingdata!I2093</f>
        <v>0</v>
      </c>
      <c r="G98" s="298">
        <f>operatingdata!J2093</f>
        <v>0</v>
      </c>
      <c r="H98" s="298">
        <f>operatingdata!K2093</f>
        <v>0</v>
      </c>
      <c r="I98" s="298">
        <f>operatingdata!L2093</f>
        <v>0</v>
      </c>
      <c r="J98" s="298">
        <f>operatingdata!M2093</f>
        <v>0</v>
      </c>
      <c r="K98" s="313">
        <f>operatingdata!N2093</f>
        <v>0</v>
      </c>
    </row>
    <row r="99" spans="1:11" x14ac:dyDescent="0.25">
      <c r="A99" s="7" t="s">
        <v>37</v>
      </c>
      <c r="B99" s="317">
        <f>operatingdata!E2094</f>
        <v>102500</v>
      </c>
      <c r="C99" s="298">
        <f>operatingdata!F2094</f>
        <v>104600</v>
      </c>
      <c r="D99" s="298">
        <f>operatingdata!G2094</f>
        <v>107200</v>
      </c>
      <c r="E99" s="298">
        <f>operatingdata!H2094</f>
        <v>109900</v>
      </c>
      <c r="F99" s="298">
        <f>operatingdata!I2094</f>
        <v>112600</v>
      </c>
      <c r="G99" s="298">
        <f>operatingdata!J2094</f>
        <v>115400</v>
      </c>
      <c r="H99" s="298">
        <f>operatingdata!K2094</f>
        <v>118300</v>
      </c>
      <c r="I99" s="298">
        <f>operatingdata!L2094</f>
        <v>121300</v>
      </c>
      <c r="J99" s="298">
        <f>operatingdata!M2094</f>
        <v>124300</v>
      </c>
      <c r="K99" s="313">
        <f>operatingdata!N2094</f>
        <v>127400</v>
      </c>
    </row>
    <row r="100" spans="1:11" x14ac:dyDescent="0.25">
      <c r="A100" s="7" t="s">
        <v>38</v>
      </c>
      <c r="B100" s="317">
        <f>capitalrevdata!E259+capitalrevdata!E271</f>
        <v>600000</v>
      </c>
      <c r="C100" s="298">
        <f>capitalrevdata!F259+capitalrevdata!F271</f>
        <v>600000</v>
      </c>
      <c r="D100" s="298">
        <f>capitalrevdata!G259+capitalrevdata!G271</f>
        <v>600000</v>
      </c>
      <c r="E100" s="298">
        <f>capitalrevdata!H259+capitalrevdata!H271</f>
        <v>600000</v>
      </c>
      <c r="F100" s="298">
        <f>capitalrevdata!I259+capitalrevdata!I271</f>
        <v>600000</v>
      </c>
      <c r="G100" s="298">
        <f>capitalrevdata!J259+capitalrevdata!J271</f>
        <v>600000</v>
      </c>
      <c r="H100" s="298">
        <f>capitalrevdata!K259+capitalrevdata!K271</f>
        <v>600000</v>
      </c>
      <c r="I100" s="298">
        <f>capitalrevdata!L259+capitalrevdata!L271</f>
        <v>600000</v>
      </c>
      <c r="J100" s="298">
        <f>capitalrevdata!M259+capitalrevdata!M271</f>
        <v>600000</v>
      </c>
      <c r="K100" s="313">
        <f>capitalrevdata!N259+capitalrevdata!N271</f>
        <v>600000</v>
      </c>
    </row>
    <row r="101" spans="1:11" x14ac:dyDescent="0.25">
      <c r="A101" s="12" t="s">
        <v>39</v>
      </c>
      <c r="B101" s="318">
        <f>SUM(B95:B100)</f>
        <v>9675400</v>
      </c>
      <c r="C101" s="296">
        <f t="shared" ref="C101:K101" si="16">SUM(C95:C100)</f>
        <v>9601800</v>
      </c>
      <c r="D101" s="296">
        <f t="shared" si="16"/>
        <v>9588100</v>
      </c>
      <c r="E101" s="296">
        <f t="shared" si="16"/>
        <v>9636600</v>
      </c>
      <c r="F101" s="296">
        <f t="shared" si="16"/>
        <v>9646700</v>
      </c>
      <c r="G101" s="296">
        <f t="shared" si="16"/>
        <v>9664200</v>
      </c>
      <c r="H101" s="296">
        <f t="shared" si="16"/>
        <v>9669500</v>
      </c>
      <c r="I101" s="296">
        <f t="shared" si="16"/>
        <v>9705600</v>
      </c>
      <c r="J101" s="296">
        <f t="shared" si="16"/>
        <v>9742800</v>
      </c>
      <c r="K101" s="314">
        <f t="shared" si="16"/>
        <v>9801700</v>
      </c>
    </row>
    <row r="102" spans="1:11" x14ac:dyDescent="0.25">
      <c r="A102" s="7"/>
      <c r="B102" s="317"/>
      <c r="C102" s="298"/>
      <c r="D102" s="298"/>
      <c r="E102" s="298"/>
      <c r="F102" s="298"/>
      <c r="G102" s="298"/>
      <c r="H102" s="298"/>
      <c r="I102" s="298"/>
      <c r="J102" s="298"/>
      <c r="K102" s="313"/>
    </row>
    <row r="103" spans="1:11" x14ac:dyDescent="0.25">
      <c r="A103" s="12" t="s">
        <v>40</v>
      </c>
      <c r="B103" s="317"/>
      <c r="C103" s="298"/>
      <c r="D103" s="298"/>
      <c r="E103" s="298"/>
      <c r="F103" s="298"/>
      <c r="G103" s="298"/>
      <c r="H103" s="298"/>
      <c r="I103" s="298"/>
      <c r="J103" s="298"/>
      <c r="K103" s="313"/>
    </row>
    <row r="104" spans="1:11" x14ac:dyDescent="0.25">
      <c r="A104" s="7" t="s">
        <v>41</v>
      </c>
      <c r="B104" s="317">
        <f>operatingdata!E2098+salarieswages!B23</f>
        <v>1442800</v>
      </c>
      <c r="C104" s="298">
        <f>operatingdata!F2098+salarieswages!C43</f>
        <v>1850700</v>
      </c>
      <c r="D104" s="298">
        <f>operatingdata!G2098+salarieswages!D43</f>
        <v>1888100</v>
      </c>
      <c r="E104" s="298">
        <f>operatingdata!H2098+salarieswages!E43</f>
        <v>1925400</v>
      </c>
      <c r="F104" s="298">
        <f>operatingdata!I2098+salarieswages!F43</f>
        <v>1963800</v>
      </c>
      <c r="G104" s="298">
        <f>operatingdata!J2098+salarieswages!G43</f>
        <v>2003000</v>
      </c>
      <c r="H104" s="298">
        <f>operatingdata!K2098+salarieswages!H43</f>
        <v>2043300</v>
      </c>
      <c r="I104" s="298">
        <f>operatingdata!L2098+salarieswages!I43</f>
        <v>2094600</v>
      </c>
      <c r="J104" s="298">
        <f>operatingdata!M2098+salarieswages!J43</f>
        <v>2146800</v>
      </c>
      <c r="K104" s="313">
        <f>operatingdata!N2098+salarieswages!K43</f>
        <v>2200900</v>
      </c>
    </row>
    <row r="105" spans="1:11" x14ac:dyDescent="0.25">
      <c r="A105" s="7" t="s">
        <v>42</v>
      </c>
      <c r="B105" s="317">
        <f>operatingdata!E2099</f>
        <v>0</v>
      </c>
      <c r="C105" s="298">
        <f>operatingdata!F2099</f>
        <v>0</v>
      </c>
      <c r="D105" s="298">
        <f>operatingdata!G2099</f>
        <v>0</v>
      </c>
      <c r="E105" s="298">
        <f>operatingdata!H2099</f>
        <v>0</v>
      </c>
      <c r="F105" s="298">
        <f>operatingdata!I2099</f>
        <v>0</v>
      </c>
      <c r="G105" s="298">
        <f>operatingdata!J2099</f>
        <v>0</v>
      </c>
      <c r="H105" s="298">
        <f>operatingdata!K2099</f>
        <v>0</v>
      </c>
      <c r="I105" s="298">
        <f>operatingdata!L2099</f>
        <v>0</v>
      </c>
      <c r="J105" s="298">
        <f>operatingdata!M2099</f>
        <v>0</v>
      </c>
      <c r="K105" s="313">
        <f>operatingdata!N2099</f>
        <v>0</v>
      </c>
    </row>
    <row r="106" spans="1:11" x14ac:dyDescent="0.25">
      <c r="A106" s="7" t="s">
        <v>43</v>
      </c>
      <c r="B106" s="317">
        <f>operatingdata!E2100-salarieswages!B23</f>
        <v>5738100</v>
      </c>
      <c r="C106" s="298">
        <f>operatingdata!F2100-salarieswages!C43</f>
        <v>5437800</v>
      </c>
      <c r="D106" s="298">
        <f>operatingdata!G2100-salarieswages!D43</f>
        <v>5546200</v>
      </c>
      <c r="E106" s="298">
        <f>operatingdata!H2100-salarieswages!E43</f>
        <v>5657500</v>
      </c>
      <c r="F106" s="298">
        <f>operatingdata!I2100-salarieswages!F43</f>
        <v>5770500</v>
      </c>
      <c r="G106" s="298">
        <f>operatingdata!J2100-salarieswages!G43</f>
        <v>5885900</v>
      </c>
      <c r="H106" s="298">
        <f>operatingdata!K2100-salarieswages!H43</f>
        <v>6003400</v>
      </c>
      <c r="I106" s="298">
        <f>operatingdata!L2100-salarieswages!I43</f>
        <v>6153400</v>
      </c>
      <c r="J106" s="298">
        <f>operatingdata!M2100-salarieswages!J43</f>
        <v>6307500</v>
      </c>
      <c r="K106" s="313">
        <f>operatingdata!N2100-salarieswages!K43</f>
        <v>6464900</v>
      </c>
    </row>
    <row r="107" spans="1:11" x14ac:dyDescent="0.25">
      <c r="A107" s="7" t="s">
        <v>44</v>
      </c>
      <c r="B107" s="317">
        <f>operatingdata!E2101</f>
        <v>1169600</v>
      </c>
      <c r="C107" s="298">
        <f>operatingdata!F2101</f>
        <v>1181300</v>
      </c>
      <c r="D107" s="298">
        <f>operatingdata!G2101</f>
        <v>1193100</v>
      </c>
      <c r="E107" s="298">
        <f>operatingdata!H2101</f>
        <v>1205000</v>
      </c>
      <c r="F107" s="298">
        <f>operatingdata!I2101</f>
        <v>1217100</v>
      </c>
      <c r="G107" s="298">
        <f>operatingdata!J2101</f>
        <v>1229300</v>
      </c>
      <c r="H107" s="298">
        <f>operatingdata!K2101</f>
        <v>1241600</v>
      </c>
      <c r="I107" s="298">
        <f>operatingdata!L2101</f>
        <v>1254000</v>
      </c>
      <c r="J107" s="298">
        <f>operatingdata!M2101</f>
        <v>1266500</v>
      </c>
      <c r="K107" s="313">
        <f>operatingdata!N2101</f>
        <v>1279200</v>
      </c>
    </row>
    <row r="108" spans="1:11" x14ac:dyDescent="0.25">
      <c r="A108" s="7" t="s">
        <v>45</v>
      </c>
      <c r="B108" s="317">
        <f>operatingdata!E2102</f>
        <v>10600</v>
      </c>
      <c r="C108" s="298">
        <f>operatingdata!F2102</f>
        <v>10800</v>
      </c>
      <c r="D108" s="298">
        <f>operatingdata!G2102</f>
        <v>11000</v>
      </c>
      <c r="E108" s="298">
        <f>operatingdata!H2102</f>
        <v>11200</v>
      </c>
      <c r="F108" s="298">
        <f>operatingdata!I2102</f>
        <v>11400</v>
      </c>
      <c r="G108" s="298">
        <f>operatingdata!J2102</f>
        <v>11600</v>
      </c>
      <c r="H108" s="298">
        <f>operatingdata!K2102</f>
        <v>11800</v>
      </c>
      <c r="I108" s="298">
        <f>operatingdata!L2102</f>
        <v>12000</v>
      </c>
      <c r="J108" s="298">
        <f>operatingdata!M2102</f>
        <v>12400</v>
      </c>
      <c r="K108" s="313">
        <f>operatingdata!N2102</f>
        <v>12800</v>
      </c>
    </row>
    <row r="109" spans="1:11" x14ac:dyDescent="0.25">
      <c r="A109" s="12" t="s">
        <v>46</v>
      </c>
      <c r="B109" s="318">
        <f>SUM(B104:B108)</f>
        <v>8361100</v>
      </c>
      <c r="C109" s="296">
        <f t="shared" ref="C109:K109" si="17">SUM(C104:C108)</f>
        <v>8480600</v>
      </c>
      <c r="D109" s="296">
        <f t="shared" si="17"/>
        <v>8638400</v>
      </c>
      <c r="E109" s="296">
        <f t="shared" si="17"/>
        <v>8799100</v>
      </c>
      <c r="F109" s="296">
        <f t="shared" si="17"/>
        <v>8962800</v>
      </c>
      <c r="G109" s="296">
        <f t="shared" si="17"/>
        <v>9129800</v>
      </c>
      <c r="H109" s="296">
        <f t="shared" si="17"/>
        <v>9300100</v>
      </c>
      <c r="I109" s="296">
        <f t="shared" si="17"/>
        <v>9514000</v>
      </c>
      <c r="J109" s="296">
        <f t="shared" si="17"/>
        <v>9733200</v>
      </c>
      <c r="K109" s="314">
        <f t="shared" si="17"/>
        <v>9957800</v>
      </c>
    </row>
    <row r="110" spans="1:11" x14ac:dyDescent="0.25">
      <c r="A110" s="7"/>
      <c r="B110" s="317"/>
      <c r="C110" s="298"/>
      <c r="D110" s="298"/>
      <c r="E110" s="298"/>
      <c r="F110" s="298"/>
      <c r="G110" s="298"/>
      <c r="H110" s="298"/>
      <c r="I110" s="298"/>
      <c r="J110" s="298"/>
      <c r="K110" s="313"/>
    </row>
    <row r="111" spans="1:11" ht="15.75" thickBot="1" x14ac:dyDescent="0.3">
      <c r="A111" s="12" t="s">
        <v>47</v>
      </c>
      <c r="B111" s="319">
        <f>B101-B109</f>
        <v>1314300</v>
      </c>
      <c r="C111" s="301">
        <f t="shared" ref="C111:K111" si="18">C101-C109</f>
        <v>1121200</v>
      </c>
      <c r="D111" s="301">
        <f t="shared" si="18"/>
        <v>949700</v>
      </c>
      <c r="E111" s="301">
        <f t="shared" si="18"/>
        <v>837500</v>
      </c>
      <c r="F111" s="301">
        <f t="shared" si="18"/>
        <v>683900</v>
      </c>
      <c r="G111" s="301">
        <f t="shared" si="18"/>
        <v>534400</v>
      </c>
      <c r="H111" s="301">
        <f t="shared" si="18"/>
        <v>369400</v>
      </c>
      <c r="I111" s="301">
        <f t="shared" si="18"/>
        <v>191600</v>
      </c>
      <c r="J111" s="301">
        <f t="shared" si="18"/>
        <v>9600</v>
      </c>
      <c r="K111" s="315">
        <f t="shared" si="18"/>
        <v>-156100</v>
      </c>
    </row>
    <row r="112" spans="1:11" ht="15.75" thickTop="1" x14ac:dyDescent="0.25">
      <c r="A112" s="7"/>
      <c r="B112" s="317"/>
      <c r="C112" s="298"/>
      <c r="D112" s="298"/>
      <c r="E112" s="298"/>
      <c r="F112" s="298"/>
      <c r="G112" s="298"/>
      <c r="H112" s="298"/>
      <c r="I112" s="298"/>
      <c r="J112" s="298"/>
      <c r="K112" s="313"/>
    </row>
    <row r="113" spans="1:11" x14ac:dyDescent="0.25">
      <c r="A113" s="12" t="s">
        <v>49</v>
      </c>
      <c r="B113" s="317"/>
      <c r="C113" s="298"/>
      <c r="D113" s="298"/>
      <c r="E113" s="298"/>
      <c r="F113" s="298"/>
      <c r="G113" s="298"/>
      <c r="H113" s="298"/>
      <c r="I113" s="298"/>
      <c r="J113" s="298"/>
      <c r="K113" s="313"/>
    </row>
    <row r="114" spans="1:11" x14ac:dyDescent="0.25">
      <c r="A114" s="12" t="s">
        <v>48</v>
      </c>
      <c r="B114" s="320">
        <f>B111-B100</f>
        <v>714300</v>
      </c>
      <c r="C114" s="321">
        <f t="shared" ref="C114:K114" si="19">C111-C100</f>
        <v>521200</v>
      </c>
      <c r="D114" s="321">
        <f t="shared" si="19"/>
        <v>349700</v>
      </c>
      <c r="E114" s="321">
        <f t="shared" si="19"/>
        <v>237500</v>
      </c>
      <c r="F114" s="321">
        <f t="shared" si="19"/>
        <v>83900</v>
      </c>
      <c r="G114" s="321">
        <f t="shared" si="19"/>
        <v>-65600</v>
      </c>
      <c r="H114" s="321">
        <f t="shared" si="19"/>
        <v>-230600</v>
      </c>
      <c r="I114" s="321">
        <f t="shared" si="19"/>
        <v>-408400</v>
      </c>
      <c r="J114" s="321">
        <f t="shared" si="19"/>
        <v>-590400</v>
      </c>
      <c r="K114" s="322">
        <f t="shared" si="19"/>
        <v>-756100</v>
      </c>
    </row>
    <row r="115" spans="1:11" x14ac:dyDescent="0.25">
      <c r="A115" s="8"/>
      <c r="B115" s="323"/>
      <c r="C115" s="324"/>
      <c r="D115" s="324"/>
      <c r="E115" s="324"/>
      <c r="F115" s="324"/>
      <c r="G115" s="324"/>
      <c r="H115" s="324"/>
      <c r="I115" s="324"/>
      <c r="J115" s="324"/>
      <c r="K115" s="325"/>
    </row>
  </sheetData>
  <mergeCells count="12">
    <mergeCell ref="C91:K91"/>
    <mergeCell ref="C4:K4"/>
    <mergeCell ref="A1:K1"/>
    <mergeCell ref="A2:K2"/>
    <mergeCell ref="A30:K30"/>
    <mergeCell ref="A31:K31"/>
    <mergeCell ref="C33:K33"/>
    <mergeCell ref="A59:K59"/>
    <mergeCell ref="A60:K60"/>
    <mergeCell ref="C62:K62"/>
    <mergeCell ref="A88:K88"/>
    <mergeCell ref="A89:K89"/>
  </mergeCells>
  <pageMargins left="0.70866141732283472" right="0.70866141732283472" top="0.74803149606299213" bottom="0.74803149606299213" header="0.31496062992125984" footer="0.31496062992125984"/>
  <pageSetup paperSize="9" scale="70" orientation="landscape" verticalDpi="0" r:id="rId1"/>
  <rowBreaks count="3" manualBreakCount="3">
    <brk id="29" max="16383" man="1"/>
    <brk id="58" max="16383" man="1"/>
    <brk id="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21"/>
  <sheetViews>
    <sheetView topLeftCell="A24" workbookViewId="0">
      <selection activeCell="A31" sqref="A31:K61"/>
    </sheetView>
  </sheetViews>
  <sheetFormatPr defaultRowHeight="15" x14ac:dyDescent="0.25"/>
  <cols>
    <col min="1" max="1" width="73.7109375" customWidth="1"/>
    <col min="2" max="2" width="11.5703125" bestFit="1" customWidth="1"/>
    <col min="3" max="4" width="10.7109375" customWidth="1"/>
    <col min="5" max="5" width="11.5703125" bestFit="1" customWidth="1"/>
    <col min="6" max="10" width="10.7109375" customWidth="1"/>
    <col min="11" max="11" width="11.5703125" bestFit="1" customWidth="1"/>
  </cols>
  <sheetData>
    <row r="1" spans="1:11" ht="18.75" x14ac:dyDescent="0.3">
      <c r="A1" s="496" t="s">
        <v>33</v>
      </c>
      <c r="B1" s="497"/>
      <c r="C1" s="497"/>
      <c r="D1" s="497"/>
      <c r="E1" s="497"/>
      <c r="F1" s="497"/>
      <c r="G1" s="497"/>
      <c r="H1" s="497"/>
      <c r="I1" s="497"/>
      <c r="J1" s="497"/>
      <c r="K1" s="498"/>
    </row>
    <row r="2" spans="1:11" ht="18.75" x14ac:dyDescent="0.3">
      <c r="A2" s="499" t="s">
        <v>4585</v>
      </c>
      <c r="B2" s="500"/>
      <c r="C2" s="500"/>
      <c r="D2" s="500"/>
      <c r="E2" s="500"/>
      <c r="F2" s="500"/>
      <c r="G2" s="500"/>
      <c r="H2" s="500"/>
      <c r="I2" s="500"/>
      <c r="J2" s="500"/>
      <c r="K2" s="501"/>
    </row>
    <row r="3" spans="1:11" x14ac:dyDescent="0.25">
      <c r="A3" s="11"/>
      <c r="B3" s="20" t="s">
        <v>29</v>
      </c>
      <c r="C3" s="1"/>
      <c r="D3" s="1"/>
      <c r="E3" s="1"/>
      <c r="F3" s="1"/>
      <c r="G3" s="1"/>
      <c r="H3" s="1"/>
      <c r="I3" s="1"/>
      <c r="J3" s="1"/>
      <c r="K3" s="4"/>
    </row>
    <row r="4" spans="1:11" x14ac:dyDescent="0.25">
      <c r="A4" s="7"/>
      <c r="B4" s="21" t="s">
        <v>28</v>
      </c>
      <c r="C4" s="502" t="s">
        <v>30</v>
      </c>
      <c r="D4" s="502"/>
      <c r="E4" s="502"/>
      <c r="F4" s="502"/>
      <c r="G4" s="502"/>
      <c r="H4" s="502"/>
      <c r="I4" s="502"/>
      <c r="J4" s="502"/>
      <c r="K4" s="503"/>
    </row>
    <row r="5" spans="1:11" x14ac:dyDescent="0.25">
      <c r="A5" s="8"/>
      <c r="B5" s="22">
        <v>2017</v>
      </c>
      <c r="C5" s="2">
        <v>2018</v>
      </c>
      <c r="D5" s="2">
        <v>2019</v>
      </c>
      <c r="E5" s="2">
        <v>2020</v>
      </c>
      <c r="F5" s="2">
        <v>2021</v>
      </c>
      <c r="G5" s="2">
        <v>2022</v>
      </c>
      <c r="H5" s="2">
        <v>2023</v>
      </c>
      <c r="I5" s="2">
        <v>2024</v>
      </c>
      <c r="J5" s="2">
        <v>2025</v>
      </c>
      <c r="K5" s="6">
        <v>2026</v>
      </c>
    </row>
    <row r="6" spans="1:11" x14ac:dyDescent="0.25">
      <c r="A6" s="7"/>
      <c r="B6" s="317"/>
      <c r="C6" s="298"/>
      <c r="D6" s="298"/>
      <c r="E6" s="298"/>
      <c r="F6" s="298"/>
      <c r="G6" s="298"/>
      <c r="H6" s="298"/>
      <c r="I6" s="298"/>
      <c r="J6" s="298"/>
      <c r="K6" s="313"/>
    </row>
    <row r="7" spans="1:11" x14ac:dyDescent="0.25">
      <c r="A7" s="12" t="s">
        <v>4393</v>
      </c>
      <c r="B7" s="317">
        <f t="shared" ref="B7:K7" ca="1" si="0">B37+B69+B99</f>
        <v>781000</v>
      </c>
      <c r="C7" s="298">
        <f t="shared" ca="1" si="0"/>
        <v>2816500</v>
      </c>
      <c r="D7" s="298">
        <f t="shared" ca="1" si="0"/>
        <v>2267000</v>
      </c>
      <c r="E7" s="298">
        <f t="shared" ca="1" si="0"/>
        <v>3313500</v>
      </c>
      <c r="F7" s="298">
        <f t="shared" ca="1" si="0"/>
        <v>4356500</v>
      </c>
      <c r="G7" s="298">
        <f t="shared" ca="1" si="0"/>
        <v>4663800</v>
      </c>
      <c r="H7" s="298">
        <f t="shared" ca="1" si="0"/>
        <v>4697900</v>
      </c>
      <c r="I7" s="298">
        <f t="shared" ca="1" si="0"/>
        <v>4402600</v>
      </c>
      <c r="J7" s="298">
        <f t="shared" ca="1" si="0"/>
        <v>4739100</v>
      </c>
      <c r="K7" s="313">
        <f t="shared" ca="1" si="0"/>
        <v>4698200</v>
      </c>
    </row>
    <row r="8" spans="1:11" x14ac:dyDescent="0.25">
      <c r="A8" s="7"/>
      <c r="B8" s="317"/>
      <c r="C8" s="298"/>
      <c r="D8" s="298"/>
      <c r="E8" s="298"/>
      <c r="F8" s="298"/>
      <c r="G8" s="298"/>
      <c r="H8" s="298"/>
      <c r="I8" s="298"/>
      <c r="J8" s="298"/>
      <c r="K8" s="313"/>
    </row>
    <row r="9" spans="1:11" x14ac:dyDescent="0.25">
      <c r="A9" s="12" t="s">
        <v>58</v>
      </c>
      <c r="B9" s="317"/>
      <c r="C9" s="298"/>
      <c r="D9" s="298"/>
      <c r="E9" s="298"/>
      <c r="F9" s="298"/>
      <c r="G9" s="298"/>
      <c r="H9" s="298"/>
      <c r="I9" s="298"/>
      <c r="J9" s="298"/>
      <c r="K9" s="313"/>
    </row>
    <row r="10" spans="1:11" x14ac:dyDescent="0.25">
      <c r="A10" s="7" t="s">
        <v>44</v>
      </c>
      <c r="B10" s="317">
        <f t="shared" ref="B10:K10" si="1">B40+B72+B102</f>
        <v>12515100</v>
      </c>
      <c r="C10" s="298">
        <f t="shared" si="1"/>
        <v>12640200</v>
      </c>
      <c r="D10" s="298">
        <f t="shared" si="1"/>
        <v>12766800</v>
      </c>
      <c r="E10" s="298">
        <f t="shared" si="1"/>
        <v>12894600</v>
      </c>
      <c r="F10" s="298">
        <f t="shared" si="1"/>
        <v>13023500</v>
      </c>
      <c r="G10" s="298">
        <f t="shared" si="1"/>
        <v>13153500</v>
      </c>
      <c r="H10" s="298">
        <f t="shared" si="1"/>
        <v>13284900</v>
      </c>
      <c r="I10" s="298">
        <f t="shared" si="1"/>
        <v>13417600</v>
      </c>
      <c r="J10" s="298">
        <f t="shared" si="1"/>
        <v>13551200</v>
      </c>
      <c r="K10" s="313">
        <f t="shared" si="1"/>
        <v>13686700</v>
      </c>
    </row>
    <row r="11" spans="1:11" x14ac:dyDescent="0.25">
      <c r="A11" s="7"/>
      <c r="B11" s="317"/>
      <c r="C11" s="298"/>
      <c r="D11" s="298"/>
      <c r="E11" s="298"/>
      <c r="F11" s="298"/>
      <c r="G11" s="298"/>
      <c r="H11" s="298"/>
      <c r="I11" s="298"/>
      <c r="J11" s="298"/>
      <c r="K11" s="313"/>
    </row>
    <row r="12" spans="1:11" x14ac:dyDescent="0.25">
      <c r="A12" s="12" t="s">
        <v>50</v>
      </c>
      <c r="B12" s="317"/>
      <c r="C12" s="298"/>
      <c r="D12" s="298"/>
      <c r="E12" s="298"/>
      <c r="F12" s="298"/>
      <c r="G12" s="298"/>
      <c r="H12" s="298"/>
      <c r="I12" s="298"/>
      <c r="J12" s="298"/>
      <c r="K12" s="313"/>
    </row>
    <row r="13" spans="1:11" x14ac:dyDescent="0.25">
      <c r="A13" s="7" t="s">
        <v>4390</v>
      </c>
      <c r="B13" s="317">
        <f t="shared" ref="B13:K13" si="2">B43+B75+B105</f>
        <v>18313000</v>
      </c>
      <c r="C13" s="298">
        <f t="shared" si="2"/>
        <v>3909100</v>
      </c>
      <c r="D13" s="298">
        <f t="shared" si="2"/>
        <v>3961600</v>
      </c>
      <c r="E13" s="298">
        <f t="shared" si="2"/>
        <v>3564600</v>
      </c>
      <c r="F13" s="298">
        <f t="shared" si="2"/>
        <v>3609300</v>
      </c>
      <c r="G13" s="298">
        <f t="shared" si="2"/>
        <v>3372600</v>
      </c>
      <c r="H13" s="298">
        <f t="shared" si="2"/>
        <v>3186200</v>
      </c>
      <c r="I13" s="298">
        <f t="shared" si="2"/>
        <v>3200400</v>
      </c>
      <c r="J13" s="298">
        <f t="shared" si="2"/>
        <v>3215200</v>
      </c>
      <c r="K13" s="313">
        <f t="shared" si="2"/>
        <v>2830000</v>
      </c>
    </row>
    <row r="14" spans="1:11" x14ac:dyDescent="0.25">
      <c r="A14" s="7" t="s">
        <v>51</v>
      </c>
      <c r="B14" s="317">
        <f t="shared" ref="B14:K14" si="3">B44+B76+B106</f>
        <v>1673000</v>
      </c>
      <c r="C14" s="298">
        <f t="shared" si="3"/>
        <v>0</v>
      </c>
      <c r="D14" s="298">
        <f t="shared" si="3"/>
        <v>0</v>
      </c>
      <c r="E14" s="298">
        <f t="shared" si="3"/>
        <v>0</v>
      </c>
      <c r="F14" s="298">
        <f t="shared" si="3"/>
        <v>0</v>
      </c>
      <c r="G14" s="298">
        <f t="shared" si="3"/>
        <v>0</v>
      </c>
      <c r="H14" s="298">
        <f t="shared" si="3"/>
        <v>0</v>
      </c>
      <c r="I14" s="298">
        <f t="shared" si="3"/>
        <v>0</v>
      </c>
      <c r="J14" s="298">
        <f t="shared" si="3"/>
        <v>0</v>
      </c>
      <c r="K14" s="313">
        <f t="shared" si="3"/>
        <v>0</v>
      </c>
    </row>
    <row r="15" spans="1:11" x14ac:dyDescent="0.25">
      <c r="A15" s="7" t="s">
        <v>52</v>
      </c>
      <c r="B15" s="317">
        <f t="shared" ref="B15:K15" si="4">B45+B77+B107</f>
        <v>0</v>
      </c>
      <c r="C15" s="298">
        <f t="shared" si="4"/>
        <v>2000000</v>
      </c>
      <c r="D15" s="298">
        <f t="shared" si="4"/>
        <v>2000000</v>
      </c>
      <c r="E15" s="298">
        <f t="shared" si="4"/>
        <v>2000000</v>
      </c>
      <c r="F15" s="298">
        <f t="shared" si="4"/>
        <v>0</v>
      </c>
      <c r="G15" s="298">
        <f t="shared" si="4"/>
        <v>0</v>
      </c>
      <c r="H15" s="298">
        <f t="shared" si="4"/>
        <v>0</v>
      </c>
      <c r="I15" s="298">
        <f t="shared" si="4"/>
        <v>0</v>
      </c>
      <c r="J15" s="298">
        <f t="shared" si="4"/>
        <v>0</v>
      </c>
      <c r="K15" s="313">
        <f t="shared" si="4"/>
        <v>0</v>
      </c>
    </row>
    <row r="16" spans="1:11" x14ac:dyDescent="0.25">
      <c r="A16" s="7" t="s">
        <v>53</v>
      </c>
      <c r="B16" s="317">
        <f t="shared" ref="B16:K16" si="5">B46+B78+B108</f>
        <v>0</v>
      </c>
      <c r="C16" s="298">
        <f t="shared" si="5"/>
        <v>0</v>
      </c>
      <c r="D16" s="298">
        <f t="shared" si="5"/>
        <v>0</v>
      </c>
      <c r="E16" s="298">
        <f t="shared" si="5"/>
        <v>0</v>
      </c>
      <c r="F16" s="298">
        <f t="shared" si="5"/>
        <v>0</v>
      </c>
      <c r="G16" s="298">
        <f t="shared" si="5"/>
        <v>0</v>
      </c>
      <c r="H16" s="298">
        <f t="shared" si="5"/>
        <v>0</v>
      </c>
      <c r="I16" s="298">
        <f t="shared" si="5"/>
        <v>0</v>
      </c>
      <c r="J16" s="298">
        <f t="shared" si="5"/>
        <v>0</v>
      </c>
      <c r="K16" s="313">
        <f t="shared" si="5"/>
        <v>0</v>
      </c>
    </row>
    <row r="17" spans="1:11" x14ac:dyDescent="0.25">
      <c r="A17" s="12" t="s">
        <v>54</v>
      </c>
      <c r="B17" s="318">
        <f t="shared" ref="B17:K17" ca="1" si="6">B7+B10+SUM(B13:B16)</f>
        <v>33282100</v>
      </c>
      <c r="C17" s="296">
        <f t="shared" ca="1" si="6"/>
        <v>21365800</v>
      </c>
      <c r="D17" s="296">
        <f t="shared" ca="1" si="6"/>
        <v>20995400</v>
      </c>
      <c r="E17" s="296">
        <f t="shared" ca="1" si="6"/>
        <v>21772700</v>
      </c>
      <c r="F17" s="296">
        <f t="shared" ca="1" si="6"/>
        <v>20989300</v>
      </c>
      <c r="G17" s="296">
        <f t="shared" ca="1" si="6"/>
        <v>21189900</v>
      </c>
      <c r="H17" s="296">
        <f t="shared" ca="1" si="6"/>
        <v>21169000</v>
      </c>
      <c r="I17" s="296">
        <f t="shared" ca="1" si="6"/>
        <v>21020600</v>
      </c>
      <c r="J17" s="296">
        <f t="shared" ca="1" si="6"/>
        <v>21505500</v>
      </c>
      <c r="K17" s="314">
        <f t="shared" ca="1" si="6"/>
        <v>21214900</v>
      </c>
    </row>
    <row r="18" spans="1:11" x14ac:dyDescent="0.25">
      <c r="A18" s="7"/>
      <c r="B18" s="317"/>
      <c r="C18" s="298"/>
      <c r="D18" s="298"/>
      <c r="E18" s="298"/>
      <c r="F18" s="298"/>
      <c r="G18" s="298"/>
      <c r="H18" s="298"/>
      <c r="I18" s="298"/>
      <c r="J18" s="298"/>
      <c r="K18" s="313"/>
    </row>
    <row r="19" spans="1:11" x14ac:dyDescent="0.25">
      <c r="A19" s="12" t="s">
        <v>59</v>
      </c>
      <c r="B19" s="317"/>
      <c r="C19" s="298"/>
      <c r="D19" s="298"/>
      <c r="E19" s="298"/>
      <c r="F19" s="298"/>
      <c r="G19" s="298"/>
      <c r="H19" s="298"/>
      <c r="I19" s="298"/>
      <c r="J19" s="298"/>
      <c r="K19" s="313"/>
    </row>
    <row r="20" spans="1:11" x14ac:dyDescent="0.25">
      <c r="A20" s="7" t="s">
        <v>55</v>
      </c>
      <c r="B20" s="317">
        <f t="shared" ref="B20:K20" si="7">B50+B82+B112</f>
        <v>52159600</v>
      </c>
      <c r="C20" s="298">
        <f t="shared" si="7"/>
        <v>20213511</v>
      </c>
      <c r="D20" s="298">
        <f t="shared" si="7"/>
        <v>12061031</v>
      </c>
      <c r="E20" s="298">
        <f t="shared" si="7"/>
        <v>24453405</v>
      </c>
      <c r="F20" s="298">
        <f t="shared" si="7"/>
        <v>11022934</v>
      </c>
      <c r="G20" s="298">
        <f t="shared" si="7"/>
        <v>10790953</v>
      </c>
      <c r="H20" s="298">
        <f t="shared" si="7"/>
        <v>11146814</v>
      </c>
      <c r="I20" s="298">
        <f t="shared" si="7"/>
        <v>11349481</v>
      </c>
      <c r="J20" s="298">
        <f t="shared" si="7"/>
        <v>13479240</v>
      </c>
      <c r="K20" s="313">
        <f t="shared" si="7"/>
        <v>23621402</v>
      </c>
    </row>
    <row r="21" spans="1:11" x14ac:dyDescent="0.25">
      <c r="A21" s="7" t="s">
        <v>56</v>
      </c>
      <c r="B21" s="317">
        <f t="shared" ref="B21:K21" si="8">B51+B83+B113</f>
        <v>2664300</v>
      </c>
      <c r="C21" s="298">
        <f t="shared" si="8"/>
        <v>2592200</v>
      </c>
      <c r="D21" s="298">
        <f t="shared" si="8"/>
        <v>2800000</v>
      </c>
      <c r="E21" s="298">
        <f t="shared" si="8"/>
        <v>2903900</v>
      </c>
      <c r="F21" s="298">
        <f t="shared" si="8"/>
        <v>3067600</v>
      </c>
      <c r="G21" s="298">
        <f t="shared" si="8"/>
        <v>3249500</v>
      </c>
      <c r="H21" s="298">
        <f t="shared" si="8"/>
        <v>3317200</v>
      </c>
      <c r="I21" s="298">
        <f t="shared" si="8"/>
        <v>3504300</v>
      </c>
      <c r="J21" s="298">
        <f t="shared" si="8"/>
        <v>2985200</v>
      </c>
      <c r="K21" s="313">
        <f t="shared" si="8"/>
        <v>3204000</v>
      </c>
    </row>
    <row r="22" spans="1:11" x14ac:dyDescent="0.25">
      <c r="A22" s="12" t="s">
        <v>57</v>
      </c>
      <c r="B22" s="318">
        <f t="shared" ref="B22:K22" si="9">SUM(B20:B21)</f>
        <v>54823900</v>
      </c>
      <c r="C22" s="296">
        <f t="shared" si="9"/>
        <v>22805711</v>
      </c>
      <c r="D22" s="296">
        <f t="shared" si="9"/>
        <v>14861031</v>
      </c>
      <c r="E22" s="296">
        <f t="shared" si="9"/>
        <v>27357305</v>
      </c>
      <c r="F22" s="296">
        <f t="shared" si="9"/>
        <v>14090534</v>
      </c>
      <c r="G22" s="296">
        <f t="shared" si="9"/>
        <v>14040453</v>
      </c>
      <c r="H22" s="296">
        <f t="shared" si="9"/>
        <v>14464014</v>
      </c>
      <c r="I22" s="296">
        <f t="shared" si="9"/>
        <v>14853781</v>
      </c>
      <c r="J22" s="296">
        <f t="shared" si="9"/>
        <v>16464440</v>
      </c>
      <c r="K22" s="314">
        <f t="shared" si="9"/>
        <v>26825402</v>
      </c>
    </row>
    <row r="23" spans="1:11" x14ac:dyDescent="0.25">
      <c r="A23" s="7"/>
      <c r="B23" s="317"/>
      <c r="C23" s="298"/>
      <c r="D23" s="298"/>
      <c r="E23" s="298"/>
      <c r="F23" s="298"/>
      <c r="G23" s="298"/>
      <c r="H23" s="298"/>
      <c r="I23" s="298"/>
      <c r="J23" s="298"/>
      <c r="K23" s="313"/>
    </row>
    <row r="24" spans="1:11" ht="15.75" thickBot="1" x14ac:dyDescent="0.3">
      <c r="A24" s="12" t="s">
        <v>4395</v>
      </c>
      <c r="B24" s="319">
        <f t="shared" ref="B24:K24" ca="1" si="10">B17-B22</f>
        <v>-21541800</v>
      </c>
      <c r="C24" s="301">
        <f t="shared" ca="1" si="10"/>
        <v>-1439911</v>
      </c>
      <c r="D24" s="301">
        <f t="shared" ca="1" si="10"/>
        <v>6134369</v>
      </c>
      <c r="E24" s="301">
        <f t="shared" ca="1" si="10"/>
        <v>-5584605</v>
      </c>
      <c r="F24" s="301">
        <f t="shared" ca="1" si="10"/>
        <v>6898766</v>
      </c>
      <c r="G24" s="301">
        <f t="shared" ca="1" si="10"/>
        <v>7149447</v>
      </c>
      <c r="H24" s="301">
        <f t="shared" ca="1" si="10"/>
        <v>6704986</v>
      </c>
      <c r="I24" s="301">
        <f t="shared" ca="1" si="10"/>
        <v>6166819</v>
      </c>
      <c r="J24" s="301">
        <f t="shared" ca="1" si="10"/>
        <v>5041060</v>
      </c>
      <c r="K24" s="315">
        <f t="shared" ca="1" si="10"/>
        <v>-5610502</v>
      </c>
    </row>
    <row r="25" spans="1:11" ht="15.75" thickTop="1" x14ac:dyDescent="0.25">
      <c r="A25" s="12"/>
      <c r="B25" s="398"/>
      <c r="C25" s="300"/>
      <c r="D25" s="300"/>
      <c r="E25" s="300"/>
      <c r="F25" s="300"/>
      <c r="G25" s="300"/>
      <c r="H25" s="300"/>
      <c r="I25" s="300"/>
      <c r="J25" s="300"/>
      <c r="K25" s="328"/>
    </row>
    <row r="26" spans="1:11" x14ac:dyDescent="0.25">
      <c r="A26" s="12" t="s">
        <v>4268</v>
      </c>
      <c r="B26" s="399">
        <f>B56+B88+B118</f>
        <v>-21579400</v>
      </c>
      <c r="C26" s="296">
        <f t="shared" ref="C26:K26" si="11">C56+C88+C118</f>
        <v>-1439911</v>
      </c>
      <c r="D26" s="296">
        <f t="shared" si="11"/>
        <v>6134369</v>
      </c>
      <c r="E26" s="296">
        <f t="shared" si="11"/>
        <v>-5584605</v>
      </c>
      <c r="F26" s="296">
        <f t="shared" si="11"/>
        <v>6898766</v>
      </c>
      <c r="G26" s="296">
        <f t="shared" si="11"/>
        <v>7149447</v>
      </c>
      <c r="H26" s="296">
        <f t="shared" si="11"/>
        <v>6704986</v>
      </c>
      <c r="I26" s="296">
        <f t="shared" si="11"/>
        <v>6166819</v>
      </c>
      <c r="J26" s="296">
        <f t="shared" si="11"/>
        <v>5041060</v>
      </c>
      <c r="K26" s="314">
        <f t="shared" si="11"/>
        <v>-5610502</v>
      </c>
    </row>
    <row r="27" spans="1:11" x14ac:dyDescent="0.25">
      <c r="A27" s="12"/>
      <c r="B27" s="398"/>
      <c r="C27" s="300"/>
      <c r="D27" s="300"/>
      <c r="E27" s="300"/>
      <c r="F27" s="300"/>
      <c r="G27" s="300"/>
      <c r="H27" s="300"/>
      <c r="I27" s="300"/>
      <c r="J27" s="300"/>
      <c r="K27" s="328"/>
    </row>
    <row r="28" spans="1:11" ht="15.75" thickBot="1" x14ac:dyDescent="0.3">
      <c r="A28" s="12" t="s">
        <v>4389</v>
      </c>
      <c r="B28" s="319">
        <f ca="1">B24-B26</f>
        <v>37600</v>
      </c>
      <c r="C28" s="301">
        <f t="shared" ref="C28:K28" ca="1" si="12">C24-C26</f>
        <v>0</v>
      </c>
      <c r="D28" s="301">
        <f t="shared" ca="1" si="12"/>
        <v>0</v>
      </c>
      <c r="E28" s="301">
        <f t="shared" ca="1" si="12"/>
        <v>0</v>
      </c>
      <c r="F28" s="301">
        <f t="shared" ca="1" si="12"/>
        <v>0</v>
      </c>
      <c r="G28" s="301">
        <f t="shared" ca="1" si="12"/>
        <v>0</v>
      </c>
      <c r="H28" s="301">
        <f t="shared" ca="1" si="12"/>
        <v>0</v>
      </c>
      <c r="I28" s="301">
        <f t="shared" ca="1" si="12"/>
        <v>0</v>
      </c>
      <c r="J28" s="301">
        <f t="shared" ca="1" si="12"/>
        <v>0</v>
      </c>
      <c r="K28" s="315">
        <f t="shared" ca="1" si="12"/>
        <v>0</v>
      </c>
    </row>
    <row r="29" spans="1:11" ht="15.75" thickTop="1" x14ac:dyDescent="0.25">
      <c r="A29" s="8"/>
      <c r="B29" s="323"/>
      <c r="C29" s="324"/>
      <c r="D29" s="324"/>
      <c r="E29" s="324"/>
      <c r="F29" s="324"/>
      <c r="G29" s="324"/>
      <c r="H29" s="324"/>
      <c r="I29" s="324"/>
      <c r="J29" s="324"/>
      <c r="K29" s="325"/>
    </row>
    <row r="30" spans="1:11" x14ac:dyDescent="0.25">
      <c r="C30" s="293"/>
    </row>
    <row r="31" spans="1:11" ht="18.75" x14ac:dyDescent="0.3">
      <c r="A31" s="496" t="s">
        <v>33</v>
      </c>
      <c r="B31" s="497"/>
      <c r="C31" s="497"/>
      <c r="D31" s="497"/>
      <c r="E31" s="497"/>
      <c r="F31" s="497"/>
      <c r="G31" s="497"/>
      <c r="H31" s="497"/>
      <c r="I31" s="497"/>
      <c r="J31" s="497"/>
      <c r="K31" s="498"/>
    </row>
    <row r="32" spans="1:11" ht="18.75" x14ac:dyDescent="0.3">
      <c r="A32" s="499" t="s">
        <v>4643</v>
      </c>
      <c r="B32" s="500"/>
      <c r="C32" s="500"/>
      <c r="D32" s="500"/>
      <c r="E32" s="500"/>
      <c r="F32" s="500"/>
      <c r="G32" s="500"/>
      <c r="H32" s="500"/>
      <c r="I32" s="500"/>
      <c r="J32" s="500"/>
      <c r="K32" s="501"/>
    </row>
    <row r="33" spans="1:11" x14ac:dyDescent="0.25">
      <c r="A33" s="11"/>
      <c r="B33" s="20" t="s">
        <v>29</v>
      </c>
      <c r="C33" s="1"/>
      <c r="D33" s="1"/>
      <c r="E33" s="1"/>
      <c r="F33" s="1"/>
      <c r="G33" s="1"/>
      <c r="H33" s="1"/>
      <c r="I33" s="1"/>
      <c r="J33" s="1"/>
      <c r="K33" s="4"/>
    </row>
    <row r="34" spans="1:11" x14ac:dyDescent="0.25">
      <c r="A34" s="7"/>
      <c r="B34" s="21" t="s">
        <v>28</v>
      </c>
      <c r="C34" s="502" t="s">
        <v>30</v>
      </c>
      <c r="D34" s="502"/>
      <c r="E34" s="502"/>
      <c r="F34" s="502"/>
      <c r="G34" s="502"/>
      <c r="H34" s="502"/>
      <c r="I34" s="502"/>
      <c r="J34" s="502"/>
      <c r="K34" s="503"/>
    </row>
    <row r="35" spans="1:11" x14ac:dyDescent="0.25">
      <c r="A35" s="8"/>
      <c r="B35" s="22">
        <v>2017</v>
      </c>
      <c r="C35" s="2">
        <v>2018</v>
      </c>
      <c r="D35" s="2">
        <v>2019</v>
      </c>
      <c r="E35" s="2">
        <v>2020</v>
      </c>
      <c r="F35" s="2">
        <v>2021</v>
      </c>
      <c r="G35" s="2">
        <v>2022</v>
      </c>
      <c r="H35" s="2">
        <v>2023</v>
      </c>
      <c r="I35" s="2">
        <v>2024</v>
      </c>
      <c r="J35" s="2">
        <v>2025</v>
      </c>
      <c r="K35" s="6">
        <v>2026</v>
      </c>
    </row>
    <row r="36" spans="1:11" x14ac:dyDescent="0.25">
      <c r="A36" s="7"/>
      <c r="B36" s="317"/>
      <c r="C36" s="298"/>
      <c r="D36" s="298"/>
      <c r="E36" s="298"/>
      <c r="F36" s="298"/>
      <c r="G36" s="298"/>
      <c r="H36" s="298"/>
      <c r="I36" s="298"/>
      <c r="J36" s="298"/>
      <c r="K36" s="313"/>
    </row>
    <row r="37" spans="1:11" x14ac:dyDescent="0.25">
      <c r="A37" s="12" t="s">
        <v>4393</v>
      </c>
      <c r="B37" s="317">
        <f ca="1">income!B56</f>
        <v>-1295300</v>
      </c>
      <c r="C37" s="298">
        <f ca="1">income!C56</f>
        <v>1093100</v>
      </c>
      <c r="D37" s="298">
        <f ca="1">income!D56</f>
        <v>760600</v>
      </c>
      <c r="E37" s="298">
        <f ca="1">income!E56</f>
        <v>2162300</v>
      </c>
      <c r="F37" s="298">
        <f ca="1">income!F56</f>
        <v>3348900</v>
      </c>
      <c r="G37" s="298">
        <f ca="1">income!G56</f>
        <v>3849200</v>
      </c>
      <c r="H37" s="298">
        <f ca="1">income!H56</f>
        <v>4033400</v>
      </c>
      <c r="I37" s="298">
        <f ca="1">income!I56</f>
        <v>3971200</v>
      </c>
      <c r="J37" s="298">
        <f ca="1">income!J56</f>
        <v>4532200</v>
      </c>
      <c r="K37" s="313">
        <f ca="1">income!K56</f>
        <v>4948500</v>
      </c>
    </row>
    <row r="38" spans="1:11" x14ac:dyDescent="0.25">
      <c r="A38" s="7"/>
      <c r="B38" s="317"/>
      <c r="C38" s="298"/>
      <c r="D38" s="298"/>
      <c r="E38" s="298"/>
      <c r="F38" s="298"/>
      <c r="G38" s="298"/>
      <c r="H38" s="298"/>
      <c r="I38" s="298"/>
      <c r="J38" s="298"/>
      <c r="K38" s="313"/>
    </row>
    <row r="39" spans="1:11" x14ac:dyDescent="0.25">
      <c r="A39" s="12" t="s">
        <v>58</v>
      </c>
      <c r="B39" s="317"/>
      <c r="C39" s="298"/>
      <c r="D39" s="298"/>
      <c r="E39" s="298"/>
      <c r="F39" s="298"/>
      <c r="G39" s="298"/>
      <c r="H39" s="298"/>
      <c r="I39" s="298"/>
      <c r="J39" s="298"/>
      <c r="K39" s="313"/>
    </row>
    <row r="40" spans="1:11" x14ac:dyDescent="0.25">
      <c r="A40" s="7" t="s">
        <v>44</v>
      </c>
      <c r="B40" s="317">
        <f>income!B49</f>
        <v>8293600</v>
      </c>
      <c r="C40" s="298">
        <f>income!C49</f>
        <v>8376500</v>
      </c>
      <c r="D40" s="298">
        <f>income!D49</f>
        <v>8460500</v>
      </c>
      <c r="E40" s="298">
        <f>income!E49</f>
        <v>8545300</v>
      </c>
      <c r="F40" s="298">
        <f>income!F49</f>
        <v>8630700</v>
      </c>
      <c r="G40" s="298">
        <f>income!G49</f>
        <v>8716700</v>
      </c>
      <c r="H40" s="298">
        <f>income!H49</f>
        <v>8803700</v>
      </c>
      <c r="I40" s="298">
        <f>income!I49</f>
        <v>8891600</v>
      </c>
      <c r="J40" s="298">
        <f>income!J49</f>
        <v>8980000</v>
      </c>
      <c r="K40" s="313">
        <f>income!K49</f>
        <v>9069800</v>
      </c>
    </row>
    <row r="41" spans="1:11" x14ac:dyDescent="0.25">
      <c r="A41" s="7"/>
      <c r="B41" s="317"/>
      <c r="C41" s="298"/>
      <c r="D41" s="298"/>
      <c r="E41" s="298"/>
      <c r="F41" s="298"/>
      <c r="G41" s="298"/>
      <c r="H41" s="298"/>
      <c r="I41" s="298"/>
      <c r="J41" s="298"/>
      <c r="K41" s="313"/>
    </row>
    <row r="42" spans="1:11" x14ac:dyDescent="0.25">
      <c r="A42" s="12" t="s">
        <v>50</v>
      </c>
      <c r="B42" s="317"/>
      <c r="C42" s="298"/>
      <c r="D42" s="298"/>
      <c r="E42" s="298"/>
      <c r="F42" s="298"/>
      <c r="G42" s="298"/>
      <c r="H42" s="298"/>
      <c r="I42" s="298"/>
      <c r="J42" s="298"/>
      <c r="K42" s="313"/>
    </row>
    <row r="43" spans="1:11" x14ac:dyDescent="0.25">
      <c r="A43" s="7" t="s">
        <v>4390</v>
      </c>
      <c r="B43" s="317">
        <f>capitalrevdata!E250-capitalrevdata!E224</f>
        <v>16313000</v>
      </c>
      <c r="C43" s="298">
        <f>capitalrevdata!F212+capitalrevdata!F75</f>
        <v>1909100</v>
      </c>
      <c r="D43" s="298">
        <f>capitalrevdata!G212+capitalrevdata!G75</f>
        <v>1961600</v>
      </c>
      <c r="E43" s="298">
        <f>capitalrevdata!H212+capitalrevdata!H75</f>
        <v>1564600</v>
      </c>
      <c r="F43" s="298">
        <f>capitalrevdata!I212+capitalrevdata!I75</f>
        <v>1609300</v>
      </c>
      <c r="G43" s="298">
        <f>capitalrevdata!J212+capitalrevdata!J75</f>
        <v>1372600</v>
      </c>
      <c r="H43" s="298">
        <f>capitalrevdata!K212+capitalrevdata!K75</f>
        <v>1186200</v>
      </c>
      <c r="I43" s="298">
        <f>capitalrevdata!L212+capitalrevdata!L75</f>
        <v>1200400</v>
      </c>
      <c r="J43" s="298">
        <f>capitalrevdata!M212+capitalrevdata!M75</f>
        <v>1215200</v>
      </c>
      <c r="K43" s="313">
        <f>capitalrevdata!N212+capitalrevdata!N75</f>
        <v>830000</v>
      </c>
    </row>
    <row r="44" spans="1:11" x14ac:dyDescent="0.25">
      <c r="A44" s="7" t="s">
        <v>51</v>
      </c>
      <c r="B44" s="317">
        <f>capitalrevdata!E224</f>
        <v>1673000</v>
      </c>
      <c r="C44" s="298">
        <f>capitalrevdata!F224</f>
        <v>0</v>
      </c>
      <c r="D44" s="298">
        <f>capitalrevdata!G224</f>
        <v>0</v>
      </c>
      <c r="E44" s="298">
        <f>capitalrevdata!H224</f>
        <v>0</v>
      </c>
      <c r="F44" s="298">
        <f>capitalrevdata!I224</f>
        <v>0</v>
      </c>
      <c r="G44" s="298">
        <f>capitalrevdata!J224</f>
        <v>0</v>
      </c>
      <c r="H44" s="298">
        <f>capitalrevdata!K224</f>
        <v>0</v>
      </c>
      <c r="I44" s="298">
        <f>capitalrevdata!L224</f>
        <v>0</v>
      </c>
      <c r="J44" s="298">
        <f>capitalrevdata!M224</f>
        <v>0</v>
      </c>
      <c r="K44" s="313">
        <f>capitalrevdata!N224</f>
        <v>0</v>
      </c>
    </row>
    <row r="45" spans="1:11" x14ac:dyDescent="0.25">
      <c r="A45" s="7" t="s">
        <v>52</v>
      </c>
      <c r="B45" s="317">
        <f>capitalrevdata!E236</f>
        <v>0</v>
      </c>
      <c r="C45" s="298">
        <f>capitalrevdata!F236</f>
        <v>2000000</v>
      </c>
      <c r="D45" s="298">
        <f>capitalrevdata!G236</f>
        <v>2000000</v>
      </c>
      <c r="E45" s="298">
        <f>capitalrevdata!H236</f>
        <v>2000000</v>
      </c>
      <c r="F45" s="298">
        <f>capitalrevdata!I236</f>
        <v>0</v>
      </c>
      <c r="G45" s="298">
        <f>capitalrevdata!J236</f>
        <v>0</v>
      </c>
      <c r="H45" s="298">
        <f>capitalrevdata!K236</f>
        <v>0</v>
      </c>
      <c r="I45" s="298">
        <f>capitalrevdata!L236</f>
        <v>0</v>
      </c>
      <c r="J45" s="298">
        <f>capitalrevdata!M236</f>
        <v>0</v>
      </c>
      <c r="K45" s="313">
        <f>capitalrevdata!N236</f>
        <v>0</v>
      </c>
    </row>
    <row r="46" spans="1:11" x14ac:dyDescent="0.25">
      <c r="A46" s="7" t="s">
        <v>53</v>
      </c>
      <c r="B46" s="317">
        <f>capitalrevdata!E248</f>
        <v>0</v>
      </c>
      <c r="C46" s="298">
        <f>capitalrevdata!F248</f>
        <v>0</v>
      </c>
      <c r="D46" s="298">
        <f>capitalrevdata!G248</f>
        <v>0</v>
      </c>
      <c r="E46" s="298">
        <f>capitalrevdata!H248</f>
        <v>0</v>
      </c>
      <c r="F46" s="298">
        <f>capitalrevdata!I248</f>
        <v>0</v>
      </c>
      <c r="G46" s="298">
        <f>capitalrevdata!J248</f>
        <v>0</v>
      </c>
      <c r="H46" s="298">
        <f>capitalrevdata!K248</f>
        <v>0</v>
      </c>
      <c r="I46" s="298">
        <f>capitalrevdata!L248</f>
        <v>0</v>
      </c>
      <c r="J46" s="298">
        <f>capitalrevdata!M248</f>
        <v>0</v>
      </c>
      <c r="K46" s="313">
        <f>capitalrevdata!N248</f>
        <v>0</v>
      </c>
    </row>
    <row r="47" spans="1:11" x14ac:dyDescent="0.25">
      <c r="A47" s="12" t="s">
        <v>54</v>
      </c>
      <c r="B47" s="318">
        <f t="shared" ref="B47:K47" ca="1" si="13">B37+B40+SUM(B43:B46)</f>
        <v>24984300</v>
      </c>
      <c r="C47" s="296">
        <f t="shared" ca="1" si="13"/>
        <v>13378700</v>
      </c>
      <c r="D47" s="296">
        <f t="shared" ca="1" si="13"/>
        <v>13182700</v>
      </c>
      <c r="E47" s="296">
        <f t="shared" ca="1" si="13"/>
        <v>14272200</v>
      </c>
      <c r="F47" s="296">
        <f t="shared" ca="1" si="13"/>
        <v>13588900</v>
      </c>
      <c r="G47" s="296">
        <f t="shared" ca="1" si="13"/>
        <v>13938500</v>
      </c>
      <c r="H47" s="296">
        <f t="shared" ca="1" si="13"/>
        <v>14023300</v>
      </c>
      <c r="I47" s="296">
        <f t="shared" ca="1" si="13"/>
        <v>14063200</v>
      </c>
      <c r="J47" s="296">
        <f t="shared" ca="1" si="13"/>
        <v>14727400</v>
      </c>
      <c r="K47" s="314">
        <f t="shared" ca="1" si="13"/>
        <v>14848300</v>
      </c>
    </row>
    <row r="48" spans="1:11" x14ac:dyDescent="0.25">
      <c r="A48" s="7"/>
      <c r="B48" s="317"/>
      <c r="C48" s="298"/>
      <c r="D48" s="298"/>
      <c r="E48" s="298"/>
      <c r="F48" s="298"/>
      <c r="G48" s="298"/>
      <c r="H48" s="298"/>
      <c r="I48" s="298"/>
      <c r="J48" s="298"/>
      <c r="K48" s="313"/>
    </row>
    <row r="49" spans="1:11" x14ac:dyDescent="0.25">
      <c r="A49" s="12" t="s">
        <v>59</v>
      </c>
      <c r="B49" s="317"/>
      <c r="C49" s="298"/>
      <c r="D49" s="298"/>
      <c r="E49" s="298"/>
      <c r="F49" s="298"/>
      <c r="G49" s="298"/>
      <c r="H49" s="298"/>
      <c r="I49" s="298"/>
      <c r="J49" s="298"/>
      <c r="K49" s="313"/>
    </row>
    <row r="50" spans="1:11" x14ac:dyDescent="0.25">
      <c r="A50" s="7" t="s">
        <v>55</v>
      </c>
      <c r="B50" s="317">
        <f>capitalexpdata!F628</f>
        <v>35318700</v>
      </c>
      <c r="C50" s="298">
        <f>capitalexpdata!G43+capitalexpdata!G107+capitalexpdata!G593+capitalexpdata!G530+capitalexpdata!G565+capitalexpdata!G626+capitalexpdata!G425+capitalexpdata!G416+capitalexpdata!G498</f>
        <v>13969200</v>
      </c>
      <c r="D50" s="298">
        <f>capitalexpdata!H43+capitalexpdata!H107+capitalexpdata!H593+capitalexpdata!H530+capitalexpdata!H565+capitalexpdata!H626+capitalexpdata!H425+capitalexpdata!H416+capitalexpdata!H498</f>
        <v>9251400</v>
      </c>
      <c r="E50" s="298">
        <f>capitalexpdata!I43+capitalexpdata!I107+capitalexpdata!I593+capitalexpdata!I530+capitalexpdata!I565+capitalexpdata!I626+capitalexpdata!I425+capitalexpdata!I416+capitalexpdata!I498</f>
        <v>11967301</v>
      </c>
      <c r="F50" s="298">
        <f>capitalexpdata!J43+capitalexpdata!J107+capitalexpdata!J593+capitalexpdata!J530+capitalexpdata!J565+capitalexpdata!J626+capitalexpdata!J425+capitalexpdata!J416+capitalexpdata!J498</f>
        <v>8508100</v>
      </c>
      <c r="G50" s="298">
        <f>capitalexpdata!K43+capitalexpdata!K107+capitalexpdata!K593+capitalexpdata!K530+capitalexpdata!K565+capitalexpdata!K626+capitalexpdata!K425+capitalexpdata!K416+capitalexpdata!K498</f>
        <v>8590000</v>
      </c>
      <c r="H50" s="298">
        <f>capitalexpdata!L43+capitalexpdata!L107+capitalexpdata!L593+capitalexpdata!L530+capitalexpdata!L565+capitalexpdata!L626+capitalexpdata!L425+capitalexpdata!L416+capitalexpdata!L498</f>
        <v>8789500</v>
      </c>
      <c r="I50" s="298">
        <f>capitalexpdata!M43+capitalexpdata!M107+capitalexpdata!M593+capitalexpdata!M530+capitalexpdata!M565+capitalexpdata!M626+capitalexpdata!M425+capitalexpdata!M416+capitalexpdata!M498</f>
        <v>8790100</v>
      </c>
      <c r="J50" s="298">
        <f>capitalexpdata!N43+capitalexpdata!N107+capitalexpdata!N593+capitalexpdata!N530+capitalexpdata!N565+capitalexpdata!N626+capitalexpdata!N425+capitalexpdata!N416+capitalexpdata!N498</f>
        <v>9474900</v>
      </c>
      <c r="K50" s="313">
        <f>capitalexpdata!O43+capitalexpdata!O107+capitalexpdata!O593+capitalexpdata!O530+capitalexpdata!O565+capitalexpdata!O626+capitalexpdata!O425+capitalexpdata!O416+capitalexpdata!O498</f>
        <v>9372300</v>
      </c>
    </row>
    <row r="51" spans="1:11" x14ac:dyDescent="0.25">
      <c r="A51" s="7" t="s">
        <v>56</v>
      </c>
      <c r="B51" s="317">
        <f>ROUND(loans!P87,-2)+41900</f>
        <v>995200</v>
      </c>
      <c r="C51" s="298">
        <f>ROUND(loans!T87,-2)</f>
        <v>892800</v>
      </c>
      <c r="D51" s="298">
        <f>ROUND(loans!X87,-2)</f>
        <v>988500</v>
      </c>
      <c r="E51" s="298">
        <f>ROUND(loans!AB87,-2)</f>
        <v>982600</v>
      </c>
      <c r="F51" s="298">
        <f>ROUND(loans!AF87,-2)</f>
        <v>985300</v>
      </c>
      <c r="G51" s="298">
        <f>ROUND(loans!AJ87,-2)</f>
        <v>1049800</v>
      </c>
      <c r="H51" s="298">
        <f>ROUND(loans!AN87,-2)</f>
        <v>961800</v>
      </c>
      <c r="I51" s="298">
        <f>ROUND(loans!AR87,-2)</f>
        <v>985800</v>
      </c>
      <c r="J51" s="298">
        <f>ROUND(loans!AV87,-2)</f>
        <v>780800</v>
      </c>
      <c r="K51" s="313">
        <f>ROUND(loans!AZ87,-2)</f>
        <v>836100</v>
      </c>
    </row>
    <row r="52" spans="1:11" x14ac:dyDescent="0.25">
      <c r="A52" s="12" t="s">
        <v>57</v>
      </c>
      <c r="B52" s="318">
        <f t="shared" ref="B52:K52" si="14">SUM(B50:B51)</f>
        <v>36313900</v>
      </c>
      <c r="C52" s="296">
        <f t="shared" si="14"/>
        <v>14862000</v>
      </c>
      <c r="D52" s="296">
        <f t="shared" si="14"/>
        <v>10239900</v>
      </c>
      <c r="E52" s="296">
        <f t="shared" si="14"/>
        <v>12949901</v>
      </c>
      <c r="F52" s="296">
        <f t="shared" si="14"/>
        <v>9493400</v>
      </c>
      <c r="G52" s="296">
        <f t="shared" si="14"/>
        <v>9639800</v>
      </c>
      <c r="H52" s="296">
        <f t="shared" si="14"/>
        <v>9751300</v>
      </c>
      <c r="I52" s="296">
        <f t="shared" si="14"/>
        <v>9775900</v>
      </c>
      <c r="J52" s="296">
        <f t="shared" si="14"/>
        <v>10255700</v>
      </c>
      <c r="K52" s="314">
        <f t="shared" si="14"/>
        <v>10208400</v>
      </c>
    </row>
    <row r="53" spans="1:11" x14ac:dyDescent="0.25">
      <c r="A53" s="7"/>
      <c r="B53" s="317"/>
      <c r="C53" s="298"/>
      <c r="D53" s="298"/>
      <c r="E53" s="298"/>
      <c r="F53" s="298"/>
      <c r="G53" s="298"/>
      <c r="H53" s="298"/>
      <c r="I53" s="298"/>
      <c r="J53" s="298"/>
      <c r="K53" s="313"/>
    </row>
    <row r="54" spans="1:11" ht="15.75" thickBot="1" x14ac:dyDescent="0.3">
      <c r="A54" s="12" t="s">
        <v>4395</v>
      </c>
      <c r="B54" s="319">
        <f t="shared" ref="B54:K54" ca="1" si="15">B47-B52</f>
        <v>-11329600</v>
      </c>
      <c r="C54" s="301">
        <f t="shared" ca="1" si="15"/>
        <v>-1483300</v>
      </c>
      <c r="D54" s="301">
        <f t="shared" ca="1" si="15"/>
        <v>2942800</v>
      </c>
      <c r="E54" s="301">
        <f t="shared" ca="1" si="15"/>
        <v>1322299</v>
      </c>
      <c r="F54" s="301">
        <f t="shared" ca="1" si="15"/>
        <v>4095500</v>
      </c>
      <c r="G54" s="301">
        <f t="shared" ca="1" si="15"/>
        <v>4298700</v>
      </c>
      <c r="H54" s="301">
        <f t="shared" ca="1" si="15"/>
        <v>4272000</v>
      </c>
      <c r="I54" s="301">
        <f t="shared" ca="1" si="15"/>
        <v>4287300</v>
      </c>
      <c r="J54" s="301">
        <f t="shared" ca="1" si="15"/>
        <v>4471700</v>
      </c>
      <c r="K54" s="315">
        <f t="shared" ca="1" si="15"/>
        <v>4639900</v>
      </c>
    </row>
    <row r="55" spans="1:11" ht="15.75" thickTop="1" x14ac:dyDescent="0.25">
      <c r="A55" s="12"/>
      <c r="B55" s="327"/>
      <c r="C55" s="300"/>
      <c r="D55" s="300"/>
      <c r="E55" s="300"/>
      <c r="F55" s="300"/>
      <c r="G55" s="300"/>
      <c r="H55" s="300"/>
      <c r="I55" s="300"/>
      <c r="J55" s="300"/>
      <c r="K55" s="328"/>
    </row>
    <row r="56" spans="1:11" x14ac:dyDescent="0.25">
      <c r="A56" s="12" t="s">
        <v>4268</v>
      </c>
      <c r="B56" s="318">
        <f>-7968600-12751400+3182200+6170600</f>
        <v>-11367200</v>
      </c>
      <c r="C56" s="296">
        <f>reservessummary!C127</f>
        <v>-1483300</v>
      </c>
      <c r="D56" s="296">
        <f>reservessummary!F127</f>
        <v>2942800</v>
      </c>
      <c r="E56" s="296">
        <f>reservessummary!I127</f>
        <v>1322299</v>
      </c>
      <c r="F56" s="296">
        <f>reservessummary!L127</f>
        <v>4095500</v>
      </c>
      <c r="G56" s="296">
        <f>reservessummary!O127</f>
        <v>4298700</v>
      </c>
      <c r="H56" s="296">
        <f>reservessummary!R127</f>
        <v>4272000</v>
      </c>
      <c r="I56" s="296">
        <f>reservessummary!U127</f>
        <v>4287300</v>
      </c>
      <c r="J56" s="296">
        <f>reservessummary!X127</f>
        <v>4471700</v>
      </c>
      <c r="K56" s="314">
        <f>reservessummary!AA127</f>
        <v>4639900</v>
      </c>
    </row>
    <row r="57" spans="1:11" x14ac:dyDescent="0.25">
      <c r="A57" s="13"/>
      <c r="B57" s="327"/>
      <c r="C57" s="300"/>
      <c r="D57" s="300"/>
      <c r="E57" s="300"/>
      <c r="F57" s="300"/>
      <c r="G57" s="300"/>
      <c r="H57" s="300"/>
      <c r="I57" s="300"/>
      <c r="J57" s="300"/>
      <c r="K57" s="328"/>
    </row>
    <row r="58" spans="1:11" ht="15.75" thickBot="1" x14ac:dyDescent="0.3">
      <c r="A58" s="12" t="s">
        <v>4389</v>
      </c>
      <c r="B58" s="319">
        <f ca="1">B54-B56</f>
        <v>37600</v>
      </c>
      <c r="C58" s="301">
        <f ca="1">C54-C56</f>
        <v>0</v>
      </c>
      <c r="D58" s="301">
        <f t="shared" ref="D58:K58" ca="1" si="16">D54-D56</f>
        <v>0</v>
      </c>
      <c r="E58" s="301">
        <f t="shared" ca="1" si="16"/>
        <v>0</v>
      </c>
      <c r="F58" s="301">
        <f t="shared" ca="1" si="16"/>
        <v>0</v>
      </c>
      <c r="G58" s="301">
        <f t="shared" ca="1" si="16"/>
        <v>0</v>
      </c>
      <c r="H58" s="301">
        <f t="shared" ca="1" si="16"/>
        <v>0</v>
      </c>
      <c r="I58" s="301">
        <f t="shared" ca="1" si="16"/>
        <v>0</v>
      </c>
      <c r="J58" s="301">
        <f t="shared" ca="1" si="16"/>
        <v>0</v>
      </c>
      <c r="K58" s="315">
        <f t="shared" ca="1" si="16"/>
        <v>0</v>
      </c>
    </row>
    <row r="59" spans="1:11" ht="15.75" thickTop="1" x14ac:dyDescent="0.25">
      <c r="A59" s="12"/>
      <c r="B59" s="327"/>
      <c r="C59" s="300"/>
      <c r="D59" s="300"/>
      <c r="E59" s="300"/>
      <c r="F59" s="300"/>
      <c r="G59" s="300"/>
      <c r="H59" s="300"/>
      <c r="I59" s="300"/>
      <c r="J59" s="300"/>
      <c r="K59" s="328"/>
    </row>
    <row r="60" spans="1:11" x14ac:dyDescent="0.25">
      <c r="A60" s="12" t="s">
        <v>4555</v>
      </c>
      <c r="B60" s="327">
        <f>reservessummary!B162</f>
        <v>1182200</v>
      </c>
      <c r="C60" s="300">
        <f ca="1">B60+C58</f>
        <v>1182200</v>
      </c>
      <c r="D60" s="300">
        <f t="shared" ref="D60:K60" ca="1" si="17">C60+D58</f>
        <v>1182200</v>
      </c>
      <c r="E60" s="300">
        <f t="shared" ca="1" si="17"/>
        <v>1182200</v>
      </c>
      <c r="F60" s="300">
        <f t="shared" ca="1" si="17"/>
        <v>1182200</v>
      </c>
      <c r="G60" s="300">
        <f t="shared" ca="1" si="17"/>
        <v>1182200</v>
      </c>
      <c r="H60" s="300">
        <f t="shared" ca="1" si="17"/>
        <v>1182200</v>
      </c>
      <c r="I60" s="300">
        <f t="shared" ca="1" si="17"/>
        <v>1182200</v>
      </c>
      <c r="J60" s="300">
        <f t="shared" ca="1" si="17"/>
        <v>1182200</v>
      </c>
      <c r="K60" s="328">
        <f t="shared" ca="1" si="17"/>
        <v>1182200</v>
      </c>
    </row>
    <row r="61" spans="1:11" x14ac:dyDescent="0.25">
      <c r="A61" s="8"/>
      <c r="B61" s="400"/>
      <c r="C61" s="9"/>
      <c r="D61" s="9"/>
      <c r="E61" s="9"/>
      <c r="F61" s="9"/>
      <c r="G61" s="9"/>
      <c r="H61" s="9"/>
      <c r="I61" s="9"/>
      <c r="J61" s="9"/>
      <c r="K61" s="10"/>
    </row>
    <row r="63" spans="1:11" ht="18.75" x14ac:dyDescent="0.3">
      <c r="A63" s="496" t="s">
        <v>33</v>
      </c>
      <c r="B63" s="497"/>
      <c r="C63" s="497"/>
      <c r="D63" s="497"/>
      <c r="E63" s="497"/>
      <c r="F63" s="497"/>
      <c r="G63" s="497"/>
      <c r="H63" s="497"/>
      <c r="I63" s="497"/>
      <c r="J63" s="497"/>
      <c r="K63" s="498"/>
    </row>
    <row r="64" spans="1:11" ht="18.75" x14ac:dyDescent="0.3">
      <c r="A64" s="499" t="s">
        <v>4586</v>
      </c>
      <c r="B64" s="500"/>
      <c r="C64" s="500"/>
      <c r="D64" s="500"/>
      <c r="E64" s="500"/>
      <c r="F64" s="500"/>
      <c r="G64" s="500"/>
      <c r="H64" s="500"/>
      <c r="I64" s="500"/>
      <c r="J64" s="500"/>
      <c r="K64" s="501"/>
    </row>
    <row r="65" spans="1:11" x14ac:dyDescent="0.25">
      <c r="A65" s="11"/>
      <c r="B65" s="20" t="s">
        <v>29</v>
      </c>
      <c r="C65" s="1"/>
      <c r="D65" s="1"/>
      <c r="E65" s="1"/>
      <c r="F65" s="1"/>
      <c r="G65" s="1"/>
      <c r="H65" s="1"/>
      <c r="I65" s="1"/>
      <c r="J65" s="1"/>
      <c r="K65" s="4"/>
    </row>
    <row r="66" spans="1:11" x14ac:dyDescent="0.25">
      <c r="A66" s="7"/>
      <c r="B66" s="21" t="s">
        <v>28</v>
      </c>
      <c r="C66" s="502" t="s">
        <v>30</v>
      </c>
      <c r="D66" s="502"/>
      <c r="E66" s="502"/>
      <c r="F66" s="502"/>
      <c r="G66" s="502"/>
      <c r="H66" s="502"/>
      <c r="I66" s="502"/>
      <c r="J66" s="502"/>
      <c r="K66" s="503"/>
    </row>
    <row r="67" spans="1:11" x14ac:dyDescent="0.25">
      <c r="A67" s="8"/>
      <c r="B67" s="22">
        <v>2017</v>
      </c>
      <c r="C67" s="2">
        <v>2018</v>
      </c>
      <c r="D67" s="2">
        <v>2019</v>
      </c>
      <c r="E67" s="2">
        <v>2020</v>
      </c>
      <c r="F67" s="2">
        <v>2021</v>
      </c>
      <c r="G67" s="2">
        <v>2022</v>
      </c>
      <c r="H67" s="2">
        <v>2023</v>
      </c>
      <c r="I67" s="2">
        <v>2024</v>
      </c>
      <c r="J67" s="2">
        <v>2025</v>
      </c>
      <c r="K67" s="6">
        <v>2026</v>
      </c>
    </row>
    <row r="68" spans="1:11" x14ac:dyDescent="0.25">
      <c r="A68" s="7"/>
      <c r="B68" s="317"/>
      <c r="C68" s="298"/>
      <c r="D68" s="298"/>
      <c r="E68" s="298"/>
      <c r="F68" s="298"/>
      <c r="G68" s="298"/>
      <c r="H68" s="298"/>
      <c r="I68" s="298"/>
      <c r="J68" s="298"/>
      <c r="K68" s="313"/>
    </row>
    <row r="69" spans="1:11" x14ac:dyDescent="0.25">
      <c r="A69" s="12" t="s">
        <v>4393</v>
      </c>
      <c r="B69" s="317">
        <f ca="1">income!B85</f>
        <v>1362000</v>
      </c>
      <c r="C69" s="298">
        <f ca="1">income!C85</f>
        <v>1202200</v>
      </c>
      <c r="D69" s="298">
        <f ca="1">income!D85</f>
        <v>1156700</v>
      </c>
      <c r="E69" s="298">
        <f ca="1">income!E85</f>
        <v>913700</v>
      </c>
      <c r="F69" s="298">
        <f ca="1">income!F85</f>
        <v>923700</v>
      </c>
      <c r="G69" s="298">
        <f ca="1">income!G85</f>
        <v>880200</v>
      </c>
      <c r="H69" s="298">
        <f ca="1">income!H85</f>
        <v>895100</v>
      </c>
      <c r="I69" s="298">
        <f ca="1">income!I85</f>
        <v>839800</v>
      </c>
      <c r="J69" s="298">
        <f ca="1">income!J85</f>
        <v>797300</v>
      </c>
      <c r="K69" s="313">
        <f ca="1">income!K85</f>
        <v>505800</v>
      </c>
    </row>
    <row r="70" spans="1:11" x14ac:dyDescent="0.25">
      <c r="A70" s="7"/>
      <c r="B70" s="317"/>
      <c r="C70" s="298"/>
      <c r="D70" s="298"/>
      <c r="E70" s="298"/>
      <c r="F70" s="298"/>
      <c r="G70" s="298"/>
      <c r="H70" s="298"/>
      <c r="I70" s="298"/>
      <c r="J70" s="298"/>
      <c r="K70" s="313"/>
    </row>
    <row r="71" spans="1:11" x14ac:dyDescent="0.25">
      <c r="A71" s="12" t="s">
        <v>58</v>
      </c>
      <c r="B71" s="317"/>
      <c r="C71" s="298"/>
      <c r="D71" s="298"/>
      <c r="E71" s="298"/>
      <c r="F71" s="298"/>
      <c r="G71" s="298"/>
      <c r="H71" s="298"/>
      <c r="I71" s="298"/>
      <c r="J71" s="298"/>
      <c r="K71" s="313"/>
    </row>
    <row r="72" spans="1:11" x14ac:dyDescent="0.25">
      <c r="A72" s="7" t="s">
        <v>44</v>
      </c>
      <c r="B72" s="317">
        <f>income!B78</f>
        <v>3051900</v>
      </c>
      <c r="C72" s="298">
        <f>income!C78</f>
        <v>3082400</v>
      </c>
      <c r="D72" s="298">
        <f>income!D78</f>
        <v>3113200</v>
      </c>
      <c r="E72" s="298">
        <f>income!E78</f>
        <v>3144300</v>
      </c>
      <c r="F72" s="298">
        <f>income!F78</f>
        <v>3175700</v>
      </c>
      <c r="G72" s="298">
        <f>income!G78</f>
        <v>3207500</v>
      </c>
      <c r="H72" s="298">
        <f>income!H78</f>
        <v>3239600</v>
      </c>
      <c r="I72" s="298">
        <f>income!I78</f>
        <v>3272000</v>
      </c>
      <c r="J72" s="298">
        <f>income!J78</f>
        <v>3304700</v>
      </c>
      <c r="K72" s="313">
        <f>income!K78</f>
        <v>3337700</v>
      </c>
    </row>
    <row r="73" spans="1:11" x14ac:dyDescent="0.25">
      <c r="A73" s="7"/>
      <c r="B73" s="317"/>
      <c r="C73" s="298"/>
      <c r="D73" s="298"/>
      <c r="E73" s="298"/>
      <c r="F73" s="298"/>
      <c r="G73" s="298"/>
      <c r="H73" s="298"/>
      <c r="I73" s="298"/>
      <c r="J73" s="298"/>
      <c r="K73" s="313"/>
    </row>
    <row r="74" spans="1:11" x14ac:dyDescent="0.25">
      <c r="A74" s="12" t="s">
        <v>50</v>
      </c>
      <c r="B74" s="317"/>
      <c r="C74" s="298"/>
      <c r="D74" s="298"/>
      <c r="E74" s="298"/>
      <c r="F74" s="298"/>
      <c r="G74" s="298"/>
      <c r="H74" s="298"/>
      <c r="I74" s="298"/>
      <c r="J74" s="298"/>
      <c r="K74" s="313"/>
    </row>
    <row r="75" spans="1:11" x14ac:dyDescent="0.25">
      <c r="A75" s="7" t="s">
        <v>4390</v>
      </c>
      <c r="B75" s="317">
        <f>capitalrevdata!E319</f>
        <v>1400000</v>
      </c>
      <c r="C75" s="298">
        <f>capitalrevdata!F319</f>
        <v>1400000</v>
      </c>
      <c r="D75" s="298">
        <f>capitalrevdata!G319</f>
        <v>1400000</v>
      </c>
      <c r="E75" s="298">
        <f>capitalrevdata!H319</f>
        <v>1400000</v>
      </c>
      <c r="F75" s="298">
        <f>capitalrevdata!I319</f>
        <v>1400000</v>
      </c>
      <c r="G75" s="298">
        <f>capitalrevdata!J319</f>
        <v>1400000</v>
      </c>
      <c r="H75" s="298">
        <f>capitalrevdata!K319</f>
        <v>1400000</v>
      </c>
      <c r="I75" s="298">
        <f>capitalrevdata!L319</f>
        <v>1400000</v>
      </c>
      <c r="J75" s="298">
        <f>capitalrevdata!M319</f>
        <v>1400000</v>
      </c>
      <c r="K75" s="313">
        <f>capitalrevdata!N319</f>
        <v>1400000</v>
      </c>
    </row>
    <row r="76" spans="1:11" x14ac:dyDescent="0.25">
      <c r="A76" s="7" t="s">
        <v>51</v>
      </c>
      <c r="B76" s="317">
        <f>capitalrevdata!E343</f>
        <v>0</v>
      </c>
      <c r="C76" s="298">
        <f>capitalrevdata!F343</f>
        <v>0</v>
      </c>
      <c r="D76" s="298">
        <f>capitalrevdata!G343</f>
        <v>0</v>
      </c>
      <c r="E76" s="298">
        <f>capitalrevdata!H343</f>
        <v>0</v>
      </c>
      <c r="F76" s="298">
        <f>capitalrevdata!I343</f>
        <v>0</v>
      </c>
      <c r="G76" s="298">
        <f>capitalrevdata!J343</f>
        <v>0</v>
      </c>
      <c r="H76" s="298">
        <f>capitalrevdata!K343</f>
        <v>0</v>
      </c>
      <c r="I76" s="298">
        <f>capitalrevdata!L343</f>
        <v>0</v>
      </c>
      <c r="J76" s="298">
        <f>capitalrevdata!M343</f>
        <v>0</v>
      </c>
      <c r="K76" s="313">
        <f>capitalrevdata!N343</f>
        <v>0</v>
      </c>
    </row>
    <row r="77" spans="1:11" x14ac:dyDescent="0.25">
      <c r="A77" s="7" t="s">
        <v>52</v>
      </c>
      <c r="B77" s="317">
        <f>capitalrevdata!E355</f>
        <v>0</v>
      </c>
      <c r="C77" s="298">
        <f>capitalrevdata!F355</f>
        <v>0</v>
      </c>
      <c r="D77" s="298">
        <f>capitalrevdata!G355</f>
        <v>0</v>
      </c>
      <c r="E77" s="298">
        <f>capitalrevdata!H355</f>
        <v>0</v>
      </c>
      <c r="F77" s="298">
        <f>capitalrevdata!I355</f>
        <v>0</v>
      </c>
      <c r="G77" s="298">
        <f>capitalrevdata!J355</f>
        <v>0</v>
      </c>
      <c r="H77" s="298">
        <f>capitalrevdata!K355</f>
        <v>0</v>
      </c>
      <c r="I77" s="298">
        <f>capitalrevdata!L355</f>
        <v>0</v>
      </c>
      <c r="J77" s="298">
        <f>capitalrevdata!M355</f>
        <v>0</v>
      </c>
      <c r="K77" s="313">
        <f>capitalrevdata!N355</f>
        <v>0</v>
      </c>
    </row>
    <row r="78" spans="1:11" x14ac:dyDescent="0.25">
      <c r="A78" s="7" t="s">
        <v>53</v>
      </c>
      <c r="B78" s="317">
        <f>capitalrevdata!E367</f>
        <v>0</v>
      </c>
      <c r="C78" s="298">
        <f>capitalrevdata!F367</f>
        <v>0</v>
      </c>
      <c r="D78" s="298">
        <f>capitalrevdata!G367</f>
        <v>0</v>
      </c>
      <c r="E78" s="298">
        <f>capitalrevdata!H367</f>
        <v>0</v>
      </c>
      <c r="F78" s="298">
        <f>capitalrevdata!I367</f>
        <v>0</v>
      </c>
      <c r="G78" s="298">
        <f>capitalrevdata!J367</f>
        <v>0</v>
      </c>
      <c r="H78" s="298">
        <f>capitalrevdata!K367</f>
        <v>0</v>
      </c>
      <c r="I78" s="298">
        <f>capitalrevdata!L367</f>
        <v>0</v>
      </c>
      <c r="J78" s="298">
        <f>capitalrevdata!M367</f>
        <v>0</v>
      </c>
      <c r="K78" s="313">
        <f>capitalrevdata!N367</f>
        <v>0</v>
      </c>
    </row>
    <row r="79" spans="1:11" x14ac:dyDescent="0.25">
      <c r="A79" s="12" t="s">
        <v>54</v>
      </c>
      <c r="B79" s="318">
        <f t="shared" ref="B79:K79" ca="1" si="18">B69+B72+SUM(B75:B78)</f>
        <v>5813900</v>
      </c>
      <c r="C79" s="296">
        <f t="shared" ca="1" si="18"/>
        <v>5684600</v>
      </c>
      <c r="D79" s="296">
        <f t="shared" ca="1" si="18"/>
        <v>5669900</v>
      </c>
      <c r="E79" s="296">
        <f t="shared" ca="1" si="18"/>
        <v>5458000</v>
      </c>
      <c r="F79" s="296">
        <f t="shared" ca="1" si="18"/>
        <v>5499400</v>
      </c>
      <c r="G79" s="296">
        <f t="shared" ca="1" si="18"/>
        <v>5487700</v>
      </c>
      <c r="H79" s="296">
        <f t="shared" ca="1" si="18"/>
        <v>5534700</v>
      </c>
      <c r="I79" s="296">
        <f t="shared" ca="1" si="18"/>
        <v>5511800</v>
      </c>
      <c r="J79" s="296">
        <f t="shared" ca="1" si="18"/>
        <v>5502000</v>
      </c>
      <c r="K79" s="314">
        <f t="shared" ca="1" si="18"/>
        <v>5243500</v>
      </c>
    </row>
    <row r="80" spans="1:11" x14ac:dyDescent="0.25">
      <c r="A80" s="7"/>
      <c r="B80" s="317"/>
      <c r="C80" s="298"/>
      <c r="D80" s="298"/>
      <c r="E80" s="298"/>
      <c r="F80" s="298"/>
      <c r="G80" s="298"/>
      <c r="H80" s="298"/>
      <c r="I80" s="298"/>
      <c r="J80" s="298"/>
      <c r="K80" s="313"/>
    </row>
    <row r="81" spans="1:11" x14ac:dyDescent="0.25">
      <c r="A81" s="12" t="s">
        <v>59</v>
      </c>
      <c r="B81" s="317"/>
      <c r="C81" s="298"/>
      <c r="D81" s="298"/>
      <c r="E81" s="298"/>
      <c r="F81" s="298"/>
      <c r="G81" s="298"/>
      <c r="H81" s="298"/>
      <c r="I81" s="298"/>
      <c r="J81" s="298"/>
      <c r="K81" s="313"/>
    </row>
    <row r="82" spans="1:11" x14ac:dyDescent="0.25">
      <c r="A82" s="7" t="s">
        <v>55</v>
      </c>
      <c r="B82" s="317">
        <f>capitalexpdata!F773</f>
        <v>7516000</v>
      </c>
      <c r="C82" s="298">
        <f>capitalexpdata!G773</f>
        <v>1971839</v>
      </c>
      <c r="D82" s="298">
        <f>capitalexpdata!H773</f>
        <v>639631</v>
      </c>
      <c r="E82" s="298">
        <f>capitalexpdata!I773</f>
        <v>11979920</v>
      </c>
      <c r="F82" s="298">
        <f>capitalexpdata!J773</f>
        <v>1336175</v>
      </c>
      <c r="G82" s="298">
        <f>capitalexpdata!K773</f>
        <v>1459370</v>
      </c>
      <c r="H82" s="298">
        <f>capitalexpdata!L773</f>
        <v>782741</v>
      </c>
      <c r="I82" s="298">
        <f>capitalexpdata!M773</f>
        <v>2429381</v>
      </c>
      <c r="J82" s="298">
        <f>capitalexpdata!N773</f>
        <v>3874340</v>
      </c>
      <c r="K82" s="313">
        <f>capitalexpdata!O773</f>
        <v>14001602</v>
      </c>
    </row>
    <row r="83" spans="1:11" x14ac:dyDescent="0.25">
      <c r="A83" s="7" t="s">
        <v>56</v>
      </c>
      <c r="B83" s="317">
        <f>ROUND(loans!P116,-2)+82500</f>
        <v>1669100</v>
      </c>
      <c r="C83" s="298">
        <f>ROUND(loans!T116,-2)</f>
        <v>1699400</v>
      </c>
      <c r="D83" s="298">
        <f>ROUND(loans!X116,-2)</f>
        <v>1811500</v>
      </c>
      <c r="E83" s="298">
        <f>ROUND(loans!AB116,-2)</f>
        <v>1921300</v>
      </c>
      <c r="F83" s="298">
        <f>ROUND(loans!AF116,-2)</f>
        <v>2082300</v>
      </c>
      <c r="G83" s="298">
        <f>ROUND(loans!AJ116,-2)</f>
        <v>2199700</v>
      </c>
      <c r="H83" s="298">
        <f>ROUND(loans!AN116,-2)</f>
        <v>2355400</v>
      </c>
      <c r="I83" s="298">
        <f>ROUND(loans!AR116,-2)</f>
        <v>2518500</v>
      </c>
      <c r="J83" s="298">
        <f>ROUND(loans!AV116,-2)</f>
        <v>2204400</v>
      </c>
      <c r="K83" s="313">
        <f>ROUND(loans!AZ116,-2)</f>
        <v>2367900</v>
      </c>
    </row>
    <row r="84" spans="1:11" x14ac:dyDescent="0.25">
      <c r="A84" s="12" t="s">
        <v>57</v>
      </c>
      <c r="B84" s="318">
        <f t="shared" ref="B84:K84" si="19">SUM(B82:B83)</f>
        <v>9185100</v>
      </c>
      <c r="C84" s="296">
        <f t="shared" si="19"/>
        <v>3671239</v>
      </c>
      <c r="D84" s="296">
        <f t="shared" si="19"/>
        <v>2451131</v>
      </c>
      <c r="E84" s="296">
        <f t="shared" si="19"/>
        <v>13901220</v>
      </c>
      <c r="F84" s="296">
        <f t="shared" si="19"/>
        <v>3418475</v>
      </c>
      <c r="G84" s="296">
        <f t="shared" si="19"/>
        <v>3659070</v>
      </c>
      <c r="H84" s="296">
        <f t="shared" si="19"/>
        <v>3138141</v>
      </c>
      <c r="I84" s="296">
        <f t="shared" si="19"/>
        <v>4947881</v>
      </c>
      <c r="J84" s="296">
        <f t="shared" si="19"/>
        <v>6078740</v>
      </c>
      <c r="K84" s="314">
        <f t="shared" si="19"/>
        <v>16369502</v>
      </c>
    </row>
    <row r="85" spans="1:11" x14ac:dyDescent="0.25">
      <c r="A85" s="7"/>
      <c r="B85" s="317"/>
      <c r="C85" s="298"/>
      <c r="D85" s="298"/>
      <c r="E85" s="298"/>
      <c r="F85" s="298"/>
      <c r="G85" s="298"/>
      <c r="H85" s="298"/>
      <c r="I85" s="298"/>
      <c r="J85" s="298"/>
      <c r="K85" s="313"/>
    </row>
    <row r="86" spans="1:11" ht="15.75" thickBot="1" x14ac:dyDescent="0.3">
      <c r="A86" s="12" t="s">
        <v>4395</v>
      </c>
      <c r="B86" s="319">
        <f t="shared" ref="B86:K86" ca="1" si="20">B79-B84</f>
        <v>-3371200</v>
      </c>
      <c r="C86" s="301">
        <f t="shared" ca="1" si="20"/>
        <v>2013361</v>
      </c>
      <c r="D86" s="301">
        <f t="shared" ca="1" si="20"/>
        <v>3218769</v>
      </c>
      <c r="E86" s="301">
        <f t="shared" ca="1" si="20"/>
        <v>-8443220</v>
      </c>
      <c r="F86" s="301">
        <f t="shared" ca="1" si="20"/>
        <v>2080925</v>
      </c>
      <c r="G86" s="301">
        <f t="shared" ca="1" si="20"/>
        <v>1828630</v>
      </c>
      <c r="H86" s="301">
        <f t="shared" ca="1" si="20"/>
        <v>2396559</v>
      </c>
      <c r="I86" s="301">
        <f t="shared" ca="1" si="20"/>
        <v>563919</v>
      </c>
      <c r="J86" s="301">
        <f t="shared" ca="1" si="20"/>
        <v>-576740</v>
      </c>
      <c r="K86" s="315">
        <f t="shared" ca="1" si="20"/>
        <v>-11126002</v>
      </c>
    </row>
    <row r="87" spans="1:11" ht="15.75" thickTop="1" x14ac:dyDescent="0.25">
      <c r="A87" s="12"/>
      <c r="B87" s="401"/>
      <c r="C87" s="300"/>
      <c r="D87" s="300"/>
      <c r="E87" s="300"/>
      <c r="F87" s="300"/>
      <c r="G87" s="300"/>
      <c r="H87" s="300"/>
      <c r="I87" s="300"/>
      <c r="J87" s="300"/>
      <c r="K87" s="328"/>
    </row>
    <row r="88" spans="1:11" x14ac:dyDescent="0.25">
      <c r="A88" s="12" t="s">
        <v>4268</v>
      </c>
      <c r="B88" s="318">
        <f>-7516000+4144800</f>
        <v>-3371200</v>
      </c>
      <c r="C88" s="296">
        <f>reservessummary!C144</f>
        <v>2013361</v>
      </c>
      <c r="D88" s="296">
        <f>reservessummary!F144</f>
        <v>3218769</v>
      </c>
      <c r="E88" s="296">
        <f>reservessummary!I144</f>
        <v>-8443220</v>
      </c>
      <c r="F88" s="296">
        <f>reservessummary!L144</f>
        <v>2080925</v>
      </c>
      <c r="G88" s="296">
        <f>reservessummary!O144</f>
        <v>1828630</v>
      </c>
      <c r="H88" s="296">
        <f>reservessummary!R144</f>
        <v>2396559</v>
      </c>
      <c r="I88" s="296">
        <f>reservessummary!U144</f>
        <v>563919</v>
      </c>
      <c r="J88" s="296">
        <f>reservessummary!X144</f>
        <v>-576740</v>
      </c>
      <c r="K88" s="314">
        <f>reservessummary!AA144</f>
        <v>-11126002</v>
      </c>
    </row>
    <row r="89" spans="1:11" x14ac:dyDescent="0.25">
      <c r="A89" s="12"/>
      <c r="B89" s="327"/>
      <c r="C89" s="300"/>
      <c r="D89" s="300"/>
      <c r="E89" s="300"/>
      <c r="F89" s="300"/>
      <c r="G89" s="300"/>
      <c r="H89" s="300"/>
      <c r="I89" s="300"/>
      <c r="J89" s="300"/>
      <c r="K89" s="328"/>
    </row>
    <row r="90" spans="1:11" ht="15.75" thickBot="1" x14ac:dyDescent="0.3">
      <c r="A90" s="12" t="s">
        <v>4389</v>
      </c>
      <c r="B90" s="319">
        <f ca="1">B86-B88</f>
        <v>0</v>
      </c>
      <c r="C90" s="301">
        <f ca="1">C86-C88</f>
        <v>0</v>
      </c>
      <c r="D90" s="301">
        <f t="shared" ref="D90:K90" ca="1" si="21">D86-D88</f>
        <v>0</v>
      </c>
      <c r="E90" s="301">
        <f t="shared" ca="1" si="21"/>
        <v>0</v>
      </c>
      <c r="F90" s="301">
        <f t="shared" ca="1" si="21"/>
        <v>0</v>
      </c>
      <c r="G90" s="301">
        <f t="shared" ca="1" si="21"/>
        <v>0</v>
      </c>
      <c r="H90" s="301">
        <f t="shared" ca="1" si="21"/>
        <v>0</v>
      </c>
      <c r="I90" s="301">
        <f t="shared" ca="1" si="21"/>
        <v>0</v>
      </c>
      <c r="J90" s="301">
        <f t="shared" ca="1" si="21"/>
        <v>0</v>
      </c>
      <c r="K90" s="315">
        <f t="shared" ca="1" si="21"/>
        <v>0</v>
      </c>
    </row>
    <row r="91" spans="1:11" ht="15.75" thickTop="1" x14ac:dyDescent="0.25">
      <c r="A91" s="8"/>
      <c r="B91" s="326"/>
      <c r="C91" s="324"/>
      <c r="D91" s="324"/>
      <c r="E91" s="324"/>
      <c r="F91" s="324"/>
      <c r="G91" s="324"/>
      <c r="H91" s="324"/>
      <c r="I91" s="324"/>
      <c r="J91" s="324"/>
      <c r="K91" s="325"/>
    </row>
    <row r="93" spans="1:11" ht="18.75" x14ac:dyDescent="0.3">
      <c r="A93" s="496" t="s">
        <v>33</v>
      </c>
      <c r="B93" s="497"/>
      <c r="C93" s="497"/>
      <c r="D93" s="497"/>
      <c r="E93" s="497"/>
      <c r="F93" s="497"/>
      <c r="G93" s="497"/>
      <c r="H93" s="497"/>
      <c r="I93" s="497"/>
      <c r="J93" s="497"/>
      <c r="K93" s="498"/>
    </row>
    <row r="94" spans="1:11" ht="18.75" x14ac:dyDescent="0.3">
      <c r="A94" s="499" t="s">
        <v>4587</v>
      </c>
      <c r="B94" s="500"/>
      <c r="C94" s="500"/>
      <c r="D94" s="500"/>
      <c r="E94" s="500"/>
      <c r="F94" s="500"/>
      <c r="G94" s="500"/>
      <c r="H94" s="500"/>
      <c r="I94" s="500"/>
      <c r="J94" s="500"/>
      <c r="K94" s="501"/>
    </row>
    <row r="95" spans="1:11" x14ac:dyDescent="0.25">
      <c r="A95" s="11"/>
      <c r="B95" s="20" t="s">
        <v>29</v>
      </c>
      <c r="C95" s="1"/>
      <c r="D95" s="1"/>
      <c r="E95" s="1"/>
      <c r="F95" s="1"/>
      <c r="G95" s="1"/>
      <c r="H95" s="1"/>
      <c r="I95" s="1"/>
      <c r="J95" s="1"/>
      <c r="K95" s="4"/>
    </row>
    <row r="96" spans="1:11" x14ac:dyDescent="0.25">
      <c r="A96" s="7"/>
      <c r="B96" s="21" t="s">
        <v>28</v>
      </c>
      <c r="C96" s="502" t="s">
        <v>30</v>
      </c>
      <c r="D96" s="502"/>
      <c r="E96" s="502"/>
      <c r="F96" s="502"/>
      <c r="G96" s="502"/>
      <c r="H96" s="502"/>
      <c r="I96" s="502"/>
      <c r="J96" s="502"/>
      <c r="K96" s="503"/>
    </row>
    <row r="97" spans="1:11" x14ac:dyDescent="0.25">
      <c r="A97" s="8"/>
      <c r="B97" s="22">
        <v>2017</v>
      </c>
      <c r="C97" s="2">
        <v>2018</v>
      </c>
      <c r="D97" s="2">
        <v>2019</v>
      </c>
      <c r="E97" s="2">
        <v>2020</v>
      </c>
      <c r="F97" s="2">
        <v>2021</v>
      </c>
      <c r="G97" s="2">
        <v>2022</v>
      </c>
      <c r="H97" s="2">
        <v>2023</v>
      </c>
      <c r="I97" s="2">
        <v>2024</v>
      </c>
      <c r="J97" s="2">
        <v>2025</v>
      </c>
      <c r="K97" s="6">
        <v>2026</v>
      </c>
    </row>
    <row r="98" spans="1:11" x14ac:dyDescent="0.25">
      <c r="A98" s="7"/>
      <c r="B98" s="317"/>
      <c r="C98" s="298"/>
      <c r="D98" s="298"/>
      <c r="E98" s="298"/>
      <c r="F98" s="298"/>
      <c r="G98" s="298"/>
      <c r="H98" s="298"/>
      <c r="I98" s="298"/>
      <c r="J98" s="298"/>
      <c r="K98" s="313"/>
    </row>
    <row r="99" spans="1:11" x14ac:dyDescent="0.25">
      <c r="A99" s="12" t="s">
        <v>4393</v>
      </c>
      <c r="B99" s="317">
        <f>income!B114</f>
        <v>714300</v>
      </c>
      <c r="C99" s="298">
        <f>income!C114</f>
        <v>521200</v>
      </c>
      <c r="D99" s="298">
        <f>income!D114</f>
        <v>349700</v>
      </c>
      <c r="E99" s="298">
        <f>income!E114</f>
        <v>237500</v>
      </c>
      <c r="F99" s="298">
        <f>income!F114</f>
        <v>83900</v>
      </c>
      <c r="G99" s="298">
        <f>income!G114</f>
        <v>-65600</v>
      </c>
      <c r="H99" s="298">
        <f>income!H114</f>
        <v>-230600</v>
      </c>
      <c r="I99" s="298">
        <f>income!I114</f>
        <v>-408400</v>
      </c>
      <c r="J99" s="298">
        <f>income!J114</f>
        <v>-590400</v>
      </c>
      <c r="K99" s="313">
        <f>income!K114</f>
        <v>-756100</v>
      </c>
    </row>
    <row r="100" spans="1:11" x14ac:dyDescent="0.25">
      <c r="A100" s="7"/>
      <c r="B100" s="317"/>
      <c r="C100" s="298"/>
      <c r="D100" s="298"/>
      <c r="E100" s="298"/>
      <c r="F100" s="298"/>
      <c r="G100" s="298"/>
      <c r="H100" s="298"/>
      <c r="I100" s="298"/>
      <c r="J100" s="298"/>
      <c r="K100" s="313"/>
    </row>
    <row r="101" spans="1:11" x14ac:dyDescent="0.25">
      <c r="A101" s="12" t="s">
        <v>58</v>
      </c>
      <c r="B101" s="317"/>
      <c r="C101" s="298"/>
      <c r="D101" s="298"/>
      <c r="E101" s="298"/>
      <c r="F101" s="298"/>
      <c r="G101" s="298"/>
      <c r="H101" s="298"/>
      <c r="I101" s="298"/>
      <c r="J101" s="298"/>
      <c r="K101" s="313"/>
    </row>
    <row r="102" spans="1:11" x14ac:dyDescent="0.25">
      <c r="A102" s="7" t="s">
        <v>44</v>
      </c>
      <c r="B102" s="317">
        <f>income!B107</f>
        <v>1169600</v>
      </c>
      <c r="C102" s="298">
        <f>income!C107</f>
        <v>1181300</v>
      </c>
      <c r="D102" s="298">
        <f>income!D107</f>
        <v>1193100</v>
      </c>
      <c r="E102" s="298">
        <f>income!E107</f>
        <v>1205000</v>
      </c>
      <c r="F102" s="298">
        <f>income!F107</f>
        <v>1217100</v>
      </c>
      <c r="G102" s="298">
        <f>income!G107</f>
        <v>1229300</v>
      </c>
      <c r="H102" s="298">
        <f>income!H107</f>
        <v>1241600</v>
      </c>
      <c r="I102" s="298">
        <f>income!I107</f>
        <v>1254000</v>
      </c>
      <c r="J102" s="298">
        <f>income!J107</f>
        <v>1266500</v>
      </c>
      <c r="K102" s="313">
        <f>income!K107</f>
        <v>1279200</v>
      </c>
    </row>
    <row r="103" spans="1:11" x14ac:dyDescent="0.25">
      <c r="A103" s="7"/>
      <c r="B103" s="317"/>
      <c r="C103" s="298"/>
      <c r="D103" s="298"/>
      <c r="E103" s="298"/>
      <c r="F103" s="298"/>
      <c r="G103" s="298"/>
      <c r="H103" s="298"/>
      <c r="I103" s="298"/>
      <c r="J103" s="298"/>
      <c r="K103" s="313"/>
    </row>
    <row r="104" spans="1:11" x14ac:dyDescent="0.25">
      <c r="A104" s="12" t="s">
        <v>50</v>
      </c>
      <c r="B104" s="317"/>
      <c r="C104" s="298"/>
      <c r="D104" s="298"/>
      <c r="E104" s="298"/>
      <c r="F104" s="298"/>
      <c r="G104" s="298"/>
      <c r="H104" s="298"/>
      <c r="I104" s="298"/>
      <c r="J104" s="298"/>
      <c r="K104" s="313"/>
    </row>
    <row r="105" spans="1:11" x14ac:dyDescent="0.25">
      <c r="A105" s="7" t="s">
        <v>4390</v>
      </c>
      <c r="B105" s="317">
        <f>capitalrevdata!E309</f>
        <v>600000</v>
      </c>
      <c r="C105" s="298">
        <f>capitalrevdata!F309</f>
        <v>600000</v>
      </c>
      <c r="D105" s="298">
        <f>capitalrevdata!G309</f>
        <v>600000</v>
      </c>
      <c r="E105" s="298">
        <f>capitalrevdata!H309</f>
        <v>600000</v>
      </c>
      <c r="F105" s="298">
        <f>capitalrevdata!I309</f>
        <v>600000</v>
      </c>
      <c r="G105" s="298">
        <f>capitalrevdata!J309</f>
        <v>600000</v>
      </c>
      <c r="H105" s="298">
        <f>capitalrevdata!K309</f>
        <v>600000</v>
      </c>
      <c r="I105" s="298">
        <f>capitalrevdata!L309</f>
        <v>600000</v>
      </c>
      <c r="J105" s="298">
        <f>capitalrevdata!M309</f>
        <v>600000</v>
      </c>
      <c r="K105" s="313">
        <f>capitalrevdata!N309</f>
        <v>600000</v>
      </c>
    </row>
    <row r="106" spans="1:11" x14ac:dyDescent="0.25">
      <c r="A106" s="7" t="s">
        <v>51</v>
      </c>
      <c r="B106" s="317">
        <f>capitalrevdata!E283</f>
        <v>0</v>
      </c>
      <c r="C106" s="298">
        <f>capitalrevdata!F283</f>
        <v>0</v>
      </c>
      <c r="D106" s="298">
        <f>capitalrevdata!G283</f>
        <v>0</v>
      </c>
      <c r="E106" s="298">
        <f>capitalrevdata!H283</f>
        <v>0</v>
      </c>
      <c r="F106" s="298">
        <f>capitalrevdata!I283</f>
        <v>0</v>
      </c>
      <c r="G106" s="298">
        <f>capitalrevdata!J283</f>
        <v>0</v>
      </c>
      <c r="H106" s="298">
        <f>capitalrevdata!K283</f>
        <v>0</v>
      </c>
      <c r="I106" s="298">
        <f>capitalrevdata!L283</f>
        <v>0</v>
      </c>
      <c r="J106" s="298">
        <f>capitalrevdata!M283</f>
        <v>0</v>
      </c>
      <c r="K106" s="313">
        <f>capitalrevdata!N283</f>
        <v>0</v>
      </c>
    </row>
    <row r="107" spans="1:11" x14ac:dyDescent="0.25">
      <c r="A107" s="7" t="s">
        <v>52</v>
      </c>
      <c r="B107" s="317">
        <f>capitalrevdata!E295</f>
        <v>0</v>
      </c>
      <c r="C107" s="298">
        <f>capitalrevdata!F295</f>
        <v>0</v>
      </c>
      <c r="D107" s="298">
        <f>capitalrevdata!G295</f>
        <v>0</v>
      </c>
      <c r="E107" s="298">
        <f>capitalrevdata!H295</f>
        <v>0</v>
      </c>
      <c r="F107" s="298">
        <f>capitalrevdata!I295</f>
        <v>0</v>
      </c>
      <c r="G107" s="298">
        <f>capitalrevdata!J295</f>
        <v>0</v>
      </c>
      <c r="H107" s="298">
        <f>capitalrevdata!K295</f>
        <v>0</v>
      </c>
      <c r="I107" s="298">
        <f>capitalrevdata!L295</f>
        <v>0</v>
      </c>
      <c r="J107" s="298">
        <f>capitalrevdata!M295</f>
        <v>0</v>
      </c>
      <c r="K107" s="313">
        <f>capitalrevdata!N295</f>
        <v>0</v>
      </c>
    </row>
    <row r="108" spans="1:11" x14ac:dyDescent="0.25">
      <c r="A108" s="7" t="s">
        <v>53</v>
      </c>
      <c r="B108" s="317">
        <f>capitalrevdata!E307</f>
        <v>0</v>
      </c>
      <c r="C108" s="298">
        <f>capitalrevdata!F307</f>
        <v>0</v>
      </c>
      <c r="D108" s="298">
        <f>capitalrevdata!G307</f>
        <v>0</v>
      </c>
      <c r="E108" s="298">
        <f>capitalrevdata!H307</f>
        <v>0</v>
      </c>
      <c r="F108" s="298">
        <f>capitalrevdata!I307</f>
        <v>0</v>
      </c>
      <c r="G108" s="298">
        <f>capitalrevdata!J307</f>
        <v>0</v>
      </c>
      <c r="H108" s="298">
        <f>capitalrevdata!K307</f>
        <v>0</v>
      </c>
      <c r="I108" s="298">
        <f>capitalrevdata!L307</f>
        <v>0</v>
      </c>
      <c r="J108" s="298">
        <f>capitalrevdata!M307</f>
        <v>0</v>
      </c>
      <c r="K108" s="313">
        <f>capitalrevdata!N307</f>
        <v>0</v>
      </c>
    </row>
    <row r="109" spans="1:11" x14ac:dyDescent="0.25">
      <c r="A109" s="12" t="s">
        <v>54</v>
      </c>
      <c r="B109" s="318">
        <f t="shared" ref="B109:K109" si="22">B99+B102+SUM(B105:B108)</f>
        <v>2483900</v>
      </c>
      <c r="C109" s="296">
        <f t="shared" si="22"/>
        <v>2302500</v>
      </c>
      <c r="D109" s="296">
        <f t="shared" si="22"/>
        <v>2142800</v>
      </c>
      <c r="E109" s="296">
        <f t="shared" si="22"/>
        <v>2042500</v>
      </c>
      <c r="F109" s="296">
        <f t="shared" si="22"/>
        <v>1901000</v>
      </c>
      <c r="G109" s="296">
        <f t="shared" si="22"/>
        <v>1763700</v>
      </c>
      <c r="H109" s="296">
        <f t="shared" si="22"/>
        <v>1611000</v>
      </c>
      <c r="I109" s="296">
        <f t="shared" si="22"/>
        <v>1445600</v>
      </c>
      <c r="J109" s="296">
        <f t="shared" si="22"/>
        <v>1276100</v>
      </c>
      <c r="K109" s="314">
        <f t="shared" si="22"/>
        <v>1123100</v>
      </c>
    </row>
    <row r="110" spans="1:11" x14ac:dyDescent="0.25">
      <c r="A110" s="7"/>
      <c r="B110" s="317"/>
      <c r="C110" s="298"/>
      <c r="D110" s="298"/>
      <c r="E110" s="298"/>
      <c r="F110" s="298"/>
      <c r="G110" s="298"/>
      <c r="H110" s="298"/>
      <c r="I110" s="298"/>
      <c r="J110" s="298"/>
      <c r="K110" s="313"/>
    </row>
    <row r="111" spans="1:11" x14ac:dyDescent="0.25">
      <c r="A111" s="12" t="s">
        <v>59</v>
      </c>
      <c r="B111" s="317"/>
      <c r="C111" s="298"/>
      <c r="D111" s="298"/>
      <c r="E111" s="298"/>
      <c r="F111" s="298"/>
      <c r="G111" s="298"/>
      <c r="H111" s="298"/>
      <c r="I111" s="298"/>
      <c r="J111" s="298"/>
      <c r="K111" s="313"/>
    </row>
    <row r="112" spans="1:11" x14ac:dyDescent="0.25">
      <c r="A112" s="7" t="s">
        <v>55</v>
      </c>
      <c r="B112" s="317">
        <f>capitalexpdata!F694</f>
        <v>9324900</v>
      </c>
      <c r="C112" s="298">
        <f>capitalexpdata!G694</f>
        <v>4272472</v>
      </c>
      <c r="D112" s="298">
        <f>capitalexpdata!H694</f>
        <v>2170000</v>
      </c>
      <c r="E112" s="298">
        <f>capitalexpdata!I694</f>
        <v>506184</v>
      </c>
      <c r="F112" s="298">
        <f>capitalexpdata!J694</f>
        <v>1178659</v>
      </c>
      <c r="G112" s="298">
        <f>capitalexpdata!K694</f>
        <v>741583</v>
      </c>
      <c r="H112" s="298">
        <f>capitalexpdata!L694</f>
        <v>1574573</v>
      </c>
      <c r="I112" s="298">
        <f>capitalexpdata!M694</f>
        <v>130000</v>
      </c>
      <c r="J112" s="298">
        <f>capitalexpdata!N694</f>
        <v>130000</v>
      </c>
      <c r="K112" s="313">
        <f>capitalexpdata!O694</f>
        <v>247500</v>
      </c>
    </row>
    <row r="113" spans="1:11" x14ac:dyDescent="0.25">
      <c r="A113" s="7" t="s">
        <v>56</v>
      </c>
      <c r="B113" s="317">
        <v>0</v>
      </c>
      <c r="C113" s="298">
        <f>loans!T98</f>
        <v>0</v>
      </c>
      <c r="D113" s="298">
        <f>loans!X98</f>
        <v>0</v>
      </c>
      <c r="E113" s="298">
        <f>loans!AB98</f>
        <v>0</v>
      </c>
      <c r="F113" s="298">
        <f>loans!AF98</f>
        <v>0</v>
      </c>
      <c r="G113" s="298">
        <f>loans!AJ98</f>
        <v>0</v>
      </c>
      <c r="H113" s="298">
        <f>loans!AN98</f>
        <v>0</v>
      </c>
      <c r="I113" s="298">
        <f>loans!AN98</f>
        <v>0</v>
      </c>
      <c r="J113" s="298">
        <f>loans!AZ98</f>
        <v>0</v>
      </c>
      <c r="K113" s="313">
        <f>loans!AZ98</f>
        <v>0</v>
      </c>
    </row>
    <row r="114" spans="1:11" x14ac:dyDescent="0.25">
      <c r="A114" s="12" t="s">
        <v>57</v>
      </c>
      <c r="B114" s="318">
        <f t="shared" ref="B114:K114" si="23">SUM(B112:B113)</f>
        <v>9324900</v>
      </c>
      <c r="C114" s="296">
        <f t="shared" si="23"/>
        <v>4272472</v>
      </c>
      <c r="D114" s="296">
        <f t="shared" si="23"/>
        <v>2170000</v>
      </c>
      <c r="E114" s="296">
        <f t="shared" si="23"/>
        <v>506184</v>
      </c>
      <c r="F114" s="296">
        <f t="shared" si="23"/>
        <v>1178659</v>
      </c>
      <c r="G114" s="296">
        <f t="shared" si="23"/>
        <v>741583</v>
      </c>
      <c r="H114" s="296">
        <f t="shared" si="23"/>
        <v>1574573</v>
      </c>
      <c r="I114" s="296">
        <f t="shared" si="23"/>
        <v>130000</v>
      </c>
      <c r="J114" s="296">
        <f t="shared" si="23"/>
        <v>130000</v>
      </c>
      <c r="K114" s="314">
        <f t="shared" si="23"/>
        <v>247500</v>
      </c>
    </row>
    <row r="115" spans="1:11" x14ac:dyDescent="0.25">
      <c r="A115" s="7"/>
      <c r="B115" s="317"/>
      <c r="C115" s="298"/>
      <c r="D115" s="298"/>
      <c r="E115" s="298"/>
      <c r="F115" s="298"/>
      <c r="G115" s="298"/>
      <c r="H115" s="298"/>
      <c r="I115" s="298"/>
      <c r="J115" s="298"/>
      <c r="K115" s="313"/>
    </row>
    <row r="116" spans="1:11" ht="15.75" thickBot="1" x14ac:dyDescent="0.3">
      <c r="A116" s="12" t="s">
        <v>4395</v>
      </c>
      <c r="B116" s="319">
        <f t="shared" ref="B116:K116" si="24">B109-B114</f>
        <v>-6841000</v>
      </c>
      <c r="C116" s="301">
        <f t="shared" si="24"/>
        <v>-1969972</v>
      </c>
      <c r="D116" s="301">
        <f t="shared" si="24"/>
        <v>-27200</v>
      </c>
      <c r="E116" s="301">
        <f t="shared" si="24"/>
        <v>1536316</v>
      </c>
      <c r="F116" s="301">
        <f t="shared" si="24"/>
        <v>722341</v>
      </c>
      <c r="G116" s="301">
        <f t="shared" si="24"/>
        <v>1022117</v>
      </c>
      <c r="H116" s="301">
        <f t="shared" si="24"/>
        <v>36427</v>
      </c>
      <c r="I116" s="301">
        <f t="shared" si="24"/>
        <v>1315600</v>
      </c>
      <c r="J116" s="301">
        <f t="shared" si="24"/>
        <v>1146100</v>
      </c>
      <c r="K116" s="315">
        <f t="shared" si="24"/>
        <v>875600</v>
      </c>
    </row>
    <row r="117" spans="1:11" ht="15.75" thickTop="1" x14ac:dyDescent="0.25">
      <c r="A117" s="12"/>
      <c r="B117" s="401"/>
      <c r="C117" s="300"/>
      <c r="D117" s="300"/>
      <c r="E117" s="300"/>
      <c r="F117" s="300"/>
      <c r="G117" s="300"/>
      <c r="H117" s="300"/>
      <c r="I117" s="300"/>
      <c r="J117" s="300"/>
      <c r="K117" s="328"/>
    </row>
    <row r="118" spans="1:11" x14ac:dyDescent="0.25">
      <c r="A118" s="12" t="s">
        <v>4268</v>
      </c>
      <c r="B118" s="318">
        <f>-9324900+2483900</f>
        <v>-6841000</v>
      </c>
      <c r="C118" s="296">
        <f>reservessummary!C135</f>
        <v>-1969972</v>
      </c>
      <c r="D118" s="296">
        <f>reservessummary!F135</f>
        <v>-27200</v>
      </c>
      <c r="E118" s="296">
        <f>reservessummary!I135</f>
        <v>1536316</v>
      </c>
      <c r="F118" s="296">
        <f>reservessummary!L135</f>
        <v>722341</v>
      </c>
      <c r="G118" s="296">
        <f>reservessummary!O135</f>
        <v>1022117</v>
      </c>
      <c r="H118" s="296">
        <f>reservessummary!R135</f>
        <v>36427</v>
      </c>
      <c r="I118" s="296">
        <f>reservessummary!U135</f>
        <v>1315600</v>
      </c>
      <c r="J118" s="296">
        <f>reservessummary!X135</f>
        <v>1146100</v>
      </c>
      <c r="K118" s="314">
        <f>reservessummary!AA135</f>
        <v>875600</v>
      </c>
    </row>
    <row r="119" spans="1:11" x14ac:dyDescent="0.25">
      <c r="A119" s="12"/>
      <c r="B119" s="327"/>
      <c r="C119" s="300"/>
      <c r="D119" s="300"/>
      <c r="E119" s="300"/>
      <c r="F119" s="300"/>
      <c r="G119" s="300"/>
      <c r="H119" s="300"/>
      <c r="I119" s="300"/>
      <c r="J119" s="300"/>
      <c r="K119" s="328"/>
    </row>
    <row r="120" spans="1:11" ht="15.75" thickBot="1" x14ac:dyDescent="0.3">
      <c r="A120" s="12" t="s">
        <v>4389</v>
      </c>
      <c r="B120" s="319">
        <f>B116-B118</f>
        <v>0</v>
      </c>
      <c r="C120" s="301">
        <f>C116-C118</f>
        <v>0</v>
      </c>
      <c r="D120" s="301">
        <f t="shared" ref="D120:K120" si="25">D116-D118</f>
        <v>0</v>
      </c>
      <c r="E120" s="301">
        <f t="shared" si="25"/>
        <v>0</v>
      </c>
      <c r="F120" s="301">
        <f t="shared" si="25"/>
        <v>0</v>
      </c>
      <c r="G120" s="301">
        <f t="shared" si="25"/>
        <v>0</v>
      </c>
      <c r="H120" s="301">
        <f t="shared" si="25"/>
        <v>0</v>
      </c>
      <c r="I120" s="301">
        <f t="shared" si="25"/>
        <v>0</v>
      </c>
      <c r="J120" s="301">
        <f t="shared" si="25"/>
        <v>0</v>
      </c>
      <c r="K120" s="315">
        <f t="shared" si="25"/>
        <v>0</v>
      </c>
    </row>
    <row r="121" spans="1:11" ht="15.75" thickTop="1" x14ac:dyDescent="0.25">
      <c r="A121" s="8"/>
      <c r="B121" s="326"/>
      <c r="C121" s="324"/>
      <c r="D121" s="324"/>
      <c r="E121" s="324"/>
      <c r="F121" s="324"/>
      <c r="G121" s="324"/>
      <c r="H121" s="324"/>
      <c r="I121" s="324"/>
      <c r="J121" s="324"/>
      <c r="K121" s="325"/>
    </row>
  </sheetData>
  <mergeCells count="12">
    <mergeCell ref="C66:K66"/>
    <mergeCell ref="A93:K93"/>
    <mergeCell ref="A94:K94"/>
    <mergeCell ref="C96:K96"/>
    <mergeCell ref="A1:K1"/>
    <mergeCell ref="A2:K2"/>
    <mergeCell ref="C4:K4"/>
    <mergeCell ref="A31:K31"/>
    <mergeCell ref="A32:K32"/>
    <mergeCell ref="C34:K34"/>
    <mergeCell ref="A63:K63"/>
    <mergeCell ref="A64:K64"/>
  </mergeCells>
  <pageMargins left="0.70866141732283472" right="0.70866141732283472" top="0.74803149606299213" bottom="0.74803149606299213" header="0.31496062992125984" footer="0.31496062992125984"/>
  <pageSetup paperSize="9" scale="70" orientation="landscape" r:id="rId1"/>
  <rowBreaks count="3" manualBreakCount="3">
    <brk id="30" max="16383" man="1"/>
    <brk id="62" max="16383" man="1"/>
    <brk id="9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7"/>
  <sheetViews>
    <sheetView topLeftCell="A30" workbookViewId="0">
      <selection activeCell="A49" sqref="A49:K95"/>
    </sheetView>
  </sheetViews>
  <sheetFormatPr defaultRowHeight="15" x14ac:dyDescent="0.25"/>
  <cols>
    <col min="1" max="1" width="56.140625" customWidth="1"/>
    <col min="2" max="11" width="13.7109375" customWidth="1"/>
  </cols>
  <sheetData>
    <row r="1" spans="1:11" ht="18.75" x14ac:dyDescent="0.3">
      <c r="A1" s="496" t="s">
        <v>33</v>
      </c>
      <c r="B1" s="497"/>
      <c r="C1" s="497"/>
      <c r="D1" s="497"/>
      <c r="E1" s="497"/>
      <c r="F1" s="497"/>
      <c r="G1" s="497"/>
      <c r="H1" s="497"/>
      <c r="I1" s="497"/>
      <c r="J1" s="497"/>
      <c r="K1" s="498"/>
    </row>
    <row r="2" spans="1:11" ht="18.75" x14ac:dyDescent="0.3">
      <c r="A2" s="499" t="s">
        <v>4612</v>
      </c>
      <c r="B2" s="500"/>
      <c r="C2" s="500"/>
      <c r="D2" s="500"/>
      <c r="E2" s="500"/>
      <c r="F2" s="500"/>
      <c r="G2" s="500"/>
      <c r="H2" s="500"/>
      <c r="I2" s="500"/>
      <c r="J2" s="500"/>
      <c r="K2" s="501"/>
    </row>
    <row r="3" spans="1:11" x14ac:dyDescent="0.25">
      <c r="A3" s="11"/>
      <c r="B3" s="20" t="s">
        <v>29</v>
      </c>
      <c r="C3" s="1"/>
      <c r="D3" s="1"/>
      <c r="E3" s="1"/>
      <c r="F3" s="1"/>
      <c r="G3" s="1"/>
      <c r="H3" s="1"/>
      <c r="I3" s="1"/>
      <c r="J3" s="1"/>
      <c r="K3" s="4"/>
    </row>
    <row r="4" spans="1:11" x14ac:dyDescent="0.25">
      <c r="A4" s="7"/>
      <c r="B4" s="21" t="s">
        <v>28</v>
      </c>
      <c r="C4" s="502" t="s">
        <v>30</v>
      </c>
      <c r="D4" s="502"/>
      <c r="E4" s="502"/>
      <c r="F4" s="502"/>
      <c r="G4" s="502"/>
      <c r="H4" s="502"/>
      <c r="I4" s="502"/>
      <c r="J4" s="502"/>
      <c r="K4" s="503"/>
    </row>
    <row r="5" spans="1:11" x14ac:dyDescent="0.25">
      <c r="A5" s="8"/>
      <c r="B5" s="22">
        <v>2017</v>
      </c>
      <c r="C5" s="2">
        <v>2018</v>
      </c>
      <c r="D5" s="2">
        <v>2019</v>
      </c>
      <c r="E5" s="2">
        <v>2020</v>
      </c>
      <c r="F5" s="2">
        <v>2021</v>
      </c>
      <c r="G5" s="2">
        <v>2022</v>
      </c>
      <c r="H5" s="2">
        <v>2023</v>
      </c>
      <c r="I5" s="2">
        <v>2024</v>
      </c>
      <c r="J5" s="2">
        <v>2025</v>
      </c>
      <c r="K5" s="6">
        <v>2026</v>
      </c>
    </row>
    <row r="6" spans="1:11" x14ac:dyDescent="0.25">
      <c r="A6" s="7"/>
      <c r="B6" s="317"/>
      <c r="C6" s="298"/>
      <c r="D6" s="298"/>
      <c r="E6" s="298"/>
      <c r="F6" s="298"/>
      <c r="G6" s="298"/>
      <c r="H6" s="298"/>
      <c r="I6" s="298"/>
      <c r="J6" s="298"/>
      <c r="K6" s="313"/>
    </row>
    <row r="7" spans="1:11" x14ac:dyDescent="0.25">
      <c r="A7" s="12" t="s">
        <v>61</v>
      </c>
      <c r="B7" s="317"/>
      <c r="C7" s="298"/>
      <c r="D7" s="298"/>
      <c r="E7" s="298"/>
      <c r="F7" s="298"/>
      <c r="G7" s="298"/>
      <c r="H7" s="298"/>
      <c r="I7" s="298"/>
      <c r="J7" s="298"/>
      <c r="K7" s="313"/>
    </row>
    <row r="8" spans="1:11" x14ac:dyDescent="0.25">
      <c r="A8" s="12" t="s">
        <v>62</v>
      </c>
      <c r="B8" s="317"/>
      <c r="C8" s="298"/>
      <c r="D8" s="298"/>
      <c r="E8" s="298"/>
      <c r="F8" s="298"/>
      <c r="G8" s="298"/>
      <c r="H8" s="298"/>
      <c r="I8" s="298"/>
      <c r="J8" s="298"/>
      <c r="K8" s="313"/>
    </row>
    <row r="9" spans="1:11" x14ac:dyDescent="0.25">
      <c r="A9" s="13" t="s">
        <v>63</v>
      </c>
      <c r="B9" s="317">
        <f t="shared" ref="B9:K9" si="0">B57+B105+B153</f>
        <v>37240000</v>
      </c>
      <c r="C9" s="298">
        <f t="shared" si="0"/>
        <v>38701100</v>
      </c>
      <c r="D9" s="298">
        <f t="shared" si="0"/>
        <v>40387000</v>
      </c>
      <c r="E9" s="298">
        <f t="shared" si="0"/>
        <v>42192800</v>
      </c>
      <c r="F9" s="298">
        <f t="shared" si="0"/>
        <v>44127300</v>
      </c>
      <c r="G9" s="298">
        <f t="shared" si="0"/>
        <v>44910200</v>
      </c>
      <c r="H9" s="298">
        <f t="shared" si="0"/>
        <v>45713200</v>
      </c>
      <c r="I9" s="298">
        <f t="shared" si="0"/>
        <v>46536200</v>
      </c>
      <c r="J9" s="298">
        <f t="shared" si="0"/>
        <v>47380000</v>
      </c>
      <c r="K9" s="313">
        <f t="shared" si="0"/>
        <v>48244700</v>
      </c>
    </row>
    <row r="10" spans="1:11" x14ac:dyDescent="0.25">
      <c r="A10" s="7" t="s">
        <v>64</v>
      </c>
      <c r="B10" s="317">
        <f t="shared" ref="B10:K10" si="1">B58+B106+B154</f>
        <v>27229200</v>
      </c>
      <c r="C10" s="298">
        <f t="shared" si="1"/>
        <v>27150300</v>
      </c>
      <c r="D10" s="298">
        <f t="shared" si="1"/>
        <v>27434700</v>
      </c>
      <c r="E10" s="298">
        <f t="shared" si="1"/>
        <v>27725900</v>
      </c>
      <c r="F10" s="298">
        <f t="shared" si="1"/>
        <v>28124100</v>
      </c>
      <c r="G10" s="298">
        <f t="shared" si="1"/>
        <v>28429400</v>
      </c>
      <c r="H10" s="298">
        <f t="shared" si="1"/>
        <v>28742200</v>
      </c>
      <c r="I10" s="298">
        <f t="shared" si="1"/>
        <v>29063100</v>
      </c>
      <c r="J10" s="298">
        <f t="shared" si="1"/>
        <v>29391300</v>
      </c>
      <c r="K10" s="313">
        <f t="shared" si="1"/>
        <v>29727800</v>
      </c>
    </row>
    <row r="11" spans="1:11" x14ac:dyDescent="0.25">
      <c r="A11" s="7" t="s">
        <v>65</v>
      </c>
      <c r="B11" s="317">
        <f t="shared" ref="B11:K11" si="2">B59+B107+B155</f>
        <v>1697400</v>
      </c>
      <c r="C11" s="298">
        <f t="shared" si="2"/>
        <v>1817100</v>
      </c>
      <c r="D11" s="298">
        <f t="shared" si="2"/>
        <v>1799400</v>
      </c>
      <c r="E11" s="298">
        <f t="shared" si="2"/>
        <v>1794200</v>
      </c>
      <c r="F11" s="298">
        <f t="shared" si="2"/>
        <v>1874400</v>
      </c>
      <c r="G11" s="298">
        <f t="shared" si="2"/>
        <v>2001000</v>
      </c>
      <c r="H11" s="298">
        <f t="shared" si="2"/>
        <v>2192400</v>
      </c>
      <c r="I11" s="298">
        <f t="shared" si="2"/>
        <v>2399800</v>
      </c>
      <c r="J11" s="298">
        <f t="shared" si="2"/>
        <v>2620100</v>
      </c>
      <c r="K11" s="313">
        <f t="shared" si="2"/>
        <v>2806400</v>
      </c>
    </row>
    <row r="12" spans="1:11" x14ac:dyDescent="0.25">
      <c r="A12" s="13" t="s">
        <v>68</v>
      </c>
      <c r="B12" s="317">
        <f t="shared" ref="B12:K12" si="3">B60+B108+B156</f>
        <v>24327400</v>
      </c>
      <c r="C12" s="298">
        <f t="shared" si="3"/>
        <v>10424100</v>
      </c>
      <c r="D12" s="298">
        <f t="shared" si="3"/>
        <v>9336300</v>
      </c>
      <c r="E12" s="298">
        <f t="shared" si="3"/>
        <v>9562800</v>
      </c>
      <c r="F12" s="298">
        <f t="shared" si="3"/>
        <v>9454500</v>
      </c>
      <c r="G12" s="298">
        <f t="shared" si="3"/>
        <v>9463700</v>
      </c>
      <c r="H12" s="298">
        <f t="shared" si="3"/>
        <v>9045800</v>
      </c>
      <c r="I12" s="298">
        <f t="shared" si="3"/>
        <v>9181000</v>
      </c>
      <c r="J12" s="298">
        <f t="shared" si="3"/>
        <v>9319500</v>
      </c>
      <c r="K12" s="313">
        <f t="shared" si="3"/>
        <v>9061000</v>
      </c>
    </row>
    <row r="13" spans="1:11" x14ac:dyDescent="0.25">
      <c r="A13" s="7" t="s">
        <v>66</v>
      </c>
      <c r="B13" s="317">
        <f>B61+B109+B157</f>
        <v>1312800</v>
      </c>
      <c r="C13" s="298">
        <f t="shared" ref="C13:K13" si="4">C61+C109+C157</f>
        <v>1320300</v>
      </c>
      <c r="D13" s="298">
        <f t="shared" si="4"/>
        <v>1300000</v>
      </c>
      <c r="E13" s="298">
        <f t="shared" si="4"/>
        <v>1300000</v>
      </c>
      <c r="F13" s="298">
        <f t="shared" si="4"/>
        <v>1300000</v>
      </c>
      <c r="G13" s="298">
        <f t="shared" si="4"/>
        <v>1300000</v>
      </c>
      <c r="H13" s="298">
        <f t="shared" si="4"/>
        <v>1300000</v>
      </c>
      <c r="I13" s="298">
        <f t="shared" si="4"/>
        <v>1300000</v>
      </c>
      <c r="J13" s="298">
        <f t="shared" si="4"/>
        <v>1300000</v>
      </c>
      <c r="K13" s="313">
        <f t="shared" si="4"/>
        <v>1300000</v>
      </c>
    </row>
    <row r="14" spans="1:11" x14ac:dyDescent="0.25">
      <c r="A14" s="12" t="s">
        <v>67</v>
      </c>
      <c r="B14" s="317"/>
      <c r="C14" s="298"/>
      <c r="D14" s="298"/>
      <c r="E14" s="298"/>
      <c r="F14" s="298"/>
      <c r="G14" s="298"/>
      <c r="H14" s="298"/>
      <c r="I14" s="298"/>
      <c r="J14" s="298"/>
      <c r="K14" s="313"/>
    </row>
    <row r="15" spans="1:11" x14ac:dyDescent="0.25">
      <c r="A15" s="13" t="s">
        <v>69</v>
      </c>
      <c r="B15" s="317">
        <f t="shared" ref="B15:K15" si="5">B63+B111+B159</f>
        <v>-20374000</v>
      </c>
      <c r="C15" s="298">
        <f t="shared" si="5"/>
        <v>-21473100</v>
      </c>
      <c r="D15" s="298">
        <f t="shared" si="5"/>
        <v>-21903000</v>
      </c>
      <c r="E15" s="298">
        <f t="shared" si="5"/>
        <v>-22340300</v>
      </c>
      <c r="F15" s="298">
        <f t="shared" si="5"/>
        <v>-22786700</v>
      </c>
      <c r="G15" s="298">
        <f t="shared" si="5"/>
        <v>-23242200</v>
      </c>
      <c r="H15" s="298">
        <f t="shared" si="5"/>
        <v>-23707000</v>
      </c>
      <c r="I15" s="298">
        <f t="shared" si="5"/>
        <v>-24295800</v>
      </c>
      <c r="J15" s="298">
        <f t="shared" si="5"/>
        <v>-24898900</v>
      </c>
      <c r="K15" s="313">
        <f t="shared" si="5"/>
        <v>-25517700</v>
      </c>
    </row>
    <row r="16" spans="1:11" x14ac:dyDescent="0.25">
      <c r="A16" s="13" t="s">
        <v>70</v>
      </c>
      <c r="B16" s="317">
        <f t="shared" ref="B16:K16" si="6">B64+B112+B160</f>
        <v>-30326700</v>
      </c>
      <c r="C16" s="298">
        <f t="shared" si="6"/>
        <v>-29353600</v>
      </c>
      <c r="D16" s="298">
        <f t="shared" si="6"/>
        <v>-30118800</v>
      </c>
      <c r="E16" s="298">
        <f t="shared" si="6"/>
        <v>-30949900</v>
      </c>
      <c r="F16" s="298">
        <f t="shared" si="6"/>
        <v>-31967800</v>
      </c>
      <c r="G16" s="298">
        <f t="shared" si="6"/>
        <v>-32620200</v>
      </c>
      <c r="H16" s="298">
        <f t="shared" si="6"/>
        <v>-33285900</v>
      </c>
      <c r="I16" s="298">
        <f t="shared" si="6"/>
        <v>-34127600</v>
      </c>
      <c r="J16" s="298">
        <f t="shared" si="6"/>
        <v>-34992400</v>
      </c>
      <c r="K16" s="313">
        <f t="shared" si="6"/>
        <v>-35873800</v>
      </c>
    </row>
    <row r="17" spans="1:11" x14ac:dyDescent="0.25">
      <c r="A17" s="13" t="s">
        <v>71</v>
      </c>
      <c r="B17" s="317">
        <f t="shared" ref="B17:K17" si="7">B65+B113+B161</f>
        <v>-4571900</v>
      </c>
      <c r="C17" s="298">
        <f t="shared" si="7"/>
        <v>-4439300</v>
      </c>
      <c r="D17" s="298">
        <f t="shared" si="7"/>
        <v>-4364200</v>
      </c>
      <c r="E17" s="298">
        <f t="shared" si="7"/>
        <v>-4289700</v>
      </c>
      <c r="F17" s="298">
        <f t="shared" si="7"/>
        <v>-4064500</v>
      </c>
      <c r="G17" s="298">
        <f t="shared" si="7"/>
        <v>-3879600</v>
      </c>
      <c r="H17" s="298">
        <f t="shared" si="7"/>
        <v>-3556900</v>
      </c>
      <c r="I17" s="298">
        <f t="shared" si="7"/>
        <v>-3329600</v>
      </c>
      <c r="J17" s="298">
        <f t="shared" si="7"/>
        <v>-3072600</v>
      </c>
      <c r="K17" s="313">
        <f t="shared" si="7"/>
        <v>-2853800</v>
      </c>
    </row>
    <row r="18" spans="1:11" x14ac:dyDescent="0.25">
      <c r="A18" s="13" t="s">
        <v>66</v>
      </c>
      <c r="B18" s="317">
        <f t="shared" ref="B18:K18" ca="1" si="8">B66+B114+B162</f>
        <v>-4925100</v>
      </c>
      <c r="C18" s="298">
        <f t="shared" ca="1" si="8"/>
        <v>-4781100</v>
      </c>
      <c r="D18" s="298">
        <f t="shared" ca="1" si="8"/>
        <v>-4876000</v>
      </c>
      <c r="E18" s="298">
        <f t="shared" ca="1" si="8"/>
        <v>-5223100</v>
      </c>
      <c r="F18" s="298">
        <f t="shared" ca="1" si="8"/>
        <v>-5072000</v>
      </c>
      <c r="G18" s="298">
        <f t="shared" ca="1" si="8"/>
        <v>-5172400</v>
      </c>
      <c r="H18" s="298">
        <f t="shared" ca="1" si="8"/>
        <v>-5274800</v>
      </c>
      <c r="I18" s="298">
        <f t="shared" ca="1" si="8"/>
        <v>-5706500</v>
      </c>
      <c r="J18" s="298">
        <f t="shared" ca="1" si="8"/>
        <v>-5541500</v>
      </c>
      <c r="K18" s="313">
        <f t="shared" ca="1" si="8"/>
        <v>-5679700</v>
      </c>
    </row>
    <row r="19" spans="1:11" x14ac:dyDescent="0.25">
      <c r="A19" s="12" t="s">
        <v>60</v>
      </c>
      <c r="B19" s="318">
        <f t="shared" ref="B19:K19" ca="1" si="9">SUM(B9:B18)</f>
        <v>31609100</v>
      </c>
      <c r="C19" s="296">
        <f t="shared" ca="1" si="9"/>
        <v>19365800</v>
      </c>
      <c r="D19" s="296">
        <f t="shared" ca="1" si="9"/>
        <v>18995400</v>
      </c>
      <c r="E19" s="296">
        <f t="shared" ca="1" si="9"/>
        <v>19772700</v>
      </c>
      <c r="F19" s="296">
        <f t="shared" ca="1" si="9"/>
        <v>20989300</v>
      </c>
      <c r="G19" s="296">
        <f t="shared" ca="1" si="9"/>
        <v>21189900</v>
      </c>
      <c r="H19" s="296">
        <f t="shared" ca="1" si="9"/>
        <v>21169000</v>
      </c>
      <c r="I19" s="296">
        <f t="shared" ca="1" si="9"/>
        <v>21020600</v>
      </c>
      <c r="J19" s="296">
        <f t="shared" ca="1" si="9"/>
        <v>21505500</v>
      </c>
      <c r="K19" s="314">
        <f t="shared" ca="1" si="9"/>
        <v>21214900</v>
      </c>
    </row>
    <row r="20" spans="1:11" x14ac:dyDescent="0.25">
      <c r="A20" s="7"/>
      <c r="B20" s="317"/>
      <c r="C20" s="298"/>
      <c r="D20" s="298"/>
      <c r="E20" s="298"/>
      <c r="F20" s="298"/>
      <c r="G20" s="298"/>
      <c r="H20" s="298"/>
      <c r="I20" s="298"/>
      <c r="J20" s="298"/>
      <c r="K20" s="313"/>
    </row>
    <row r="21" spans="1:11" x14ac:dyDescent="0.25">
      <c r="A21" s="12" t="s">
        <v>72</v>
      </c>
      <c r="B21" s="317"/>
      <c r="C21" s="298"/>
      <c r="D21" s="298"/>
      <c r="E21" s="298"/>
      <c r="F21" s="298"/>
      <c r="G21" s="298"/>
      <c r="H21" s="298"/>
      <c r="I21" s="298"/>
      <c r="J21" s="298"/>
      <c r="K21" s="313"/>
    </row>
    <row r="22" spans="1:11" x14ac:dyDescent="0.25">
      <c r="A22" s="14" t="s">
        <v>62</v>
      </c>
      <c r="B22" s="317"/>
      <c r="C22" s="298"/>
      <c r="D22" s="298"/>
      <c r="E22" s="298"/>
      <c r="F22" s="298"/>
      <c r="G22" s="298"/>
      <c r="H22" s="298"/>
      <c r="I22" s="298"/>
      <c r="J22" s="298"/>
      <c r="K22" s="313"/>
    </row>
    <row r="23" spans="1:11" x14ac:dyDescent="0.25">
      <c r="A23" s="7" t="s">
        <v>73</v>
      </c>
      <c r="B23" s="317">
        <f t="shared" ref="B23:K23" si="10">B71+B119+B167</f>
        <v>0</v>
      </c>
      <c r="C23" s="298">
        <f t="shared" si="10"/>
        <v>0</v>
      </c>
      <c r="D23" s="298">
        <f t="shared" si="10"/>
        <v>0</v>
      </c>
      <c r="E23" s="298">
        <f t="shared" si="10"/>
        <v>0</v>
      </c>
      <c r="F23" s="298">
        <f t="shared" si="10"/>
        <v>0</v>
      </c>
      <c r="G23" s="298">
        <f t="shared" si="10"/>
        <v>0</v>
      </c>
      <c r="H23" s="298">
        <f t="shared" si="10"/>
        <v>0</v>
      </c>
      <c r="I23" s="298">
        <f t="shared" si="10"/>
        <v>0</v>
      </c>
      <c r="J23" s="298">
        <f t="shared" si="10"/>
        <v>0</v>
      </c>
      <c r="K23" s="313">
        <f t="shared" si="10"/>
        <v>0</v>
      </c>
    </row>
    <row r="24" spans="1:11" x14ac:dyDescent="0.25">
      <c r="A24" s="7" t="s">
        <v>4542</v>
      </c>
      <c r="B24" s="317">
        <f t="shared" ref="B24:K24" si="11">B72+B120+B168</f>
        <v>1673000</v>
      </c>
      <c r="C24" s="298">
        <f t="shared" si="11"/>
        <v>0</v>
      </c>
      <c r="D24" s="298">
        <f t="shared" si="11"/>
        <v>0</v>
      </c>
      <c r="E24" s="298">
        <f t="shared" si="11"/>
        <v>0</v>
      </c>
      <c r="F24" s="298">
        <f t="shared" si="11"/>
        <v>0</v>
      </c>
      <c r="G24" s="298">
        <f t="shared" si="11"/>
        <v>0</v>
      </c>
      <c r="H24" s="298">
        <f t="shared" si="11"/>
        <v>0</v>
      </c>
      <c r="I24" s="298">
        <f t="shared" si="11"/>
        <v>0</v>
      </c>
      <c r="J24" s="298">
        <f t="shared" si="11"/>
        <v>0</v>
      </c>
      <c r="K24" s="313">
        <f t="shared" si="11"/>
        <v>0</v>
      </c>
    </row>
    <row r="25" spans="1:11" x14ac:dyDescent="0.25">
      <c r="A25" s="7" t="s">
        <v>75</v>
      </c>
      <c r="B25" s="317">
        <f t="shared" ref="B25:K25" si="12">B73+B121+B169</f>
        <v>0</v>
      </c>
      <c r="C25" s="298">
        <f t="shared" si="12"/>
        <v>0</v>
      </c>
      <c r="D25" s="298">
        <f t="shared" si="12"/>
        <v>0</v>
      </c>
      <c r="E25" s="298">
        <f t="shared" si="12"/>
        <v>0</v>
      </c>
      <c r="F25" s="298">
        <f t="shared" si="12"/>
        <v>0</v>
      </c>
      <c r="G25" s="298">
        <f t="shared" si="12"/>
        <v>0</v>
      </c>
      <c r="H25" s="298">
        <f t="shared" si="12"/>
        <v>0</v>
      </c>
      <c r="I25" s="298">
        <f t="shared" si="12"/>
        <v>0</v>
      </c>
      <c r="J25" s="298">
        <f t="shared" si="12"/>
        <v>0</v>
      </c>
      <c r="K25" s="313">
        <f t="shared" si="12"/>
        <v>0</v>
      </c>
    </row>
    <row r="26" spans="1:11" x14ac:dyDescent="0.25">
      <c r="A26" s="7" t="s">
        <v>66</v>
      </c>
      <c r="B26" s="317">
        <f t="shared" ref="B26:K26" si="13">B74+B122+B170</f>
        <v>0</v>
      </c>
      <c r="C26" s="298">
        <f t="shared" si="13"/>
        <v>0</v>
      </c>
      <c r="D26" s="298">
        <f t="shared" si="13"/>
        <v>0</v>
      </c>
      <c r="E26" s="298">
        <f t="shared" si="13"/>
        <v>0</v>
      </c>
      <c r="F26" s="298">
        <f t="shared" si="13"/>
        <v>0</v>
      </c>
      <c r="G26" s="298">
        <f t="shared" si="13"/>
        <v>0</v>
      </c>
      <c r="H26" s="298">
        <f t="shared" si="13"/>
        <v>0</v>
      </c>
      <c r="I26" s="298">
        <f t="shared" si="13"/>
        <v>0</v>
      </c>
      <c r="J26" s="298">
        <f t="shared" si="13"/>
        <v>0</v>
      </c>
      <c r="K26" s="313">
        <f t="shared" si="13"/>
        <v>0</v>
      </c>
    </row>
    <row r="27" spans="1:11" x14ac:dyDescent="0.25">
      <c r="A27" s="12" t="s">
        <v>67</v>
      </c>
      <c r="B27" s="317"/>
      <c r="C27" s="298"/>
      <c r="D27" s="298"/>
      <c r="E27" s="298"/>
      <c r="F27" s="298"/>
      <c r="G27" s="298"/>
      <c r="H27" s="298"/>
      <c r="I27" s="298"/>
      <c r="J27" s="298"/>
      <c r="K27" s="313"/>
    </row>
    <row r="28" spans="1:11" x14ac:dyDescent="0.25">
      <c r="A28" s="7" t="s">
        <v>76</v>
      </c>
      <c r="B28" s="317">
        <f t="shared" ref="B28:K28" si="14">B76+B124+B172</f>
        <v>0</v>
      </c>
      <c r="C28" s="298">
        <f t="shared" si="14"/>
        <v>0</v>
      </c>
      <c r="D28" s="298">
        <f t="shared" si="14"/>
        <v>0</v>
      </c>
      <c r="E28" s="298">
        <f t="shared" si="14"/>
        <v>0</v>
      </c>
      <c r="F28" s="298">
        <f t="shared" si="14"/>
        <v>0</v>
      </c>
      <c r="G28" s="298">
        <f t="shared" si="14"/>
        <v>0</v>
      </c>
      <c r="H28" s="298">
        <f t="shared" si="14"/>
        <v>0</v>
      </c>
      <c r="I28" s="298">
        <f t="shared" si="14"/>
        <v>0</v>
      </c>
      <c r="J28" s="298">
        <f t="shared" si="14"/>
        <v>0</v>
      </c>
      <c r="K28" s="313">
        <f t="shared" si="14"/>
        <v>0</v>
      </c>
    </row>
    <row r="29" spans="1:11" x14ac:dyDescent="0.25">
      <c r="A29" s="7" t="s">
        <v>77</v>
      </c>
      <c r="B29" s="317">
        <f t="shared" ref="B29:K29" si="15">B77+B125+B173</f>
        <v>-52159600</v>
      </c>
      <c r="C29" s="298">
        <f t="shared" si="15"/>
        <v>-20213511</v>
      </c>
      <c r="D29" s="298">
        <f t="shared" si="15"/>
        <v>-12061031</v>
      </c>
      <c r="E29" s="298">
        <f t="shared" si="15"/>
        <v>-24453405</v>
      </c>
      <c r="F29" s="298">
        <f t="shared" si="15"/>
        <v>-11022934</v>
      </c>
      <c r="G29" s="298">
        <f t="shared" si="15"/>
        <v>-10790953</v>
      </c>
      <c r="H29" s="298">
        <f t="shared" si="15"/>
        <v>-11146814</v>
      </c>
      <c r="I29" s="298">
        <f t="shared" si="15"/>
        <v>-11349481</v>
      </c>
      <c r="J29" s="298">
        <f t="shared" si="15"/>
        <v>-13479240</v>
      </c>
      <c r="K29" s="313">
        <f t="shared" si="15"/>
        <v>-23621402</v>
      </c>
    </row>
    <row r="30" spans="1:11" x14ac:dyDescent="0.25">
      <c r="A30" s="7" t="s">
        <v>78</v>
      </c>
      <c r="B30" s="317">
        <f t="shared" ref="B30:K30" si="16">B78+B126+B174</f>
        <v>0</v>
      </c>
      <c r="C30" s="298">
        <f t="shared" si="16"/>
        <v>0</v>
      </c>
      <c r="D30" s="298">
        <f t="shared" si="16"/>
        <v>0</v>
      </c>
      <c r="E30" s="298">
        <f t="shared" si="16"/>
        <v>0</v>
      </c>
      <c r="F30" s="298">
        <f t="shared" si="16"/>
        <v>0</v>
      </c>
      <c r="G30" s="298">
        <f t="shared" si="16"/>
        <v>0</v>
      </c>
      <c r="H30" s="298">
        <f t="shared" si="16"/>
        <v>0</v>
      </c>
      <c r="I30" s="298">
        <f t="shared" si="16"/>
        <v>0</v>
      </c>
      <c r="J30" s="298">
        <f t="shared" si="16"/>
        <v>0</v>
      </c>
      <c r="K30" s="313">
        <f t="shared" si="16"/>
        <v>0</v>
      </c>
    </row>
    <row r="31" spans="1:11" x14ac:dyDescent="0.25">
      <c r="A31" s="7" t="s">
        <v>79</v>
      </c>
      <c r="B31" s="317">
        <f t="shared" ref="B31:K31" si="17">B79+B127+B175</f>
        <v>0</v>
      </c>
      <c r="C31" s="298">
        <f t="shared" si="17"/>
        <v>0</v>
      </c>
      <c r="D31" s="298">
        <f t="shared" si="17"/>
        <v>0</v>
      </c>
      <c r="E31" s="298">
        <f t="shared" si="17"/>
        <v>0</v>
      </c>
      <c r="F31" s="298">
        <f t="shared" si="17"/>
        <v>0</v>
      </c>
      <c r="G31" s="298">
        <f t="shared" si="17"/>
        <v>0</v>
      </c>
      <c r="H31" s="298">
        <f t="shared" si="17"/>
        <v>0</v>
      </c>
      <c r="I31" s="298">
        <f t="shared" si="17"/>
        <v>0</v>
      </c>
      <c r="J31" s="298">
        <f t="shared" si="17"/>
        <v>0</v>
      </c>
      <c r="K31" s="313">
        <f t="shared" si="17"/>
        <v>0</v>
      </c>
    </row>
    <row r="32" spans="1:11" x14ac:dyDescent="0.25">
      <c r="A32" s="7" t="s">
        <v>66</v>
      </c>
      <c r="B32" s="317">
        <f t="shared" ref="B32:K32" si="18">B80+B128+B176</f>
        <v>0</v>
      </c>
      <c r="C32" s="298">
        <f t="shared" si="18"/>
        <v>0</v>
      </c>
      <c r="D32" s="298">
        <f t="shared" si="18"/>
        <v>0</v>
      </c>
      <c r="E32" s="298">
        <f t="shared" si="18"/>
        <v>0</v>
      </c>
      <c r="F32" s="298">
        <f t="shared" si="18"/>
        <v>0</v>
      </c>
      <c r="G32" s="298">
        <f t="shared" si="18"/>
        <v>0</v>
      </c>
      <c r="H32" s="298">
        <f t="shared" si="18"/>
        <v>0</v>
      </c>
      <c r="I32" s="298">
        <f t="shared" si="18"/>
        <v>0</v>
      </c>
      <c r="J32" s="298">
        <f t="shared" si="18"/>
        <v>0</v>
      </c>
      <c r="K32" s="313">
        <f t="shared" si="18"/>
        <v>0</v>
      </c>
    </row>
    <row r="33" spans="1:11" x14ac:dyDescent="0.25">
      <c r="A33" s="12" t="s">
        <v>80</v>
      </c>
      <c r="B33" s="318">
        <f t="shared" ref="B33:K33" si="19">SUM(B22:B32)</f>
        <v>-50486600</v>
      </c>
      <c r="C33" s="296">
        <f t="shared" si="19"/>
        <v>-20213511</v>
      </c>
      <c r="D33" s="296">
        <f t="shared" si="19"/>
        <v>-12061031</v>
      </c>
      <c r="E33" s="296">
        <f t="shared" si="19"/>
        <v>-24453405</v>
      </c>
      <c r="F33" s="296">
        <f t="shared" si="19"/>
        <v>-11022934</v>
      </c>
      <c r="G33" s="296">
        <f t="shared" si="19"/>
        <v>-10790953</v>
      </c>
      <c r="H33" s="296">
        <f t="shared" si="19"/>
        <v>-11146814</v>
      </c>
      <c r="I33" s="296">
        <f t="shared" si="19"/>
        <v>-11349481</v>
      </c>
      <c r="J33" s="296">
        <f t="shared" si="19"/>
        <v>-13479240</v>
      </c>
      <c r="K33" s="314">
        <f t="shared" si="19"/>
        <v>-23621402</v>
      </c>
    </row>
    <row r="34" spans="1:11" x14ac:dyDescent="0.25">
      <c r="A34" s="12"/>
      <c r="B34" s="327"/>
      <c r="C34" s="300"/>
      <c r="D34" s="300"/>
      <c r="E34" s="300"/>
      <c r="F34" s="300"/>
      <c r="G34" s="300"/>
      <c r="H34" s="300"/>
      <c r="I34" s="300"/>
      <c r="J34" s="300"/>
      <c r="K34" s="328"/>
    </row>
    <row r="35" spans="1:11" x14ac:dyDescent="0.25">
      <c r="A35" s="12" t="s">
        <v>81</v>
      </c>
      <c r="B35" s="317"/>
      <c r="C35" s="298"/>
      <c r="D35" s="298"/>
      <c r="E35" s="298"/>
      <c r="F35" s="298"/>
      <c r="G35" s="298"/>
      <c r="H35" s="298"/>
      <c r="I35" s="298"/>
      <c r="J35" s="298"/>
      <c r="K35" s="313"/>
    </row>
    <row r="36" spans="1:11" x14ac:dyDescent="0.25">
      <c r="A36" s="12" t="s">
        <v>62</v>
      </c>
      <c r="B36" s="317"/>
      <c r="C36" s="298"/>
      <c r="D36" s="298"/>
      <c r="E36" s="298"/>
      <c r="F36" s="298"/>
      <c r="G36" s="298"/>
      <c r="H36" s="298"/>
      <c r="I36" s="298"/>
      <c r="J36" s="298"/>
      <c r="K36" s="313"/>
    </row>
    <row r="37" spans="1:11" x14ac:dyDescent="0.25">
      <c r="A37" s="7" t="s">
        <v>82</v>
      </c>
      <c r="B37" s="317">
        <f t="shared" ref="B37:K37" si="20">B85+B133+B181</f>
        <v>0</v>
      </c>
      <c r="C37" s="298">
        <f t="shared" si="20"/>
        <v>2000000</v>
      </c>
      <c r="D37" s="298">
        <f t="shared" si="20"/>
        <v>2000000</v>
      </c>
      <c r="E37" s="298">
        <f t="shared" si="20"/>
        <v>2000000</v>
      </c>
      <c r="F37" s="298">
        <f t="shared" si="20"/>
        <v>0</v>
      </c>
      <c r="G37" s="298">
        <f t="shared" si="20"/>
        <v>0</v>
      </c>
      <c r="H37" s="298">
        <f t="shared" si="20"/>
        <v>0</v>
      </c>
      <c r="I37" s="298">
        <f t="shared" si="20"/>
        <v>0</v>
      </c>
      <c r="J37" s="298">
        <f t="shared" si="20"/>
        <v>0</v>
      </c>
      <c r="K37" s="313">
        <f t="shared" si="20"/>
        <v>0</v>
      </c>
    </row>
    <row r="38" spans="1:11" x14ac:dyDescent="0.25">
      <c r="A38" s="7" t="s">
        <v>66</v>
      </c>
      <c r="B38" s="317">
        <f t="shared" ref="B38:K38" si="21">B86+B134+B182</f>
        <v>0</v>
      </c>
      <c r="C38" s="298">
        <f t="shared" si="21"/>
        <v>0</v>
      </c>
      <c r="D38" s="298">
        <f t="shared" si="21"/>
        <v>0</v>
      </c>
      <c r="E38" s="298">
        <f t="shared" si="21"/>
        <v>0</v>
      </c>
      <c r="F38" s="298">
        <f t="shared" si="21"/>
        <v>0</v>
      </c>
      <c r="G38" s="298">
        <f t="shared" si="21"/>
        <v>0</v>
      </c>
      <c r="H38" s="298">
        <f t="shared" si="21"/>
        <v>0</v>
      </c>
      <c r="I38" s="298">
        <f t="shared" si="21"/>
        <v>0</v>
      </c>
      <c r="J38" s="298">
        <f t="shared" si="21"/>
        <v>0</v>
      </c>
      <c r="K38" s="313">
        <f t="shared" si="21"/>
        <v>0</v>
      </c>
    </row>
    <row r="39" spans="1:11" x14ac:dyDescent="0.25">
      <c r="A39" s="12" t="s">
        <v>67</v>
      </c>
      <c r="B39" s="317"/>
      <c r="C39" s="298"/>
      <c r="D39" s="298"/>
      <c r="E39" s="298"/>
      <c r="F39" s="298"/>
      <c r="G39" s="298"/>
      <c r="H39" s="298"/>
      <c r="I39" s="298"/>
      <c r="J39" s="298"/>
      <c r="K39" s="313"/>
    </row>
    <row r="40" spans="1:11" x14ac:dyDescent="0.25">
      <c r="A40" s="7" t="s">
        <v>83</v>
      </c>
      <c r="B40" s="317">
        <f t="shared" ref="B40:K40" si="22">B88+B136+B184</f>
        <v>-2664300</v>
      </c>
      <c r="C40" s="298">
        <f t="shared" si="22"/>
        <v>-2592200</v>
      </c>
      <c r="D40" s="298">
        <f t="shared" si="22"/>
        <v>-2800000</v>
      </c>
      <c r="E40" s="298">
        <f t="shared" si="22"/>
        <v>-2903900</v>
      </c>
      <c r="F40" s="298">
        <f t="shared" si="22"/>
        <v>-3067600</v>
      </c>
      <c r="G40" s="298">
        <f t="shared" si="22"/>
        <v>-3249500</v>
      </c>
      <c r="H40" s="298">
        <f t="shared" si="22"/>
        <v>-3317200</v>
      </c>
      <c r="I40" s="298">
        <f t="shared" si="22"/>
        <v>-3504300</v>
      </c>
      <c r="J40" s="298">
        <f t="shared" si="22"/>
        <v>-2985200</v>
      </c>
      <c r="K40" s="313">
        <f t="shared" si="22"/>
        <v>-3204000</v>
      </c>
    </row>
    <row r="41" spans="1:11" x14ac:dyDescent="0.25">
      <c r="A41" s="7" t="s">
        <v>66</v>
      </c>
      <c r="B41" s="317">
        <f t="shared" ref="B41:K41" si="23">B89+B137+B185</f>
        <v>0</v>
      </c>
      <c r="C41" s="298">
        <f t="shared" si="23"/>
        <v>0</v>
      </c>
      <c r="D41" s="298">
        <f t="shared" si="23"/>
        <v>0</v>
      </c>
      <c r="E41" s="298">
        <f t="shared" si="23"/>
        <v>0</v>
      </c>
      <c r="F41" s="298">
        <f t="shared" si="23"/>
        <v>0</v>
      </c>
      <c r="G41" s="298">
        <f t="shared" si="23"/>
        <v>0</v>
      </c>
      <c r="H41" s="298">
        <f t="shared" si="23"/>
        <v>0</v>
      </c>
      <c r="I41" s="298">
        <f t="shared" si="23"/>
        <v>0</v>
      </c>
      <c r="J41" s="298">
        <f t="shared" si="23"/>
        <v>0</v>
      </c>
      <c r="K41" s="313">
        <f t="shared" si="23"/>
        <v>0</v>
      </c>
    </row>
    <row r="42" spans="1:11" x14ac:dyDescent="0.25">
      <c r="A42" s="12" t="s">
        <v>84</v>
      </c>
      <c r="B42" s="318">
        <f t="shared" ref="B42:K42" si="24">SUM(B37:B41)</f>
        <v>-2664300</v>
      </c>
      <c r="C42" s="296">
        <f t="shared" si="24"/>
        <v>-592200</v>
      </c>
      <c r="D42" s="296">
        <f t="shared" si="24"/>
        <v>-800000</v>
      </c>
      <c r="E42" s="296">
        <f t="shared" si="24"/>
        <v>-903900</v>
      </c>
      <c r="F42" s="296">
        <f t="shared" si="24"/>
        <v>-3067600</v>
      </c>
      <c r="G42" s="296">
        <f t="shared" si="24"/>
        <v>-3249500</v>
      </c>
      <c r="H42" s="296">
        <f t="shared" si="24"/>
        <v>-3317200</v>
      </c>
      <c r="I42" s="296">
        <f t="shared" si="24"/>
        <v>-3504300</v>
      </c>
      <c r="J42" s="296">
        <f t="shared" si="24"/>
        <v>-2985200</v>
      </c>
      <c r="K42" s="314">
        <f t="shared" si="24"/>
        <v>-3204000</v>
      </c>
    </row>
    <row r="43" spans="1:11" x14ac:dyDescent="0.25">
      <c r="A43" s="12"/>
      <c r="B43" s="317"/>
      <c r="C43" s="298"/>
      <c r="D43" s="298"/>
      <c r="E43" s="298"/>
      <c r="F43" s="298"/>
      <c r="G43" s="298"/>
      <c r="H43" s="298"/>
      <c r="I43" s="298"/>
      <c r="J43" s="298"/>
      <c r="K43" s="313"/>
    </row>
    <row r="44" spans="1:11" x14ac:dyDescent="0.25">
      <c r="A44" s="12" t="s">
        <v>4558</v>
      </c>
      <c r="B44" s="329">
        <f t="shared" ref="B44:K44" ca="1" si="25">B19+B33+B42</f>
        <v>-21541800</v>
      </c>
      <c r="C44" s="330">
        <f t="shared" ca="1" si="25"/>
        <v>-1439911</v>
      </c>
      <c r="D44" s="330">
        <f t="shared" ca="1" si="25"/>
        <v>6134369</v>
      </c>
      <c r="E44" s="330">
        <f t="shared" ca="1" si="25"/>
        <v>-5584605</v>
      </c>
      <c r="F44" s="330">
        <f t="shared" ca="1" si="25"/>
        <v>6898766</v>
      </c>
      <c r="G44" s="330">
        <f t="shared" ca="1" si="25"/>
        <v>7149447</v>
      </c>
      <c r="H44" s="330">
        <f t="shared" ca="1" si="25"/>
        <v>6704986</v>
      </c>
      <c r="I44" s="330">
        <f t="shared" ca="1" si="25"/>
        <v>6166819</v>
      </c>
      <c r="J44" s="330">
        <f t="shared" ca="1" si="25"/>
        <v>5041060</v>
      </c>
      <c r="K44" s="331">
        <f t="shared" ca="1" si="25"/>
        <v>-5610502</v>
      </c>
    </row>
    <row r="45" spans="1:11" x14ac:dyDescent="0.25">
      <c r="A45" s="12" t="s">
        <v>4557</v>
      </c>
      <c r="B45" s="317">
        <f t="shared" ref="B45:K45" si="26">B93+B141+B189</f>
        <v>78343915.090000004</v>
      </c>
      <c r="C45" s="298">
        <f t="shared" ca="1" si="26"/>
        <v>56802115.090000004</v>
      </c>
      <c r="D45" s="298">
        <f t="shared" ca="1" si="26"/>
        <v>55362204.090000004</v>
      </c>
      <c r="E45" s="298">
        <f t="shared" ca="1" si="26"/>
        <v>61496573.090000004</v>
      </c>
      <c r="F45" s="298">
        <f t="shared" ca="1" si="26"/>
        <v>55911968.090000004</v>
      </c>
      <c r="G45" s="298">
        <f t="shared" ca="1" si="26"/>
        <v>62810734.090000004</v>
      </c>
      <c r="H45" s="298">
        <f t="shared" ca="1" si="26"/>
        <v>69960181.090000004</v>
      </c>
      <c r="I45" s="298">
        <f t="shared" ca="1" si="26"/>
        <v>76665167.090000004</v>
      </c>
      <c r="J45" s="298">
        <f t="shared" ca="1" si="26"/>
        <v>82831986.090000004</v>
      </c>
      <c r="K45" s="313">
        <f t="shared" ca="1" si="26"/>
        <v>87873046.090000004</v>
      </c>
    </row>
    <row r="46" spans="1:11" ht="15.75" thickBot="1" x14ac:dyDescent="0.3">
      <c r="A46" s="12" t="s">
        <v>4556</v>
      </c>
      <c r="B46" s="319">
        <f t="shared" ref="B46:K46" ca="1" si="27">B44+B45</f>
        <v>56802115.090000004</v>
      </c>
      <c r="C46" s="301">
        <f t="shared" ca="1" si="27"/>
        <v>55362204.090000004</v>
      </c>
      <c r="D46" s="301">
        <f t="shared" ca="1" si="27"/>
        <v>61496573.090000004</v>
      </c>
      <c r="E46" s="301">
        <f t="shared" ca="1" si="27"/>
        <v>55911968.090000004</v>
      </c>
      <c r="F46" s="301">
        <f t="shared" ca="1" si="27"/>
        <v>62810734.090000004</v>
      </c>
      <c r="G46" s="301">
        <f t="shared" ca="1" si="27"/>
        <v>69960181.090000004</v>
      </c>
      <c r="H46" s="301">
        <f t="shared" ca="1" si="27"/>
        <v>76665167.090000004</v>
      </c>
      <c r="I46" s="301">
        <f t="shared" ca="1" si="27"/>
        <v>82831986.090000004</v>
      </c>
      <c r="J46" s="301">
        <f t="shared" ca="1" si="27"/>
        <v>87873046.090000004</v>
      </c>
      <c r="K46" s="315">
        <f t="shared" ca="1" si="27"/>
        <v>82262544.090000004</v>
      </c>
    </row>
    <row r="47" spans="1:11" ht="15.75" thickTop="1" x14ac:dyDescent="0.25">
      <c r="A47" s="8"/>
      <c r="B47" s="323"/>
      <c r="C47" s="324"/>
      <c r="D47" s="324"/>
      <c r="E47" s="324"/>
      <c r="F47" s="324"/>
      <c r="G47" s="324"/>
      <c r="H47" s="324"/>
      <c r="I47" s="324"/>
      <c r="J47" s="324"/>
      <c r="K47" s="325"/>
    </row>
    <row r="49" spans="1:11" ht="18.75" x14ac:dyDescent="0.3">
      <c r="A49" s="496" t="s">
        <v>33</v>
      </c>
      <c r="B49" s="497"/>
      <c r="C49" s="497"/>
      <c r="D49" s="497"/>
      <c r="E49" s="497"/>
      <c r="F49" s="497"/>
      <c r="G49" s="497"/>
      <c r="H49" s="497"/>
      <c r="I49" s="497"/>
      <c r="J49" s="497"/>
      <c r="K49" s="498"/>
    </row>
    <row r="50" spans="1:11" ht="18.75" x14ac:dyDescent="0.3">
      <c r="A50" s="499" t="s">
        <v>4644</v>
      </c>
      <c r="B50" s="500"/>
      <c r="C50" s="500"/>
      <c r="D50" s="500"/>
      <c r="E50" s="500"/>
      <c r="F50" s="500"/>
      <c r="G50" s="500"/>
      <c r="H50" s="500"/>
      <c r="I50" s="500"/>
      <c r="J50" s="500"/>
      <c r="K50" s="501"/>
    </row>
    <row r="51" spans="1:11" x14ac:dyDescent="0.25">
      <c r="A51" s="11"/>
      <c r="B51" s="20" t="s">
        <v>29</v>
      </c>
      <c r="C51" s="1"/>
      <c r="D51" s="1"/>
      <c r="E51" s="1"/>
      <c r="F51" s="1"/>
      <c r="G51" s="1"/>
      <c r="H51" s="1"/>
      <c r="I51" s="1"/>
      <c r="J51" s="1"/>
      <c r="K51" s="4"/>
    </row>
    <row r="52" spans="1:11" x14ac:dyDescent="0.25">
      <c r="A52" s="7"/>
      <c r="B52" s="21" t="s">
        <v>28</v>
      </c>
      <c r="C52" s="502" t="s">
        <v>30</v>
      </c>
      <c r="D52" s="502"/>
      <c r="E52" s="502"/>
      <c r="F52" s="502"/>
      <c r="G52" s="502"/>
      <c r="H52" s="502"/>
      <c r="I52" s="502"/>
      <c r="J52" s="502"/>
      <c r="K52" s="503"/>
    </row>
    <row r="53" spans="1:11" x14ac:dyDescent="0.25">
      <c r="A53" s="8"/>
      <c r="B53" s="22">
        <v>2017</v>
      </c>
      <c r="C53" s="2">
        <v>2018</v>
      </c>
      <c r="D53" s="2">
        <v>2019</v>
      </c>
      <c r="E53" s="2">
        <v>2020</v>
      </c>
      <c r="F53" s="2">
        <v>2021</v>
      </c>
      <c r="G53" s="2">
        <v>2022</v>
      </c>
      <c r="H53" s="2">
        <v>2023</v>
      </c>
      <c r="I53" s="2">
        <v>2024</v>
      </c>
      <c r="J53" s="2">
        <v>2025</v>
      </c>
      <c r="K53" s="6">
        <v>2026</v>
      </c>
    </row>
    <row r="54" spans="1:11" x14ac:dyDescent="0.25">
      <c r="A54" s="7"/>
      <c r="B54" s="317"/>
      <c r="C54" s="298"/>
      <c r="D54" s="298"/>
      <c r="E54" s="298"/>
      <c r="F54" s="298"/>
      <c r="G54" s="298"/>
      <c r="H54" s="298"/>
      <c r="I54" s="298"/>
      <c r="J54" s="298"/>
      <c r="K54" s="313"/>
    </row>
    <row r="55" spans="1:11" x14ac:dyDescent="0.25">
      <c r="A55" s="12" t="s">
        <v>61</v>
      </c>
      <c r="B55" s="317"/>
      <c r="C55" s="298"/>
      <c r="D55" s="298"/>
      <c r="E55" s="298"/>
      <c r="F55" s="298"/>
      <c r="G55" s="298"/>
      <c r="H55" s="298"/>
      <c r="I55" s="298"/>
      <c r="J55" s="298"/>
      <c r="K55" s="313"/>
    </row>
    <row r="56" spans="1:11" x14ac:dyDescent="0.25">
      <c r="A56" s="12" t="s">
        <v>62</v>
      </c>
      <c r="B56" s="317"/>
      <c r="C56" s="298"/>
      <c r="D56" s="298"/>
      <c r="E56" s="298"/>
      <c r="F56" s="298"/>
      <c r="G56" s="298"/>
      <c r="H56" s="298"/>
      <c r="I56" s="298"/>
      <c r="J56" s="298"/>
      <c r="K56" s="313"/>
    </row>
    <row r="57" spans="1:11" x14ac:dyDescent="0.25">
      <c r="A57" s="13" t="s">
        <v>63</v>
      </c>
      <c r="B57" s="317">
        <f>income!B37</f>
        <v>24944200</v>
      </c>
      <c r="C57" s="298">
        <f>income!C37</f>
        <v>26409400</v>
      </c>
      <c r="D57" s="298">
        <f>income!D37</f>
        <v>28100600</v>
      </c>
      <c r="E57" s="298">
        <f>income!E37</f>
        <v>29911900</v>
      </c>
      <c r="F57" s="298">
        <f>income!F37</f>
        <v>31852000</v>
      </c>
      <c r="G57" s="298">
        <f>income!G37</f>
        <v>32640700</v>
      </c>
      <c r="H57" s="298">
        <f>income!H37</f>
        <v>33449500</v>
      </c>
      <c r="I57" s="298">
        <f>income!I37</f>
        <v>34278500</v>
      </c>
      <c r="J57" s="298">
        <f>income!J37</f>
        <v>35128400</v>
      </c>
      <c r="K57" s="313">
        <f>income!K37</f>
        <v>35999400</v>
      </c>
    </row>
    <row r="58" spans="1:11" x14ac:dyDescent="0.25">
      <c r="A58" s="7" t="s">
        <v>64</v>
      </c>
      <c r="B58" s="317">
        <f>income!B38</f>
        <v>15502200</v>
      </c>
      <c r="C58" s="298">
        <f>income!C38</f>
        <v>15954400</v>
      </c>
      <c r="D58" s="298">
        <f>income!D38</f>
        <v>16228100</v>
      </c>
      <c r="E58" s="298">
        <f>income!E38</f>
        <v>16508300</v>
      </c>
      <c r="F58" s="298">
        <f>income!F38</f>
        <v>16895200</v>
      </c>
      <c r="G58" s="298">
        <f>income!G38</f>
        <v>17189100</v>
      </c>
      <c r="H58" s="298">
        <f>income!H38</f>
        <v>17490100</v>
      </c>
      <c r="I58" s="298">
        <f>income!I38</f>
        <v>17798900</v>
      </c>
      <c r="J58" s="298">
        <f>income!J38</f>
        <v>18114900</v>
      </c>
      <c r="K58" s="313">
        <f>income!K38</f>
        <v>18438900</v>
      </c>
    </row>
    <row r="59" spans="1:11" x14ac:dyDescent="0.25">
      <c r="A59" s="7" t="s">
        <v>65</v>
      </c>
      <c r="B59" s="317">
        <f>income!B39</f>
        <v>1373500</v>
      </c>
      <c r="C59" s="298">
        <f>income!C39</f>
        <v>1216900</v>
      </c>
      <c r="D59" s="298">
        <f>income!D39</f>
        <v>1197600</v>
      </c>
      <c r="E59" s="298">
        <f>income!E39</f>
        <v>1320400</v>
      </c>
      <c r="F59" s="298">
        <f>income!F39</f>
        <v>1362400</v>
      </c>
      <c r="G59" s="298">
        <f>income!G39</f>
        <v>1449500</v>
      </c>
      <c r="H59" s="298">
        <f>income!H39</f>
        <v>1590400</v>
      </c>
      <c r="I59" s="298">
        <f>income!I39</f>
        <v>1748400</v>
      </c>
      <c r="J59" s="298">
        <f>income!J39</f>
        <v>1935200</v>
      </c>
      <c r="K59" s="313">
        <f>income!K39</f>
        <v>2275100</v>
      </c>
    </row>
    <row r="60" spans="1:11" x14ac:dyDescent="0.25">
      <c r="A60" s="13" t="s">
        <v>68</v>
      </c>
      <c r="B60" s="317">
        <f>income!B41+income!B42</f>
        <v>22124200</v>
      </c>
      <c r="C60" s="298">
        <f>income!C41+income!C42</f>
        <v>8216800</v>
      </c>
      <c r="D60" s="298">
        <f>income!D41+income!D42</f>
        <v>7123800</v>
      </c>
      <c r="E60" s="298">
        <f>income!E41+income!E42</f>
        <v>7345000</v>
      </c>
      <c r="F60" s="298">
        <f>income!F41+income!F42</f>
        <v>7231300</v>
      </c>
      <c r="G60" s="298">
        <f>income!G41+income!G42</f>
        <v>7234900</v>
      </c>
      <c r="H60" s="298">
        <f>income!H41+income!H42</f>
        <v>6811300</v>
      </c>
      <c r="I60" s="298">
        <f>income!I41+income!I42</f>
        <v>6940600</v>
      </c>
      <c r="J60" s="298">
        <f>income!J41+income!J42</f>
        <v>7073100</v>
      </c>
      <c r="K60" s="313">
        <f>income!K41+income!K42</f>
        <v>6808400</v>
      </c>
    </row>
    <row r="61" spans="1:11" x14ac:dyDescent="0.25">
      <c r="A61" s="7" t="s">
        <v>66</v>
      </c>
      <c r="B61" s="317">
        <f>income!B40</f>
        <v>1312800</v>
      </c>
      <c r="C61" s="298">
        <f>income!C40</f>
        <v>1320300</v>
      </c>
      <c r="D61" s="298">
        <f>income!D40</f>
        <v>1300000</v>
      </c>
      <c r="E61" s="298">
        <f>income!E40</f>
        <v>1300000</v>
      </c>
      <c r="F61" s="298">
        <f>income!F40</f>
        <v>1300000</v>
      </c>
      <c r="G61" s="298">
        <f>income!G40</f>
        <v>1300000</v>
      </c>
      <c r="H61" s="298">
        <f>income!H40</f>
        <v>1300000</v>
      </c>
      <c r="I61" s="298">
        <f>income!I40</f>
        <v>1300000</v>
      </c>
      <c r="J61" s="298">
        <f>income!J40</f>
        <v>1300000</v>
      </c>
      <c r="K61" s="313">
        <f>income!K40</f>
        <v>1300000</v>
      </c>
    </row>
    <row r="62" spans="1:11" x14ac:dyDescent="0.25">
      <c r="A62" s="12" t="s">
        <v>67</v>
      </c>
      <c r="B62" s="317"/>
      <c r="C62" s="298"/>
      <c r="D62" s="298"/>
      <c r="E62" s="298"/>
      <c r="F62" s="298"/>
      <c r="G62" s="298"/>
      <c r="H62" s="298"/>
      <c r="I62" s="298"/>
      <c r="J62" s="298"/>
      <c r="K62" s="313"/>
    </row>
    <row r="63" spans="1:11" x14ac:dyDescent="0.25">
      <c r="A63" s="13" t="s">
        <v>69</v>
      </c>
      <c r="B63" s="317">
        <f>-income!B46</f>
        <v>-17488400</v>
      </c>
      <c r="C63" s="298">
        <f>-income!C46</f>
        <v>-17754600</v>
      </c>
      <c r="D63" s="298">
        <f>-income!D46</f>
        <v>-18109200</v>
      </c>
      <c r="E63" s="298">
        <f>-income!E46</f>
        <v>-18471200</v>
      </c>
      <c r="F63" s="298">
        <f>-income!F46</f>
        <v>-18840300</v>
      </c>
      <c r="G63" s="298">
        <f>-income!G46</f>
        <v>-19216800</v>
      </c>
      <c r="H63" s="298">
        <f>-income!H46</f>
        <v>-19600600</v>
      </c>
      <c r="I63" s="298">
        <f>-income!I46</f>
        <v>-20086300</v>
      </c>
      <c r="J63" s="298">
        <f>-income!J46</f>
        <v>-20584400</v>
      </c>
      <c r="K63" s="313">
        <f>-income!K46</f>
        <v>-21094500</v>
      </c>
    </row>
    <row r="64" spans="1:11" x14ac:dyDescent="0.25">
      <c r="A64" s="13" t="s">
        <v>70</v>
      </c>
      <c r="B64" s="317">
        <f>-income!B48</f>
        <v>-18500900</v>
      </c>
      <c r="C64" s="298">
        <f>-income!C48</f>
        <v>-18140200</v>
      </c>
      <c r="D64" s="298">
        <f>-income!D48</f>
        <v>-18682100</v>
      </c>
      <c r="E64" s="298">
        <f>-income!E48</f>
        <v>-19284000</v>
      </c>
      <c r="F64" s="298">
        <f>-income!F48</f>
        <v>-20068900</v>
      </c>
      <c r="G64" s="298">
        <f>-income!G48</f>
        <v>-20483500</v>
      </c>
      <c r="H64" s="298">
        <f>-income!H48</f>
        <v>-20906700</v>
      </c>
      <c r="I64" s="298">
        <f>-income!I48</f>
        <v>-21439000</v>
      </c>
      <c r="J64" s="298">
        <f>-income!J48</f>
        <v>-21986200</v>
      </c>
      <c r="K64" s="313">
        <f>-income!K48</f>
        <v>-22542900</v>
      </c>
    </row>
    <row r="65" spans="1:11" x14ac:dyDescent="0.25">
      <c r="A65" s="13" t="s">
        <v>71</v>
      </c>
      <c r="B65" s="317">
        <f>-income!B47</f>
        <v>-1041800</v>
      </c>
      <c r="C65" s="298">
        <f>-income!C47</f>
        <v>-1074000</v>
      </c>
      <c r="D65" s="298">
        <f>-income!D47</f>
        <v>-1111100</v>
      </c>
      <c r="E65" s="298">
        <f>-income!E47</f>
        <v>-1146300</v>
      </c>
      <c r="F65" s="298">
        <f>-income!F47</f>
        <v>-1082200</v>
      </c>
      <c r="G65" s="298">
        <f>-income!G47</f>
        <v>-1014600</v>
      </c>
      <c r="H65" s="298">
        <f>-income!H47</f>
        <v>-847700</v>
      </c>
      <c r="I65" s="298">
        <f>-income!I47</f>
        <v>-783400</v>
      </c>
      <c r="J65" s="298">
        <f>-income!J47</f>
        <v>-724500</v>
      </c>
      <c r="K65" s="313">
        <f>-income!K47</f>
        <v>-669200</v>
      </c>
    </row>
    <row r="66" spans="1:11" x14ac:dyDescent="0.25">
      <c r="A66" s="13" t="s">
        <v>66</v>
      </c>
      <c r="B66" s="317">
        <f ca="1">-income!B50</f>
        <v>-4914500</v>
      </c>
      <c r="C66" s="298">
        <f ca="1">-income!C50</f>
        <v>-4770300</v>
      </c>
      <c r="D66" s="298">
        <f ca="1">-income!D50</f>
        <v>-4865000</v>
      </c>
      <c r="E66" s="298">
        <f ca="1">-income!E50</f>
        <v>-5211900</v>
      </c>
      <c r="F66" s="298">
        <f ca="1">-income!F50</f>
        <v>-5060600</v>
      </c>
      <c r="G66" s="298">
        <f ca="1">-income!G50</f>
        <v>-5160800</v>
      </c>
      <c r="H66" s="298">
        <f ca="1">-income!H50</f>
        <v>-5263000</v>
      </c>
      <c r="I66" s="298">
        <f ca="1">-income!I50</f>
        <v>-5694500</v>
      </c>
      <c r="J66" s="298">
        <f ca="1">-income!J50</f>
        <v>-5529100</v>
      </c>
      <c r="K66" s="313">
        <f ca="1">-income!K50</f>
        <v>-5666900</v>
      </c>
    </row>
    <row r="67" spans="1:11" x14ac:dyDescent="0.25">
      <c r="A67" s="12" t="s">
        <v>60</v>
      </c>
      <c r="B67" s="318">
        <f t="shared" ref="B67:K67" ca="1" si="28">SUM(B57:B66)</f>
        <v>23311300</v>
      </c>
      <c r="C67" s="296">
        <f t="shared" ca="1" si="28"/>
        <v>11378700</v>
      </c>
      <c r="D67" s="296">
        <f t="shared" ca="1" si="28"/>
        <v>11182700</v>
      </c>
      <c r="E67" s="296">
        <f t="shared" ca="1" si="28"/>
        <v>12272200</v>
      </c>
      <c r="F67" s="296">
        <f t="shared" ca="1" si="28"/>
        <v>13588900</v>
      </c>
      <c r="G67" s="296">
        <f t="shared" ca="1" si="28"/>
        <v>13938500</v>
      </c>
      <c r="H67" s="296">
        <f t="shared" ca="1" si="28"/>
        <v>14023300</v>
      </c>
      <c r="I67" s="296">
        <f t="shared" ca="1" si="28"/>
        <v>14063200</v>
      </c>
      <c r="J67" s="296">
        <f t="shared" ca="1" si="28"/>
        <v>14727400</v>
      </c>
      <c r="K67" s="314">
        <f t="shared" ca="1" si="28"/>
        <v>14848300</v>
      </c>
    </row>
    <row r="68" spans="1:11" x14ac:dyDescent="0.25">
      <c r="A68" s="7"/>
      <c r="B68" s="317"/>
      <c r="C68" s="298"/>
      <c r="D68" s="298"/>
      <c r="E68" s="298"/>
      <c r="F68" s="298"/>
      <c r="G68" s="298"/>
      <c r="H68" s="298"/>
      <c r="I68" s="298"/>
      <c r="J68" s="298"/>
      <c r="K68" s="313"/>
    </row>
    <row r="69" spans="1:11" x14ac:dyDescent="0.25">
      <c r="A69" s="12" t="s">
        <v>72</v>
      </c>
      <c r="B69" s="317"/>
      <c r="C69" s="298"/>
      <c r="D69" s="298"/>
      <c r="E69" s="298"/>
      <c r="F69" s="298"/>
      <c r="G69" s="298"/>
      <c r="H69" s="298"/>
      <c r="I69" s="298"/>
      <c r="J69" s="298"/>
      <c r="K69" s="313"/>
    </row>
    <row r="70" spans="1:11" x14ac:dyDescent="0.25">
      <c r="A70" s="14" t="s">
        <v>62</v>
      </c>
      <c r="B70" s="317"/>
      <c r="C70" s="298"/>
      <c r="D70" s="298"/>
      <c r="E70" s="298"/>
      <c r="F70" s="298"/>
      <c r="G70" s="298"/>
      <c r="H70" s="298"/>
      <c r="I70" s="298"/>
      <c r="J70" s="298"/>
      <c r="K70" s="313"/>
    </row>
    <row r="71" spans="1:11" x14ac:dyDescent="0.25">
      <c r="A71" s="7" t="s">
        <v>73</v>
      </c>
      <c r="B71" s="317"/>
      <c r="C71" s="298"/>
      <c r="D71" s="298"/>
      <c r="E71" s="298"/>
      <c r="F71" s="298"/>
      <c r="G71" s="298"/>
      <c r="H71" s="298"/>
      <c r="I71" s="298"/>
      <c r="J71" s="298"/>
      <c r="K71" s="313"/>
    </row>
    <row r="72" spans="1:11" x14ac:dyDescent="0.25">
      <c r="A72" s="7" t="s">
        <v>74</v>
      </c>
      <c r="B72" s="317">
        <f>fundingstat!B44</f>
        <v>1673000</v>
      </c>
      <c r="C72" s="298"/>
      <c r="D72" s="298"/>
      <c r="E72" s="298"/>
      <c r="F72" s="298"/>
      <c r="G72" s="298"/>
      <c r="H72" s="298"/>
      <c r="I72" s="298"/>
      <c r="J72" s="298"/>
      <c r="K72" s="313"/>
    </row>
    <row r="73" spans="1:11" x14ac:dyDescent="0.25">
      <c r="A73" s="7" t="s">
        <v>75</v>
      </c>
      <c r="B73" s="317"/>
      <c r="C73" s="298"/>
      <c r="D73" s="298"/>
      <c r="E73" s="298"/>
      <c r="F73" s="298"/>
      <c r="G73" s="298"/>
      <c r="H73" s="298"/>
      <c r="I73" s="298"/>
      <c r="J73" s="298"/>
      <c r="K73" s="313"/>
    </row>
    <row r="74" spans="1:11" x14ac:dyDescent="0.25">
      <c r="A74" s="7" t="s">
        <v>66</v>
      </c>
      <c r="B74" s="317"/>
      <c r="C74" s="298"/>
      <c r="D74" s="298"/>
      <c r="E74" s="298"/>
      <c r="F74" s="298"/>
      <c r="G74" s="298"/>
      <c r="H74" s="298"/>
      <c r="I74" s="298"/>
      <c r="J74" s="298"/>
      <c r="K74" s="313"/>
    </row>
    <row r="75" spans="1:11" x14ac:dyDescent="0.25">
      <c r="A75" s="12" t="s">
        <v>67</v>
      </c>
      <c r="B75" s="317"/>
      <c r="C75" s="298"/>
      <c r="D75" s="298"/>
      <c r="E75" s="298"/>
      <c r="F75" s="298"/>
      <c r="G75" s="298"/>
      <c r="H75" s="298"/>
      <c r="I75" s="298"/>
      <c r="J75" s="298"/>
      <c r="K75" s="313"/>
    </row>
    <row r="76" spans="1:11" x14ac:dyDescent="0.25">
      <c r="A76" s="7" t="s">
        <v>76</v>
      </c>
      <c r="B76" s="317"/>
      <c r="C76" s="298"/>
      <c r="D76" s="298"/>
      <c r="E76" s="298"/>
      <c r="F76" s="298"/>
      <c r="G76" s="298"/>
      <c r="H76" s="298"/>
      <c r="I76" s="298"/>
      <c r="J76" s="298"/>
      <c r="K76" s="313"/>
    </row>
    <row r="77" spans="1:11" x14ac:dyDescent="0.25">
      <c r="A77" s="7" t="s">
        <v>77</v>
      </c>
      <c r="B77" s="317">
        <f>-capitalexpdata!F628</f>
        <v>-35318700</v>
      </c>
      <c r="C77" s="298">
        <f>-capitalexpdata!G628</f>
        <v>-13969200</v>
      </c>
      <c r="D77" s="298">
        <f>-capitalexpdata!H628</f>
        <v>-9251400</v>
      </c>
      <c r="E77" s="298">
        <f>-capitalexpdata!I628</f>
        <v>-11967301</v>
      </c>
      <c r="F77" s="298">
        <f>-capitalexpdata!J628</f>
        <v>-8508100</v>
      </c>
      <c r="G77" s="298">
        <f>-capitalexpdata!K628</f>
        <v>-8590000</v>
      </c>
      <c r="H77" s="298">
        <f>-capitalexpdata!L628</f>
        <v>-8789500</v>
      </c>
      <c r="I77" s="298">
        <f>-capitalexpdata!M628</f>
        <v>-8790100</v>
      </c>
      <c r="J77" s="298">
        <f>-capitalexpdata!N628</f>
        <v>-9474900</v>
      </c>
      <c r="K77" s="313">
        <f>-capitalexpdata!O628</f>
        <v>-9372300</v>
      </c>
    </row>
    <row r="78" spans="1:11" x14ac:dyDescent="0.25">
      <c r="A78" s="7" t="s">
        <v>78</v>
      </c>
      <c r="B78" s="317"/>
      <c r="C78" s="298"/>
      <c r="D78" s="298"/>
      <c r="E78" s="298"/>
      <c r="F78" s="298"/>
      <c r="G78" s="298"/>
      <c r="H78" s="298"/>
      <c r="I78" s="298"/>
      <c r="J78" s="298"/>
      <c r="K78" s="313"/>
    </row>
    <row r="79" spans="1:11" x14ac:dyDescent="0.25">
      <c r="A79" s="7" t="s">
        <v>79</v>
      </c>
      <c r="B79" s="317"/>
      <c r="C79" s="298"/>
      <c r="D79" s="298"/>
      <c r="E79" s="298"/>
      <c r="F79" s="298"/>
      <c r="G79" s="298"/>
      <c r="H79" s="298"/>
      <c r="I79" s="298"/>
      <c r="J79" s="298"/>
      <c r="K79" s="313"/>
    </row>
    <row r="80" spans="1:11" x14ac:dyDescent="0.25">
      <c r="A80" s="7" t="s">
        <v>66</v>
      </c>
      <c r="B80" s="317"/>
      <c r="C80" s="298"/>
      <c r="D80" s="298"/>
      <c r="E80" s="298"/>
      <c r="F80" s="298"/>
      <c r="G80" s="298"/>
      <c r="H80" s="298"/>
      <c r="I80" s="298"/>
      <c r="J80" s="298"/>
      <c r="K80" s="313"/>
    </row>
    <row r="81" spans="1:11" x14ac:dyDescent="0.25">
      <c r="A81" s="12" t="s">
        <v>80</v>
      </c>
      <c r="B81" s="318">
        <f t="shared" ref="B81:K81" si="29">SUM(B70:B80)</f>
        <v>-33645700</v>
      </c>
      <c r="C81" s="296">
        <f t="shared" si="29"/>
        <v>-13969200</v>
      </c>
      <c r="D81" s="296">
        <f t="shared" si="29"/>
        <v>-9251400</v>
      </c>
      <c r="E81" s="296">
        <f t="shared" si="29"/>
        <v>-11967301</v>
      </c>
      <c r="F81" s="296">
        <f t="shared" si="29"/>
        <v>-8508100</v>
      </c>
      <c r="G81" s="296">
        <f t="shared" si="29"/>
        <v>-8590000</v>
      </c>
      <c r="H81" s="296">
        <f t="shared" si="29"/>
        <v>-8789500</v>
      </c>
      <c r="I81" s="296">
        <f t="shared" si="29"/>
        <v>-8790100</v>
      </c>
      <c r="J81" s="296">
        <f t="shared" si="29"/>
        <v>-9474900</v>
      </c>
      <c r="K81" s="314">
        <f t="shared" si="29"/>
        <v>-9372300</v>
      </c>
    </row>
    <row r="82" spans="1:11" x14ac:dyDescent="0.25">
      <c r="A82" s="12"/>
      <c r="B82" s="327"/>
      <c r="C82" s="300"/>
      <c r="D82" s="300"/>
      <c r="E82" s="300"/>
      <c r="F82" s="300"/>
      <c r="G82" s="300"/>
      <c r="H82" s="300"/>
      <c r="I82" s="300"/>
      <c r="J82" s="300"/>
      <c r="K82" s="328"/>
    </row>
    <row r="83" spans="1:11" x14ac:dyDescent="0.25">
      <c r="A83" s="12" t="s">
        <v>81</v>
      </c>
      <c r="B83" s="317"/>
      <c r="C83" s="298"/>
      <c r="D83" s="298"/>
      <c r="E83" s="298"/>
      <c r="F83" s="298"/>
      <c r="G83" s="298"/>
      <c r="H83" s="298"/>
      <c r="I83" s="298"/>
      <c r="J83" s="298"/>
      <c r="K83" s="313"/>
    </row>
    <row r="84" spans="1:11" x14ac:dyDescent="0.25">
      <c r="A84" s="12" t="s">
        <v>62</v>
      </c>
      <c r="B84" s="317"/>
      <c r="C84" s="298"/>
      <c r="D84" s="298"/>
      <c r="E84" s="298"/>
      <c r="F84" s="298"/>
      <c r="G84" s="298"/>
      <c r="H84" s="298"/>
      <c r="I84" s="298"/>
      <c r="J84" s="298"/>
      <c r="K84" s="313"/>
    </row>
    <row r="85" spans="1:11" x14ac:dyDescent="0.25">
      <c r="A85" s="7" t="s">
        <v>82</v>
      </c>
      <c r="B85" s="317"/>
      <c r="C85" s="298">
        <f>capitalrevdata!F228</f>
        <v>2000000</v>
      </c>
      <c r="D85" s="298">
        <f>capitalrevdata!G228</f>
        <v>2000000</v>
      </c>
      <c r="E85" s="298">
        <f>capitalrevdata!H228</f>
        <v>2000000</v>
      </c>
      <c r="F85" s="298"/>
      <c r="G85" s="298"/>
      <c r="H85" s="298"/>
      <c r="I85" s="298"/>
      <c r="J85" s="298"/>
      <c r="K85" s="313"/>
    </row>
    <row r="86" spans="1:11" x14ac:dyDescent="0.25">
      <c r="A86" s="7" t="s">
        <v>66</v>
      </c>
      <c r="B86" s="317"/>
      <c r="C86" s="298"/>
      <c r="D86" s="298"/>
      <c r="E86" s="298"/>
      <c r="F86" s="298"/>
      <c r="G86" s="298"/>
      <c r="H86" s="298"/>
      <c r="I86" s="298"/>
      <c r="J86" s="298"/>
      <c r="K86" s="313"/>
    </row>
    <row r="87" spans="1:11" x14ac:dyDescent="0.25">
      <c r="A87" s="12" t="s">
        <v>67</v>
      </c>
      <c r="B87" s="317"/>
      <c r="C87" s="298"/>
      <c r="D87" s="298"/>
      <c r="E87" s="298"/>
      <c r="F87" s="298"/>
      <c r="G87" s="298"/>
      <c r="H87" s="298"/>
      <c r="I87" s="298"/>
      <c r="J87" s="298"/>
      <c r="K87" s="313"/>
    </row>
    <row r="88" spans="1:11" x14ac:dyDescent="0.25">
      <c r="A88" s="7" t="s">
        <v>83</v>
      </c>
      <c r="B88" s="317">
        <f>-fundingstat!B51</f>
        <v>-995200</v>
      </c>
      <c r="C88" s="298">
        <f>-fundingstat!C51</f>
        <v>-892800</v>
      </c>
      <c r="D88" s="298">
        <f>-fundingstat!D51</f>
        <v>-988500</v>
      </c>
      <c r="E88" s="298">
        <f>-fundingstat!E51</f>
        <v>-982600</v>
      </c>
      <c r="F88" s="298">
        <f>-fundingstat!F51</f>
        <v>-985300</v>
      </c>
      <c r="G88" s="298">
        <f>-fundingstat!G51</f>
        <v>-1049800</v>
      </c>
      <c r="H88" s="298">
        <f>-fundingstat!H51</f>
        <v>-961800</v>
      </c>
      <c r="I88" s="298">
        <f>-fundingstat!I51</f>
        <v>-985800</v>
      </c>
      <c r="J88" s="298">
        <f>-fundingstat!J51</f>
        <v>-780800</v>
      </c>
      <c r="K88" s="313">
        <f>-fundingstat!K51</f>
        <v>-836100</v>
      </c>
    </row>
    <row r="89" spans="1:11" x14ac:dyDescent="0.25">
      <c r="A89" s="7" t="s">
        <v>66</v>
      </c>
      <c r="B89" s="317"/>
      <c r="C89" s="298"/>
      <c r="D89" s="298"/>
      <c r="E89" s="298"/>
      <c r="F89" s="298"/>
      <c r="G89" s="298"/>
      <c r="H89" s="298"/>
      <c r="I89" s="298"/>
      <c r="J89" s="298"/>
      <c r="K89" s="313"/>
    </row>
    <row r="90" spans="1:11" x14ac:dyDescent="0.25">
      <c r="A90" s="12" t="s">
        <v>84</v>
      </c>
      <c r="B90" s="318">
        <f t="shared" ref="B90:K90" si="30">SUM(B85:B89)</f>
        <v>-995200</v>
      </c>
      <c r="C90" s="296">
        <f t="shared" si="30"/>
        <v>1107200</v>
      </c>
      <c r="D90" s="296">
        <f t="shared" si="30"/>
        <v>1011500</v>
      </c>
      <c r="E90" s="296">
        <f t="shared" si="30"/>
        <v>1017400</v>
      </c>
      <c r="F90" s="296">
        <f t="shared" si="30"/>
        <v>-985300</v>
      </c>
      <c r="G90" s="296">
        <f t="shared" si="30"/>
        <v>-1049800</v>
      </c>
      <c r="H90" s="296">
        <f t="shared" si="30"/>
        <v>-961800</v>
      </c>
      <c r="I90" s="296">
        <f t="shared" si="30"/>
        <v>-985800</v>
      </c>
      <c r="J90" s="296">
        <f t="shared" si="30"/>
        <v>-780800</v>
      </c>
      <c r="K90" s="314">
        <f t="shared" si="30"/>
        <v>-836100</v>
      </c>
    </row>
    <row r="91" spans="1:11" x14ac:dyDescent="0.25">
      <c r="A91" s="12"/>
      <c r="B91" s="317"/>
      <c r="C91" s="298"/>
      <c r="D91" s="298"/>
      <c r="E91" s="298"/>
      <c r="F91" s="298"/>
      <c r="G91" s="298"/>
      <c r="H91" s="298"/>
      <c r="I91" s="298"/>
      <c r="J91" s="298"/>
      <c r="K91" s="313"/>
    </row>
    <row r="92" spans="1:11" x14ac:dyDescent="0.25">
      <c r="A92" s="12" t="s">
        <v>4558</v>
      </c>
      <c r="B92" s="329">
        <f t="shared" ref="B92:K92" ca="1" si="31">B67+B81+B90</f>
        <v>-11329600</v>
      </c>
      <c r="C92" s="330">
        <f t="shared" ca="1" si="31"/>
        <v>-1483300</v>
      </c>
      <c r="D92" s="330">
        <f t="shared" ca="1" si="31"/>
        <v>2942800</v>
      </c>
      <c r="E92" s="330">
        <f t="shared" ca="1" si="31"/>
        <v>1322299</v>
      </c>
      <c r="F92" s="330">
        <f t="shared" ca="1" si="31"/>
        <v>4095500</v>
      </c>
      <c r="G92" s="330">
        <f t="shared" ca="1" si="31"/>
        <v>4298700</v>
      </c>
      <c r="H92" s="330">
        <f t="shared" ca="1" si="31"/>
        <v>4272000</v>
      </c>
      <c r="I92" s="330">
        <f t="shared" ca="1" si="31"/>
        <v>4287300</v>
      </c>
      <c r="J92" s="330">
        <f t="shared" ca="1" si="31"/>
        <v>4471700</v>
      </c>
      <c r="K92" s="331">
        <f t="shared" ca="1" si="31"/>
        <v>4639900</v>
      </c>
    </row>
    <row r="93" spans="1:11" x14ac:dyDescent="0.25">
      <c r="A93" s="12" t="s">
        <v>4557</v>
      </c>
      <c r="B93" s="317">
        <v>50330042</v>
      </c>
      <c r="C93" s="298">
        <f ca="1">B94</f>
        <v>39000442</v>
      </c>
      <c r="D93" s="298">
        <f t="shared" ref="D93:K93" ca="1" si="32">C94</f>
        <v>37517142</v>
      </c>
      <c r="E93" s="298">
        <f t="shared" ca="1" si="32"/>
        <v>40459942</v>
      </c>
      <c r="F93" s="298">
        <f t="shared" ca="1" si="32"/>
        <v>41782241</v>
      </c>
      <c r="G93" s="298">
        <f t="shared" ca="1" si="32"/>
        <v>45877741</v>
      </c>
      <c r="H93" s="298">
        <f t="shared" ca="1" si="32"/>
        <v>50176441</v>
      </c>
      <c r="I93" s="298">
        <f t="shared" ca="1" si="32"/>
        <v>54448441</v>
      </c>
      <c r="J93" s="298">
        <f t="shared" ca="1" si="32"/>
        <v>58735741</v>
      </c>
      <c r="K93" s="313">
        <f t="shared" ca="1" si="32"/>
        <v>63207441</v>
      </c>
    </row>
    <row r="94" spans="1:11" ht="15.75" thickBot="1" x14ac:dyDescent="0.3">
      <c r="A94" s="12" t="s">
        <v>4556</v>
      </c>
      <c r="B94" s="319">
        <f t="shared" ref="B94:K94" ca="1" si="33">B92+B93</f>
        <v>39000442</v>
      </c>
      <c r="C94" s="301">
        <f t="shared" ca="1" si="33"/>
        <v>37517142</v>
      </c>
      <c r="D94" s="301">
        <f t="shared" ca="1" si="33"/>
        <v>40459942</v>
      </c>
      <c r="E94" s="301">
        <f t="shared" ca="1" si="33"/>
        <v>41782241</v>
      </c>
      <c r="F94" s="301">
        <f t="shared" ca="1" si="33"/>
        <v>45877741</v>
      </c>
      <c r="G94" s="301">
        <f t="shared" ca="1" si="33"/>
        <v>50176441</v>
      </c>
      <c r="H94" s="301">
        <f t="shared" ca="1" si="33"/>
        <v>54448441</v>
      </c>
      <c r="I94" s="301">
        <f t="shared" ca="1" si="33"/>
        <v>58735741</v>
      </c>
      <c r="J94" s="301">
        <f t="shared" ca="1" si="33"/>
        <v>63207441</v>
      </c>
      <c r="K94" s="315">
        <f t="shared" ca="1" si="33"/>
        <v>67847341</v>
      </c>
    </row>
    <row r="95" spans="1:11" ht="15.75" thickTop="1" x14ac:dyDescent="0.25">
      <c r="A95" s="8"/>
      <c r="B95" s="323"/>
      <c r="C95" s="324"/>
      <c r="D95" s="324"/>
      <c r="E95" s="324"/>
      <c r="F95" s="324"/>
      <c r="G95" s="324"/>
      <c r="H95" s="324"/>
      <c r="I95" s="324"/>
      <c r="J95" s="324"/>
      <c r="K95" s="325"/>
    </row>
    <row r="96" spans="1:11" x14ac:dyDescent="0.25">
      <c r="B96" s="293"/>
      <c r="C96" s="293"/>
      <c r="D96" s="293"/>
      <c r="E96" s="293"/>
      <c r="F96" s="293"/>
      <c r="G96" s="293"/>
      <c r="H96" s="293"/>
      <c r="I96" s="293"/>
      <c r="J96" s="293"/>
      <c r="K96" s="293"/>
    </row>
    <row r="97" spans="1:11" ht="18.75" x14ac:dyDescent="0.3">
      <c r="A97" s="496" t="s">
        <v>33</v>
      </c>
      <c r="B97" s="497"/>
      <c r="C97" s="497"/>
      <c r="D97" s="497"/>
      <c r="E97" s="497"/>
      <c r="F97" s="497"/>
      <c r="G97" s="497"/>
      <c r="H97" s="497"/>
      <c r="I97" s="497"/>
      <c r="J97" s="497"/>
      <c r="K97" s="498"/>
    </row>
    <row r="98" spans="1:11" ht="18.75" x14ac:dyDescent="0.3">
      <c r="A98" s="499" t="s">
        <v>4613</v>
      </c>
      <c r="B98" s="500"/>
      <c r="C98" s="500"/>
      <c r="D98" s="500"/>
      <c r="E98" s="500"/>
      <c r="F98" s="500"/>
      <c r="G98" s="500"/>
      <c r="H98" s="500"/>
      <c r="I98" s="500"/>
      <c r="J98" s="500"/>
      <c r="K98" s="501"/>
    </row>
    <row r="99" spans="1:11" x14ac:dyDescent="0.25">
      <c r="A99" s="11"/>
      <c r="B99" s="20" t="s">
        <v>29</v>
      </c>
      <c r="C99" s="1"/>
      <c r="D99" s="1"/>
      <c r="E99" s="1"/>
      <c r="F99" s="1"/>
      <c r="G99" s="1"/>
      <c r="H99" s="1"/>
      <c r="I99" s="1"/>
      <c r="J99" s="1"/>
      <c r="K99" s="4"/>
    </row>
    <row r="100" spans="1:11" x14ac:dyDescent="0.25">
      <c r="A100" s="7"/>
      <c r="B100" s="21" t="s">
        <v>28</v>
      </c>
      <c r="C100" s="502" t="s">
        <v>30</v>
      </c>
      <c r="D100" s="502"/>
      <c r="E100" s="502"/>
      <c r="F100" s="502"/>
      <c r="G100" s="502"/>
      <c r="H100" s="502"/>
      <c r="I100" s="502"/>
      <c r="J100" s="502"/>
      <c r="K100" s="503"/>
    </row>
    <row r="101" spans="1:11" x14ac:dyDescent="0.25">
      <c r="A101" s="8"/>
      <c r="B101" s="22">
        <v>2017</v>
      </c>
      <c r="C101" s="2">
        <v>2018</v>
      </c>
      <c r="D101" s="2">
        <v>2019</v>
      </c>
      <c r="E101" s="2">
        <v>2020</v>
      </c>
      <c r="F101" s="2">
        <v>2021</v>
      </c>
      <c r="G101" s="2">
        <v>2022</v>
      </c>
      <c r="H101" s="2">
        <v>2023</v>
      </c>
      <c r="I101" s="2">
        <v>2024</v>
      </c>
      <c r="J101" s="2">
        <v>2025</v>
      </c>
      <c r="K101" s="6">
        <v>2026</v>
      </c>
    </row>
    <row r="102" spans="1:11" x14ac:dyDescent="0.25">
      <c r="A102" s="7"/>
      <c r="B102" s="317"/>
      <c r="C102" s="298"/>
      <c r="D102" s="298"/>
      <c r="E102" s="298"/>
      <c r="F102" s="298"/>
      <c r="G102" s="298"/>
      <c r="H102" s="298"/>
      <c r="I102" s="298"/>
      <c r="J102" s="298"/>
      <c r="K102" s="313"/>
    </row>
    <row r="103" spans="1:11" x14ac:dyDescent="0.25">
      <c r="A103" s="12" t="s">
        <v>61</v>
      </c>
      <c r="B103" s="317"/>
      <c r="C103" s="298"/>
      <c r="D103" s="298"/>
      <c r="E103" s="298"/>
      <c r="F103" s="298"/>
      <c r="G103" s="298"/>
      <c r="H103" s="298"/>
      <c r="I103" s="298"/>
      <c r="J103" s="298"/>
      <c r="K103" s="313"/>
    </row>
    <row r="104" spans="1:11" x14ac:dyDescent="0.25">
      <c r="A104" s="12" t="s">
        <v>62</v>
      </c>
      <c r="B104" s="317"/>
      <c r="C104" s="298"/>
      <c r="D104" s="298"/>
      <c r="E104" s="298"/>
      <c r="F104" s="298"/>
      <c r="G104" s="298"/>
      <c r="H104" s="298"/>
      <c r="I104" s="298"/>
      <c r="J104" s="298"/>
      <c r="K104" s="313"/>
    </row>
    <row r="105" spans="1:11" x14ac:dyDescent="0.25">
      <c r="A105" s="13" t="s">
        <v>63</v>
      </c>
      <c r="B105" s="317">
        <f>income!B66</f>
        <v>10050700</v>
      </c>
      <c r="C105" s="298">
        <f>income!C66</f>
        <v>10049000</v>
      </c>
      <c r="D105" s="298">
        <f>income!D66</f>
        <v>10046800</v>
      </c>
      <c r="E105" s="298">
        <f>income!E66</f>
        <v>10044500</v>
      </c>
      <c r="F105" s="298">
        <f>income!F66</f>
        <v>10042200</v>
      </c>
      <c r="G105" s="298">
        <f>income!G66</f>
        <v>10039800</v>
      </c>
      <c r="H105" s="298">
        <f>income!H66</f>
        <v>10037400</v>
      </c>
      <c r="I105" s="298">
        <f>income!I66</f>
        <v>10034900</v>
      </c>
      <c r="J105" s="298">
        <f>income!J66</f>
        <v>10032400</v>
      </c>
      <c r="K105" s="313">
        <f>income!K66</f>
        <v>10029800</v>
      </c>
    </row>
    <row r="106" spans="1:11" x14ac:dyDescent="0.25">
      <c r="A106" s="7" t="s">
        <v>64</v>
      </c>
      <c r="B106" s="317">
        <f>income!B67</f>
        <v>5130200</v>
      </c>
      <c r="C106" s="298">
        <f>income!C67</f>
        <v>4699900</v>
      </c>
      <c r="D106" s="298">
        <f>income!D67</f>
        <v>4707300</v>
      </c>
      <c r="E106" s="298">
        <f>income!E67</f>
        <v>4714800</v>
      </c>
      <c r="F106" s="298">
        <f>income!F67</f>
        <v>4722500</v>
      </c>
      <c r="G106" s="298">
        <f>income!G67</f>
        <v>4730300</v>
      </c>
      <c r="H106" s="298">
        <f>income!H67</f>
        <v>4738400</v>
      </c>
      <c r="I106" s="298">
        <f>income!I67</f>
        <v>4746700</v>
      </c>
      <c r="J106" s="298">
        <f>income!J67</f>
        <v>4755100</v>
      </c>
      <c r="K106" s="313">
        <f>income!K67</f>
        <v>4763700</v>
      </c>
    </row>
    <row r="107" spans="1:11" x14ac:dyDescent="0.25">
      <c r="A107" s="7" t="s">
        <v>65</v>
      </c>
      <c r="B107" s="317">
        <f>income!B68</f>
        <v>192900</v>
      </c>
      <c r="C107" s="298">
        <f>income!C68</f>
        <v>441700</v>
      </c>
      <c r="D107" s="298">
        <f>income!D68</f>
        <v>459800</v>
      </c>
      <c r="E107" s="298">
        <f>income!E68</f>
        <v>286300</v>
      </c>
      <c r="F107" s="298">
        <f>income!F68</f>
        <v>317400</v>
      </c>
      <c r="G107" s="298">
        <f>income!G68</f>
        <v>342400</v>
      </c>
      <c r="H107" s="298">
        <f>income!H68</f>
        <v>390800</v>
      </c>
      <c r="I107" s="298">
        <f>income!I68</f>
        <v>407400</v>
      </c>
      <c r="J107" s="298">
        <f>income!J68</f>
        <v>406900</v>
      </c>
      <c r="K107" s="313">
        <f>income!K68</f>
        <v>197700</v>
      </c>
    </row>
    <row r="108" spans="1:11" x14ac:dyDescent="0.25">
      <c r="A108" s="13" t="s">
        <v>68</v>
      </c>
      <c r="B108" s="317">
        <f>income!B70+income!B71</f>
        <v>1500700</v>
      </c>
      <c r="C108" s="298">
        <f>income!C70+income!C71</f>
        <v>1502700</v>
      </c>
      <c r="D108" s="298">
        <f>income!D70+income!D71</f>
        <v>1505300</v>
      </c>
      <c r="E108" s="298">
        <f>income!E70+income!E71</f>
        <v>1507900</v>
      </c>
      <c r="F108" s="298">
        <f>income!F70+income!F71</f>
        <v>1510600</v>
      </c>
      <c r="G108" s="298">
        <f>income!G70+income!G71</f>
        <v>1513400</v>
      </c>
      <c r="H108" s="298">
        <f>income!H70+income!H71</f>
        <v>1516200</v>
      </c>
      <c r="I108" s="298">
        <f>income!I70+income!I71</f>
        <v>1519100</v>
      </c>
      <c r="J108" s="298">
        <f>income!J70+income!J71</f>
        <v>1522100</v>
      </c>
      <c r="K108" s="313">
        <f>income!K70+income!K71</f>
        <v>1525200</v>
      </c>
    </row>
    <row r="109" spans="1:11" x14ac:dyDescent="0.25">
      <c r="A109" s="7" t="s">
        <v>66</v>
      </c>
      <c r="B109" s="317"/>
      <c r="C109" s="298"/>
      <c r="D109" s="298"/>
      <c r="E109" s="298"/>
      <c r="F109" s="298"/>
      <c r="G109" s="298"/>
      <c r="H109" s="298"/>
      <c r="I109" s="298"/>
      <c r="J109" s="298"/>
      <c r="K109" s="313"/>
    </row>
    <row r="110" spans="1:11" x14ac:dyDescent="0.25">
      <c r="A110" s="12" t="s">
        <v>67</v>
      </c>
      <c r="B110" s="317"/>
      <c r="C110" s="298"/>
      <c r="D110" s="298"/>
      <c r="E110" s="298"/>
      <c r="F110" s="298"/>
      <c r="G110" s="298"/>
      <c r="H110" s="298"/>
      <c r="I110" s="298"/>
      <c r="J110" s="298"/>
      <c r="K110" s="313"/>
    </row>
    <row r="111" spans="1:11" x14ac:dyDescent="0.25">
      <c r="A111" s="13" t="s">
        <v>69</v>
      </c>
      <c r="B111" s="317">
        <f>-income!B75</f>
        <v>-1442800</v>
      </c>
      <c r="C111" s="298">
        <f>-income!C75</f>
        <v>-1867800</v>
      </c>
      <c r="D111" s="298">
        <f>-income!D75</f>
        <v>-1905700</v>
      </c>
      <c r="E111" s="298">
        <f>-income!E75</f>
        <v>-1943700</v>
      </c>
      <c r="F111" s="298">
        <f>-income!F75</f>
        <v>-1982600</v>
      </c>
      <c r="G111" s="298">
        <f>-income!G75</f>
        <v>-2022400</v>
      </c>
      <c r="H111" s="298">
        <f>-income!H75</f>
        <v>-2063100</v>
      </c>
      <c r="I111" s="298">
        <f>-income!I75</f>
        <v>-2114900</v>
      </c>
      <c r="J111" s="298">
        <f>-income!J75</f>
        <v>-2167700</v>
      </c>
      <c r="K111" s="313">
        <f>-income!K75</f>
        <v>-2222300</v>
      </c>
    </row>
    <row r="112" spans="1:11" x14ac:dyDescent="0.25">
      <c r="A112" s="13" t="s">
        <v>70</v>
      </c>
      <c r="B112" s="317">
        <f>-income!B77</f>
        <v>-6087700</v>
      </c>
      <c r="C112" s="298">
        <f>-income!C77</f>
        <v>-5775600</v>
      </c>
      <c r="D112" s="298">
        <f>-income!D77</f>
        <v>-5890500</v>
      </c>
      <c r="E112" s="298">
        <f>-income!E77</f>
        <v>-6008400</v>
      </c>
      <c r="F112" s="298">
        <f>-income!F77</f>
        <v>-6128400</v>
      </c>
      <c r="G112" s="298">
        <f>-income!G77</f>
        <v>-6250800</v>
      </c>
      <c r="H112" s="298">
        <f>-income!H77</f>
        <v>-6375800</v>
      </c>
      <c r="I112" s="298">
        <f>-income!I77</f>
        <v>-6535200</v>
      </c>
      <c r="J112" s="298">
        <f>-income!J77</f>
        <v>-6698700</v>
      </c>
      <c r="K112" s="313">
        <f>-income!K77</f>
        <v>-6866000</v>
      </c>
    </row>
    <row r="113" spans="1:11" x14ac:dyDescent="0.25">
      <c r="A113" s="13" t="s">
        <v>71</v>
      </c>
      <c r="B113" s="317">
        <f>-income!B76</f>
        <v>-3530100</v>
      </c>
      <c r="C113" s="298">
        <f>-income!C76</f>
        <v>-3365300</v>
      </c>
      <c r="D113" s="298">
        <f>-income!D76</f>
        <v>-3253100</v>
      </c>
      <c r="E113" s="298">
        <f>-income!E76</f>
        <v>-3143400</v>
      </c>
      <c r="F113" s="298">
        <f>-income!F76</f>
        <v>-2982300</v>
      </c>
      <c r="G113" s="298">
        <f>-income!G76</f>
        <v>-2865000</v>
      </c>
      <c r="H113" s="298">
        <f>-income!H76</f>
        <v>-2709200</v>
      </c>
      <c r="I113" s="298">
        <f>-income!I76</f>
        <v>-2546200</v>
      </c>
      <c r="J113" s="298">
        <f>-income!J76</f>
        <v>-2348100</v>
      </c>
      <c r="K113" s="313">
        <f>-income!K76</f>
        <v>-2184600</v>
      </c>
    </row>
    <row r="114" spans="1:11" x14ac:dyDescent="0.25">
      <c r="A114" s="13" t="s">
        <v>66</v>
      </c>
      <c r="B114" s="317">
        <f ca="1">-income!B79</f>
        <v>0</v>
      </c>
      <c r="C114" s="298">
        <f ca="1">-income!C79</f>
        <v>0</v>
      </c>
      <c r="D114" s="298">
        <f ca="1">-income!D79</f>
        <v>0</v>
      </c>
      <c r="E114" s="298">
        <f ca="1">-income!E79</f>
        <v>0</v>
      </c>
      <c r="F114" s="298">
        <f ca="1">-income!F79</f>
        <v>0</v>
      </c>
      <c r="G114" s="298">
        <f ca="1">-income!G79</f>
        <v>0</v>
      </c>
      <c r="H114" s="298">
        <f ca="1">-income!H79</f>
        <v>0</v>
      </c>
      <c r="I114" s="298">
        <f ca="1">-income!I79</f>
        <v>0</v>
      </c>
      <c r="J114" s="298">
        <f ca="1">-income!J79</f>
        <v>0</v>
      </c>
      <c r="K114" s="313">
        <f ca="1">-income!K79</f>
        <v>0</v>
      </c>
    </row>
    <row r="115" spans="1:11" x14ac:dyDescent="0.25">
      <c r="A115" s="12" t="s">
        <v>60</v>
      </c>
      <c r="B115" s="318">
        <f t="shared" ref="B115:K115" ca="1" si="34">SUM(B105:B114)</f>
        <v>5813900</v>
      </c>
      <c r="C115" s="296">
        <f t="shared" ca="1" si="34"/>
        <v>5684600</v>
      </c>
      <c r="D115" s="296">
        <f t="shared" ca="1" si="34"/>
        <v>5669900</v>
      </c>
      <c r="E115" s="296">
        <f t="shared" ca="1" si="34"/>
        <v>5458000</v>
      </c>
      <c r="F115" s="296">
        <f t="shared" ca="1" si="34"/>
        <v>5499400</v>
      </c>
      <c r="G115" s="296">
        <f t="shared" ca="1" si="34"/>
        <v>5487700</v>
      </c>
      <c r="H115" s="296">
        <f t="shared" ca="1" si="34"/>
        <v>5534700</v>
      </c>
      <c r="I115" s="296">
        <f t="shared" ca="1" si="34"/>
        <v>5511800</v>
      </c>
      <c r="J115" s="296">
        <f t="shared" ca="1" si="34"/>
        <v>5502000</v>
      </c>
      <c r="K115" s="314">
        <f t="shared" ca="1" si="34"/>
        <v>5243500</v>
      </c>
    </row>
    <row r="116" spans="1:11" x14ac:dyDescent="0.25">
      <c r="A116" s="7"/>
      <c r="B116" s="317"/>
      <c r="C116" s="298"/>
      <c r="D116" s="298"/>
      <c r="E116" s="298"/>
      <c r="F116" s="298"/>
      <c r="G116" s="298"/>
      <c r="H116" s="298"/>
      <c r="I116" s="298"/>
      <c r="J116" s="298"/>
      <c r="K116" s="313"/>
    </row>
    <row r="117" spans="1:11" x14ac:dyDescent="0.25">
      <c r="A117" s="12" t="s">
        <v>72</v>
      </c>
      <c r="B117" s="317"/>
      <c r="C117" s="298"/>
      <c r="D117" s="298"/>
      <c r="E117" s="298"/>
      <c r="F117" s="298"/>
      <c r="G117" s="298"/>
      <c r="H117" s="298"/>
      <c r="I117" s="298"/>
      <c r="J117" s="298"/>
      <c r="K117" s="313"/>
    </row>
    <row r="118" spans="1:11" x14ac:dyDescent="0.25">
      <c r="A118" s="14" t="s">
        <v>62</v>
      </c>
      <c r="B118" s="317"/>
      <c r="C118" s="298"/>
      <c r="D118" s="298"/>
      <c r="E118" s="298"/>
      <c r="F118" s="298"/>
      <c r="G118" s="298"/>
      <c r="H118" s="298"/>
      <c r="I118" s="298"/>
      <c r="J118" s="298"/>
      <c r="K118" s="313"/>
    </row>
    <row r="119" spans="1:11" x14ac:dyDescent="0.25">
      <c r="A119" s="7" t="s">
        <v>73</v>
      </c>
      <c r="B119" s="317"/>
      <c r="C119" s="298"/>
      <c r="D119" s="298"/>
      <c r="E119" s="298"/>
      <c r="F119" s="298"/>
      <c r="G119" s="298"/>
      <c r="H119" s="298"/>
      <c r="I119" s="298"/>
      <c r="J119" s="298"/>
      <c r="K119" s="313"/>
    </row>
    <row r="120" spans="1:11" x14ac:dyDescent="0.25">
      <c r="A120" s="7" t="s">
        <v>74</v>
      </c>
      <c r="B120" s="317"/>
      <c r="C120" s="298"/>
      <c r="D120" s="298"/>
      <c r="E120" s="298"/>
      <c r="F120" s="298"/>
      <c r="G120" s="298"/>
      <c r="H120" s="298"/>
      <c r="I120" s="298"/>
      <c r="J120" s="298"/>
      <c r="K120" s="313"/>
    </row>
    <row r="121" spans="1:11" x14ac:dyDescent="0.25">
      <c r="A121" s="7" t="s">
        <v>75</v>
      </c>
      <c r="B121" s="317"/>
      <c r="C121" s="298"/>
      <c r="D121" s="298"/>
      <c r="E121" s="298"/>
      <c r="F121" s="298"/>
      <c r="G121" s="298"/>
      <c r="H121" s="298"/>
      <c r="I121" s="298"/>
      <c r="J121" s="298"/>
      <c r="K121" s="313"/>
    </row>
    <row r="122" spans="1:11" x14ac:dyDescent="0.25">
      <c r="A122" s="7" t="s">
        <v>66</v>
      </c>
      <c r="B122" s="317"/>
      <c r="C122" s="298"/>
      <c r="D122" s="298"/>
      <c r="E122" s="298"/>
      <c r="F122" s="298"/>
      <c r="G122" s="298"/>
      <c r="H122" s="298"/>
      <c r="I122" s="298"/>
      <c r="J122" s="298"/>
      <c r="K122" s="313"/>
    </row>
    <row r="123" spans="1:11" x14ac:dyDescent="0.25">
      <c r="A123" s="12" t="s">
        <v>67</v>
      </c>
      <c r="B123" s="317"/>
      <c r="C123" s="298"/>
      <c r="D123" s="298"/>
      <c r="E123" s="298"/>
      <c r="F123" s="298"/>
      <c r="G123" s="298"/>
      <c r="H123" s="298"/>
      <c r="I123" s="298"/>
      <c r="J123" s="298"/>
      <c r="K123" s="313"/>
    </row>
    <row r="124" spans="1:11" x14ac:dyDescent="0.25">
      <c r="A124" s="7" t="s">
        <v>76</v>
      </c>
      <c r="B124" s="317"/>
      <c r="C124" s="298"/>
      <c r="D124" s="298"/>
      <c r="E124" s="298"/>
      <c r="F124" s="298"/>
      <c r="G124" s="298"/>
      <c r="H124" s="298"/>
      <c r="I124" s="298"/>
      <c r="J124" s="298"/>
      <c r="K124" s="313"/>
    </row>
    <row r="125" spans="1:11" x14ac:dyDescent="0.25">
      <c r="A125" s="7" t="s">
        <v>77</v>
      </c>
      <c r="B125" s="317">
        <f>-capitalexpdata!F773</f>
        <v>-7516000</v>
      </c>
      <c r="C125" s="298">
        <f>-capitalexpdata!G773</f>
        <v>-1971839</v>
      </c>
      <c r="D125" s="298">
        <f>-capitalexpdata!H773</f>
        <v>-639631</v>
      </c>
      <c r="E125" s="298">
        <f>-capitalexpdata!I773</f>
        <v>-11979920</v>
      </c>
      <c r="F125" s="298">
        <f>-capitalexpdata!J773</f>
        <v>-1336175</v>
      </c>
      <c r="G125" s="298">
        <f>-capitalexpdata!K773</f>
        <v>-1459370</v>
      </c>
      <c r="H125" s="298">
        <f>-capitalexpdata!L773</f>
        <v>-782741</v>
      </c>
      <c r="I125" s="298">
        <f>-capitalexpdata!M773</f>
        <v>-2429381</v>
      </c>
      <c r="J125" s="298">
        <f>-capitalexpdata!N773</f>
        <v>-3874340</v>
      </c>
      <c r="K125" s="313">
        <f>-capitalexpdata!O773</f>
        <v>-14001602</v>
      </c>
    </row>
    <row r="126" spans="1:11" x14ac:dyDescent="0.25">
      <c r="A126" s="7" t="s">
        <v>78</v>
      </c>
      <c r="B126" s="317"/>
      <c r="C126" s="298"/>
      <c r="D126" s="298"/>
      <c r="E126" s="298"/>
      <c r="F126" s="298"/>
      <c r="G126" s="298"/>
      <c r="H126" s="298"/>
      <c r="I126" s="298"/>
      <c r="J126" s="298"/>
      <c r="K126" s="313"/>
    </row>
    <row r="127" spans="1:11" x14ac:dyDescent="0.25">
      <c r="A127" s="7" t="s">
        <v>79</v>
      </c>
      <c r="B127" s="317"/>
      <c r="C127" s="298"/>
      <c r="D127" s="298"/>
      <c r="E127" s="298"/>
      <c r="F127" s="298"/>
      <c r="G127" s="298"/>
      <c r="H127" s="298"/>
      <c r="I127" s="298"/>
      <c r="J127" s="298"/>
      <c r="K127" s="313"/>
    </row>
    <row r="128" spans="1:11" x14ac:dyDescent="0.25">
      <c r="A128" s="7" t="s">
        <v>66</v>
      </c>
      <c r="B128" s="317"/>
      <c r="C128" s="298"/>
      <c r="D128" s="298"/>
      <c r="E128" s="298"/>
      <c r="F128" s="298"/>
      <c r="G128" s="298"/>
      <c r="H128" s="298"/>
      <c r="I128" s="298"/>
      <c r="J128" s="298"/>
      <c r="K128" s="313"/>
    </row>
    <row r="129" spans="1:11" x14ac:dyDescent="0.25">
      <c r="A129" s="12" t="s">
        <v>80</v>
      </c>
      <c r="B129" s="318">
        <f t="shared" ref="B129:K129" si="35">SUM(B118:B128)</f>
        <v>-7516000</v>
      </c>
      <c r="C129" s="296">
        <f t="shared" si="35"/>
        <v>-1971839</v>
      </c>
      <c r="D129" s="296">
        <f t="shared" si="35"/>
        <v>-639631</v>
      </c>
      <c r="E129" s="296">
        <f t="shared" si="35"/>
        <v>-11979920</v>
      </c>
      <c r="F129" s="296">
        <f t="shared" si="35"/>
        <v>-1336175</v>
      </c>
      <c r="G129" s="296">
        <f t="shared" si="35"/>
        <v>-1459370</v>
      </c>
      <c r="H129" s="296">
        <f t="shared" si="35"/>
        <v>-782741</v>
      </c>
      <c r="I129" s="296">
        <f t="shared" si="35"/>
        <v>-2429381</v>
      </c>
      <c r="J129" s="296">
        <f t="shared" si="35"/>
        <v>-3874340</v>
      </c>
      <c r="K129" s="314">
        <f t="shared" si="35"/>
        <v>-14001602</v>
      </c>
    </row>
    <row r="130" spans="1:11" x14ac:dyDescent="0.25">
      <c r="A130" s="12"/>
      <c r="B130" s="327"/>
      <c r="C130" s="300"/>
      <c r="D130" s="300"/>
      <c r="E130" s="300"/>
      <c r="F130" s="300"/>
      <c r="G130" s="300"/>
      <c r="H130" s="300"/>
      <c r="I130" s="300"/>
      <c r="J130" s="300"/>
      <c r="K130" s="328"/>
    </row>
    <row r="131" spans="1:11" x14ac:dyDescent="0.25">
      <c r="A131" s="12" t="s">
        <v>81</v>
      </c>
      <c r="B131" s="317"/>
      <c r="C131" s="298"/>
      <c r="D131" s="298"/>
      <c r="E131" s="298"/>
      <c r="F131" s="298"/>
      <c r="G131" s="298"/>
      <c r="H131" s="298"/>
      <c r="I131" s="298"/>
      <c r="J131" s="298"/>
      <c r="K131" s="313"/>
    </row>
    <row r="132" spans="1:11" x14ac:dyDescent="0.25">
      <c r="A132" s="12" t="s">
        <v>62</v>
      </c>
      <c r="B132" s="317"/>
      <c r="C132" s="298"/>
      <c r="D132" s="298"/>
      <c r="E132" s="298"/>
      <c r="F132" s="298"/>
      <c r="G132" s="298"/>
      <c r="H132" s="298"/>
      <c r="I132" s="298"/>
      <c r="J132" s="298"/>
      <c r="K132" s="313"/>
    </row>
    <row r="133" spans="1:11" x14ac:dyDescent="0.25">
      <c r="A133" s="7" t="s">
        <v>82</v>
      </c>
      <c r="B133" s="317"/>
      <c r="C133" s="298"/>
      <c r="D133" s="298"/>
      <c r="E133" s="298"/>
      <c r="F133" s="298"/>
      <c r="G133" s="298"/>
      <c r="H133" s="298"/>
      <c r="I133" s="298"/>
      <c r="J133" s="298"/>
      <c r="K133" s="313"/>
    </row>
    <row r="134" spans="1:11" x14ac:dyDescent="0.25">
      <c r="A134" s="7" t="s">
        <v>66</v>
      </c>
      <c r="B134" s="317"/>
      <c r="C134" s="298"/>
      <c r="D134" s="298"/>
      <c r="E134" s="298"/>
      <c r="F134" s="298"/>
      <c r="G134" s="298"/>
      <c r="H134" s="298"/>
      <c r="I134" s="298"/>
      <c r="J134" s="298"/>
      <c r="K134" s="313"/>
    </row>
    <row r="135" spans="1:11" x14ac:dyDescent="0.25">
      <c r="A135" s="12" t="s">
        <v>67</v>
      </c>
      <c r="B135" s="317"/>
      <c r="C135" s="298"/>
      <c r="D135" s="298"/>
      <c r="E135" s="298"/>
      <c r="F135" s="298"/>
      <c r="G135" s="298"/>
      <c r="H135" s="298"/>
      <c r="I135" s="298"/>
      <c r="J135" s="298"/>
      <c r="K135" s="313"/>
    </row>
    <row r="136" spans="1:11" x14ac:dyDescent="0.25">
      <c r="A136" s="7" t="s">
        <v>83</v>
      </c>
      <c r="B136" s="317">
        <f>-fundingstat!B83</f>
        <v>-1669100</v>
      </c>
      <c r="C136" s="298">
        <f>-fundingstat!C83</f>
        <v>-1699400</v>
      </c>
      <c r="D136" s="298">
        <f>-fundingstat!D83</f>
        <v>-1811500</v>
      </c>
      <c r="E136" s="298">
        <f>-fundingstat!E83</f>
        <v>-1921300</v>
      </c>
      <c r="F136" s="298">
        <f>-fundingstat!F83</f>
        <v>-2082300</v>
      </c>
      <c r="G136" s="298">
        <f>-fundingstat!G83</f>
        <v>-2199700</v>
      </c>
      <c r="H136" s="298">
        <f>-fundingstat!H83</f>
        <v>-2355400</v>
      </c>
      <c r="I136" s="298">
        <f>-fundingstat!I83</f>
        <v>-2518500</v>
      </c>
      <c r="J136" s="298">
        <f>-fundingstat!J83</f>
        <v>-2204400</v>
      </c>
      <c r="K136" s="313">
        <f>-fundingstat!K83</f>
        <v>-2367900</v>
      </c>
    </row>
    <row r="137" spans="1:11" x14ac:dyDescent="0.25">
      <c r="A137" s="7" t="s">
        <v>66</v>
      </c>
      <c r="B137" s="317"/>
      <c r="C137" s="298"/>
      <c r="D137" s="298"/>
      <c r="E137" s="298"/>
      <c r="F137" s="298"/>
      <c r="G137" s="298"/>
      <c r="H137" s="298"/>
      <c r="I137" s="298"/>
      <c r="J137" s="298"/>
      <c r="K137" s="313"/>
    </row>
    <row r="138" spans="1:11" x14ac:dyDescent="0.25">
      <c r="A138" s="12" t="s">
        <v>84</v>
      </c>
      <c r="B138" s="318">
        <f t="shared" ref="B138:K138" si="36">SUM(B133:B137)</f>
        <v>-1669100</v>
      </c>
      <c r="C138" s="296">
        <f t="shared" si="36"/>
        <v>-1699400</v>
      </c>
      <c r="D138" s="296">
        <f t="shared" si="36"/>
        <v>-1811500</v>
      </c>
      <c r="E138" s="296">
        <f t="shared" si="36"/>
        <v>-1921300</v>
      </c>
      <c r="F138" s="296">
        <f t="shared" si="36"/>
        <v>-2082300</v>
      </c>
      <c r="G138" s="296">
        <f t="shared" si="36"/>
        <v>-2199700</v>
      </c>
      <c r="H138" s="296">
        <f t="shared" si="36"/>
        <v>-2355400</v>
      </c>
      <c r="I138" s="296">
        <f t="shared" si="36"/>
        <v>-2518500</v>
      </c>
      <c r="J138" s="296">
        <f t="shared" si="36"/>
        <v>-2204400</v>
      </c>
      <c r="K138" s="314">
        <f t="shared" si="36"/>
        <v>-2367900</v>
      </c>
    </row>
    <row r="139" spans="1:11" x14ac:dyDescent="0.25">
      <c r="A139" s="12"/>
      <c r="B139" s="317"/>
      <c r="C139" s="298"/>
      <c r="D139" s="298"/>
      <c r="E139" s="298"/>
      <c r="F139" s="298"/>
      <c r="G139" s="298"/>
      <c r="H139" s="298"/>
      <c r="I139" s="298"/>
      <c r="J139" s="298"/>
      <c r="K139" s="313"/>
    </row>
    <row r="140" spans="1:11" x14ac:dyDescent="0.25">
      <c r="A140" s="12" t="s">
        <v>4558</v>
      </c>
      <c r="B140" s="329">
        <f t="shared" ref="B140:K140" ca="1" si="37">B115+B129+B138</f>
        <v>-3371200</v>
      </c>
      <c r="C140" s="330">
        <f t="shared" ca="1" si="37"/>
        <v>2013361</v>
      </c>
      <c r="D140" s="330">
        <f t="shared" ca="1" si="37"/>
        <v>3218769</v>
      </c>
      <c r="E140" s="330">
        <f t="shared" ca="1" si="37"/>
        <v>-8443220</v>
      </c>
      <c r="F140" s="330">
        <f t="shared" ca="1" si="37"/>
        <v>2080925</v>
      </c>
      <c r="G140" s="330">
        <f t="shared" ca="1" si="37"/>
        <v>1828630</v>
      </c>
      <c r="H140" s="330">
        <f t="shared" ca="1" si="37"/>
        <v>2396559</v>
      </c>
      <c r="I140" s="330">
        <f t="shared" ca="1" si="37"/>
        <v>563919</v>
      </c>
      <c r="J140" s="330">
        <f t="shared" ca="1" si="37"/>
        <v>-576740</v>
      </c>
      <c r="K140" s="331">
        <f t="shared" ca="1" si="37"/>
        <v>-11126002</v>
      </c>
    </row>
    <row r="141" spans="1:11" x14ac:dyDescent="0.25">
      <c r="A141" s="12" t="s">
        <v>4557</v>
      </c>
      <c r="B141" s="317">
        <v>14741690.09</v>
      </c>
      <c r="C141" s="298">
        <f ca="1">B142</f>
        <v>11370490.09</v>
      </c>
      <c r="D141" s="298">
        <f t="shared" ref="D141:K141" ca="1" si="38">C142</f>
        <v>13383851.09</v>
      </c>
      <c r="E141" s="298">
        <f t="shared" ca="1" si="38"/>
        <v>16602620.09</v>
      </c>
      <c r="F141" s="298">
        <f t="shared" ca="1" si="38"/>
        <v>8159400.0899999999</v>
      </c>
      <c r="G141" s="298">
        <f t="shared" ca="1" si="38"/>
        <v>10240325.09</v>
      </c>
      <c r="H141" s="298">
        <f t="shared" ca="1" si="38"/>
        <v>12068955.09</v>
      </c>
      <c r="I141" s="298">
        <f t="shared" ca="1" si="38"/>
        <v>14465514.09</v>
      </c>
      <c r="J141" s="298">
        <f t="shared" ca="1" si="38"/>
        <v>15029433.09</v>
      </c>
      <c r="K141" s="402">
        <f t="shared" ca="1" si="38"/>
        <v>14452693.09</v>
      </c>
    </row>
    <row r="142" spans="1:11" ht="15.75" thickBot="1" x14ac:dyDescent="0.3">
      <c r="A142" s="12" t="s">
        <v>4556</v>
      </c>
      <c r="B142" s="319">
        <f t="shared" ref="B142:K142" ca="1" si="39">B140+B141</f>
        <v>11370490.09</v>
      </c>
      <c r="C142" s="301">
        <f t="shared" ca="1" si="39"/>
        <v>13383851.09</v>
      </c>
      <c r="D142" s="301">
        <f t="shared" ca="1" si="39"/>
        <v>16602620.09</v>
      </c>
      <c r="E142" s="301">
        <f t="shared" ca="1" si="39"/>
        <v>8159400.0899999999</v>
      </c>
      <c r="F142" s="301">
        <f t="shared" ca="1" si="39"/>
        <v>10240325.09</v>
      </c>
      <c r="G142" s="301">
        <f t="shared" ca="1" si="39"/>
        <v>12068955.09</v>
      </c>
      <c r="H142" s="301">
        <f t="shared" ca="1" si="39"/>
        <v>14465514.09</v>
      </c>
      <c r="I142" s="301">
        <f t="shared" ca="1" si="39"/>
        <v>15029433.09</v>
      </c>
      <c r="J142" s="301">
        <f t="shared" ca="1" si="39"/>
        <v>14452693.09</v>
      </c>
      <c r="K142" s="315">
        <f t="shared" ca="1" si="39"/>
        <v>3326691.09</v>
      </c>
    </row>
    <row r="143" spans="1:11" ht="15.75" thickTop="1" x14ac:dyDescent="0.25">
      <c r="A143" s="8"/>
      <c r="B143" s="323"/>
      <c r="C143" s="324"/>
      <c r="D143" s="324"/>
      <c r="E143" s="324"/>
      <c r="F143" s="324"/>
      <c r="G143" s="324"/>
      <c r="H143" s="324"/>
      <c r="I143" s="324"/>
      <c r="J143" s="324"/>
      <c r="K143" s="325"/>
    </row>
    <row r="145" spans="1:11" ht="18.75" x14ac:dyDescent="0.3">
      <c r="A145" s="496" t="s">
        <v>33</v>
      </c>
      <c r="B145" s="497"/>
      <c r="C145" s="497"/>
      <c r="D145" s="497"/>
      <c r="E145" s="497"/>
      <c r="F145" s="497"/>
      <c r="G145" s="497"/>
      <c r="H145" s="497"/>
      <c r="I145" s="497"/>
      <c r="J145" s="497"/>
      <c r="K145" s="498"/>
    </row>
    <row r="146" spans="1:11" ht="18.75" x14ac:dyDescent="0.3">
      <c r="A146" s="499" t="s">
        <v>4614</v>
      </c>
      <c r="B146" s="500"/>
      <c r="C146" s="500"/>
      <c r="D146" s="500"/>
      <c r="E146" s="500"/>
      <c r="F146" s="500"/>
      <c r="G146" s="500"/>
      <c r="H146" s="500"/>
      <c r="I146" s="500"/>
      <c r="J146" s="500"/>
      <c r="K146" s="501"/>
    </row>
    <row r="147" spans="1:11" x14ac:dyDescent="0.25">
      <c r="A147" s="11"/>
      <c r="B147" s="20" t="s">
        <v>29</v>
      </c>
      <c r="C147" s="1"/>
      <c r="D147" s="1"/>
      <c r="E147" s="1"/>
      <c r="F147" s="1"/>
      <c r="G147" s="1"/>
      <c r="H147" s="1"/>
      <c r="I147" s="1"/>
      <c r="J147" s="1"/>
      <c r="K147" s="4"/>
    </row>
    <row r="148" spans="1:11" x14ac:dyDescent="0.25">
      <c r="A148" s="7"/>
      <c r="B148" s="21" t="s">
        <v>28</v>
      </c>
      <c r="C148" s="502" t="s">
        <v>30</v>
      </c>
      <c r="D148" s="502"/>
      <c r="E148" s="502"/>
      <c r="F148" s="502"/>
      <c r="G148" s="502"/>
      <c r="H148" s="502"/>
      <c r="I148" s="502"/>
      <c r="J148" s="502"/>
      <c r="K148" s="503"/>
    </row>
    <row r="149" spans="1:11" x14ac:dyDescent="0.25">
      <c r="A149" s="8"/>
      <c r="B149" s="22">
        <v>2017</v>
      </c>
      <c r="C149" s="2">
        <v>2018</v>
      </c>
      <c r="D149" s="2">
        <v>2019</v>
      </c>
      <c r="E149" s="2">
        <v>2020</v>
      </c>
      <c r="F149" s="2">
        <v>2021</v>
      </c>
      <c r="G149" s="2">
        <v>2022</v>
      </c>
      <c r="H149" s="2">
        <v>2023</v>
      </c>
      <c r="I149" s="2">
        <v>2024</v>
      </c>
      <c r="J149" s="2">
        <v>2025</v>
      </c>
      <c r="K149" s="6">
        <v>2026</v>
      </c>
    </row>
    <row r="150" spans="1:11" x14ac:dyDescent="0.25">
      <c r="A150" s="7"/>
      <c r="B150" s="28"/>
      <c r="C150" s="33"/>
      <c r="D150" s="33"/>
      <c r="E150" s="33"/>
      <c r="F150" s="33"/>
      <c r="G150" s="33"/>
      <c r="H150" s="33"/>
      <c r="I150" s="33"/>
      <c r="J150" s="33"/>
      <c r="K150" s="34"/>
    </row>
    <row r="151" spans="1:11" x14ac:dyDescent="0.25">
      <c r="A151" s="12" t="s">
        <v>61</v>
      </c>
      <c r="B151" s="317"/>
      <c r="C151" s="298"/>
      <c r="D151" s="298"/>
      <c r="E151" s="298"/>
      <c r="F151" s="298"/>
      <c r="G151" s="298"/>
      <c r="H151" s="298"/>
      <c r="I151" s="298"/>
      <c r="J151" s="298"/>
      <c r="K151" s="313"/>
    </row>
    <row r="152" spans="1:11" x14ac:dyDescent="0.25">
      <c r="A152" s="12" t="s">
        <v>62</v>
      </c>
      <c r="B152" s="317"/>
      <c r="C152" s="298"/>
      <c r="D152" s="298"/>
      <c r="E152" s="298"/>
      <c r="F152" s="298"/>
      <c r="G152" s="298"/>
      <c r="H152" s="298"/>
      <c r="I152" s="298"/>
      <c r="J152" s="298"/>
      <c r="K152" s="313"/>
    </row>
    <row r="153" spans="1:11" x14ac:dyDescent="0.25">
      <c r="A153" s="13" t="s">
        <v>63</v>
      </c>
      <c r="B153" s="317">
        <f>income!B95</f>
        <v>2245100</v>
      </c>
      <c r="C153" s="298">
        <f>income!C95</f>
        <v>2242700</v>
      </c>
      <c r="D153" s="298">
        <f>income!D95</f>
        <v>2239600</v>
      </c>
      <c r="E153" s="298">
        <f>income!E95</f>
        <v>2236400</v>
      </c>
      <c r="F153" s="298">
        <f>income!F95</f>
        <v>2233100</v>
      </c>
      <c r="G153" s="298">
        <f>income!G95</f>
        <v>2229700</v>
      </c>
      <c r="H153" s="298">
        <f>income!H95</f>
        <v>2226300</v>
      </c>
      <c r="I153" s="298">
        <f>income!I95</f>
        <v>2222800</v>
      </c>
      <c r="J153" s="298">
        <f>income!J95</f>
        <v>2219200</v>
      </c>
      <c r="K153" s="313">
        <f>income!K95</f>
        <v>2215500</v>
      </c>
    </row>
    <row r="154" spans="1:11" x14ac:dyDescent="0.25">
      <c r="A154" s="7" t="s">
        <v>64</v>
      </c>
      <c r="B154" s="317">
        <f>income!B96</f>
        <v>6596800</v>
      </c>
      <c r="C154" s="298">
        <f>income!C96</f>
        <v>6496000</v>
      </c>
      <c r="D154" s="298">
        <f>income!D96</f>
        <v>6499300</v>
      </c>
      <c r="E154" s="298">
        <f>income!E96</f>
        <v>6502800</v>
      </c>
      <c r="F154" s="298">
        <f>income!F96</f>
        <v>6506400</v>
      </c>
      <c r="G154" s="298">
        <f>income!G96</f>
        <v>6510000</v>
      </c>
      <c r="H154" s="298">
        <f>income!H96</f>
        <v>6513700</v>
      </c>
      <c r="I154" s="298">
        <f>income!I96</f>
        <v>6517500</v>
      </c>
      <c r="J154" s="298">
        <f>income!J96</f>
        <v>6521300</v>
      </c>
      <c r="K154" s="313">
        <f>income!K96</f>
        <v>6525200</v>
      </c>
    </row>
    <row r="155" spans="1:11" x14ac:dyDescent="0.25">
      <c r="A155" s="7" t="s">
        <v>65</v>
      </c>
      <c r="B155" s="317">
        <f>income!B97</f>
        <v>131000</v>
      </c>
      <c r="C155" s="298">
        <f>income!C97</f>
        <v>158500</v>
      </c>
      <c r="D155" s="298">
        <f>income!D97</f>
        <v>142000</v>
      </c>
      <c r="E155" s="298">
        <f>income!E97</f>
        <v>187500</v>
      </c>
      <c r="F155" s="298">
        <f>income!F97</f>
        <v>194600</v>
      </c>
      <c r="G155" s="298">
        <f>income!G97</f>
        <v>209100</v>
      </c>
      <c r="H155" s="298">
        <f>income!H97</f>
        <v>211200</v>
      </c>
      <c r="I155" s="298">
        <f>income!I97</f>
        <v>244000</v>
      </c>
      <c r="J155" s="298">
        <f>income!J97</f>
        <v>278000</v>
      </c>
      <c r="K155" s="313">
        <f>income!K97</f>
        <v>333600</v>
      </c>
    </row>
    <row r="156" spans="1:11" x14ac:dyDescent="0.25">
      <c r="A156" s="13" t="s">
        <v>68</v>
      </c>
      <c r="B156" s="317">
        <f>income!B99+income!B100</f>
        <v>702500</v>
      </c>
      <c r="C156" s="298">
        <f>income!C99+income!C100</f>
        <v>704600</v>
      </c>
      <c r="D156" s="298">
        <f>income!D99+income!D100</f>
        <v>707200</v>
      </c>
      <c r="E156" s="298">
        <f>income!E99+income!E100</f>
        <v>709900</v>
      </c>
      <c r="F156" s="298">
        <f>income!F99+income!F100</f>
        <v>712600</v>
      </c>
      <c r="G156" s="298">
        <f>income!G99+income!G100</f>
        <v>715400</v>
      </c>
      <c r="H156" s="298">
        <f>income!H99+income!H100</f>
        <v>718300</v>
      </c>
      <c r="I156" s="298">
        <f>income!I99+income!I100</f>
        <v>721300</v>
      </c>
      <c r="J156" s="298">
        <f>income!J99+income!J100</f>
        <v>724300</v>
      </c>
      <c r="K156" s="313">
        <f>income!K99+income!K100</f>
        <v>727400</v>
      </c>
    </row>
    <row r="157" spans="1:11" x14ac:dyDescent="0.25">
      <c r="A157" s="7" t="s">
        <v>66</v>
      </c>
      <c r="B157" s="317"/>
      <c r="C157" s="298"/>
      <c r="D157" s="298"/>
      <c r="E157" s="298"/>
      <c r="F157" s="298"/>
      <c r="G157" s="298"/>
      <c r="H157" s="298"/>
      <c r="I157" s="298"/>
      <c r="J157" s="298"/>
      <c r="K157" s="313"/>
    </row>
    <row r="158" spans="1:11" x14ac:dyDescent="0.25">
      <c r="A158" s="12" t="s">
        <v>67</v>
      </c>
      <c r="B158" s="317"/>
      <c r="C158" s="298"/>
      <c r="D158" s="298"/>
      <c r="E158" s="298"/>
      <c r="F158" s="298"/>
      <c r="G158" s="298"/>
      <c r="H158" s="298"/>
      <c r="I158" s="298"/>
      <c r="J158" s="298"/>
      <c r="K158" s="313"/>
    </row>
    <row r="159" spans="1:11" x14ac:dyDescent="0.25">
      <c r="A159" s="13" t="s">
        <v>69</v>
      </c>
      <c r="B159" s="317">
        <f>-income!B104</f>
        <v>-1442800</v>
      </c>
      <c r="C159" s="298">
        <f>-income!C104</f>
        <v>-1850700</v>
      </c>
      <c r="D159" s="298">
        <f>-income!D104</f>
        <v>-1888100</v>
      </c>
      <c r="E159" s="298">
        <f>-income!E104</f>
        <v>-1925400</v>
      </c>
      <c r="F159" s="298">
        <f>-income!F104</f>
        <v>-1963800</v>
      </c>
      <c r="G159" s="298">
        <f>-income!G104</f>
        <v>-2003000</v>
      </c>
      <c r="H159" s="298">
        <f>-income!H104</f>
        <v>-2043300</v>
      </c>
      <c r="I159" s="298">
        <f>-income!I104</f>
        <v>-2094600</v>
      </c>
      <c r="J159" s="298">
        <f>-income!J104</f>
        <v>-2146800</v>
      </c>
      <c r="K159" s="313">
        <f>-income!K104</f>
        <v>-2200900</v>
      </c>
    </row>
    <row r="160" spans="1:11" x14ac:dyDescent="0.25">
      <c r="A160" s="13" t="s">
        <v>70</v>
      </c>
      <c r="B160" s="317">
        <f>-income!B106</f>
        <v>-5738100</v>
      </c>
      <c r="C160" s="298">
        <f>-income!C106</f>
        <v>-5437800</v>
      </c>
      <c r="D160" s="298">
        <f>-income!D106</f>
        <v>-5546200</v>
      </c>
      <c r="E160" s="298">
        <f>-income!E106</f>
        <v>-5657500</v>
      </c>
      <c r="F160" s="298">
        <f>-income!F106</f>
        <v>-5770500</v>
      </c>
      <c r="G160" s="298">
        <f>-income!G106</f>
        <v>-5885900</v>
      </c>
      <c r="H160" s="298">
        <f>-income!H106</f>
        <v>-6003400</v>
      </c>
      <c r="I160" s="298">
        <f>-income!I106</f>
        <v>-6153400</v>
      </c>
      <c r="J160" s="298">
        <f>-income!J106</f>
        <v>-6307500</v>
      </c>
      <c r="K160" s="313">
        <f>-income!K106</f>
        <v>-6464900</v>
      </c>
    </row>
    <row r="161" spans="1:11" x14ac:dyDescent="0.25">
      <c r="A161" s="13" t="s">
        <v>71</v>
      </c>
      <c r="B161" s="317">
        <f>income!B105</f>
        <v>0</v>
      </c>
      <c r="C161" s="298">
        <f>income!C105</f>
        <v>0</v>
      </c>
      <c r="D161" s="298">
        <f>income!D105</f>
        <v>0</v>
      </c>
      <c r="E161" s="298">
        <f>income!E105</f>
        <v>0</v>
      </c>
      <c r="F161" s="298">
        <f>income!F105</f>
        <v>0</v>
      </c>
      <c r="G161" s="298">
        <f>income!G105</f>
        <v>0</v>
      </c>
      <c r="H161" s="298">
        <f>income!H105</f>
        <v>0</v>
      </c>
      <c r="I161" s="298">
        <f>income!I105</f>
        <v>0</v>
      </c>
      <c r="J161" s="298">
        <f>income!J105</f>
        <v>0</v>
      </c>
      <c r="K161" s="313">
        <f>income!K105</f>
        <v>0</v>
      </c>
    </row>
    <row r="162" spans="1:11" x14ac:dyDescent="0.25">
      <c r="A162" s="13" t="s">
        <v>66</v>
      </c>
      <c r="B162" s="317">
        <f>-income!B108</f>
        <v>-10600</v>
      </c>
      <c r="C162" s="298">
        <f>-income!C108</f>
        <v>-10800</v>
      </c>
      <c r="D162" s="298">
        <f>-income!D108</f>
        <v>-11000</v>
      </c>
      <c r="E162" s="298">
        <f>-income!E108</f>
        <v>-11200</v>
      </c>
      <c r="F162" s="298">
        <f>-income!F108</f>
        <v>-11400</v>
      </c>
      <c r="G162" s="298">
        <f>-income!G108</f>
        <v>-11600</v>
      </c>
      <c r="H162" s="298">
        <f>-income!H108</f>
        <v>-11800</v>
      </c>
      <c r="I162" s="298">
        <f>-income!I108</f>
        <v>-12000</v>
      </c>
      <c r="J162" s="298">
        <f>-income!J108</f>
        <v>-12400</v>
      </c>
      <c r="K162" s="313">
        <f>-income!K108</f>
        <v>-12800</v>
      </c>
    </row>
    <row r="163" spans="1:11" x14ac:dyDescent="0.25">
      <c r="A163" s="12" t="s">
        <v>60</v>
      </c>
      <c r="B163" s="318">
        <f t="shared" ref="B163:K163" si="40">SUM(B153:B162)</f>
        <v>2483900</v>
      </c>
      <c r="C163" s="296">
        <f t="shared" si="40"/>
        <v>2302500</v>
      </c>
      <c r="D163" s="296">
        <f t="shared" si="40"/>
        <v>2142800</v>
      </c>
      <c r="E163" s="296">
        <f t="shared" si="40"/>
        <v>2042500</v>
      </c>
      <c r="F163" s="296">
        <f t="shared" si="40"/>
        <v>1901000</v>
      </c>
      <c r="G163" s="296">
        <f t="shared" si="40"/>
        <v>1763700</v>
      </c>
      <c r="H163" s="296">
        <f t="shared" si="40"/>
        <v>1611000</v>
      </c>
      <c r="I163" s="296">
        <f t="shared" si="40"/>
        <v>1445600</v>
      </c>
      <c r="J163" s="296">
        <f t="shared" si="40"/>
        <v>1276100</v>
      </c>
      <c r="K163" s="314">
        <f t="shared" si="40"/>
        <v>1123100</v>
      </c>
    </row>
    <row r="164" spans="1:11" x14ac:dyDescent="0.25">
      <c r="A164" s="7"/>
      <c r="B164" s="317"/>
      <c r="C164" s="298"/>
      <c r="D164" s="298"/>
      <c r="E164" s="298"/>
      <c r="F164" s="298"/>
      <c r="G164" s="298"/>
      <c r="H164" s="298"/>
      <c r="I164" s="298"/>
      <c r="J164" s="298"/>
      <c r="K164" s="313"/>
    </row>
    <row r="165" spans="1:11" x14ac:dyDescent="0.25">
      <c r="A165" s="12" t="s">
        <v>72</v>
      </c>
      <c r="B165" s="317"/>
      <c r="C165" s="298"/>
      <c r="D165" s="298"/>
      <c r="E165" s="298"/>
      <c r="F165" s="298"/>
      <c r="G165" s="298"/>
      <c r="H165" s="298"/>
      <c r="I165" s="298"/>
      <c r="J165" s="298"/>
      <c r="K165" s="313"/>
    </row>
    <row r="166" spans="1:11" x14ac:dyDescent="0.25">
      <c r="A166" s="14" t="s">
        <v>62</v>
      </c>
      <c r="B166" s="317"/>
      <c r="C166" s="298"/>
      <c r="D166" s="298"/>
      <c r="E166" s="298"/>
      <c r="F166" s="298"/>
      <c r="G166" s="298"/>
      <c r="H166" s="298"/>
      <c r="I166" s="298"/>
      <c r="J166" s="298"/>
      <c r="K166" s="313"/>
    </row>
    <row r="167" spans="1:11" x14ac:dyDescent="0.25">
      <c r="A167" s="7" t="s">
        <v>73</v>
      </c>
      <c r="B167" s="317"/>
      <c r="C167" s="298"/>
      <c r="D167" s="298"/>
      <c r="E167" s="298"/>
      <c r="F167" s="298"/>
      <c r="G167" s="298"/>
      <c r="H167" s="298"/>
      <c r="I167" s="298"/>
      <c r="J167" s="298"/>
      <c r="K167" s="313"/>
    </row>
    <row r="168" spans="1:11" x14ac:dyDescent="0.25">
      <c r="A168" s="7" t="s">
        <v>74</v>
      </c>
      <c r="B168" s="317"/>
      <c r="C168" s="298"/>
      <c r="D168" s="298"/>
      <c r="E168" s="298"/>
      <c r="F168" s="298"/>
      <c r="G168" s="298"/>
      <c r="H168" s="298"/>
      <c r="I168" s="298"/>
      <c r="J168" s="298"/>
      <c r="K168" s="313"/>
    </row>
    <row r="169" spans="1:11" x14ac:dyDescent="0.25">
      <c r="A169" s="7" t="s">
        <v>75</v>
      </c>
      <c r="B169" s="317"/>
      <c r="C169" s="298"/>
      <c r="D169" s="298"/>
      <c r="E169" s="298"/>
      <c r="F169" s="298"/>
      <c r="G169" s="298"/>
      <c r="H169" s="298"/>
      <c r="I169" s="298"/>
      <c r="J169" s="298"/>
      <c r="K169" s="313"/>
    </row>
    <row r="170" spans="1:11" x14ac:dyDescent="0.25">
      <c r="A170" s="7" t="s">
        <v>66</v>
      </c>
      <c r="B170" s="317"/>
      <c r="C170" s="298"/>
      <c r="D170" s="298"/>
      <c r="E170" s="298"/>
      <c r="F170" s="298"/>
      <c r="G170" s="298"/>
      <c r="H170" s="298"/>
      <c r="I170" s="298"/>
      <c r="J170" s="298"/>
      <c r="K170" s="313"/>
    </row>
    <row r="171" spans="1:11" x14ac:dyDescent="0.25">
      <c r="A171" s="12" t="s">
        <v>67</v>
      </c>
      <c r="B171" s="317"/>
      <c r="C171" s="298"/>
      <c r="D171" s="298"/>
      <c r="E171" s="298"/>
      <c r="F171" s="298"/>
      <c r="G171" s="298"/>
      <c r="H171" s="298"/>
      <c r="I171" s="298"/>
      <c r="J171" s="298"/>
      <c r="K171" s="313"/>
    </row>
    <row r="172" spans="1:11" x14ac:dyDescent="0.25">
      <c r="A172" s="7" t="s">
        <v>76</v>
      </c>
      <c r="B172" s="317"/>
      <c r="C172" s="298"/>
      <c r="D172" s="298"/>
      <c r="E172" s="298"/>
      <c r="F172" s="298"/>
      <c r="G172" s="298"/>
      <c r="H172" s="298"/>
      <c r="I172" s="298"/>
      <c r="J172" s="298"/>
      <c r="K172" s="313"/>
    </row>
    <row r="173" spans="1:11" x14ac:dyDescent="0.25">
      <c r="A173" s="7" t="s">
        <v>77</v>
      </c>
      <c r="B173" s="317">
        <f>-capitalexpdata!F694</f>
        <v>-9324900</v>
      </c>
      <c r="C173" s="298">
        <f>-capitalexpdata!G694</f>
        <v>-4272472</v>
      </c>
      <c r="D173" s="298">
        <f>-capitalexpdata!H694</f>
        <v>-2170000</v>
      </c>
      <c r="E173" s="298">
        <f>-capitalexpdata!I694</f>
        <v>-506184</v>
      </c>
      <c r="F173" s="298">
        <f>-capitalexpdata!J694</f>
        <v>-1178659</v>
      </c>
      <c r="G173" s="298">
        <f>-capitalexpdata!K694</f>
        <v>-741583</v>
      </c>
      <c r="H173" s="298">
        <f>-capitalexpdata!L694</f>
        <v>-1574573</v>
      </c>
      <c r="I173" s="298">
        <f>-capitalexpdata!M694</f>
        <v>-130000</v>
      </c>
      <c r="J173" s="298">
        <f>-capitalexpdata!N694</f>
        <v>-130000</v>
      </c>
      <c r="K173" s="313">
        <f>-capitalexpdata!O694</f>
        <v>-247500</v>
      </c>
    </row>
    <row r="174" spans="1:11" x14ac:dyDescent="0.25">
      <c r="A174" s="7" t="s">
        <v>78</v>
      </c>
      <c r="B174" s="317"/>
      <c r="C174" s="298"/>
      <c r="D174" s="298"/>
      <c r="E174" s="298"/>
      <c r="F174" s="298"/>
      <c r="G174" s="298"/>
      <c r="H174" s="298"/>
      <c r="I174" s="298"/>
      <c r="J174" s="298"/>
      <c r="K174" s="313"/>
    </row>
    <row r="175" spans="1:11" x14ac:dyDescent="0.25">
      <c r="A175" s="7" t="s">
        <v>79</v>
      </c>
      <c r="B175" s="317"/>
      <c r="C175" s="298"/>
      <c r="D175" s="298"/>
      <c r="E175" s="298"/>
      <c r="F175" s="298"/>
      <c r="G175" s="298"/>
      <c r="H175" s="298"/>
      <c r="I175" s="298"/>
      <c r="J175" s="298"/>
      <c r="K175" s="313"/>
    </row>
    <row r="176" spans="1:11" x14ac:dyDescent="0.25">
      <c r="A176" s="7" t="s">
        <v>66</v>
      </c>
      <c r="B176" s="317"/>
      <c r="C176" s="298"/>
      <c r="D176" s="298"/>
      <c r="E176" s="298"/>
      <c r="F176" s="298"/>
      <c r="G176" s="298"/>
      <c r="H176" s="298"/>
      <c r="I176" s="298"/>
      <c r="J176" s="298"/>
      <c r="K176" s="313"/>
    </row>
    <row r="177" spans="1:11" x14ac:dyDescent="0.25">
      <c r="A177" s="12" t="s">
        <v>80</v>
      </c>
      <c r="B177" s="318">
        <f t="shared" ref="B177:K177" si="41">SUM(B166:B176)</f>
        <v>-9324900</v>
      </c>
      <c r="C177" s="296">
        <f t="shared" si="41"/>
        <v>-4272472</v>
      </c>
      <c r="D177" s="296">
        <f t="shared" si="41"/>
        <v>-2170000</v>
      </c>
      <c r="E177" s="296">
        <f t="shared" si="41"/>
        <v>-506184</v>
      </c>
      <c r="F177" s="296">
        <f t="shared" si="41"/>
        <v>-1178659</v>
      </c>
      <c r="G177" s="296">
        <f t="shared" si="41"/>
        <v>-741583</v>
      </c>
      <c r="H177" s="296">
        <f t="shared" si="41"/>
        <v>-1574573</v>
      </c>
      <c r="I177" s="296">
        <f t="shared" si="41"/>
        <v>-130000</v>
      </c>
      <c r="J177" s="296">
        <f t="shared" si="41"/>
        <v>-130000</v>
      </c>
      <c r="K177" s="314">
        <f t="shared" si="41"/>
        <v>-247500</v>
      </c>
    </row>
    <row r="178" spans="1:11" x14ac:dyDescent="0.25">
      <c r="A178" s="12"/>
      <c r="B178" s="327"/>
      <c r="C178" s="300"/>
      <c r="D178" s="300"/>
      <c r="E178" s="300"/>
      <c r="F178" s="300"/>
      <c r="G178" s="300"/>
      <c r="H178" s="300"/>
      <c r="I178" s="300"/>
      <c r="J178" s="300"/>
      <c r="K178" s="328"/>
    </row>
    <row r="179" spans="1:11" x14ac:dyDescent="0.25">
      <c r="A179" s="12" t="s">
        <v>81</v>
      </c>
      <c r="B179" s="317"/>
      <c r="C179" s="298"/>
      <c r="D179" s="298"/>
      <c r="E179" s="298"/>
      <c r="F179" s="298"/>
      <c r="G179" s="298"/>
      <c r="H179" s="298"/>
      <c r="I179" s="298"/>
      <c r="J179" s="298"/>
      <c r="K179" s="313"/>
    </row>
    <row r="180" spans="1:11" x14ac:dyDescent="0.25">
      <c r="A180" s="12" t="s">
        <v>62</v>
      </c>
      <c r="B180" s="317"/>
      <c r="C180" s="298"/>
      <c r="D180" s="298"/>
      <c r="E180" s="298"/>
      <c r="F180" s="298"/>
      <c r="G180" s="298"/>
      <c r="H180" s="298"/>
      <c r="I180" s="298"/>
      <c r="J180" s="298"/>
      <c r="K180" s="313"/>
    </row>
    <row r="181" spans="1:11" x14ac:dyDescent="0.25">
      <c r="A181" s="7" t="s">
        <v>82</v>
      </c>
      <c r="B181" s="317"/>
      <c r="C181" s="298"/>
      <c r="D181" s="298"/>
      <c r="E181" s="298"/>
      <c r="F181" s="298"/>
      <c r="G181" s="298"/>
      <c r="H181" s="298"/>
      <c r="I181" s="298"/>
      <c r="J181" s="298"/>
      <c r="K181" s="313"/>
    </row>
    <row r="182" spans="1:11" x14ac:dyDescent="0.25">
      <c r="A182" s="7" t="s">
        <v>66</v>
      </c>
      <c r="B182" s="317"/>
      <c r="C182" s="298"/>
      <c r="D182" s="298"/>
      <c r="E182" s="298"/>
      <c r="F182" s="298"/>
      <c r="G182" s="298"/>
      <c r="H182" s="298"/>
      <c r="I182" s="298"/>
      <c r="J182" s="298"/>
      <c r="K182" s="313"/>
    </row>
    <row r="183" spans="1:11" x14ac:dyDescent="0.25">
      <c r="A183" s="12" t="s">
        <v>67</v>
      </c>
      <c r="B183" s="317"/>
      <c r="C183" s="298"/>
      <c r="D183" s="298"/>
      <c r="E183" s="298"/>
      <c r="F183" s="298"/>
      <c r="G183" s="298"/>
      <c r="H183" s="298"/>
      <c r="I183" s="298"/>
      <c r="J183" s="298"/>
      <c r="K183" s="313"/>
    </row>
    <row r="184" spans="1:11" x14ac:dyDescent="0.25">
      <c r="A184" s="7" t="s">
        <v>83</v>
      </c>
      <c r="B184" s="317"/>
      <c r="C184" s="298"/>
      <c r="D184" s="298"/>
      <c r="E184" s="298"/>
      <c r="F184" s="298"/>
      <c r="G184" s="298"/>
      <c r="H184" s="298"/>
      <c r="I184" s="298"/>
      <c r="J184" s="298"/>
      <c r="K184" s="313"/>
    </row>
    <row r="185" spans="1:11" x14ac:dyDescent="0.25">
      <c r="A185" s="7" t="s">
        <v>66</v>
      </c>
      <c r="B185" s="317"/>
      <c r="C185" s="298"/>
      <c r="D185" s="298"/>
      <c r="E185" s="298"/>
      <c r="F185" s="298"/>
      <c r="G185" s="298"/>
      <c r="H185" s="298"/>
      <c r="I185" s="298"/>
      <c r="J185" s="298"/>
      <c r="K185" s="313"/>
    </row>
    <row r="186" spans="1:11" x14ac:dyDescent="0.25">
      <c r="A186" s="12" t="s">
        <v>84</v>
      </c>
      <c r="B186" s="318">
        <f t="shared" ref="B186:K186" si="42">SUM(B181:B185)</f>
        <v>0</v>
      </c>
      <c r="C186" s="296">
        <f t="shared" si="42"/>
        <v>0</v>
      </c>
      <c r="D186" s="296">
        <f t="shared" si="42"/>
        <v>0</v>
      </c>
      <c r="E186" s="296">
        <f t="shared" si="42"/>
        <v>0</v>
      </c>
      <c r="F186" s="296">
        <f t="shared" si="42"/>
        <v>0</v>
      </c>
      <c r="G186" s="296">
        <f t="shared" si="42"/>
        <v>0</v>
      </c>
      <c r="H186" s="296">
        <f t="shared" si="42"/>
        <v>0</v>
      </c>
      <c r="I186" s="296">
        <f t="shared" si="42"/>
        <v>0</v>
      </c>
      <c r="J186" s="296">
        <f t="shared" si="42"/>
        <v>0</v>
      </c>
      <c r="K186" s="314">
        <f t="shared" si="42"/>
        <v>0</v>
      </c>
    </row>
    <row r="187" spans="1:11" x14ac:dyDescent="0.25">
      <c r="A187" s="12"/>
      <c r="B187" s="317"/>
      <c r="C187" s="298"/>
      <c r="D187" s="298"/>
      <c r="E187" s="298"/>
      <c r="F187" s="298"/>
      <c r="G187" s="298"/>
      <c r="H187" s="298"/>
      <c r="I187" s="298"/>
      <c r="J187" s="298"/>
      <c r="K187" s="313"/>
    </row>
    <row r="188" spans="1:11" x14ac:dyDescent="0.25">
      <c r="A188" s="12" t="s">
        <v>4558</v>
      </c>
      <c r="B188" s="329">
        <f t="shared" ref="B188:K188" si="43">B163+B177+B186</f>
        <v>-6841000</v>
      </c>
      <c r="C188" s="330">
        <f t="shared" si="43"/>
        <v>-1969972</v>
      </c>
      <c r="D188" s="330">
        <f t="shared" si="43"/>
        <v>-27200</v>
      </c>
      <c r="E188" s="330">
        <f t="shared" si="43"/>
        <v>1536316</v>
      </c>
      <c r="F188" s="330">
        <f t="shared" si="43"/>
        <v>722341</v>
      </c>
      <c r="G188" s="330">
        <f t="shared" si="43"/>
        <v>1022117</v>
      </c>
      <c r="H188" s="330">
        <f t="shared" si="43"/>
        <v>36427</v>
      </c>
      <c r="I188" s="330">
        <f t="shared" si="43"/>
        <v>1315600</v>
      </c>
      <c r="J188" s="330">
        <f t="shared" si="43"/>
        <v>1146100</v>
      </c>
      <c r="K188" s="331">
        <f t="shared" si="43"/>
        <v>875600</v>
      </c>
    </row>
    <row r="189" spans="1:11" x14ac:dyDescent="0.25">
      <c r="A189" s="12" t="s">
        <v>4557</v>
      </c>
      <c r="B189" s="317">
        <v>13272183</v>
      </c>
      <c r="C189" s="298">
        <f>B190</f>
        <v>6431183</v>
      </c>
      <c r="D189" s="298">
        <f t="shared" ref="D189:K189" si="44">C190</f>
        <v>4461211</v>
      </c>
      <c r="E189" s="298">
        <f t="shared" si="44"/>
        <v>4434011</v>
      </c>
      <c r="F189" s="298">
        <f t="shared" si="44"/>
        <v>5970327</v>
      </c>
      <c r="G189" s="298">
        <f t="shared" si="44"/>
        <v>6692668</v>
      </c>
      <c r="H189" s="298">
        <f t="shared" si="44"/>
        <v>7714785</v>
      </c>
      <c r="I189" s="298">
        <f t="shared" si="44"/>
        <v>7751212</v>
      </c>
      <c r="J189" s="298">
        <f t="shared" si="44"/>
        <v>9066812</v>
      </c>
      <c r="K189" s="313">
        <f t="shared" si="44"/>
        <v>10212912</v>
      </c>
    </row>
    <row r="190" spans="1:11" ht="15.75" thickBot="1" x14ac:dyDescent="0.3">
      <c r="A190" s="12" t="s">
        <v>4556</v>
      </c>
      <c r="B190" s="319">
        <f t="shared" ref="B190:K190" si="45">B188+B189</f>
        <v>6431183</v>
      </c>
      <c r="C190" s="301">
        <f t="shared" si="45"/>
        <v>4461211</v>
      </c>
      <c r="D190" s="301">
        <f t="shared" si="45"/>
        <v>4434011</v>
      </c>
      <c r="E190" s="301">
        <f t="shared" si="45"/>
        <v>5970327</v>
      </c>
      <c r="F190" s="301">
        <f t="shared" si="45"/>
        <v>6692668</v>
      </c>
      <c r="G190" s="301">
        <f t="shared" si="45"/>
        <v>7714785</v>
      </c>
      <c r="H190" s="301">
        <f t="shared" si="45"/>
        <v>7751212</v>
      </c>
      <c r="I190" s="301">
        <f t="shared" si="45"/>
        <v>9066812</v>
      </c>
      <c r="J190" s="301">
        <f t="shared" si="45"/>
        <v>10212912</v>
      </c>
      <c r="K190" s="315">
        <f t="shared" si="45"/>
        <v>11088512</v>
      </c>
    </row>
    <row r="191" spans="1:11" ht="15.75" thickTop="1" x14ac:dyDescent="0.25">
      <c r="A191" s="8"/>
      <c r="B191" s="323"/>
      <c r="C191" s="324"/>
      <c r="D191" s="324"/>
      <c r="E191" s="324"/>
      <c r="F191" s="324"/>
      <c r="G191" s="324"/>
      <c r="H191" s="324"/>
      <c r="I191" s="324"/>
      <c r="J191" s="324"/>
      <c r="K191" s="325"/>
    </row>
    <row r="197" spans="1:11" x14ac:dyDescent="0.25">
      <c r="A197" t="s">
        <v>4148</v>
      </c>
      <c r="B197" s="293">
        <f ca="1">B44-fundingstat!B24</f>
        <v>0</v>
      </c>
      <c r="C197" s="293">
        <f ca="1">C44-fundingstat!C24</f>
        <v>0</v>
      </c>
      <c r="D197" s="293">
        <f ca="1">D44-fundingstat!D24</f>
        <v>0</v>
      </c>
      <c r="E197" s="293">
        <f ca="1">E44-fundingstat!E24</f>
        <v>0</v>
      </c>
      <c r="F197" s="293">
        <f ca="1">F44-fundingstat!F24</f>
        <v>0</v>
      </c>
      <c r="G197" s="293">
        <f ca="1">G44-fundingstat!G24</f>
        <v>0</v>
      </c>
      <c r="H197" s="293">
        <f ca="1">H44-fundingstat!H24</f>
        <v>0</v>
      </c>
      <c r="I197" s="293">
        <f ca="1">I44-fundingstat!I24</f>
        <v>0</v>
      </c>
      <c r="J197" s="293">
        <f ca="1">J44-fundingstat!J24</f>
        <v>0</v>
      </c>
      <c r="K197" s="293">
        <f ca="1">K44-fundingstat!K24</f>
        <v>0</v>
      </c>
    </row>
  </sheetData>
  <mergeCells count="12">
    <mergeCell ref="A1:K1"/>
    <mergeCell ref="A2:K2"/>
    <mergeCell ref="C4:K4"/>
    <mergeCell ref="A145:K145"/>
    <mergeCell ref="A146:K146"/>
    <mergeCell ref="C148:K148"/>
    <mergeCell ref="A49:K49"/>
    <mergeCell ref="A50:K50"/>
    <mergeCell ref="C52:K52"/>
    <mergeCell ref="A97:K97"/>
    <mergeCell ref="A98:K98"/>
    <mergeCell ref="C100:K100"/>
  </mergeCells>
  <printOptions horizontalCentered="1"/>
  <pageMargins left="0.23622047244094491" right="0.23622047244094491" top="0.31496062992125984" bottom="0.23622047244094491" header="0.31496062992125984" footer="0.31496062992125984"/>
  <pageSetup paperSize="9" scale="74" orientation="landscape" verticalDpi="0" r:id="rId1"/>
  <rowBreaks count="3" manualBreakCount="3">
    <brk id="48" max="16383" man="1"/>
    <brk id="96" max="16383" man="1"/>
    <brk id="1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1"/>
  <sheetViews>
    <sheetView tabSelected="1" workbookViewId="0">
      <pane xSplit="1" ySplit="4" topLeftCell="C5" activePane="bottomRight" state="frozen"/>
      <selection pane="topRight" activeCell="B1" sqref="B1"/>
      <selection pane="bottomLeft" activeCell="A5" sqref="A5"/>
      <selection pane="bottomRight" activeCell="M89" sqref="M89"/>
    </sheetView>
  </sheetViews>
  <sheetFormatPr defaultRowHeight="15" x14ac:dyDescent="0.25"/>
  <cols>
    <col min="1" max="1" width="86.140625" customWidth="1"/>
    <col min="2" max="13" width="12.7109375" customWidth="1"/>
  </cols>
  <sheetData>
    <row r="1" spans="1:15" ht="15.75" x14ac:dyDescent="0.25">
      <c r="A1" s="48" t="s">
        <v>0</v>
      </c>
      <c r="B1" s="48"/>
      <c r="C1" s="48"/>
      <c r="D1" s="48"/>
      <c r="E1" s="39"/>
      <c r="F1" s="39"/>
      <c r="G1" s="39"/>
      <c r="H1" s="39"/>
      <c r="I1" s="39"/>
      <c r="J1" s="39"/>
      <c r="K1" s="39"/>
      <c r="L1" s="39"/>
      <c r="M1" s="39"/>
    </row>
    <row r="2" spans="1:15" ht="15.75" x14ac:dyDescent="0.25">
      <c r="A2" s="48" t="s">
        <v>4645</v>
      </c>
      <c r="B2" s="48"/>
      <c r="C2" s="48"/>
      <c r="D2" s="48"/>
      <c r="E2" s="39"/>
      <c r="F2" s="39"/>
      <c r="G2" s="39"/>
      <c r="H2" s="39"/>
      <c r="I2" s="39"/>
      <c r="J2" s="39"/>
      <c r="K2" s="39"/>
      <c r="L2" s="39"/>
      <c r="M2" s="39"/>
    </row>
    <row r="3" spans="1:15" x14ac:dyDescent="0.25">
      <c r="A3" s="277"/>
      <c r="B3" s="1" t="s">
        <v>4415</v>
      </c>
      <c r="C3" s="1" t="s">
        <v>4147</v>
      </c>
      <c r="D3" s="1" t="s">
        <v>11</v>
      </c>
      <c r="E3" s="279" t="s">
        <v>12</v>
      </c>
      <c r="F3" s="279" t="s">
        <v>13</v>
      </c>
      <c r="G3" s="279" t="s">
        <v>15</v>
      </c>
      <c r="H3" s="279" t="s">
        <v>16</v>
      </c>
      <c r="I3" s="279" t="s">
        <v>17</v>
      </c>
      <c r="J3" s="279" t="s">
        <v>18</v>
      </c>
      <c r="K3" s="279" t="s">
        <v>19</v>
      </c>
      <c r="L3" s="279" t="s">
        <v>20</v>
      </c>
      <c r="M3" s="279" t="s">
        <v>21</v>
      </c>
    </row>
    <row r="4" spans="1:15" x14ac:dyDescent="0.25">
      <c r="A4" s="2" t="s">
        <v>4437</v>
      </c>
      <c r="B4" s="2" t="s">
        <v>4438</v>
      </c>
      <c r="C4" s="2" t="s">
        <v>4438</v>
      </c>
      <c r="D4" s="2" t="s">
        <v>4438</v>
      </c>
      <c r="E4" s="50" t="s">
        <v>4438</v>
      </c>
      <c r="F4" s="50" t="s">
        <v>4438</v>
      </c>
      <c r="G4" s="50" t="s">
        <v>4438</v>
      </c>
      <c r="H4" s="50" t="s">
        <v>4438</v>
      </c>
      <c r="I4" s="50" t="s">
        <v>4438</v>
      </c>
      <c r="J4" s="50" t="s">
        <v>4438</v>
      </c>
      <c r="K4" s="50" t="s">
        <v>4438</v>
      </c>
      <c r="L4" s="50" t="s">
        <v>4438</v>
      </c>
      <c r="M4" s="50" t="s">
        <v>4438</v>
      </c>
    </row>
    <row r="6" spans="1:15" x14ac:dyDescent="0.25">
      <c r="A6" s="47" t="s">
        <v>4439</v>
      </c>
    </row>
    <row r="8" spans="1:15" x14ac:dyDescent="0.25">
      <c r="A8" s="337" t="s">
        <v>4440</v>
      </c>
      <c r="B8" s="285">
        <v>139000</v>
      </c>
      <c r="C8" s="285">
        <v>1423000</v>
      </c>
      <c r="D8" s="285">
        <f ca="1">income!B43-income!B42-income!B51</f>
        <v>-1295300</v>
      </c>
      <c r="E8" s="285">
        <f ca="1">income!C43-income!C42-income!C51</f>
        <v>1093100</v>
      </c>
      <c r="F8" s="285">
        <f ca="1">income!D43-income!D42-income!D51</f>
        <v>760600</v>
      </c>
      <c r="G8" s="285">
        <f ca="1">income!E43-income!E42-income!E51</f>
        <v>2162300</v>
      </c>
      <c r="H8" s="285">
        <f ca="1">income!F43-income!F42-income!F51</f>
        <v>3348900</v>
      </c>
      <c r="I8" s="285">
        <f ca="1">income!G43-income!G42-income!G51</f>
        <v>3849200</v>
      </c>
      <c r="J8" s="285">
        <f ca="1">income!H43-income!H42-income!H51</f>
        <v>4033400</v>
      </c>
      <c r="K8" s="285">
        <f ca="1">income!I43-income!I42-income!I51</f>
        <v>3971200</v>
      </c>
      <c r="L8" s="285">
        <f ca="1">income!J43-income!J42-income!J51</f>
        <v>4532200</v>
      </c>
      <c r="M8" s="285">
        <f ca="1">income!K43-income!K42-income!K51</f>
        <v>4948500</v>
      </c>
    </row>
    <row r="9" spans="1:15" x14ac:dyDescent="0.25">
      <c r="A9" t="s">
        <v>4441</v>
      </c>
      <c r="B9" s="285">
        <v>55410000</v>
      </c>
      <c r="C9" s="285">
        <v>52960000</v>
      </c>
      <c r="D9" s="285">
        <f>income!B43-income!B42</f>
        <v>48943900</v>
      </c>
      <c r="E9" s="285">
        <f>income!C43-income!C42</f>
        <v>51208700</v>
      </c>
      <c r="F9" s="285">
        <f>income!D43-income!D42</f>
        <v>51988500</v>
      </c>
      <c r="G9" s="285">
        <f>income!E43-income!E42</f>
        <v>54821000</v>
      </c>
      <c r="H9" s="285">
        <f>income!F43-income!F42</f>
        <v>57031600</v>
      </c>
      <c r="I9" s="285">
        <f>income!G43-income!G42</f>
        <v>58441600</v>
      </c>
      <c r="J9" s="285">
        <f>income!H43-income!H42</f>
        <v>59455100</v>
      </c>
      <c r="K9" s="285">
        <f>income!I43-income!I42</f>
        <v>60866000</v>
      </c>
      <c r="L9" s="285">
        <f>income!J43-income!J42</f>
        <v>62336400</v>
      </c>
      <c r="M9" s="285">
        <f>income!K43-income!K42</f>
        <v>63991800</v>
      </c>
    </row>
    <row r="11" spans="1:15" x14ac:dyDescent="0.25">
      <c r="A11" t="s">
        <v>4442</v>
      </c>
      <c r="B11" s="333">
        <f>B8/B9</f>
        <v>2.5085724598447935E-3</v>
      </c>
      <c r="C11" s="333">
        <f t="shared" ref="C11:M11" si="0">C8/C9</f>
        <v>2.6869335347432025E-2</v>
      </c>
      <c r="D11" s="333">
        <f ca="1">D8/D9</f>
        <v>-2.6464993594707411E-2</v>
      </c>
      <c r="E11" s="333">
        <f ca="1">E8/E9</f>
        <v>2.1345982225676498E-2</v>
      </c>
      <c r="F11" s="333">
        <f t="shared" ca="1" si="0"/>
        <v>1.4630158592765707E-2</v>
      </c>
      <c r="G11" s="333">
        <f t="shared" ca="1" si="0"/>
        <v>3.9442914211707189E-2</v>
      </c>
      <c r="H11" s="333">
        <f t="shared" ca="1" si="0"/>
        <v>5.8720077991850132E-2</v>
      </c>
      <c r="I11" s="333">
        <f t="shared" ca="1" si="0"/>
        <v>6.5864042052236768E-2</v>
      </c>
      <c r="J11" s="333">
        <f t="shared" ca="1" si="0"/>
        <v>6.7839428409001076E-2</v>
      </c>
      <c r="K11" s="333">
        <f t="shared" ca="1" si="0"/>
        <v>6.5244964347911813E-2</v>
      </c>
      <c r="L11" s="333">
        <f t="shared" ca="1" si="0"/>
        <v>7.2705513953324225E-2</v>
      </c>
      <c r="M11" s="333">
        <f t="shared" ca="1" si="0"/>
        <v>7.7330220434493169E-2</v>
      </c>
    </row>
    <row r="12" spans="1:15" x14ac:dyDescent="0.25">
      <c r="A12" t="s">
        <v>4443</v>
      </c>
      <c r="B12" s="333">
        <v>0</v>
      </c>
      <c r="C12" s="333">
        <v>0</v>
      </c>
      <c r="D12" s="333">
        <v>0</v>
      </c>
      <c r="E12" s="333">
        <v>0</v>
      </c>
      <c r="F12" s="333">
        <v>0</v>
      </c>
      <c r="G12" s="333">
        <v>0</v>
      </c>
      <c r="H12" s="333">
        <v>0</v>
      </c>
      <c r="I12" s="333">
        <v>0</v>
      </c>
      <c r="J12" s="333">
        <v>0</v>
      </c>
      <c r="K12" s="333">
        <v>0</v>
      </c>
      <c r="L12" s="333">
        <v>0</v>
      </c>
      <c r="M12" s="333">
        <v>0</v>
      </c>
      <c r="O12">
        <v>0</v>
      </c>
    </row>
    <row r="14" spans="1:15" x14ac:dyDescent="0.25">
      <c r="A14" s="47" t="s">
        <v>4444</v>
      </c>
    </row>
    <row r="16" spans="1:15" x14ac:dyDescent="0.25">
      <c r="A16" s="338" t="s">
        <v>4445</v>
      </c>
      <c r="B16" s="285">
        <v>38910000</v>
      </c>
      <c r="C16" s="285">
        <v>40925000</v>
      </c>
      <c r="D16" s="285">
        <f>income!B43-income!B42-income!B41</f>
        <v>43132700</v>
      </c>
      <c r="E16" s="285">
        <f>income!C43-income!C42-income!C41</f>
        <v>44901000</v>
      </c>
      <c r="F16" s="285">
        <f>income!D43-income!D42-income!D41</f>
        <v>46826300</v>
      </c>
      <c r="G16" s="285">
        <f>income!E43-income!E42-income!E41</f>
        <v>49040600</v>
      </c>
      <c r="H16" s="285">
        <f>income!F43-income!F42-income!F41</f>
        <v>51409600</v>
      </c>
      <c r="I16" s="285">
        <f>income!G43-income!G42-income!G41</f>
        <v>52579300</v>
      </c>
      <c r="J16" s="285">
        <f>income!H43-income!H42-income!H41</f>
        <v>53830000</v>
      </c>
      <c r="K16" s="285">
        <f>income!I43-income!I42-income!I41</f>
        <v>55125800</v>
      </c>
      <c r="L16" s="285">
        <f>income!J43-income!J42-income!J41</f>
        <v>56478500</v>
      </c>
      <c r="M16" s="285">
        <f>income!K43-income!K42-income!K41</f>
        <v>58013400</v>
      </c>
    </row>
    <row r="17" spans="1:13" x14ac:dyDescent="0.25">
      <c r="A17" s="339" t="s">
        <v>4446</v>
      </c>
      <c r="B17" s="285">
        <v>59812000</v>
      </c>
      <c r="C17" s="285">
        <v>59730000</v>
      </c>
      <c r="D17" s="285">
        <f>income!B43</f>
        <v>65256900</v>
      </c>
      <c r="E17" s="285">
        <f>income!C43</f>
        <v>53117800</v>
      </c>
      <c r="F17" s="285">
        <f>income!D43</f>
        <v>53950100</v>
      </c>
      <c r="G17" s="285">
        <f>income!E43</f>
        <v>56385600</v>
      </c>
      <c r="H17" s="285">
        <f>income!F43</f>
        <v>58640900</v>
      </c>
      <c r="I17" s="285">
        <f>income!G43</f>
        <v>59814200</v>
      </c>
      <c r="J17" s="285">
        <f>income!H43</f>
        <v>60641300</v>
      </c>
      <c r="K17" s="285">
        <f>income!I43</f>
        <v>62066400</v>
      </c>
      <c r="L17" s="285">
        <f>income!J43</f>
        <v>63551600</v>
      </c>
      <c r="M17" s="285">
        <f>income!K43</f>
        <v>64821800</v>
      </c>
    </row>
    <row r="19" spans="1:13" x14ac:dyDescent="0.25">
      <c r="A19" t="s">
        <v>4442</v>
      </c>
      <c r="B19" s="333">
        <f>B16/B17</f>
        <v>0.65053835350765732</v>
      </c>
      <c r="C19" s="333">
        <f t="shared" ref="C19" si="1">C16/C17</f>
        <v>0.68516658295663824</v>
      </c>
      <c r="D19" s="333">
        <f>D16/D17</f>
        <v>0.66096765246280464</v>
      </c>
      <c r="E19" s="333">
        <f>E16/E17</f>
        <v>0.84530985846552376</v>
      </c>
      <c r="F19" s="333">
        <f t="shared" ref="F19:M19" si="2">F16/F17</f>
        <v>0.86795575911814804</v>
      </c>
      <c r="G19" s="333">
        <f t="shared" si="2"/>
        <v>0.86973624471496269</v>
      </c>
      <c r="H19" s="333">
        <f t="shared" si="2"/>
        <v>0.87668504405628156</v>
      </c>
      <c r="I19" s="333">
        <f t="shared" si="2"/>
        <v>0.8790437722146246</v>
      </c>
      <c r="J19" s="333">
        <f t="shared" si="2"/>
        <v>0.88767885912736044</v>
      </c>
      <c r="K19" s="333">
        <f t="shared" si="2"/>
        <v>0.88817460010569327</v>
      </c>
      <c r="L19" s="333">
        <f t="shared" si="2"/>
        <v>0.88870303816111629</v>
      </c>
      <c r="M19" s="333">
        <f t="shared" si="2"/>
        <v>0.89496743379542065</v>
      </c>
    </row>
    <row r="20" spans="1:13" x14ac:dyDescent="0.25">
      <c r="A20" t="s">
        <v>4447</v>
      </c>
      <c r="B20" s="333">
        <v>0.6</v>
      </c>
      <c r="C20" s="333">
        <v>0.6</v>
      </c>
      <c r="D20" s="333">
        <v>0.6</v>
      </c>
      <c r="E20" s="333">
        <v>0.6</v>
      </c>
      <c r="F20" s="333">
        <v>0.6</v>
      </c>
      <c r="G20" s="333">
        <v>0.6</v>
      </c>
      <c r="H20" s="333">
        <v>0.6</v>
      </c>
      <c r="I20" s="333">
        <v>0.6</v>
      </c>
      <c r="J20" s="333">
        <v>0.6</v>
      </c>
      <c r="K20" s="333">
        <v>0.6</v>
      </c>
      <c r="L20" s="333">
        <v>0.6</v>
      </c>
      <c r="M20" s="333">
        <v>0.6</v>
      </c>
    </row>
    <row r="22" spans="1:13" x14ac:dyDescent="0.25">
      <c r="A22" s="47" t="s">
        <v>4448</v>
      </c>
    </row>
    <row r="24" spans="1:13" x14ac:dyDescent="0.25">
      <c r="A24" s="9" t="s">
        <v>4450</v>
      </c>
      <c r="B24" s="285">
        <v>9771000</v>
      </c>
      <c r="C24" s="285">
        <v>12853000</v>
      </c>
      <c r="D24" s="285">
        <f ca="1">income!B56+income!B49+income!B47</f>
        <v>8040100</v>
      </c>
      <c r="E24" s="285">
        <f ca="1">income!C56+income!C49+income!C47</f>
        <v>10543600</v>
      </c>
      <c r="F24" s="285">
        <f ca="1">income!D56+income!D49+income!D47</f>
        <v>10332200</v>
      </c>
      <c r="G24" s="285">
        <f ca="1">income!E56+income!E49+income!E47</f>
        <v>11853900</v>
      </c>
      <c r="H24" s="285">
        <f ca="1">income!F56+income!F49+income!F47</f>
        <v>13061800</v>
      </c>
      <c r="I24" s="285">
        <f ca="1">income!G56+income!G49+income!G47</f>
        <v>13580500</v>
      </c>
      <c r="J24" s="285">
        <f ca="1">income!H56+income!H49+income!H47</f>
        <v>13684800</v>
      </c>
      <c r="K24" s="285">
        <f ca="1">income!I56+income!I49+income!I47</f>
        <v>13646200</v>
      </c>
      <c r="L24" s="285">
        <f ca="1">income!J56+income!J49+income!J47</f>
        <v>14236700</v>
      </c>
      <c r="M24" s="285">
        <f ca="1">income!K56+income!K49+income!K47</f>
        <v>14687500</v>
      </c>
    </row>
    <row r="25" spans="1:13" x14ac:dyDescent="0.25">
      <c r="A25" t="s">
        <v>4449</v>
      </c>
      <c r="B25" s="285">
        <v>2670000</v>
      </c>
      <c r="C25" s="285">
        <v>3096000</v>
      </c>
      <c r="D25" s="285">
        <f>fundingstat!B51+income!B47</f>
        <v>2037000</v>
      </c>
      <c r="E25" s="285">
        <f>fundingstat!C51+income!C47</f>
        <v>1966800</v>
      </c>
      <c r="F25" s="285">
        <f>fundingstat!D51+income!D47</f>
        <v>2099600</v>
      </c>
      <c r="G25" s="285">
        <f>fundingstat!E51+income!E47</f>
        <v>2128900</v>
      </c>
      <c r="H25" s="285">
        <f>fundingstat!F51+income!F47</f>
        <v>2067500</v>
      </c>
      <c r="I25" s="285">
        <f>fundingstat!G51+income!G47</f>
        <v>2064400</v>
      </c>
      <c r="J25" s="285">
        <f>fundingstat!H51+income!H47</f>
        <v>1809500</v>
      </c>
      <c r="K25" s="285">
        <f>fundingstat!I51+income!I47</f>
        <v>1769200</v>
      </c>
      <c r="L25" s="285">
        <f>fundingstat!J51+income!J47</f>
        <v>1505300</v>
      </c>
      <c r="M25" s="285">
        <f>fundingstat!K51+income!K47</f>
        <v>1505300</v>
      </c>
    </row>
    <row r="27" spans="1:13" x14ac:dyDescent="0.25">
      <c r="A27" t="s">
        <v>4442</v>
      </c>
      <c r="B27" s="340">
        <f>B24/B25</f>
        <v>3.6595505617977526</v>
      </c>
      <c r="C27" s="340">
        <f t="shared" ref="C27" si="3">C24/C25</f>
        <v>4.1514857881136953</v>
      </c>
      <c r="D27" s="340">
        <f ca="1">D24/D25</f>
        <v>3.9470299459990184</v>
      </c>
      <c r="E27" s="340">
        <f ca="1">E24/E25</f>
        <v>5.3607890990441325</v>
      </c>
      <c r="F27" s="340">
        <f t="shared" ref="F27:M27" ca="1" si="4">F24/F25</f>
        <v>4.9210325776338353</v>
      </c>
      <c r="G27" s="340">
        <f t="shared" ca="1" si="4"/>
        <v>5.5680868053924559</v>
      </c>
      <c r="H27" s="340">
        <f t="shared" ca="1" si="4"/>
        <v>6.3176783555018137</v>
      </c>
      <c r="I27" s="340">
        <f t="shared" ca="1" si="4"/>
        <v>6.578424723890719</v>
      </c>
      <c r="J27" s="340">
        <f t="shared" ca="1" si="4"/>
        <v>7.5627521414755456</v>
      </c>
      <c r="K27" s="340">
        <f t="shared" ca="1" si="4"/>
        <v>7.713203707890572</v>
      </c>
      <c r="L27" s="340">
        <f t="shared" ca="1" si="4"/>
        <v>9.457716069886402</v>
      </c>
      <c r="M27" s="340">
        <f t="shared" ca="1" si="4"/>
        <v>9.7571912575566326</v>
      </c>
    </row>
    <row r="28" spans="1:13" x14ac:dyDescent="0.25">
      <c r="A28" t="s">
        <v>4455</v>
      </c>
      <c r="B28" s="344">
        <v>2</v>
      </c>
      <c r="C28" s="344">
        <v>2</v>
      </c>
      <c r="D28" s="344">
        <v>2</v>
      </c>
      <c r="E28" s="344">
        <v>2</v>
      </c>
      <c r="F28" s="344">
        <v>2</v>
      </c>
      <c r="G28" s="344">
        <v>2</v>
      </c>
      <c r="H28" s="344">
        <v>2</v>
      </c>
      <c r="I28" s="344">
        <v>2</v>
      </c>
      <c r="J28" s="344">
        <v>2</v>
      </c>
      <c r="K28" s="344">
        <v>2</v>
      </c>
      <c r="L28" s="344">
        <v>2</v>
      </c>
      <c r="M28" s="344">
        <v>2</v>
      </c>
    </row>
    <row r="30" spans="1:13" x14ac:dyDescent="0.25">
      <c r="A30" s="47" t="s">
        <v>4451</v>
      </c>
    </row>
    <row r="32" spans="1:13" x14ac:dyDescent="0.25">
      <c r="A32" s="342" t="s">
        <v>4452</v>
      </c>
      <c r="B32" s="343">
        <f t="shared" ref="B32" si="5">B25</f>
        <v>2670000</v>
      </c>
      <c r="C32" s="343">
        <f t="shared" ref="C32:M32" si="6">C25</f>
        <v>3096000</v>
      </c>
      <c r="D32" s="343">
        <f t="shared" si="6"/>
        <v>2037000</v>
      </c>
      <c r="E32" s="343">
        <f t="shared" si="6"/>
        <v>1966800</v>
      </c>
      <c r="F32" s="343">
        <f t="shared" si="6"/>
        <v>2099600</v>
      </c>
      <c r="G32" s="343">
        <f t="shared" si="6"/>
        <v>2128900</v>
      </c>
      <c r="H32" s="343">
        <f t="shared" si="6"/>
        <v>2067500</v>
      </c>
      <c r="I32" s="343">
        <f t="shared" si="6"/>
        <v>2064400</v>
      </c>
      <c r="J32" s="343">
        <f t="shared" si="6"/>
        <v>1809500</v>
      </c>
      <c r="K32" s="343">
        <f t="shared" si="6"/>
        <v>1769200</v>
      </c>
      <c r="L32" s="343">
        <f t="shared" si="6"/>
        <v>1505300</v>
      </c>
      <c r="M32" s="343">
        <f t="shared" si="6"/>
        <v>1505300</v>
      </c>
    </row>
    <row r="33" spans="1:14" x14ac:dyDescent="0.25">
      <c r="A33" s="341" t="s">
        <v>4453</v>
      </c>
      <c r="B33" s="343">
        <f t="shared" ref="B33" si="7">B9</f>
        <v>55410000</v>
      </c>
      <c r="C33" s="343">
        <f t="shared" ref="C33:M33" si="8">C9</f>
        <v>52960000</v>
      </c>
      <c r="D33" s="343">
        <f t="shared" si="8"/>
        <v>48943900</v>
      </c>
      <c r="E33" s="343">
        <f t="shared" si="8"/>
        <v>51208700</v>
      </c>
      <c r="F33" s="343">
        <f t="shared" si="8"/>
        <v>51988500</v>
      </c>
      <c r="G33" s="343">
        <f t="shared" si="8"/>
        <v>54821000</v>
      </c>
      <c r="H33" s="343">
        <f t="shared" si="8"/>
        <v>57031600</v>
      </c>
      <c r="I33" s="343">
        <f t="shared" si="8"/>
        <v>58441600</v>
      </c>
      <c r="J33" s="343">
        <f t="shared" si="8"/>
        <v>59455100</v>
      </c>
      <c r="K33" s="343">
        <f t="shared" si="8"/>
        <v>60866000</v>
      </c>
      <c r="L33" s="343">
        <f t="shared" si="8"/>
        <v>62336400</v>
      </c>
      <c r="M33" s="343">
        <f t="shared" si="8"/>
        <v>63991800</v>
      </c>
    </row>
    <row r="35" spans="1:14" x14ac:dyDescent="0.25">
      <c r="A35" t="s">
        <v>4442</v>
      </c>
      <c r="B35" s="333">
        <f>B32/B33</f>
        <v>4.8186247969680567E-2</v>
      </c>
      <c r="C35" s="333">
        <f t="shared" ref="C35" si="9">C32/C33</f>
        <v>5.8459214501510572E-2</v>
      </c>
      <c r="D35" s="333">
        <f>D32/D33</f>
        <v>4.1619078169087463E-2</v>
      </c>
      <c r="E35" s="333">
        <f>E32/E33</f>
        <v>3.8407536219431465E-2</v>
      </c>
      <c r="F35" s="333">
        <f t="shared" ref="F35:M35" si="10">F32/F33</f>
        <v>4.038585456399011E-2</v>
      </c>
      <c r="G35" s="333">
        <f t="shared" si="10"/>
        <v>3.8833658634464897E-2</v>
      </c>
      <c r="H35" s="333">
        <f t="shared" si="10"/>
        <v>3.6251832317522215E-2</v>
      </c>
      <c r="I35" s="333">
        <f t="shared" si="10"/>
        <v>3.5324152658380334E-2</v>
      </c>
      <c r="J35" s="333">
        <f t="shared" si="10"/>
        <v>3.0434731419171777E-2</v>
      </c>
      <c r="K35" s="333">
        <f t="shared" si="10"/>
        <v>2.9067131074820098E-2</v>
      </c>
      <c r="L35" s="333">
        <f t="shared" si="10"/>
        <v>2.4148009830532401E-2</v>
      </c>
      <c r="M35" s="333">
        <f t="shared" si="10"/>
        <v>2.3523326426198355E-2</v>
      </c>
    </row>
    <row r="36" spans="1:14" x14ac:dyDescent="0.25">
      <c r="A36" t="s">
        <v>4454</v>
      </c>
      <c r="B36" s="333">
        <v>0.2</v>
      </c>
      <c r="C36" s="333">
        <v>0.2</v>
      </c>
      <c r="D36" s="333">
        <v>0.2</v>
      </c>
      <c r="E36" s="333">
        <v>0.2</v>
      </c>
      <c r="F36" s="333">
        <v>0.2</v>
      </c>
      <c r="G36" s="333">
        <v>0.2</v>
      </c>
      <c r="H36" s="333">
        <v>0.2</v>
      </c>
      <c r="I36" s="333">
        <v>0.2</v>
      </c>
      <c r="J36" s="333">
        <v>0.2</v>
      </c>
      <c r="K36" s="333">
        <v>0.2</v>
      </c>
      <c r="L36" s="333">
        <v>0.2</v>
      </c>
      <c r="M36" s="333">
        <v>0.2</v>
      </c>
    </row>
    <row r="38" spans="1:14" x14ac:dyDescent="0.25">
      <c r="A38" s="47" t="s">
        <v>4456</v>
      </c>
      <c r="B38" s="345"/>
    </row>
    <row r="40" spans="1:14" x14ac:dyDescent="0.25">
      <c r="A40" s="9" t="s">
        <v>4457</v>
      </c>
      <c r="B40" s="285">
        <v>4331000</v>
      </c>
      <c r="C40" s="285">
        <v>4729000</v>
      </c>
      <c r="D40" s="285">
        <f>'maintenance funding'!D30-'maintenance funding'!D27-'maintenance funding'!D26</f>
        <v>4867800</v>
      </c>
      <c r="E40" s="285">
        <f>'maintenance funding'!E30-'maintenance funding'!E27-'maintenance funding'!E26</f>
        <v>5019600</v>
      </c>
      <c r="F40" s="285">
        <f>'maintenance funding'!F30-'maintenance funding'!F27-'maintenance funding'!F26</f>
        <v>5297700</v>
      </c>
      <c r="G40" s="285">
        <f>'maintenance funding'!G30-'maintenance funding'!G27-'maintenance funding'!G26</f>
        <v>5631100</v>
      </c>
      <c r="H40" s="285">
        <f>'maintenance funding'!H30-'maintenance funding'!H27-'maintenance funding'!H26</f>
        <v>6142800</v>
      </c>
      <c r="I40" s="285">
        <f>'maintenance funding'!I30-'maintenance funding'!I27-'maintenance funding'!I26</f>
        <v>6278800</v>
      </c>
      <c r="J40" s="285">
        <f>'maintenance funding'!J30-'maintenance funding'!J27-'maintenance funding'!J26</f>
        <v>6418200</v>
      </c>
      <c r="K40" s="285">
        <f>'maintenance funding'!K30-'maintenance funding'!K27-'maintenance funding'!K26</f>
        <v>6588500</v>
      </c>
      <c r="L40" s="285">
        <f>'maintenance funding'!L30-'maintenance funding'!L27-'maintenance funding'!L26</f>
        <v>6764100</v>
      </c>
      <c r="M40" s="285">
        <f>'maintenance funding'!M30-'maintenance funding'!M27-'maintenance funding'!M26</f>
        <v>6940200</v>
      </c>
    </row>
    <row r="41" spans="1:14" x14ac:dyDescent="0.25">
      <c r="A41" t="s">
        <v>4458</v>
      </c>
      <c r="B41" s="285">
        <v>5048000</v>
      </c>
      <c r="C41" s="285">
        <v>4650000</v>
      </c>
      <c r="D41" s="285">
        <f>ROUND(C41+(C41*Assumptions!B13),-2)</f>
        <v>4733700</v>
      </c>
      <c r="E41" s="285">
        <f>ROUND(D41+(D41*Assumptions!C13),-2)</f>
        <v>4828400</v>
      </c>
      <c r="F41" s="285">
        <f>ROUND(E41+(E41*Assumptions!D13),-2)</f>
        <v>4949100</v>
      </c>
      <c r="G41" s="285">
        <f>ROUND(F41+(F41*Assumptions!E13),-2)</f>
        <v>5072800</v>
      </c>
      <c r="H41" s="285">
        <f>ROUND(G41+(G41*Assumptions!F13),-2)</f>
        <v>5199600</v>
      </c>
      <c r="I41" s="285">
        <f>ROUND(H41+(H41*Assumptions!G13),-2)</f>
        <v>5329600</v>
      </c>
      <c r="J41" s="285">
        <f>ROUND(I41+(I41*Assumptions!H13),-2)</f>
        <v>5462800</v>
      </c>
      <c r="K41" s="285">
        <f>ROUND(J41+(J41*Assumptions!I13),-2)</f>
        <v>5599400</v>
      </c>
      <c r="L41" s="285">
        <f>ROUND(K41+(K41*Assumptions!J13),-2)</f>
        <v>5739400</v>
      </c>
      <c r="M41" s="285">
        <f>ROUND(L41+(L41*Assumptions!K13),-2)</f>
        <v>5882900</v>
      </c>
      <c r="N41" t="s">
        <v>4559</v>
      </c>
    </row>
    <row r="43" spans="1:14" x14ac:dyDescent="0.25">
      <c r="A43" t="s">
        <v>4459</v>
      </c>
      <c r="B43" s="340">
        <f>B40/B41</f>
        <v>0.85796354992076074</v>
      </c>
      <c r="C43" s="340">
        <f t="shared" ref="C43" si="11">C40/C41</f>
        <v>1.016989247311828</v>
      </c>
      <c r="D43" s="340">
        <f>D40/D41</f>
        <v>1.0283287914316497</v>
      </c>
      <c r="E43" s="340">
        <f>E40/E41</f>
        <v>1.0395990390191368</v>
      </c>
      <c r="F43" s="340">
        <f t="shared" ref="F43:M43" si="12">F40/F41</f>
        <v>1.0704370491604533</v>
      </c>
      <c r="G43" s="340">
        <f t="shared" si="12"/>
        <v>1.110057561898754</v>
      </c>
      <c r="H43" s="340">
        <f t="shared" si="12"/>
        <v>1.1813985691207016</v>
      </c>
      <c r="I43" s="340">
        <f t="shared" si="12"/>
        <v>1.1780996697688382</v>
      </c>
      <c r="J43" s="340">
        <f t="shared" si="12"/>
        <v>1.174891996778209</v>
      </c>
      <c r="K43" s="340">
        <f t="shared" si="12"/>
        <v>1.1766439261349431</v>
      </c>
      <c r="L43" s="340">
        <f t="shared" si="12"/>
        <v>1.1785378262536153</v>
      </c>
      <c r="M43" s="340">
        <f t="shared" si="12"/>
        <v>1.1797242856414354</v>
      </c>
    </row>
    <row r="44" spans="1:14" x14ac:dyDescent="0.25">
      <c r="A44" t="s">
        <v>4460</v>
      </c>
      <c r="B44" s="344">
        <v>1</v>
      </c>
      <c r="C44" s="344">
        <v>1</v>
      </c>
      <c r="D44" s="344">
        <v>1</v>
      </c>
      <c r="E44" s="344">
        <v>1</v>
      </c>
      <c r="F44" s="344">
        <v>1</v>
      </c>
      <c r="G44" s="344">
        <v>1</v>
      </c>
      <c r="H44" s="344">
        <v>1</v>
      </c>
      <c r="I44" s="344">
        <v>1</v>
      </c>
      <c r="J44" s="344">
        <v>1</v>
      </c>
      <c r="K44" s="344">
        <v>1</v>
      </c>
      <c r="L44" s="344">
        <v>1</v>
      </c>
      <c r="M44" s="344">
        <v>1</v>
      </c>
    </row>
    <row r="46" spans="1:14" x14ac:dyDescent="0.25">
      <c r="A46" s="47" t="s">
        <v>4477</v>
      </c>
      <c r="B46" s="345"/>
    </row>
    <row r="48" spans="1:14" x14ac:dyDescent="0.25">
      <c r="A48" s="9" t="s">
        <v>4478</v>
      </c>
      <c r="B48" s="285">
        <v>3556000</v>
      </c>
      <c r="C48" s="285">
        <v>11665000</v>
      </c>
      <c r="D48" s="285">
        <f>capitalexpdata!F778+capitalexpdata!F780</f>
        <v>14174500</v>
      </c>
      <c r="E48" s="285">
        <f>capitalexpdata!G778+capitalexpdata!G780</f>
        <v>9317400</v>
      </c>
      <c r="F48" s="285">
        <f>capitalexpdata!H778+capitalexpdata!H780</f>
        <v>7601700</v>
      </c>
      <c r="G48" s="285">
        <f>capitalexpdata!I778+capitalexpdata!I780</f>
        <v>8674900</v>
      </c>
      <c r="H48" s="285">
        <f>capitalexpdata!J778+capitalexpdata!J780</f>
        <v>7095900</v>
      </c>
      <c r="I48" s="285">
        <f>capitalexpdata!K778+capitalexpdata!K780</f>
        <v>7075100</v>
      </c>
      <c r="J48" s="285">
        <f>capitalexpdata!L778+capitalexpdata!L780</f>
        <v>6946700</v>
      </c>
      <c r="K48" s="285">
        <f>capitalexpdata!M778+capitalexpdata!M780</f>
        <v>6831800</v>
      </c>
      <c r="L48" s="285">
        <f>capitalexpdata!N778+capitalexpdata!N780</f>
        <v>6988900</v>
      </c>
      <c r="M48" s="285">
        <f>capitalexpdata!O778+capitalexpdata!O780</f>
        <v>6834000</v>
      </c>
    </row>
    <row r="49" spans="1:13" x14ac:dyDescent="0.25">
      <c r="A49" t="s">
        <v>4479</v>
      </c>
      <c r="B49" s="285">
        <v>6759000</v>
      </c>
      <c r="C49" s="285">
        <v>7032000</v>
      </c>
      <c r="D49" s="285">
        <f>income!B49-operatingdata!E791</f>
        <v>7534600</v>
      </c>
      <c r="E49" s="285">
        <f>income!C49-operatingdata!F791</f>
        <v>7609900</v>
      </c>
      <c r="F49" s="285">
        <f>income!D49-operatingdata!G791</f>
        <v>7686200</v>
      </c>
      <c r="G49" s="285">
        <f>income!E49-operatingdata!H791</f>
        <v>7763300</v>
      </c>
      <c r="H49" s="285">
        <f>income!F49-operatingdata!I791</f>
        <v>7840900</v>
      </c>
      <c r="I49" s="285">
        <f>income!G49-operatingdata!J791</f>
        <v>7919000</v>
      </c>
      <c r="J49" s="285">
        <f>income!H49-operatingdata!K791</f>
        <v>7998000</v>
      </c>
      <c r="K49" s="285">
        <f>income!I49-operatingdata!L791</f>
        <v>8077800</v>
      </c>
      <c r="L49" s="285">
        <f>income!J49-operatingdata!M791</f>
        <v>8158100</v>
      </c>
      <c r="M49" s="285">
        <f>income!K49-operatingdata!N791</f>
        <v>8239700</v>
      </c>
    </row>
    <row r="51" spans="1:13" x14ac:dyDescent="0.25">
      <c r="A51" t="s">
        <v>4459</v>
      </c>
      <c r="B51" s="340">
        <f>B48/B49</f>
        <v>0.52611333037431574</v>
      </c>
      <c r="C51" s="340">
        <f t="shared" ref="C51" si="13">C48/C49</f>
        <v>1.6588452787258248</v>
      </c>
      <c r="D51" s="340">
        <f>D48/D49</f>
        <v>1.881254479335333</v>
      </c>
      <c r="E51" s="340">
        <f>E48/E49</f>
        <v>1.2243787697604436</v>
      </c>
      <c r="F51" s="340">
        <f t="shared" ref="F51:M51" si="14">F48/F49</f>
        <v>0.9890062709791575</v>
      </c>
      <c r="G51" s="340">
        <f t="shared" si="14"/>
        <v>1.1174242912163641</v>
      </c>
      <c r="H51" s="340">
        <f t="shared" si="14"/>
        <v>0.90498539708451831</v>
      </c>
      <c r="I51" s="340">
        <f t="shared" si="14"/>
        <v>0.89343351433261775</v>
      </c>
      <c r="J51" s="340">
        <f t="shared" si="14"/>
        <v>0.86855463865966487</v>
      </c>
      <c r="K51" s="340">
        <f t="shared" si="14"/>
        <v>0.84575008046745404</v>
      </c>
      <c r="L51" s="340">
        <f t="shared" si="14"/>
        <v>0.85668231573528153</v>
      </c>
      <c r="M51" s="340">
        <f t="shared" si="14"/>
        <v>0.82939912860905129</v>
      </c>
    </row>
    <row r="52" spans="1:13" x14ac:dyDescent="0.25">
      <c r="A52" t="s">
        <v>4460</v>
      </c>
      <c r="B52" s="344">
        <v>1</v>
      </c>
      <c r="C52" s="344">
        <v>1</v>
      </c>
      <c r="D52" s="344">
        <v>1</v>
      </c>
      <c r="E52" s="344">
        <v>1</v>
      </c>
      <c r="F52" s="344">
        <v>1</v>
      </c>
      <c r="G52" s="344">
        <v>1</v>
      </c>
      <c r="H52" s="344">
        <v>1</v>
      </c>
      <c r="I52" s="344">
        <v>1</v>
      </c>
      <c r="J52" s="344">
        <v>1</v>
      </c>
      <c r="K52" s="344">
        <v>1</v>
      </c>
      <c r="L52" s="344">
        <v>1</v>
      </c>
      <c r="M52" s="344">
        <v>1</v>
      </c>
    </row>
    <row r="54" spans="1:13" x14ac:dyDescent="0.25">
      <c r="A54" s="47" t="s">
        <v>4491</v>
      </c>
    </row>
    <row r="56" spans="1:13" x14ac:dyDescent="0.25">
      <c r="A56" s="9" t="s">
        <v>4488</v>
      </c>
      <c r="B56" s="285">
        <v>29455000</v>
      </c>
      <c r="C56" s="285">
        <v>38152000</v>
      </c>
      <c r="D56" s="285">
        <v>40400000</v>
      </c>
      <c r="E56" s="285">
        <v>41000000</v>
      </c>
      <c r="F56" s="285">
        <v>43000000</v>
      </c>
      <c r="G56" s="285">
        <v>47000000</v>
      </c>
      <c r="H56" s="285">
        <v>49000000</v>
      </c>
      <c r="I56" s="285">
        <v>51000000</v>
      </c>
      <c r="J56" s="285">
        <v>53000000</v>
      </c>
      <c r="K56" s="285">
        <v>55000000</v>
      </c>
      <c r="L56" s="285">
        <v>58000000</v>
      </c>
      <c r="M56" s="285">
        <v>61000000</v>
      </c>
    </row>
    <row r="57" spans="1:13" x14ac:dyDescent="0.25">
      <c r="A57" t="s">
        <v>4489</v>
      </c>
      <c r="B57" s="285">
        <v>291448000</v>
      </c>
      <c r="C57" s="285">
        <v>300736000</v>
      </c>
      <c r="D57" s="285">
        <f>C57+D48-D49</f>
        <v>307375900</v>
      </c>
      <c r="E57" s="285">
        <f t="shared" ref="E57:M57" si="15">D57+E48-E49</f>
        <v>309083400</v>
      </c>
      <c r="F57" s="285">
        <f t="shared" si="15"/>
        <v>308998900</v>
      </c>
      <c r="G57" s="285">
        <f t="shared" si="15"/>
        <v>309910500</v>
      </c>
      <c r="H57" s="285">
        <f t="shared" si="15"/>
        <v>309165500</v>
      </c>
      <c r="I57" s="285">
        <f t="shared" si="15"/>
        <v>308321600</v>
      </c>
      <c r="J57" s="285">
        <f t="shared" si="15"/>
        <v>307270300</v>
      </c>
      <c r="K57" s="285">
        <f t="shared" si="15"/>
        <v>306024300</v>
      </c>
      <c r="L57" s="285">
        <f t="shared" si="15"/>
        <v>304855100</v>
      </c>
      <c r="M57" s="285">
        <f t="shared" si="15"/>
        <v>303449400</v>
      </c>
    </row>
    <row r="59" spans="1:13" x14ac:dyDescent="0.25">
      <c r="A59" t="s">
        <v>4459</v>
      </c>
      <c r="B59" s="333">
        <f>B56/B57</f>
        <v>0.10106434080865197</v>
      </c>
      <c r="C59" s="333">
        <f t="shared" ref="C59" si="16">C56/C57</f>
        <v>0.12686209831879122</v>
      </c>
      <c r="D59" s="333">
        <f>D56/D57</f>
        <v>0.13143515805891093</v>
      </c>
      <c r="E59" s="333">
        <f>E56/E57</f>
        <v>0.13265028144507277</v>
      </c>
      <c r="F59" s="333">
        <f t="shared" ref="F59:M59" si="17">F56/F57</f>
        <v>0.13915907144006015</v>
      </c>
      <c r="G59" s="333">
        <f t="shared" si="17"/>
        <v>0.15165668797927143</v>
      </c>
      <c r="H59" s="333">
        <f t="shared" si="17"/>
        <v>0.15849116411760045</v>
      </c>
      <c r="I59" s="333">
        <f t="shared" si="17"/>
        <v>0.16541169999117805</v>
      </c>
      <c r="J59" s="333">
        <f t="shared" si="17"/>
        <v>0.17248656964242884</v>
      </c>
      <c r="K59" s="333">
        <f t="shared" si="17"/>
        <v>0.17972428986848429</v>
      </c>
      <c r="L59" s="333">
        <f t="shared" si="17"/>
        <v>0.19025432082323701</v>
      </c>
      <c r="M59" s="333">
        <f t="shared" si="17"/>
        <v>0.20102198257765544</v>
      </c>
    </row>
    <row r="60" spans="1:13" x14ac:dyDescent="0.25">
      <c r="A60" t="s">
        <v>4490</v>
      </c>
      <c r="B60" s="333">
        <v>0.02</v>
      </c>
      <c r="C60" s="333">
        <v>0.02</v>
      </c>
      <c r="D60" s="333">
        <v>0.02</v>
      </c>
      <c r="E60" s="333">
        <v>0.02</v>
      </c>
      <c r="F60" s="333">
        <v>0.02</v>
      </c>
      <c r="G60" s="333">
        <v>0.02</v>
      </c>
      <c r="H60" s="333">
        <v>0.02</v>
      </c>
      <c r="I60" s="333">
        <v>0.02</v>
      </c>
      <c r="J60" s="333">
        <v>0.02</v>
      </c>
      <c r="K60" s="333">
        <v>0.02</v>
      </c>
      <c r="L60" s="333">
        <v>0.02</v>
      </c>
      <c r="M60" s="333">
        <v>0.02</v>
      </c>
    </row>
    <row r="63" spans="1:13" x14ac:dyDescent="0.25">
      <c r="A63" s="47" t="s">
        <v>4646</v>
      </c>
    </row>
    <row r="65" spans="1:13" x14ac:dyDescent="0.25">
      <c r="A65" s="9" t="s">
        <v>4647</v>
      </c>
      <c r="B65" s="39">
        <v>1139000</v>
      </c>
      <c r="C65" s="39">
        <v>2960000</v>
      </c>
      <c r="D65" s="39">
        <f ca="1">income!B56</f>
        <v>-1295300</v>
      </c>
      <c r="E65" s="39">
        <f ca="1">income!C56</f>
        <v>1093100</v>
      </c>
      <c r="F65" s="39">
        <f ca="1">income!D56</f>
        <v>760600</v>
      </c>
      <c r="G65" s="39">
        <f ca="1">income!E56</f>
        <v>2162300</v>
      </c>
      <c r="H65" s="39">
        <f ca="1">income!F56</f>
        <v>3348900</v>
      </c>
      <c r="I65" s="39">
        <f ca="1">income!G56</f>
        <v>3849200</v>
      </c>
      <c r="J65" s="39">
        <f ca="1">income!H56</f>
        <v>4033400</v>
      </c>
      <c r="K65" s="39">
        <f ca="1">income!I56</f>
        <v>3971200</v>
      </c>
      <c r="L65" s="39">
        <f ca="1">income!J56</f>
        <v>4532200</v>
      </c>
      <c r="M65" s="39">
        <f ca="1">income!K56</f>
        <v>4948500</v>
      </c>
    </row>
    <row r="66" spans="1:13" x14ac:dyDescent="0.25">
      <c r="A66" t="s">
        <v>4648</v>
      </c>
      <c r="B66" s="39">
        <f>B9</f>
        <v>55410000</v>
      </c>
      <c r="C66" s="39">
        <f t="shared" ref="C66:M66" si="18">C9</f>
        <v>52960000</v>
      </c>
      <c r="D66" s="39">
        <f t="shared" si="18"/>
        <v>48943900</v>
      </c>
      <c r="E66" s="39">
        <f t="shared" si="18"/>
        <v>51208700</v>
      </c>
      <c r="F66" s="39">
        <f t="shared" si="18"/>
        <v>51988500</v>
      </c>
      <c r="G66" s="39">
        <f t="shared" si="18"/>
        <v>54821000</v>
      </c>
      <c r="H66" s="39">
        <f t="shared" si="18"/>
        <v>57031600</v>
      </c>
      <c r="I66" s="39">
        <f t="shared" si="18"/>
        <v>58441600</v>
      </c>
      <c r="J66" s="39">
        <f t="shared" si="18"/>
        <v>59455100</v>
      </c>
      <c r="K66" s="39">
        <f t="shared" si="18"/>
        <v>60866000</v>
      </c>
      <c r="L66" s="39">
        <f t="shared" si="18"/>
        <v>62336400</v>
      </c>
      <c r="M66" s="39">
        <f t="shared" si="18"/>
        <v>63991800</v>
      </c>
    </row>
    <row r="67" spans="1:13" x14ac:dyDescent="0.25">
      <c r="B67" s="285"/>
    </row>
    <row r="68" spans="1:13" x14ac:dyDescent="0.25">
      <c r="A68" t="s">
        <v>4459</v>
      </c>
      <c r="B68" s="504">
        <f>B65/B66</f>
        <v>2.0555856343620286E-2</v>
      </c>
      <c r="C68" s="504">
        <f t="shared" ref="C68:M68" si="19">C65/C66</f>
        <v>5.5891238670694864E-2</v>
      </c>
      <c r="D68" s="504">
        <f t="shared" ca="1" si="19"/>
        <v>-2.6464993594707411E-2</v>
      </c>
      <c r="E68" s="504">
        <f t="shared" ca="1" si="19"/>
        <v>2.1345982225676498E-2</v>
      </c>
      <c r="F68" s="504">
        <f t="shared" ca="1" si="19"/>
        <v>1.4630158592765707E-2</v>
      </c>
      <c r="G68" s="504">
        <f t="shared" ca="1" si="19"/>
        <v>3.9442914211707189E-2</v>
      </c>
      <c r="H68" s="504">
        <f t="shared" ca="1" si="19"/>
        <v>5.8720077991850132E-2</v>
      </c>
      <c r="I68" s="504">
        <f t="shared" ca="1" si="19"/>
        <v>6.5864042052236768E-2</v>
      </c>
      <c r="J68" s="504">
        <f t="shared" ca="1" si="19"/>
        <v>6.7839428409001076E-2</v>
      </c>
      <c r="K68" s="504">
        <f t="shared" ca="1" si="19"/>
        <v>6.5244964347911813E-2</v>
      </c>
      <c r="L68" s="504">
        <f t="shared" ca="1" si="19"/>
        <v>7.2705513953324225E-2</v>
      </c>
      <c r="M68" s="504">
        <f t="shared" ca="1" si="19"/>
        <v>7.7330220434493169E-2</v>
      </c>
    </row>
    <row r="70" spans="1:13" x14ac:dyDescent="0.25">
      <c r="A70" s="47" t="s">
        <v>4649</v>
      </c>
    </row>
    <row r="72" spans="1:13" x14ac:dyDescent="0.25">
      <c r="A72" s="47" t="s">
        <v>4650</v>
      </c>
    </row>
    <row r="74" spans="1:13" x14ac:dyDescent="0.25">
      <c r="A74" s="9" t="s">
        <v>4651</v>
      </c>
      <c r="B74" s="39">
        <v>22841000</v>
      </c>
      <c r="C74" s="39">
        <v>23855000</v>
      </c>
      <c r="D74" s="39">
        <f>income!B37</f>
        <v>24944200</v>
      </c>
      <c r="E74" s="39">
        <f>income!C37</f>
        <v>26409400</v>
      </c>
      <c r="F74" s="39">
        <f>income!D37</f>
        <v>28100600</v>
      </c>
      <c r="G74" s="39">
        <f>income!E37</f>
        <v>29911900</v>
      </c>
      <c r="H74" s="39">
        <f>income!F37</f>
        <v>31852000</v>
      </c>
      <c r="I74" s="39">
        <f>income!G37</f>
        <v>32640700</v>
      </c>
      <c r="J74" s="39">
        <f>income!H37</f>
        <v>33449500</v>
      </c>
      <c r="K74" s="39">
        <f>income!I37</f>
        <v>34278500</v>
      </c>
      <c r="L74" s="39">
        <f>income!J37</f>
        <v>35128400</v>
      </c>
      <c r="M74" s="39">
        <f>income!K37</f>
        <v>35999400</v>
      </c>
    </row>
    <row r="75" spans="1:13" x14ac:dyDescent="0.25">
      <c r="A75" t="s">
        <v>4262</v>
      </c>
      <c r="B75" s="39">
        <f>B83</f>
        <v>59812000</v>
      </c>
      <c r="C75" s="39">
        <f>C83</f>
        <v>59730000</v>
      </c>
      <c r="D75" s="39">
        <f>income!B43</f>
        <v>65256900</v>
      </c>
      <c r="E75" s="39">
        <f>income!C43</f>
        <v>53117800</v>
      </c>
      <c r="F75" s="39">
        <f>income!D43</f>
        <v>53950100</v>
      </c>
      <c r="G75" s="39">
        <f>income!E43</f>
        <v>56385600</v>
      </c>
      <c r="H75" s="39">
        <f>income!F43</f>
        <v>58640900</v>
      </c>
      <c r="I75" s="39">
        <f>income!G43</f>
        <v>59814200</v>
      </c>
      <c r="J75" s="39">
        <f>income!H43</f>
        <v>60641300</v>
      </c>
      <c r="K75" s="39">
        <f>income!I43</f>
        <v>62066400</v>
      </c>
      <c r="L75" s="39">
        <f>income!J43</f>
        <v>63551600</v>
      </c>
      <c r="M75" s="39">
        <f>income!K43</f>
        <v>64821800</v>
      </c>
    </row>
    <row r="77" spans="1:13" x14ac:dyDescent="0.25">
      <c r="A77" t="s">
        <v>4459</v>
      </c>
      <c r="B77" s="504">
        <f>B74/B75</f>
        <v>0.38187989032301212</v>
      </c>
      <c r="C77" s="504">
        <f t="shared" ref="C77:M77" si="20">C74/C75</f>
        <v>0.39938054578938559</v>
      </c>
      <c r="D77" s="504">
        <f t="shared" si="20"/>
        <v>0.38224616860439281</v>
      </c>
      <c r="E77" s="504">
        <f t="shared" si="20"/>
        <v>0.49718550090553448</v>
      </c>
      <c r="F77" s="504">
        <f t="shared" si="20"/>
        <v>0.52086279728860563</v>
      </c>
      <c r="G77" s="504">
        <f t="shared" si="20"/>
        <v>0.53048828069578047</v>
      </c>
      <c r="H77" s="504">
        <f t="shared" si="20"/>
        <v>0.54317038108214577</v>
      </c>
      <c r="I77" s="504">
        <f t="shared" si="20"/>
        <v>0.54570152238097303</v>
      </c>
      <c r="J77" s="504">
        <f t="shared" si="20"/>
        <v>0.55159602449155942</v>
      </c>
      <c r="K77" s="504">
        <f t="shared" si="20"/>
        <v>0.55228755010762665</v>
      </c>
      <c r="L77" s="504">
        <f t="shared" si="20"/>
        <v>0.55275398259052488</v>
      </c>
      <c r="M77" s="504">
        <f t="shared" si="20"/>
        <v>0.55535946240308043</v>
      </c>
    </row>
    <row r="79" spans="1:13" x14ac:dyDescent="0.25">
      <c r="A79" s="47" t="s">
        <v>4655</v>
      </c>
    </row>
    <row r="81" spans="1:13" x14ac:dyDescent="0.25">
      <c r="A81" s="47" t="s">
        <v>4652</v>
      </c>
    </row>
    <row r="82" spans="1:13" x14ac:dyDescent="0.25">
      <c r="A82" s="9" t="s">
        <v>4653</v>
      </c>
      <c r="B82" s="285">
        <f>B87</f>
        <v>45610411</v>
      </c>
      <c r="C82" s="285">
        <f t="shared" ref="C82:M82" si="21">C87</f>
        <v>53113288</v>
      </c>
      <c r="D82" s="285">
        <f t="shared" si="21"/>
        <v>54357178</v>
      </c>
      <c r="E82" s="285">
        <f t="shared" si="21"/>
        <v>56060117.60047742</v>
      </c>
      <c r="F82" s="285">
        <f t="shared" si="21"/>
        <v>59079342.825481847</v>
      </c>
      <c r="G82" s="285">
        <f t="shared" si="21"/>
        <v>64103933.035733208</v>
      </c>
      <c r="H82" s="285">
        <f t="shared" si="21"/>
        <v>65274625.186417349</v>
      </c>
      <c r="I82" s="285">
        <f t="shared" si="21"/>
        <v>66493383.607333206</v>
      </c>
      <c r="J82" s="285">
        <f t="shared" si="21"/>
        <v>67812060.425356105</v>
      </c>
      <c r="K82" s="285">
        <f t="shared" si="21"/>
        <v>69226007.760768622</v>
      </c>
      <c r="L82" s="285">
        <f t="shared" si="21"/>
        <v>71679597.883729458</v>
      </c>
      <c r="M82" s="285">
        <f t="shared" si="21"/>
        <v>73885453.328902662</v>
      </c>
    </row>
    <row r="83" spans="1:13" x14ac:dyDescent="0.25">
      <c r="A83" t="s">
        <v>4262</v>
      </c>
      <c r="B83" s="285">
        <f>B17</f>
        <v>59812000</v>
      </c>
      <c r="C83" s="285">
        <f t="shared" ref="C83:M83" si="22">C17</f>
        <v>59730000</v>
      </c>
      <c r="D83" s="285">
        <f t="shared" si="22"/>
        <v>65256900</v>
      </c>
      <c r="E83" s="285">
        <f t="shared" si="22"/>
        <v>53117800</v>
      </c>
      <c r="F83" s="285">
        <f t="shared" si="22"/>
        <v>53950100</v>
      </c>
      <c r="G83" s="285">
        <f t="shared" si="22"/>
        <v>56385600</v>
      </c>
      <c r="H83" s="285">
        <f t="shared" si="22"/>
        <v>58640900</v>
      </c>
      <c r="I83" s="285">
        <f t="shared" si="22"/>
        <v>59814200</v>
      </c>
      <c r="J83" s="285">
        <f t="shared" si="22"/>
        <v>60641300</v>
      </c>
      <c r="K83" s="285">
        <f t="shared" si="22"/>
        <v>62066400</v>
      </c>
      <c r="L83" s="285">
        <f t="shared" si="22"/>
        <v>63551600</v>
      </c>
      <c r="M83" s="285">
        <f t="shared" si="22"/>
        <v>64821800</v>
      </c>
    </row>
    <row r="84" spans="1:13" x14ac:dyDescent="0.25">
      <c r="B84" s="285"/>
      <c r="C84" s="285"/>
      <c r="D84" s="285"/>
      <c r="E84" s="285"/>
      <c r="F84" s="285"/>
      <c r="G84" s="285"/>
      <c r="H84" s="285"/>
      <c r="I84" s="285"/>
      <c r="J84" s="285"/>
      <c r="K84" s="285"/>
      <c r="L84" s="285"/>
      <c r="M84" s="285"/>
    </row>
    <row r="85" spans="1:13" x14ac:dyDescent="0.25">
      <c r="A85" t="s">
        <v>4656</v>
      </c>
      <c r="B85" s="285">
        <v>16155411</v>
      </c>
      <c r="C85" s="285">
        <v>14961288</v>
      </c>
      <c r="D85" s="285">
        <v>13957178</v>
      </c>
      <c r="E85" s="285">
        <f>newloans!S15+13102254</f>
        <v>15060117.60047742</v>
      </c>
      <c r="F85" s="285">
        <f>newloans!S17+12207842</f>
        <v>16079342.825481843</v>
      </c>
      <c r="G85" s="285">
        <f>newloans!S19+11365215</f>
        <v>17103933.035733208</v>
      </c>
      <c r="H85" s="285">
        <f>newloans!S21+10675276</f>
        <v>16274625.186417349</v>
      </c>
      <c r="I85" s="285">
        <f>newloans!S23+10040316</f>
        <v>15493383.607333208</v>
      </c>
      <c r="J85" s="285">
        <f>newloans!S25+9512530</f>
        <v>14812060.425356099</v>
      </c>
      <c r="K85" s="285">
        <f>newloans!S27+9087630</f>
        <v>14226007.76076863</v>
      </c>
      <c r="L85" s="285">
        <f>newloans!S29+8710366</f>
        <v>13679597.883729456</v>
      </c>
      <c r="M85" s="285">
        <f>newloans!S31+8093757</f>
        <v>12885453.328902669</v>
      </c>
    </row>
    <row r="86" spans="1:13" x14ac:dyDescent="0.25">
      <c r="A86" t="s">
        <v>4657</v>
      </c>
      <c r="B86" s="285">
        <f>B56</f>
        <v>29455000</v>
      </c>
      <c r="C86" s="285">
        <f t="shared" ref="C86:M86" si="23">C56</f>
        <v>38152000</v>
      </c>
      <c r="D86" s="285">
        <f t="shared" si="23"/>
        <v>40400000</v>
      </c>
      <c r="E86" s="285">
        <f t="shared" si="23"/>
        <v>41000000</v>
      </c>
      <c r="F86" s="285">
        <f t="shared" si="23"/>
        <v>43000000</v>
      </c>
      <c r="G86" s="285">
        <f t="shared" si="23"/>
        <v>47000000</v>
      </c>
      <c r="H86" s="285">
        <f t="shared" si="23"/>
        <v>49000000</v>
      </c>
      <c r="I86" s="285">
        <f t="shared" si="23"/>
        <v>51000000</v>
      </c>
      <c r="J86" s="285">
        <f t="shared" si="23"/>
        <v>53000000</v>
      </c>
      <c r="K86" s="285">
        <f t="shared" si="23"/>
        <v>55000000</v>
      </c>
      <c r="L86" s="285">
        <f t="shared" si="23"/>
        <v>58000000</v>
      </c>
      <c r="M86" s="285">
        <f t="shared" si="23"/>
        <v>61000000</v>
      </c>
    </row>
    <row r="87" spans="1:13" x14ac:dyDescent="0.25">
      <c r="A87" s="47" t="s">
        <v>4653</v>
      </c>
      <c r="B87" s="505">
        <f>SUM(B85:B86)</f>
        <v>45610411</v>
      </c>
      <c r="C87" s="505">
        <f t="shared" ref="C87:M87" si="24">SUM(C85:C86)</f>
        <v>53113288</v>
      </c>
      <c r="D87" s="505">
        <f t="shared" si="24"/>
        <v>54357178</v>
      </c>
      <c r="E87" s="505">
        <f t="shared" si="24"/>
        <v>56060117.60047742</v>
      </c>
      <c r="F87" s="505">
        <f t="shared" si="24"/>
        <v>59079342.825481847</v>
      </c>
      <c r="G87" s="505">
        <f t="shared" si="24"/>
        <v>64103933.035733208</v>
      </c>
      <c r="H87" s="505">
        <f t="shared" si="24"/>
        <v>65274625.186417349</v>
      </c>
      <c r="I87" s="505">
        <f t="shared" si="24"/>
        <v>66493383.607333206</v>
      </c>
      <c r="J87" s="505">
        <f t="shared" si="24"/>
        <v>67812060.425356105</v>
      </c>
      <c r="K87" s="505">
        <f t="shared" si="24"/>
        <v>69226007.760768622</v>
      </c>
      <c r="L87" s="505">
        <f t="shared" si="24"/>
        <v>71679597.883729458</v>
      </c>
      <c r="M87" s="505">
        <f t="shared" si="24"/>
        <v>73885453.328902662</v>
      </c>
    </row>
    <row r="89" spans="1:13" x14ac:dyDescent="0.25">
      <c r="A89" t="s">
        <v>4459</v>
      </c>
      <c r="B89" s="333">
        <f>B82/B83</f>
        <v>0.76256288035845654</v>
      </c>
      <c r="C89" s="333">
        <f t="shared" ref="C89:M89" si="25">C82/C83</f>
        <v>0.88922297003180983</v>
      </c>
      <c r="D89" s="333">
        <f t="shared" si="25"/>
        <v>0.83297211482617162</v>
      </c>
      <c r="E89" s="333">
        <f t="shared" si="25"/>
        <v>1.055392309178419</v>
      </c>
      <c r="F89" s="333">
        <f t="shared" si="25"/>
        <v>1.0950738335143373</v>
      </c>
      <c r="G89" s="333">
        <f t="shared" si="25"/>
        <v>1.1368848258373274</v>
      </c>
      <c r="H89" s="333">
        <f t="shared" si="25"/>
        <v>1.1131245459468964</v>
      </c>
      <c r="I89" s="333">
        <f t="shared" si="25"/>
        <v>1.1116655176752879</v>
      </c>
      <c r="J89" s="333">
        <f t="shared" si="25"/>
        <v>1.1182487912586985</v>
      </c>
      <c r="K89" s="333">
        <f t="shared" si="25"/>
        <v>1.11535400411122</v>
      </c>
      <c r="L89" s="333">
        <f t="shared" si="25"/>
        <v>1.1278960385533874</v>
      </c>
      <c r="M89" s="333">
        <f t="shared" si="25"/>
        <v>1.1398241537399865</v>
      </c>
    </row>
    <row r="91" spans="1:13" x14ac:dyDescent="0.25">
      <c r="A91" s="47" t="s">
        <v>4654</v>
      </c>
    </row>
  </sheetData>
  <pageMargins left="0.70866141732283472" right="0.70866141732283472" top="0.74803149606299213" bottom="0.74803149606299213" header="0.31496062992125984" footer="0.31496062992125984"/>
  <pageSetup paperSize="8" scale="80" orientation="landscape" r:id="rId1"/>
  <rowBreaks count="1" manualBreakCount="1">
    <brk id="14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0"/>
  <sheetViews>
    <sheetView zoomScaleNormal="100" workbookViewId="0">
      <pane xSplit="1" ySplit="4" topLeftCell="B53" activePane="bottomRight" state="frozen"/>
      <selection pane="topRight" activeCell="B1" sqref="B1"/>
      <selection pane="bottomLeft" activeCell="A5" sqref="A5"/>
      <selection pane="bottomRight" activeCell="B56" sqref="B56:M56"/>
    </sheetView>
  </sheetViews>
  <sheetFormatPr defaultRowHeight="15" x14ac:dyDescent="0.25"/>
  <cols>
    <col min="1" max="1" width="86.140625" customWidth="1"/>
    <col min="2" max="13" width="12.7109375" customWidth="1"/>
  </cols>
  <sheetData>
    <row r="1" spans="1:15" ht="15.75" x14ac:dyDescent="0.25">
      <c r="A1" s="48" t="s">
        <v>0</v>
      </c>
      <c r="B1" s="48"/>
      <c r="C1" s="48"/>
      <c r="D1" s="48"/>
      <c r="E1" s="39"/>
      <c r="F1" s="39"/>
      <c r="G1" s="39"/>
      <c r="H1" s="39"/>
      <c r="I1" s="39"/>
      <c r="J1" s="39"/>
      <c r="K1" s="39"/>
      <c r="L1" s="39"/>
      <c r="M1" s="39"/>
    </row>
    <row r="2" spans="1:15" ht="15.75" x14ac:dyDescent="0.25">
      <c r="A2" s="48" t="s">
        <v>4633</v>
      </c>
      <c r="B2" s="48"/>
      <c r="C2" s="48"/>
      <c r="D2" s="48"/>
      <c r="E2" s="39"/>
      <c r="F2" s="39"/>
      <c r="G2" s="39"/>
      <c r="H2" s="39"/>
      <c r="I2" s="39"/>
      <c r="J2" s="39"/>
      <c r="K2" s="39"/>
      <c r="L2" s="39"/>
      <c r="M2" s="39"/>
    </row>
    <row r="3" spans="1:15" x14ac:dyDescent="0.25">
      <c r="A3" s="277"/>
      <c r="B3" s="1" t="s">
        <v>4415</v>
      </c>
      <c r="C3" s="1" t="s">
        <v>4147</v>
      </c>
      <c r="D3" s="1" t="s">
        <v>11</v>
      </c>
      <c r="E3" s="279" t="s">
        <v>12</v>
      </c>
      <c r="F3" s="279" t="s">
        <v>13</v>
      </c>
      <c r="G3" s="279" t="s">
        <v>15</v>
      </c>
      <c r="H3" s="279" t="s">
        <v>16</v>
      </c>
      <c r="I3" s="279" t="s">
        <v>17</v>
      </c>
      <c r="J3" s="279" t="s">
        <v>18</v>
      </c>
      <c r="K3" s="279" t="s">
        <v>19</v>
      </c>
      <c r="L3" s="279" t="s">
        <v>20</v>
      </c>
      <c r="M3" s="279" t="s">
        <v>21</v>
      </c>
    </row>
    <row r="4" spans="1:15" x14ac:dyDescent="0.25">
      <c r="A4" s="2" t="s">
        <v>4437</v>
      </c>
      <c r="B4" s="2" t="s">
        <v>4438</v>
      </c>
      <c r="C4" s="2" t="s">
        <v>4438</v>
      </c>
      <c r="D4" s="2" t="s">
        <v>4438</v>
      </c>
      <c r="E4" s="50" t="s">
        <v>4438</v>
      </c>
      <c r="F4" s="50" t="s">
        <v>4438</v>
      </c>
      <c r="G4" s="50" t="s">
        <v>4438</v>
      </c>
      <c r="H4" s="50" t="s">
        <v>4438</v>
      </c>
      <c r="I4" s="50" t="s">
        <v>4438</v>
      </c>
      <c r="J4" s="50" t="s">
        <v>4438</v>
      </c>
      <c r="K4" s="50" t="s">
        <v>4438</v>
      </c>
      <c r="L4" s="50" t="s">
        <v>4438</v>
      </c>
      <c r="M4" s="50" t="s">
        <v>4438</v>
      </c>
    </row>
    <row r="6" spans="1:15" x14ac:dyDescent="0.25">
      <c r="A6" s="47" t="s">
        <v>4439</v>
      </c>
    </row>
    <row r="8" spans="1:15" x14ac:dyDescent="0.25">
      <c r="A8" s="335" t="s">
        <v>4440</v>
      </c>
      <c r="B8" s="285">
        <v>203000</v>
      </c>
      <c r="C8" s="285">
        <v>1997000</v>
      </c>
      <c r="D8" s="285">
        <f ca="1">income!B14-income!B13-income!B22</f>
        <v>781000</v>
      </c>
      <c r="E8" s="285">
        <f ca="1">income!C14-income!C13-income!C22</f>
        <v>2816500</v>
      </c>
      <c r="F8" s="285">
        <f ca="1">income!D14-income!D13-income!D22</f>
        <v>2267000</v>
      </c>
      <c r="G8" s="285">
        <f ca="1">income!E14-income!E13-income!E22</f>
        <v>3313500</v>
      </c>
      <c r="H8" s="285">
        <f ca="1">income!F14-income!F13-income!F22</f>
        <v>4356500</v>
      </c>
      <c r="I8" s="285">
        <f ca="1">income!G14-income!G13-income!G22</f>
        <v>4663800</v>
      </c>
      <c r="J8" s="285">
        <f ca="1">income!H14-income!H13-income!H22</f>
        <v>4697900</v>
      </c>
      <c r="K8" s="285">
        <f ca="1">income!I14-income!I13-income!I22</f>
        <v>4402600</v>
      </c>
      <c r="L8" s="285">
        <f ca="1">income!J14-income!J13-income!J22</f>
        <v>4739100</v>
      </c>
      <c r="M8" s="285">
        <f ca="1">income!K14-income!K13-income!K22</f>
        <v>4698200</v>
      </c>
    </row>
    <row r="9" spans="1:15" x14ac:dyDescent="0.25">
      <c r="A9" t="s">
        <v>4441</v>
      </c>
      <c r="B9" s="285">
        <v>78242000</v>
      </c>
      <c r="C9" s="285">
        <v>76643000</v>
      </c>
      <c r="D9" s="285">
        <f>income!B14-income!B13</f>
        <v>73493800</v>
      </c>
      <c r="E9" s="285">
        <f>income!C14-income!C13</f>
        <v>75503800</v>
      </c>
      <c r="F9" s="285">
        <f>income!D14-income!D13</f>
        <v>76295800</v>
      </c>
      <c r="G9" s="285">
        <f>income!E14-income!E13</f>
        <v>79011100</v>
      </c>
      <c r="H9" s="285">
        <f>income!F14-income!F13</f>
        <v>81271000</v>
      </c>
      <c r="I9" s="285">
        <f>income!G14-income!G13</f>
        <v>82731700</v>
      </c>
      <c r="J9" s="285">
        <f>income!H14-income!H13</f>
        <v>83807400</v>
      </c>
      <c r="K9" s="285">
        <f>income!I14-income!I13</f>
        <v>85279700</v>
      </c>
      <c r="L9" s="285">
        <f>income!J14-income!J13</f>
        <v>86795700</v>
      </c>
      <c r="M9" s="285">
        <f>income!K14-income!K13</f>
        <v>88309900</v>
      </c>
    </row>
    <row r="11" spans="1:15" x14ac:dyDescent="0.25">
      <c r="A11" t="s">
        <v>4442</v>
      </c>
      <c r="B11" s="333">
        <f>B8/B9</f>
        <v>2.5945144551519643E-3</v>
      </c>
      <c r="C11" s="333">
        <f t="shared" ref="C11:M11" si="0">C8/C9</f>
        <v>2.6055869420560259E-2</v>
      </c>
      <c r="D11" s="333">
        <f ca="1">D8/D9</f>
        <v>1.0626746745984015E-2</v>
      </c>
      <c r="E11" s="333">
        <f ca="1">E8/E9</f>
        <v>3.7302758271769106E-2</v>
      </c>
      <c r="F11" s="333">
        <f t="shared" ca="1" si="0"/>
        <v>2.9713300076806323E-2</v>
      </c>
      <c r="G11" s="333">
        <f t="shared" ca="1" si="0"/>
        <v>4.193714554031016E-2</v>
      </c>
      <c r="H11" s="333">
        <f t="shared" ca="1" si="0"/>
        <v>5.3604606809316974E-2</v>
      </c>
      <c r="I11" s="333">
        <f t="shared" ca="1" si="0"/>
        <v>5.6372587532952906E-2</v>
      </c>
      <c r="J11" s="333">
        <f t="shared" ca="1" si="0"/>
        <v>5.6055909144061264E-2</v>
      </c>
      <c r="K11" s="333">
        <f t="shared" ca="1" si="0"/>
        <v>5.1625416130685262E-2</v>
      </c>
      <c r="L11" s="333">
        <f t="shared" ca="1" si="0"/>
        <v>5.46006311372568E-2</v>
      </c>
      <c r="M11" s="333">
        <f t="shared" ca="1" si="0"/>
        <v>5.3201283208337911E-2</v>
      </c>
    </row>
    <row r="12" spans="1:15" x14ac:dyDescent="0.25">
      <c r="A12" t="s">
        <v>4443</v>
      </c>
      <c r="B12" s="333">
        <v>0</v>
      </c>
      <c r="C12" s="333">
        <v>0</v>
      </c>
      <c r="D12" s="333">
        <v>0</v>
      </c>
      <c r="E12" s="333">
        <v>0</v>
      </c>
      <c r="F12" s="333">
        <v>0</v>
      </c>
      <c r="G12" s="333">
        <v>0</v>
      </c>
      <c r="H12" s="333">
        <v>0</v>
      </c>
      <c r="I12" s="333">
        <v>0</v>
      </c>
      <c r="J12" s="333">
        <v>0</v>
      </c>
      <c r="K12" s="333">
        <v>0</v>
      </c>
      <c r="L12" s="333">
        <v>0</v>
      </c>
      <c r="M12" s="333">
        <v>0</v>
      </c>
      <c r="O12">
        <v>0</v>
      </c>
    </row>
    <row r="14" spans="1:15" x14ac:dyDescent="0.25">
      <c r="A14" s="47" t="s">
        <v>4444</v>
      </c>
    </row>
    <row r="16" spans="1:15" x14ac:dyDescent="0.25">
      <c r="A16" s="338" t="s">
        <v>4445</v>
      </c>
      <c r="B16" s="285">
        <v>61581000</v>
      </c>
      <c r="C16" s="285">
        <v>64434000</v>
      </c>
      <c r="D16" s="285">
        <f>income!B14-income!B13-income!B12</f>
        <v>67479400</v>
      </c>
      <c r="E16" s="285">
        <f>income!C14-income!C13-income!C12</f>
        <v>68988800</v>
      </c>
      <c r="F16" s="285">
        <f>income!D14-income!D13-income!D12</f>
        <v>70921100</v>
      </c>
      <c r="G16" s="285">
        <f>income!E14-income!E13-income!E12</f>
        <v>73012900</v>
      </c>
      <c r="H16" s="285">
        <f>income!F14-income!F13-income!F12</f>
        <v>75425800</v>
      </c>
      <c r="I16" s="285">
        <f>income!G14-income!G13-income!G12</f>
        <v>76640600</v>
      </c>
      <c r="J16" s="285">
        <f>income!H14-income!H13-income!H12</f>
        <v>77947800</v>
      </c>
      <c r="K16" s="285">
        <f>income!I14-income!I13-income!I12</f>
        <v>79299100</v>
      </c>
      <c r="L16" s="285">
        <f>income!J14-income!J13-income!J12</f>
        <v>80691400</v>
      </c>
      <c r="M16" s="285">
        <f>income!K14-income!K13-income!K12</f>
        <v>82078900</v>
      </c>
    </row>
    <row r="17" spans="1:13" x14ac:dyDescent="0.25">
      <c r="A17" s="339" t="s">
        <v>4446</v>
      </c>
      <c r="B17" s="285">
        <v>85512000</v>
      </c>
      <c r="C17" s="285">
        <v>89350000</v>
      </c>
      <c r="D17" s="285">
        <f>income!B14</f>
        <v>91806800</v>
      </c>
      <c r="E17" s="285">
        <f>income!C14</f>
        <v>79412900</v>
      </c>
      <c r="F17" s="285">
        <f>income!D14</f>
        <v>80257400</v>
      </c>
      <c r="G17" s="285">
        <f>income!E14</f>
        <v>82575700</v>
      </c>
      <c r="H17" s="285">
        <f>income!F14</f>
        <v>84880300</v>
      </c>
      <c r="I17" s="285">
        <f>income!G14</f>
        <v>86104300</v>
      </c>
      <c r="J17" s="285">
        <f>income!H14</f>
        <v>86993600</v>
      </c>
      <c r="K17" s="285">
        <f>income!I14</f>
        <v>88480100</v>
      </c>
      <c r="L17" s="285">
        <f>income!J14</f>
        <v>90010900</v>
      </c>
      <c r="M17" s="285">
        <f>income!K14</f>
        <v>91139900</v>
      </c>
    </row>
    <row r="19" spans="1:13" x14ac:dyDescent="0.25">
      <c r="A19" t="s">
        <v>4442</v>
      </c>
      <c r="B19" s="333">
        <f>B16/B17</f>
        <v>0.72014454111703619</v>
      </c>
      <c r="C19" s="333">
        <f t="shared" ref="C19" si="1">C16/C17</f>
        <v>0.72114157806379409</v>
      </c>
      <c r="D19" s="333">
        <f>D16/D17</f>
        <v>0.73501527119995469</v>
      </c>
      <c r="E19" s="333">
        <f>E16/E17</f>
        <v>0.86873543215271065</v>
      </c>
      <c r="F19" s="333">
        <f t="shared" ref="F19:M19" si="2">F16/F17</f>
        <v>0.88367054003742962</v>
      </c>
      <c r="G19" s="333">
        <f t="shared" si="2"/>
        <v>0.88419353393310618</v>
      </c>
      <c r="H19" s="333">
        <f t="shared" si="2"/>
        <v>0.88861373015882361</v>
      </c>
      <c r="I19" s="333">
        <f t="shared" si="2"/>
        <v>0.89009027423717513</v>
      </c>
      <c r="J19" s="333">
        <f t="shared" si="2"/>
        <v>0.89601763807912305</v>
      </c>
      <c r="K19" s="333">
        <f t="shared" si="2"/>
        <v>0.89623655488635301</v>
      </c>
      <c r="L19" s="333">
        <f t="shared" si="2"/>
        <v>0.89646253953687827</v>
      </c>
      <c r="M19" s="333">
        <f t="shared" si="2"/>
        <v>0.90058141384838031</v>
      </c>
    </row>
    <row r="20" spans="1:13" x14ac:dyDescent="0.25">
      <c r="A20" t="s">
        <v>4447</v>
      </c>
      <c r="B20" s="333">
        <v>0.6</v>
      </c>
      <c r="C20" s="333">
        <v>0.6</v>
      </c>
      <c r="D20" s="333">
        <v>0.6</v>
      </c>
      <c r="E20" s="333">
        <v>0.6</v>
      </c>
      <c r="F20" s="333">
        <v>0.6</v>
      </c>
      <c r="G20" s="333">
        <v>0.6</v>
      </c>
      <c r="H20" s="333">
        <v>0.6</v>
      </c>
      <c r="I20" s="333">
        <v>0.6</v>
      </c>
      <c r="J20" s="333">
        <v>0.6</v>
      </c>
      <c r="K20" s="333">
        <v>0.6</v>
      </c>
      <c r="L20" s="333">
        <v>0.6</v>
      </c>
      <c r="M20" s="333">
        <v>0.6</v>
      </c>
    </row>
    <row r="22" spans="1:13" x14ac:dyDescent="0.25">
      <c r="A22" s="47" t="s">
        <v>4448</v>
      </c>
    </row>
    <row r="24" spans="1:13" x14ac:dyDescent="0.25">
      <c r="A24" s="9" t="s">
        <v>4450</v>
      </c>
      <c r="B24" s="285">
        <v>18015000</v>
      </c>
      <c r="C24" s="285">
        <v>20140000</v>
      </c>
      <c r="D24" s="285">
        <f ca="1">income!B27+income!B20+income!B18</f>
        <v>17868000</v>
      </c>
      <c r="E24" s="285">
        <f ca="1">income!C27+income!C20+income!C18</f>
        <v>19896000</v>
      </c>
      <c r="F24" s="285">
        <f ca="1">income!D27+income!D20+income!D18</f>
        <v>19398000</v>
      </c>
      <c r="G24" s="285">
        <f ca="1">income!E27+income!E20+income!E18</f>
        <v>20497800</v>
      </c>
      <c r="H24" s="285">
        <f ca="1">income!F27+income!F20+income!F18</f>
        <v>21444500</v>
      </c>
      <c r="I24" s="285">
        <f ca="1">income!G27+income!G20+income!G18</f>
        <v>21696900</v>
      </c>
      <c r="J24" s="285">
        <f ca="1">income!H27+income!H20+income!H18</f>
        <v>21539700</v>
      </c>
      <c r="K24" s="285">
        <f ca="1">income!I27+income!I20+income!I18</f>
        <v>21149800</v>
      </c>
      <c r="L24" s="285">
        <f ca="1">income!J27+income!J20+income!J18</f>
        <v>21362900</v>
      </c>
      <c r="M24" s="285">
        <f ca="1">income!K27+income!K20+income!K18</f>
        <v>21238700</v>
      </c>
    </row>
    <row r="25" spans="1:13" x14ac:dyDescent="0.25">
      <c r="A25" t="s">
        <v>4449</v>
      </c>
      <c r="B25" s="285">
        <v>8308000</v>
      </c>
      <c r="C25" s="285">
        <v>8475000</v>
      </c>
      <c r="D25" s="285">
        <f>fundingstat!B21+income!B18</f>
        <v>7236200</v>
      </c>
      <c r="E25" s="285">
        <f>fundingstat!C21+income!C18</f>
        <v>7031500</v>
      </c>
      <c r="F25" s="285">
        <f>fundingstat!D21+income!D18</f>
        <v>7164200</v>
      </c>
      <c r="G25" s="285">
        <f>fundingstat!E21+income!E18</f>
        <v>7193600</v>
      </c>
      <c r="H25" s="285">
        <f>fundingstat!F21+income!F18</f>
        <v>7132100</v>
      </c>
      <c r="I25" s="285">
        <f>fundingstat!G21+income!G18</f>
        <v>7129100</v>
      </c>
      <c r="J25" s="285">
        <f>fundingstat!H21+income!H18</f>
        <v>6874100</v>
      </c>
      <c r="K25" s="285">
        <f>fundingstat!I21+income!I18</f>
        <v>6833900</v>
      </c>
      <c r="L25" s="285">
        <f>fundingstat!J21+income!J18</f>
        <v>6057800</v>
      </c>
      <c r="M25" s="285">
        <f>fundingstat!K21+income!K18</f>
        <v>6057800</v>
      </c>
    </row>
    <row r="27" spans="1:13" x14ac:dyDescent="0.25">
      <c r="A27" t="s">
        <v>4442</v>
      </c>
      <c r="B27" s="340">
        <f>B24/B25</f>
        <v>2.1683919114106884</v>
      </c>
      <c r="C27" s="340">
        <f t="shared" ref="C27" si="3">C24/C25</f>
        <v>2.376401179941003</v>
      </c>
      <c r="D27" s="340">
        <f ca="1">D24/D25</f>
        <v>2.4692518172521489</v>
      </c>
      <c r="E27" s="340">
        <f ca="1">E24/E25</f>
        <v>2.8295527270141507</v>
      </c>
      <c r="F27" s="340">
        <f t="shared" ref="F27:M27" ca="1" si="4">F24/F25</f>
        <v>2.7076296027469922</v>
      </c>
      <c r="G27" s="340">
        <f t="shared" ca="1" si="4"/>
        <v>2.8494495106761564</v>
      </c>
      <c r="H27" s="340">
        <f t="shared" ca="1" si="4"/>
        <v>3.0067581778157906</v>
      </c>
      <c r="I27" s="340">
        <f t="shared" ca="1" si="4"/>
        <v>3.0434276416377943</v>
      </c>
      <c r="J27" s="340">
        <f t="shared" ca="1" si="4"/>
        <v>3.1334574707961771</v>
      </c>
      <c r="K27" s="340">
        <f t="shared" ca="1" si="4"/>
        <v>3.0948360379870938</v>
      </c>
      <c r="L27" s="340">
        <f t="shared" ca="1" si="4"/>
        <v>3.5265112747201957</v>
      </c>
      <c r="M27" s="340">
        <f t="shared" ca="1" si="4"/>
        <v>3.5060087820660968</v>
      </c>
    </row>
    <row r="28" spans="1:13" x14ac:dyDescent="0.25">
      <c r="A28" t="s">
        <v>4455</v>
      </c>
      <c r="B28" s="344">
        <v>2</v>
      </c>
      <c r="C28" s="344">
        <v>2</v>
      </c>
      <c r="D28" s="344">
        <v>2</v>
      </c>
      <c r="E28" s="344">
        <v>2</v>
      </c>
      <c r="F28" s="344">
        <v>2</v>
      </c>
      <c r="G28" s="344">
        <v>2</v>
      </c>
      <c r="H28" s="344">
        <v>2</v>
      </c>
      <c r="I28" s="344">
        <v>2</v>
      </c>
      <c r="J28" s="344">
        <v>2</v>
      </c>
      <c r="K28" s="344">
        <v>2</v>
      </c>
      <c r="L28" s="344">
        <v>2</v>
      </c>
      <c r="M28" s="344">
        <v>2</v>
      </c>
    </row>
    <row r="30" spans="1:13" x14ac:dyDescent="0.25">
      <c r="A30" s="47" t="s">
        <v>4451</v>
      </c>
    </row>
    <row r="32" spans="1:13" x14ac:dyDescent="0.25">
      <c r="A32" s="342" t="s">
        <v>4452</v>
      </c>
      <c r="B32" s="343">
        <f>B25</f>
        <v>8308000</v>
      </c>
      <c r="C32" s="343">
        <f t="shared" ref="C32:M32" si="5">C25</f>
        <v>8475000</v>
      </c>
      <c r="D32" s="343">
        <f t="shared" si="5"/>
        <v>7236200</v>
      </c>
      <c r="E32" s="343">
        <f t="shared" si="5"/>
        <v>7031500</v>
      </c>
      <c r="F32" s="343">
        <f t="shared" si="5"/>
        <v>7164200</v>
      </c>
      <c r="G32" s="343">
        <f t="shared" si="5"/>
        <v>7193600</v>
      </c>
      <c r="H32" s="343">
        <f t="shared" si="5"/>
        <v>7132100</v>
      </c>
      <c r="I32" s="343">
        <f t="shared" si="5"/>
        <v>7129100</v>
      </c>
      <c r="J32" s="343">
        <f t="shared" si="5"/>
        <v>6874100</v>
      </c>
      <c r="K32" s="343">
        <f t="shared" si="5"/>
        <v>6833900</v>
      </c>
      <c r="L32" s="343">
        <f t="shared" si="5"/>
        <v>6057800</v>
      </c>
      <c r="M32" s="343">
        <f t="shared" si="5"/>
        <v>6057800</v>
      </c>
    </row>
    <row r="33" spans="1:13" x14ac:dyDescent="0.25">
      <c r="A33" s="341" t="s">
        <v>4453</v>
      </c>
      <c r="B33" s="343">
        <f>B9</f>
        <v>78242000</v>
      </c>
      <c r="C33" s="343">
        <f t="shared" ref="C33:M33" si="6">C9</f>
        <v>76643000</v>
      </c>
      <c r="D33" s="343">
        <f t="shared" si="6"/>
        <v>73493800</v>
      </c>
      <c r="E33" s="343">
        <f t="shared" si="6"/>
        <v>75503800</v>
      </c>
      <c r="F33" s="343">
        <f t="shared" si="6"/>
        <v>76295800</v>
      </c>
      <c r="G33" s="343">
        <f t="shared" si="6"/>
        <v>79011100</v>
      </c>
      <c r="H33" s="343">
        <f t="shared" si="6"/>
        <v>81271000</v>
      </c>
      <c r="I33" s="343">
        <f t="shared" si="6"/>
        <v>82731700</v>
      </c>
      <c r="J33" s="343">
        <f t="shared" si="6"/>
        <v>83807400</v>
      </c>
      <c r="K33" s="343">
        <f t="shared" si="6"/>
        <v>85279700</v>
      </c>
      <c r="L33" s="343">
        <f t="shared" si="6"/>
        <v>86795700</v>
      </c>
      <c r="M33" s="343">
        <f t="shared" si="6"/>
        <v>88309900</v>
      </c>
    </row>
    <row r="35" spans="1:13" x14ac:dyDescent="0.25">
      <c r="A35" t="s">
        <v>4442</v>
      </c>
      <c r="B35" s="333">
        <f>B32/B33</f>
        <v>0.10618337977045576</v>
      </c>
      <c r="C35" s="333">
        <f t="shared" ref="C35" si="7">C32/C33</f>
        <v>0.110577613089258</v>
      </c>
      <c r="D35" s="333">
        <f>D32/D33</f>
        <v>9.846000615017865E-2</v>
      </c>
      <c r="E35" s="333">
        <f>E32/E33</f>
        <v>9.312776310596288E-2</v>
      </c>
      <c r="F35" s="333">
        <f t="shared" ref="F35:M35" si="8">F32/F33</f>
        <v>9.3900319545767913E-2</v>
      </c>
      <c r="G35" s="333">
        <f t="shared" si="8"/>
        <v>9.1045435388192292E-2</v>
      </c>
      <c r="H35" s="333">
        <f t="shared" si="8"/>
        <v>8.7757010495748786E-2</v>
      </c>
      <c r="I35" s="333">
        <f t="shared" si="8"/>
        <v>8.6171322479774978E-2</v>
      </c>
      <c r="J35" s="333">
        <f t="shared" si="8"/>
        <v>8.2022589890630188E-2</v>
      </c>
      <c r="K35" s="333">
        <f t="shared" si="8"/>
        <v>8.0135131807452423E-2</v>
      </c>
      <c r="L35" s="333">
        <f t="shared" si="8"/>
        <v>6.9793780106618186E-2</v>
      </c>
      <c r="M35" s="333">
        <f t="shared" si="8"/>
        <v>6.8597065561165849E-2</v>
      </c>
    </row>
    <row r="36" spans="1:13" x14ac:dyDescent="0.25">
      <c r="A36" t="s">
        <v>4454</v>
      </c>
      <c r="B36" s="333">
        <v>0.2</v>
      </c>
      <c r="C36" s="333">
        <v>0.2</v>
      </c>
      <c r="D36" s="333">
        <v>0.2</v>
      </c>
      <c r="E36" s="333">
        <v>0.2</v>
      </c>
      <c r="F36" s="333">
        <v>0.2</v>
      </c>
      <c r="G36" s="333">
        <v>0.2</v>
      </c>
      <c r="H36" s="333">
        <v>0.2</v>
      </c>
      <c r="I36" s="333">
        <v>0.2</v>
      </c>
      <c r="J36" s="333">
        <v>0.2</v>
      </c>
      <c r="K36" s="333">
        <v>0.2</v>
      </c>
      <c r="L36" s="333">
        <v>0.2</v>
      </c>
      <c r="M36" s="333">
        <v>0.2</v>
      </c>
    </row>
    <row r="38" spans="1:13" x14ac:dyDescent="0.25">
      <c r="A38" s="47" t="s">
        <v>4456</v>
      </c>
      <c r="B38" s="345"/>
    </row>
    <row r="40" spans="1:13" x14ac:dyDescent="0.25">
      <c r="A40" s="9" t="s">
        <v>4457</v>
      </c>
      <c r="B40" s="285">
        <v>6987000</v>
      </c>
      <c r="C40" s="285">
        <v>10426000</v>
      </c>
      <c r="D40" s="285">
        <f>'maintenance funding'!D30</f>
        <v>9942900</v>
      </c>
      <c r="E40" s="285">
        <f>'maintenance funding'!E30</f>
        <v>10170900</v>
      </c>
      <c r="F40" s="285">
        <f>'maintenance funding'!F30</f>
        <v>10551900</v>
      </c>
      <c r="G40" s="285">
        <f>'maintenance funding'!G30</f>
        <v>10990400</v>
      </c>
      <c r="H40" s="285">
        <f>'maintenance funding'!H30</f>
        <v>11609100</v>
      </c>
      <c r="I40" s="285">
        <f>'maintenance funding'!I30</f>
        <v>11854300</v>
      </c>
      <c r="J40" s="285">
        <f>'maintenance funding'!J30</f>
        <v>12105500</v>
      </c>
      <c r="K40" s="285">
        <f>'maintenance funding'!K30</f>
        <v>12418300</v>
      </c>
      <c r="L40" s="285">
        <f>'maintenance funding'!L30</f>
        <v>12739700</v>
      </c>
      <c r="M40" s="285">
        <f>'maintenance funding'!M30</f>
        <v>13065200</v>
      </c>
    </row>
    <row r="41" spans="1:13" x14ac:dyDescent="0.25">
      <c r="A41" t="s">
        <v>4458</v>
      </c>
      <c r="B41" s="285">
        <v>7704000</v>
      </c>
      <c r="C41" s="285">
        <v>10347000</v>
      </c>
      <c r="D41" s="285">
        <f>ROUND(C41+(C41*Assumptions!B13),-2)</f>
        <v>10533200</v>
      </c>
      <c r="E41" s="285">
        <f>ROUND(D41+(D41*Assumptions!C13),-2)</f>
        <v>10743900</v>
      </c>
      <c r="F41" s="285">
        <f>ROUND(E41+(E41*Assumptions!D13),-2)</f>
        <v>11012500</v>
      </c>
      <c r="G41" s="285">
        <f>ROUND(F41+(F41*Assumptions!E13),-2)</f>
        <v>11287800</v>
      </c>
      <c r="H41" s="285">
        <f>ROUND(G41+(G41*Assumptions!F13),-2)</f>
        <v>11570000</v>
      </c>
      <c r="I41" s="285">
        <f>ROUND(H41+(H41*Assumptions!G13),-2)</f>
        <v>11859300</v>
      </c>
      <c r="J41" s="285">
        <f>ROUND(I41+(I41*Assumptions!H13),-2)</f>
        <v>12155800</v>
      </c>
      <c r="K41" s="285">
        <f>ROUND(J41+(J41*Assumptions!I13),-2)</f>
        <v>12459700</v>
      </c>
      <c r="L41" s="285">
        <f>ROUND(K41+(K41*Assumptions!J13),-2)</f>
        <v>12771200</v>
      </c>
      <c r="M41" s="285">
        <f>ROUND(L41+(L41*Assumptions!K13),-2)</f>
        <v>13090500</v>
      </c>
    </row>
    <row r="43" spans="1:13" x14ac:dyDescent="0.25">
      <c r="A43" t="s">
        <v>4459</v>
      </c>
      <c r="B43" s="340">
        <f>B40/B41</f>
        <v>0.9069314641744548</v>
      </c>
      <c r="C43" s="340">
        <f t="shared" ref="C43" si="9">C40/C41</f>
        <v>1.007635063303373</v>
      </c>
      <c r="D43" s="340">
        <f>D40/D41</f>
        <v>0.94395815136900463</v>
      </c>
      <c r="E43" s="340">
        <f>E40/E41</f>
        <v>0.94666741127523524</v>
      </c>
      <c r="F43" s="340">
        <f t="shared" ref="F43:M43" si="10">F40/F41</f>
        <v>0.95817480136208855</v>
      </c>
      <c r="G43" s="340">
        <f t="shared" si="10"/>
        <v>0.97365297046368648</v>
      </c>
      <c r="H43" s="340">
        <f t="shared" si="10"/>
        <v>1.0033794295592049</v>
      </c>
      <c r="I43" s="340">
        <f t="shared" si="10"/>
        <v>0.99957838995556225</v>
      </c>
      <c r="J43" s="340">
        <f t="shared" si="10"/>
        <v>0.99586205761858537</v>
      </c>
      <c r="K43" s="340">
        <f t="shared" si="10"/>
        <v>0.99667728757514229</v>
      </c>
      <c r="L43" s="340">
        <f t="shared" si="10"/>
        <v>0.99753351290403403</v>
      </c>
      <c r="M43" s="340">
        <f t="shared" si="10"/>
        <v>0.99806730071425842</v>
      </c>
    </row>
    <row r="44" spans="1:13" x14ac:dyDescent="0.25">
      <c r="A44" t="s">
        <v>4460</v>
      </c>
      <c r="B44" s="344">
        <v>1</v>
      </c>
      <c r="C44" s="344">
        <v>1</v>
      </c>
      <c r="D44" s="344">
        <v>1</v>
      </c>
      <c r="E44" s="344">
        <v>1</v>
      </c>
      <c r="F44" s="344">
        <v>1</v>
      </c>
      <c r="G44" s="344">
        <v>1</v>
      </c>
      <c r="H44" s="344">
        <v>1</v>
      </c>
      <c r="I44" s="344">
        <v>1</v>
      </c>
      <c r="J44" s="344">
        <v>1</v>
      </c>
      <c r="K44" s="344">
        <v>1</v>
      </c>
      <c r="L44" s="344">
        <v>1</v>
      </c>
      <c r="M44" s="344">
        <v>1</v>
      </c>
    </row>
    <row r="46" spans="1:13" x14ac:dyDescent="0.25">
      <c r="A46" s="47" t="s">
        <v>4477</v>
      </c>
      <c r="B46" s="345"/>
    </row>
    <row r="48" spans="1:13" x14ac:dyDescent="0.25">
      <c r="A48" s="9" t="s">
        <v>4478</v>
      </c>
      <c r="B48" s="285">
        <v>4162000</v>
      </c>
      <c r="C48" s="285">
        <v>15670000</v>
      </c>
      <c r="D48" s="285">
        <f>capitalexpdata!F778+capitalexpdata!F785+capitalexpdata!F792+capitalexpdata!F780+capitalexpdata!F787+capitalexpdata!F794</f>
        <v>26705400</v>
      </c>
      <c r="E48" s="285">
        <f>capitalexpdata!G778+capitalexpdata!G785+capitalexpdata!G792+capitalexpdata!G780+capitalexpdata!G787+capitalexpdata!G794</f>
        <v>13092011</v>
      </c>
      <c r="F48" s="285">
        <f>capitalexpdata!H778+capitalexpdata!H785+capitalexpdata!H792+capitalexpdata!H780+capitalexpdata!H787+capitalexpdata!H794</f>
        <v>8281331</v>
      </c>
      <c r="G48" s="285">
        <f>capitalexpdata!I778+capitalexpdata!I785+capitalexpdata!I792+capitalexpdata!I780+capitalexpdata!I787+capitalexpdata!I794</f>
        <v>21031004</v>
      </c>
      <c r="H48" s="285">
        <f>capitalexpdata!J778+capitalexpdata!J785+capitalexpdata!J792+capitalexpdata!J780+capitalexpdata!J787+capitalexpdata!J794</f>
        <v>9430734</v>
      </c>
      <c r="I48" s="285">
        <f>capitalexpdata!K778+capitalexpdata!K785+capitalexpdata!K792+capitalexpdata!K780+capitalexpdata!K787+capitalexpdata!K794</f>
        <v>9146053</v>
      </c>
      <c r="J48" s="285">
        <f>capitalexpdata!L778+capitalexpdata!L785+capitalexpdata!L792+capitalexpdata!L780+capitalexpdata!L787+capitalexpdata!L794</f>
        <v>9174014</v>
      </c>
      <c r="K48" s="285">
        <f>capitalexpdata!M778+capitalexpdata!M785+capitalexpdata!M792+capitalexpdata!M780+capitalexpdata!M787+capitalexpdata!M794</f>
        <v>9261181</v>
      </c>
      <c r="L48" s="285">
        <f>capitalexpdata!N778+capitalexpdata!N785+capitalexpdata!N792+capitalexpdata!N780+capitalexpdata!N787+capitalexpdata!N794</f>
        <v>10763240</v>
      </c>
      <c r="M48" s="285">
        <f>capitalexpdata!O778+capitalexpdata!O785+capitalexpdata!O792+capitalexpdata!O780+capitalexpdata!O787+capitalexpdata!O794</f>
        <v>20953102</v>
      </c>
    </row>
    <row r="49" spans="1:13" x14ac:dyDescent="0.25">
      <c r="A49" t="s">
        <v>4479</v>
      </c>
      <c r="B49" s="285">
        <v>11110000</v>
      </c>
      <c r="C49" s="285">
        <v>11455000</v>
      </c>
      <c r="D49" s="285">
        <f>income!B20-operatingdata!E791</f>
        <v>11756100</v>
      </c>
      <c r="E49" s="285">
        <f>income!C20-operatingdata!F791</f>
        <v>11873600</v>
      </c>
      <c r="F49" s="285">
        <f>income!D20-operatingdata!G791</f>
        <v>11992500</v>
      </c>
      <c r="G49" s="285">
        <f>income!E20-operatingdata!H791</f>
        <v>12112600</v>
      </c>
      <c r="H49" s="285">
        <f>income!F20-operatingdata!I791</f>
        <v>12233700</v>
      </c>
      <c r="I49" s="285">
        <f>income!G20-operatingdata!J791</f>
        <v>12355800</v>
      </c>
      <c r="J49" s="285">
        <f>income!H20-operatingdata!K791</f>
        <v>12479200</v>
      </c>
      <c r="K49" s="285">
        <f>income!I20-operatingdata!L791</f>
        <v>12603800</v>
      </c>
      <c r="L49" s="285">
        <f>income!J20-operatingdata!M791</f>
        <v>12729300</v>
      </c>
      <c r="M49" s="285">
        <f>income!K20-operatingdata!N791</f>
        <v>12856600</v>
      </c>
    </row>
    <row r="51" spans="1:13" x14ac:dyDescent="0.25">
      <c r="A51" t="s">
        <v>4459</v>
      </c>
      <c r="B51" s="340">
        <f>B48/B49</f>
        <v>0.37461746174617461</v>
      </c>
      <c r="C51" s="340">
        <f t="shared" ref="C51" si="11">C48/C49</f>
        <v>1.3679615888258403</v>
      </c>
      <c r="D51" s="340">
        <f>D48/D49</f>
        <v>2.2716206905351264</v>
      </c>
      <c r="E51" s="340">
        <f>E48/E49</f>
        <v>1.1026151293626196</v>
      </c>
      <c r="F51" s="340">
        <f t="shared" ref="F51:M51" si="12">F48/F49</f>
        <v>0.69054250573274967</v>
      </c>
      <c r="G51" s="340">
        <f t="shared" si="12"/>
        <v>1.7362914650859436</v>
      </c>
      <c r="H51" s="340">
        <f t="shared" si="12"/>
        <v>0.77088158120601291</v>
      </c>
      <c r="I51" s="340">
        <f t="shared" si="12"/>
        <v>0.740223457809288</v>
      </c>
      <c r="J51" s="340">
        <f t="shared" si="12"/>
        <v>0.7351444002820694</v>
      </c>
      <c r="K51" s="340">
        <f t="shared" si="12"/>
        <v>0.73479276091337531</v>
      </c>
      <c r="L51" s="340">
        <f t="shared" si="12"/>
        <v>0.84554845906687726</v>
      </c>
      <c r="M51" s="340">
        <f t="shared" si="12"/>
        <v>1.6297545229687476</v>
      </c>
    </row>
    <row r="52" spans="1:13" x14ac:dyDescent="0.25">
      <c r="A52" t="s">
        <v>4460</v>
      </c>
      <c r="B52" s="344">
        <v>1</v>
      </c>
      <c r="C52" s="344">
        <v>1</v>
      </c>
      <c r="D52" s="344">
        <v>1</v>
      </c>
      <c r="E52" s="344">
        <v>1</v>
      </c>
      <c r="F52" s="344">
        <v>1</v>
      </c>
      <c r="G52" s="344">
        <v>1</v>
      </c>
      <c r="H52" s="344">
        <v>1</v>
      </c>
      <c r="I52" s="344">
        <v>1</v>
      </c>
      <c r="J52" s="344">
        <v>1</v>
      </c>
      <c r="K52" s="344">
        <v>1</v>
      </c>
      <c r="L52" s="344">
        <v>1</v>
      </c>
      <c r="M52" s="344">
        <v>1</v>
      </c>
    </row>
    <row r="54" spans="1:13" x14ac:dyDescent="0.25">
      <c r="A54" s="47" t="s">
        <v>4491</v>
      </c>
    </row>
    <row r="56" spans="1:13" x14ac:dyDescent="0.25">
      <c r="A56" s="9" t="s">
        <v>4488</v>
      </c>
      <c r="B56" s="285">
        <v>29455000</v>
      </c>
      <c r="C56" s="285">
        <v>38152000</v>
      </c>
      <c r="D56" s="285">
        <v>40400000</v>
      </c>
      <c r="E56" s="285">
        <v>41000000</v>
      </c>
      <c r="F56" s="285">
        <v>43000000</v>
      </c>
      <c r="G56" s="285">
        <v>47000000</v>
      </c>
      <c r="H56" s="285">
        <v>49000000</v>
      </c>
      <c r="I56" s="285">
        <v>51000000</v>
      </c>
      <c r="J56" s="285">
        <v>53000000</v>
      </c>
      <c r="K56" s="285">
        <v>55000000</v>
      </c>
      <c r="L56" s="285">
        <v>58000000</v>
      </c>
      <c r="M56" s="285">
        <v>61000000</v>
      </c>
    </row>
    <row r="57" spans="1:13" x14ac:dyDescent="0.25">
      <c r="A57" t="s">
        <v>4489</v>
      </c>
      <c r="B57" s="285">
        <v>469527000</v>
      </c>
      <c r="C57" s="285">
        <v>481837000</v>
      </c>
      <c r="D57" s="285">
        <f>C57-D49+D48</f>
        <v>496786300</v>
      </c>
      <c r="E57" s="285">
        <f t="shared" ref="E57:M57" si="13">D57-E49+E48</f>
        <v>498004711</v>
      </c>
      <c r="F57" s="285">
        <f t="shared" si="13"/>
        <v>494293542</v>
      </c>
      <c r="G57" s="285">
        <f t="shared" si="13"/>
        <v>503211946</v>
      </c>
      <c r="H57" s="285">
        <f t="shared" si="13"/>
        <v>500408980</v>
      </c>
      <c r="I57" s="285">
        <f t="shared" si="13"/>
        <v>497199233</v>
      </c>
      <c r="J57" s="285">
        <f t="shared" si="13"/>
        <v>493894047</v>
      </c>
      <c r="K57" s="285">
        <f t="shared" si="13"/>
        <v>490551428</v>
      </c>
      <c r="L57" s="285">
        <f t="shared" si="13"/>
        <v>488585368</v>
      </c>
      <c r="M57" s="285">
        <f t="shared" si="13"/>
        <v>496681870</v>
      </c>
    </row>
    <row r="59" spans="1:13" x14ac:dyDescent="0.25">
      <c r="A59" t="s">
        <v>4459</v>
      </c>
      <c r="B59" s="333">
        <f>B56/B57</f>
        <v>6.2733346538111759E-2</v>
      </c>
      <c r="C59" s="333">
        <f t="shared" ref="C59" si="14">C56/C57</f>
        <v>7.9180303712666322E-2</v>
      </c>
      <c r="D59" s="333">
        <f>D56/D57</f>
        <v>8.1322693480073829E-2</v>
      </c>
      <c r="E59" s="333">
        <f>E56/E57</f>
        <v>8.2328538454327999E-2</v>
      </c>
      <c r="F59" s="333">
        <f t="shared" ref="F59:M59" si="15">F56/F57</f>
        <v>8.6992841998328185E-2</v>
      </c>
      <c r="G59" s="333">
        <f t="shared" si="15"/>
        <v>9.3400008433027149E-2</v>
      </c>
      <c r="H59" s="333">
        <f t="shared" si="15"/>
        <v>9.7919905434151078E-2</v>
      </c>
      <c r="I59" s="333">
        <f t="shared" si="15"/>
        <v>0.10257457496922566</v>
      </c>
      <c r="J59" s="333">
        <f t="shared" si="15"/>
        <v>0.10731046531524605</v>
      </c>
      <c r="K59" s="333">
        <f t="shared" si="15"/>
        <v>0.11211872366621671</v>
      </c>
      <c r="L59" s="333">
        <f t="shared" si="15"/>
        <v>0.11871006337627368</v>
      </c>
      <c r="M59" s="333">
        <f t="shared" si="15"/>
        <v>0.12281503248749547</v>
      </c>
    </row>
    <row r="60" spans="1:13" x14ac:dyDescent="0.25">
      <c r="A60" t="s">
        <v>4490</v>
      </c>
      <c r="B60" s="333">
        <v>0.02</v>
      </c>
      <c r="C60" s="333">
        <v>0.02</v>
      </c>
      <c r="D60" s="333">
        <v>0.02</v>
      </c>
      <c r="E60" s="333">
        <v>0.02</v>
      </c>
      <c r="F60" s="333">
        <v>0.02</v>
      </c>
      <c r="G60" s="333">
        <v>0.02</v>
      </c>
      <c r="H60" s="333">
        <v>0.02</v>
      </c>
      <c r="I60" s="333">
        <v>0.02</v>
      </c>
      <c r="J60" s="333">
        <v>0.02</v>
      </c>
      <c r="K60" s="333">
        <v>0.02</v>
      </c>
      <c r="L60" s="333">
        <v>0.02</v>
      </c>
      <c r="M60" s="333">
        <v>0.02</v>
      </c>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3"/>
  <sheetViews>
    <sheetView workbookViewId="0">
      <selection activeCell="A50" sqref="A50"/>
    </sheetView>
  </sheetViews>
  <sheetFormatPr defaultRowHeight="15" x14ac:dyDescent="0.25"/>
  <cols>
    <col min="1" max="1" width="60" customWidth="1"/>
    <col min="2" max="13" width="12.7109375" customWidth="1"/>
  </cols>
  <sheetData>
    <row r="1" spans="1:13" ht="15.75" x14ac:dyDescent="0.25">
      <c r="A1" s="48" t="s">
        <v>0</v>
      </c>
      <c r="B1" s="48"/>
      <c r="C1" s="48"/>
      <c r="D1" s="48"/>
      <c r="E1" s="39"/>
      <c r="F1" s="39"/>
      <c r="G1" s="39"/>
      <c r="H1" s="39"/>
      <c r="I1" s="39"/>
      <c r="J1" s="39"/>
      <c r="K1" s="39"/>
      <c r="L1" s="39"/>
      <c r="M1" s="39"/>
    </row>
    <row r="2" spans="1:13" ht="15.75" x14ac:dyDescent="0.25">
      <c r="A2" s="48" t="s">
        <v>4639</v>
      </c>
      <c r="B2" s="48"/>
      <c r="C2" s="48"/>
      <c r="D2" s="48"/>
      <c r="E2" s="39"/>
      <c r="F2" s="39"/>
      <c r="G2" s="39"/>
      <c r="H2" s="39"/>
      <c r="I2" s="39"/>
      <c r="J2" s="39"/>
      <c r="K2" s="39"/>
      <c r="L2" s="39"/>
      <c r="M2" s="39"/>
    </row>
    <row r="3" spans="1:13" x14ac:dyDescent="0.25">
      <c r="A3" s="277" t="s">
        <v>196</v>
      </c>
      <c r="B3" s="1"/>
      <c r="C3" s="1"/>
      <c r="D3" s="1" t="s">
        <v>11</v>
      </c>
      <c r="E3" s="279" t="s">
        <v>12</v>
      </c>
      <c r="F3" s="279" t="s">
        <v>13</v>
      </c>
      <c r="G3" s="279" t="s">
        <v>15</v>
      </c>
      <c r="H3" s="279" t="s">
        <v>16</v>
      </c>
      <c r="I3" s="279" t="s">
        <v>17</v>
      </c>
      <c r="J3" s="279" t="s">
        <v>18</v>
      </c>
      <c r="K3" s="279" t="s">
        <v>19</v>
      </c>
      <c r="L3" s="279" t="s">
        <v>20</v>
      </c>
      <c r="M3" s="279" t="s">
        <v>21</v>
      </c>
    </row>
    <row r="4" spans="1:13" x14ac:dyDescent="0.25">
      <c r="A4" s="2" t="s">
        <v>4409</v>
      </c>
      <c r="B4" s="2"/>
      <c r="C4" s="2"/>
      <c r="D4" s="2" t="s">
        <v>4438</v>
      </c>
      <c r="E4" s="50" t="s">
        <v>4438</v>
      </c>
      <c r="F4" s="50" t="s">
        <v>4438</v>
      </c>
      <c r="G4" s="50" t="s">
        <v>4438</v>
      </c>
      <c r="H4" s="50" t="s">
        <v>4438</v>
      </c>
      <c r="I4" s="50" t="s">
        <v>4438</v>
      </c>
      <c r="J4" s="50" t="s">
        <v>4438</v>
      </c>
      <c r="K4" s="50" t="s">
        <v>4438</v>
      </c>
      <c r="L4" s="50" t="s">
        <v>4438</v>
      </c>
      <c r="M4" s="50" t="s">
        <v>4438</v>
      </c>
    </row>
    <row r="5" spans="1:13" x14ac:dyDescent="0.25">
      <c r="D5" s="285"/>
      <c r="E5" s="285"/>
      <c r="F5" s="285"/>
      <c r="G5" s="285"/>
      <c r="H5" s="285"/>
      <c r="I5" s="285"/>
      <c r="J5" s="285"/>
      <c r="K5" s="285"/>
      <c r="L5" s="285"/>
      <c r="M5" s="285"/>
    </row>
    <row r="6" spans="1:13" x14ac:dyDescent="0.25">
      <c r="A6" s="47" t="s">
        <v>4457</v>
      </c>
      <c r="B6" s="345"/>
      <c r="D6" s="285"/>
      <c r="E6" s="285"/>
      <c r="F6" s="285"/>
      <c r="G6" s="285"/>
      <c r="H6" s="285"/>
      <c r="I6" s="285"/>
      <c r="J6" s="285"/>
      <c r="K6" s="285"/>
      <c r="L6" s="285"/>
      <c r="M6" s="285"/>
    </row>
    <row r="7" spans="1:13" x14ac:dyDescent="0.25">
      <c r="A7" t="s">
        <v>4461</v>
      </c>
      <c r="D7" s="285">
        <f>operatingdata!E813+operatingdata!E814+operatingdata!E815+operatingdata!E816+operatingdata!E817+operatingdata!E819+operatingdata!E822+operatingdata!E824</f>
        <v>407800</v>
      </c>
      <c r="E7" s="285">
        <f>operatingdata!F813+operatingdata!F814+operatingdata!F815+operatingdata!F816+operatingdata!F817+operatingdata!F819+operatingdata!F822+operatingdata!F824</f>
        <v>413900</v>
      </c>
      <c r="F7" s="285">
        <f>operatingdata!G813+operatingdata!G814+operatingdata!G815+operatingdata!G816+operatingdata!G817+operatingdata!G819+operatingdata!G822+operatingdata!G824</f>
        <v>422100</v>
      </c>
      <c r="G7" s="285">
        <f>operatingdata!H813+operatingdata!H814+operatingdata!H815+operatingdata!H816+operatingdata!H817+operatingdata!H819+operatingdata!H822+operatingdata!H824</f>
        <v>430500</v>
      </c>
      <c r="H7" s="285">
        <f>operatingdata!I813+operatingdata!I814+operatingdata!I815+operatingdata!I816+operatingdata!I817+operatingdata!I819+operatingdata!I822+operatingdata!I824</f>
        <v>439000</v>
      </c>
      <c r="I7" s="285">
        <f>operatingdata!J813+operatingdata!J814+operatingdata!J815+operatingdata!J816+operatingdata!J817+operatingdata!J819+operatingdata!J822+operatingdata!J824</f>
        <v>447700</v>
      </c>
      <c r="J7" s="285">
        <f>operatingdata!K813+operatingdata!K814+operatingdata!K815+operatingdata!K816+operatingdata!K817+operatingdata!K819+operatingdata!K822+operatingdata!K824</f>
        <v>456700</v>
      </c>
      <c r="K7" s="285">
        <f>operatingdata!L813+operatingdata!L814+operatingdata!L815+operatingdata!L816+operatingdata!L817+operatingdata!L819+operatingdata!L822+operatingdata!L824</f>
        <v>468100</v>
      </c>
      <c r="L7" s="285">
        <f>operatingdata!M813+operatingdata!M814+operatingdata!M815+operatingdata!M816+operatingdata!M817+operatingdata!M819+operatingdata!M822+operatingdata!M824</f>
        <v>479800</v>
      </c>
      <c r="M7" s="285">
        <f>operatingdata!N813+operatingdata!N814+operatingdata!N815+operatingdata!N816+operatingdata!N817+operatingdata!N819+operatingdata!N822+operatingdata!N824</f>
        <v>491800</v>
      </c>
    </row>
    <row r="8" spans="1:13" x14ac:dyDescent="0.25">
      <c r="A8" t="s">
        <v>4462</v>
      </c>
      <c r="D8" s="285">
        <f>operatingdata!E826+operatingdata!E827+operatingdata!E828+operatingdata!E829+operatingdata!E830+operatingdata!E831+operatingdata!E832+operatingdata!E833</f>
        <v>502200</v>
      </c>
      <c r="E8" s="285">
        <f>operatingdata!F826+operatingdata!F827+operatingdata!F828+operatingdata!F829+operatingdata!F830+operatingdata!F831+operatingdata!F832+operatingdata!F833</f>
        <v>509700</v>
      </c>
      <c r="F8" s="285">
        <f>operatingdata!G826+operatingdata!G827+operatingdata!G828+operatingdata!G829+operatingdata!G830+operatingdata!G831+operatingdata!G832+operatingdata!G833</f>
        <v>519900</v>
      </c>
      <c r="G8" s="285">
        <f>operatingdata!H826+operatingdata!H827+operatingdata!H828+operatingdata!H829+operatingdata!H830+operatingdata!H831+operatingdata!H832+operatingdata!H833</f>
        <v>530200</v>
      </c>
      <c r="H8" s="285">
        <f>operatingdata!I826+operatingdata!I827+operatingdata!I828+operatingdata!I829+operatingdata!I830+operatingdata!I831+operatingdata!I832+operatingdata!I833</f>
        <v>540700</v>
      </c>
      <c r="I8" s="285">
        <f>operatingdata!J826+operatingdata!J827+operatingdata!J828+operatingdata!J829+operatingdata!J830+operatingdata!J831+operatingdata!J832+operatingdata!J833</f>
        <v>551300</v>
      </c>
      <c r="J8" s="285">
        <f>operatingdata!K826+operatingdata!K827+operatingdata!K828+operatingdata!K829+operatingdata!K830+operatingdata!K831+operatingdata!K832+operatingdata!K833</f>
        <v>562300</v>
      </c>
      <c r="K8" s="285">
        <f>operatingdata!L826+operatingdata!L827+operatingdata!L828+operatingdata!L829+operatingdata!L830+operatingdata!L831+operatingdata!L832+operatingdata!L833</f>
        <v>576500</v>
      </c>
      <c r="L8" s="285">
        <f>operatingdata!M826+operatingdata!M827+operatingdata!M828+operatingdata!M829+operatingdata!M830+operatingdata!M831+operatingdata!M832+operatingdata!M833</f>
        <v>590900</v>
      </c>
      <c r="M8" s="285">
        <f>operatingdata!N826+operatingdata!N827+operatingdata!N828+operatingdata!N829+operatingdata!N830+operatingdata!N831+operatingdata!N832+operatingdata!N833</f>
        <v>605700</v>
      </c>
    </row>
    <row r="9" spans="1:13" x14ac:dyDescent="0.25">
      <c r="A9" t="s">
        <v>4463</v>
      </c>
      <c r="D9" s="285">
        <f>operatingdata!E835+operatingdata!E836</f>
        <v>287200</v>
      </c>
      <c r="E9" s="285">
        <f>operatingdata!F835+operatingdata!F836</f>
        <v>291500</v>
      </c>
      <c r="F9" s="285">
        <f>operatingdata!G835+operatingdata!G836</f>
        <v>297300</v>
      </c>
      <c r="G9" s="285">
        <f>operatingdata!H835+operatingdata!H836</f>
        <v>303300</v>
      </c>
      <c r="H9" s="285">
        <f>operatingdata!I835+operatingdata!I836</f>
        <v>309400</v>
      </c>
      <c r="I9" s="285">
        <f>operatingdata!J835+operatingdata!J836</f>
        <v>315600</v>
      </c>
      <c r="J9" s="285">
        <f>operatingdata!K835+operatingdata!K836</f>
        <v>322000</v>
      </c>
      <c r="K9" s="285">
        <f>operatingdata!L835+operatingdata!L836</f>
        <v>330000</v>
      </c>
      <c r="L9" s="285">
        <f>operatingdata!M835+operatingdata!M836</f>
        <v>338300</v>
      </c>
      <c r="M9" s="285">
        <f>operatingdata!N835+operatingdata!N836</f>
        <v>346700</v>
      </c>
    </row>
    <row r="10" spans="1:13" x14ac:dyDescent="0.25">
      <c r="A10" t="s">
        <v>4464</v>
      </c>
      <c r="D10" s="285">
        <f>operatingdata!E842++operatingdata!E844+operatingdata!E843+operatingdata!E845+operatingdata!E846+operatingdata!E847+operatingdata!E848+operatingdata!E849+operatingdata!E850+operatingdata!E851</f>
        <v>1379900</v>
      </c>
      <c r="E10" s="285">
        <f>operatingdata!F842++operatingdata!F844+operatingdata!F843+operatingdata!F845+operatingdata!F846+operatingdata!F847+operatingdata!F848+operatingdata!F849+operatingdata!F850+operatingdata!F851</f>
        <v>1400600</v>
      </c>
      <c r="F10" s="285">
        <f>operatingdata!G842++operatingdata!G844+operatingdata!G843+operatingdata!G845+operatingdata!G846+operatingdata!G847+operatingdata!G848+operatingdata!G849+operatingdata!G850+operatingdata!G851</f>
        <v>1428600</v>
      </c>
      <c r="G10" s="285">
        <f>operatingdata!H842++operatingdata!H844+operatingdata!H843+operatingdata!H845+operatingdata!H846+operatingdata!H847+operatingdata!H848+operatingdata!H849+operatingdata!H850+operatingdata!H851</f>
        <v>1457200</v>
      </c>
      <c r="H10" s="285">
        <f>operatingdata!I842++operatingdata!I844+operatingdata!I843+operatingdata!I845+operatingdata!I846+operatingdata!I847+operatingdata!I848+operatingdata!I849+operatingdata!I850+operatingdata!I851</f>
        <v>1486300</v>
      </c>
      <c r="I10" s="285">
        <f>operatingdata!J842++operatingdata!J844+operatingdata!J843+operatingdata!J845+operatingdata!J846+operatingdata!J847+operatingdata!J848+operatingdata!J849+operatingdata!J850+operatingdata!J851</f>
        <v>1516000</v>
      </c>
      <c r="J10" s="285">
        <f>operatingdata!K842++operatingdata!K844+operatingdata!K843+operatingdata!K845+operatingdata!K846+operatingdata!K847+operatingdata!K848+operatingdata!K849+operatingdata!K850+operatingdata!K851</f>
        <v>1546300</v>
      </c>
      <c r="K10" s="285">
        <f>operatingdata!L842++operatingdata!L844+operatingdata!L843+operatingdata!L845+operatingdata!L846+operatingdata!L847+operatingdata!L848+operatingdata!L849+operatingdata!L850+operatingdata!L851</f>
        <v>1585000</v>
      </c>
      <c r="L10" s="285">
        <f>operatingdata!M842++operatingdata!M844+operatingdata!M843+operatingdata!M845+operatingdata!M846+operatingdata!M847+operatingdata!M848+operatingdata!M849+operatingdata!M850+operatingdata!M851</f>
        <v>1624700</v>
      </c>
      <c r="M10" s="285">
        <f>operatingdata!N842++operatingdata!N844+operatingdata!N843+operatingdata!N845+operatingdata!N846+operatingdata!N847+operatingdata!N848+operatingdata!N849+operatingdata!N850+operatingdata!N851</f>
        <v>1665400</v>
      </c>
    </row>
    <row r="11" spans="1:13" x14ac:dyDescent="0.25">
      <c r="A11" t="s">
        <v>4465</v>
      </c>
      <c r="D11" s="285">
        <f>operatingdata!E853+operatingdata!E854+operatingdata!E855+operatingdata!E856+operatingdata!E857+operatingdata!E858+operatingdata!E859+operatingdata!E860+operatingdata!E861</f>
        <v>347400</v>
      </c>
      <c r="E11" s="285">
        <f>operatingdata!F853+operatingdata!F854+operatingdata!F855+operatingdata!F856+operatingdata!F857+operatingdata!F858+operatingdata!F859+operatingdata!F860+operatingdata!F861</f>
        <v>352600</v>
      </c>
      <c r="F11" s="285">
        <f>operatingdata!G853+operatingdata!G854+operatingdata!G855+operatingdata!G856+operatingdata!G857+operatingdata!G858+operatingdata!G859+operatingdata!G860+operatingdata!G861</f>
        <v>359600</v>
      </c>
      <c r="G11" s="285">
        <f>operatingdata!H853+operatingdata!H854+operatingdata!H855+operatingdata!H856+operatingdata!H857+operatingdata!H858+operatingdata!H859+operatingdata!H860+operatingdata!H861</f>
        <v>366800</v>
      </c>
      <c r="H11" s="285">
        <f>operatingdata!I853+operatingdata!I854+operatingdata!I855+operatingdata!I856+operatingdata!I857+operatingdata!I858+operatingdata!I859+operatingdata!I860+operatingdata!I861</f>
        <v>374100</v>
      </c>
      <c r="I11" s="285">
        <f>operatingdata!J853+operatingdata!J854+operatingdata!J855+operatingdata!J856+operatingdata!J857+operatingdata!J858+operatingdata!J859+operatingdata!J860+operatingdata!J861</f>
        <v>381600</v>
      </c>
      <c r="J11" s="285">
        <f>operatingdata!K853+operatingdata!K854+operatingdata!K855+operatingdata!K856+operatingdata!K857+operatingdata!K858+operatingdata!K859+operatingdata!K860+operatingdata!K861</f>
        <v>389200</v>
      </c>
      <c r="K11" s="285">
        <f>operatingdata!L853+operatingdata!L854+operatingdata!L855+operatingdata!L856+operatingdata!L857+operatingdata!L858+operatingdata!L859+operatingdata!L860+operatingdata!L861</f>
        <v>398900</v>
      </c>
      <c r="L11" s="285">
        <f>operatingdata!M853+operatingdata!M854+operatingdata!M855+operatingdata!M856+operatingdata!M857+operatingdata!M858+operatingdata!M859+operatingdata!M860+operatingdata!M861</f>
        <v>408900</v>
      </c>
      <c r="M11" s="285">
        <f>operatingdata!N853+operatingdata!N854+operatingdata!N855+operatingdata!N856+operatingdata!N857+operatingdata!N858+operatingdata!N859+operatingdata!N860+operatingdata!N861</f>
        <v>419100</v>
      </c>
    </row>
    <row r="12" spans="1:13" x14ac:dyDescent="0.25">
      <c r="A12" t="s">
        <v>3622</v>
      </c>
      <c r="D12" s="285">
        <f>operatingdata!E863+operatingdata!E865</f>
        <v>93800</v>
      </c>
      <c r="E12" s="285">
        <f>operatingdata!F863+operatingdata!F865</f>
        <v>95200</v>
      </c>
      <c r="F12" s="285">
        <f>operatingdata!G863+operatingdata!G865</f>
        <v>97100</v>
      </c>
      <c r="G12" s="285">
        <f>operatingdata!H863+operatingdata!H865</f>
        <v>99000</v>
      </c>
      <c r="H12" s="285">
        <f>operatingdata!I863+operatingdata!I865</f>
        <v>101000</v>
      </c>
      <c r="I12" s="285">
        <f>operatingdata!J863+operatingdata!J865</f>
        <v>103000</v>
      </c>
      <c r="J12" s="285">
        <f>operatingdata!K863+operatingdata!K865</f>
        <v>105000</v>
      </c>
      <c r="K12" s="285">
        <f>operatingdata!L863+operatingdata!L865</f>
        <v>107600</v>
      </c>
      <c r="L12" s="285">
        <f>operatingdata!M863+operatingdata!M865</f>
        <v>110200</v>
      </c>
      <c r="M12" s="285">
        <f>operatingdata!N863+operatingdata!N865</f>
        <v>113000</v>
      </c>
    </row>
    <row r="13" spans="1:13" x14ac:dyDescent="0.25">
      <c r="A13" t="s">
        <v>4466</v>
      </c>
      <c r="D13" s="285">
        <f>operatingdata!E867</f>
        <v>31300</v>
      </c>
      <c r="E13" s="285">
        <f>operatingdata!F867</f>
        <v>31800</v>
      </c>
      <c r="F13" s="285">
        <f>operatingdata!G867</f>
        <v>32400</v>
      </c>
      <c r="G13" s="285">
        <f>operatingdata!H867</f>
        <v>33000</v>
      </c>
      <c r="H13" s="285">
        <f>operatingdata!I867</f>
        <v>33700</v>
      </c>
      <c r="I13" s="285">
        <f>operatingdata!J867</f>
        <v>34400</v>
      </c>
      <c r="J13" s="285">
        <f>operatingdata!K867</f>
        <v>35100</v>
      </c>
      <c r="K13" s="285">
        <f>operatingdata!L867</f>
        <v>36000</v>
      </c>
      <c r="L13" s="285">
        <f>operatingdata!M867</f>
        <v>36900</v>
      </c>
      <c r="M13" s="285">
        <f>operatingdata!N867</f>
        <v>37800</v>
      </c>
    </row>
    <row r="14" spans="1:13" x14ac:dyDescent="0.25">
      <c r="A14" t="s">
        <v>4467</v>
      </c>
      <c r="D14" s="285">
        <f>operatingdata!E869+operatingdata!E870</f>
        <v>154300</v>
      </c>
      <c r="E14" s="285">
        <f>operatingdata!F869+operatingdata!F870</f>
        <v>156600</v>
      </c>
      <c r="F14" s="285">
        <f>operatingdata!G869+operatingdata!G870</f>
        <v>159800</v>
      </c>
      <c r="G14" s="285">
        <f>operatingdata!H869+operatingdata!H870</f>
        <v>163000</v>
      </c>
      <c r="H14" s="285">
        <f>operatingdata!I869+operatingdata!I870</f>
        <v>166300</v>
      </c>
      <c r="I14" s="285">
        <f>operatingdata!J869+operatingdata!J870</f>
        <v>169600</v>
      </c>
      <c r="J14" s="285">
        <f>operatingdata!K869+operatingdata!K870</f>
        <v>173000</v>
      </c>
      <c r="K14" s="285">
        <f>operatingdata!L869+operatingdata!L870</f>
        <v>177300</v>
      </c>
      <c r="L14" s="285">
        <f>operatingdata!M869+operatingdata!M870</f>
        <v>181800</v>
      </c>
      <c r="M14" s="285">
        <f>operatingdata!N869+operatingdata!N870</f>
        <v>186400</v>
      </c>
    </row>
    <row r="15" spans="1:13" x14ac:dyDescent="0.25">
      <c r="A15" t="s">
        <v>4476</v>
      </c>
      <c r="D15" s="285">
        <f>operatingdata!E884</f>
        <v>4400</v>
      </c>
      <c r="E15" s="285">
        <f>operatingdata!F884</f>
        <v>4500</v>
      </c>
      <c r="F15" s="285">
        <f>operatingdata!G884</f>
        <v>4600</v>
      </c>
      <c r="G15" s="285">
        <f>operatingdata!H884</f>
        <v>4700</v>
      </c>
      <c r="H15" s="285">
        <f>operatingdata!I884</f>
        <v>4800</v>
      </c>
      <c r="I15" s="285">
        <f>operatingdata!J884</f>
        <v>4900</v>
      </c>
      <c r="J15" s="285">
        <f>operatingdata!K884</f>
        <v>5000</v>
      </c>
      <c r="K15" s="285">
        <f>operatingdata!L884</f>
        <v>5100</v>
      </c>
      <c r="L15" s="285">
        <f>operatingdata!M884</f>
        <v>5200</v>
      </c>
      <c r="M15" s="285">
        <f>operatingdata!N884</f>
        <v>5300</v>
      </c>
    </row>
    <row r="16" spans="1:13" x14ac:dyDescent="0.25">
      <c r="A16" t="s">
        <v>4468</v>
      </c>
      <c r="D16" s="285">
        <f>operatingdata!E909</f>
        <v>53000</v>
      </c>
      <c r="E16" s="285">
        <f>operatingdata!F909</f>
        <v>53800</v>
      </c>
      <c r="F16" s="285">
        <f>operatingdata!G909</f>
        <v>54900</v>
      </c>
      <c r="G16" s="285">
        <f>operatingdata!H909</f>
        <v>56000</v>
      </c>
      <c r="H16" s="285">
        <f>operatingdata!I909</f>
        <v>57100</v>
      </c>
      <c r="I16" s="285">
        <f>operatingdata!J909</f>
        <v>58200</v>
      </c>
      <c r="J16" s="285">
        <f>operatingdata!K909</f>
        <v>59400</v>
      </c>
      <c r="K16" s="285">
        <f>operatingdata!L909</f>
        <v>60900</v>
      </c>
      <c r="L16" s="285">
        <f>operatingdata!M909</f>
        <v>62400</v>
      </c>
      <c r="M16" s="285">
        <f>operatingdata!N909</f>
        <v>64000</v>
      </c>
    </row>
    <row r="17" spans="1:13" x14ac:dyDescent="0.25">
      <c r="A17" t="s">
        <v>4469</v>
      </c>
      <c r="D17" s="285">
        <f>operatingdata!E1002-operatingdata!E1000</f>
        <v>659600</v>
      </c>
      <c r="E17" s="285">
        <f>operatingdata!F1002-operatingdata!F1000</f>
        <v>669200</v>
      </c>
      <c r="F17" s="285">
        <f>operatingdata!G1002-operatingdata!G1000</f>
        <v>682600</v>
      </c>
      <c r="G17" s="285">
        <f>operatingdata!H1002-operatingdata!H1000</f>
        <v>696300</v>
      </c>
      <c r="H17" s="285">
        <f>operatingdata!I1002-operatingdata!I1000</f>
        <v>710000</v>
      </c>
      <c r="I17" s="285">
        <f>operatingdata!J1002-operatingdata!J1000</f>
        <v>723900</v>
      </c>
      <c r="J17" s="285">
        <f>operatingdata!K1002-operatingdata!K1000</f>
        <v>738000</v>
      </c>
      <c r="K17" s="285">
        <f>operatingdata!L1002-operatingdata!L1000</f>
        <v>756300</v>
      </c>
      <c r="L17" s="285">
        <f>operatingdata!M1002-operatingdata!M1000</f>
        <v>775100</v>
      </c>
      <c r="M17" s="285">
        <f>operatingdata!N1002-operatingdata!N1000</f>
        <v>794300</v>
      </c>
    </row>
    <row r="18" spans="1:13" x14ac:dyDescent="0.25">
      <c r="A18" t="s">
        <v>2258</v>
      </c>
      <c r="D18" s="285">
        <f>operatingdata!E1401</f>
        <v>40700</v>
      </c>
      <c r="E18" s="285">
        <f>operatingdata!F1401</f>
        <v>41300</v>
      </c>
      <c r="F18" s="285">
        <f>operatingdata!G1401</f>
        <v>42100</v>
      </c>
      <c r="G18" s="285">
        <f>operatingdata!H1401</f>
        <v>42900</v>
      </c>
      <c r="H18" s="285">
        <f>operatingdata!I1401</f>
        <v>43800</v>
      </c>
      <c r="I18" s="285">
        <f>operatingdata!J1401</f>
        <v>44700</v>
      </c>
      <c r="J18" s="285">
        <f>operatingdata!K1401</f>
        <v>45600</v>
      </c>
      <c r="K18" s="285">
        <f>operatingdata!L1401</f>
        <v>46700</v>
      </c>
      <c r="L18" s="285">
        <f>operatingdata!M1401</f>
        <v>47900</v>
      </c>
      <c r="M18" s="285">
        <f>operatingdata!N1401</f>
        <v>49100</v>
      </c>
    </row>
    <row r="19" spans="1:13" x14ac:dyDescent="0.25">
      <c r="A19" t="s">
        <v>4470</v>
      </c>
      <c r="D19" s="285">
        <f>operatingdata!E1409</f>
        <v>40600</v>
      </c>
      <c r="E19" s="285">
        <f>operatingdata!F1409</f>
        <v>41200</v>
      </c>
      <c r="F19" s="285">
        <f>operatingdata!G1409</f>
        <v>42000</v>
      </c>
      <c r="G19" s="285">
        <f>operatingdata!H1409</f>
        <v>42800</v>
      </c>
      <c r="H19" s="285">
        <f>operatingdata!I1409</f>
        <v>43700</v>
      </c>
      <c r="I19" s="285">
        <f>operatingdata!J1409</f>
        <v>44600</v>
      </c>
      <c r="J19" s="285">
        <f>operatingdata!K1409</f>
        <v>45500</v>
      </c>
      <c r="K19" s="285">
        <f>operatingdata!L1409</f>
        <v>46600</v>
      </c>
      <c r="L19" s="285">
        <f>operatingdata!M1409</f>
        <v>47800</v>
      </c>
      <c r="M19" s="285">
        <f>operatingdata!N1409</f>
        <v>49000</v>
      </c>
    </row>
    <row r="20" spans="1:13" x14ac:dyDescent="0.25">
      <c r="A20" t="s">
        <v>4471</v>
      </c>
      <c r="D20" s="285">
        <f>operatingdata!E1423+operatingdata!E1424+operatingdata!E1425+operatingdata!E1426+operatingdata!E1427+operatingdata!E1428+operatingdata!E1429+operatingdata!E1430+operatingdata!E1431+operatingdata!E1432+operatingdata!E1435+operatingdata!E1436+operatingdata!E1437+operatingdata!E1438+operatingdata!E1440+operatingdata!E1441+operatingdata!E1442+operatingdata!E1443+operatingdata!E1444+operatingdata!E1463+operatingdata!E1464</f>
        <v>495000</v>
      </c>
      <c r="E20" s="285">
        <f>operatingdata!F1423+operatingdata!F1424+operatingdata!F1425+operatingdata!F1426+operatingdata!F1427+operatingdata!F1428+operatingdata!F1429+operatingdata!F1430+operatingdata!F1431+operatingdata!F1432+operatingdata!F1435+operatingdata!F1436+operatingdata!F1437+operatingdata!F1438+operatingdata!F1440+operatingdata!F1441+operatingdata!F1442+operatingdata!F1443+operatingdata!F1444+operatingdata!F1463+operatingdata!F1464</f>
        <v>502500</v>
      </c>
      <c r="F20" s="285">
        <f>operatingdata!G1423+operatingdata!G1424+operatingdata!G1425+operatingdata!G1426+operatingdata!G1427+operatingdata!G1428+operatingdata!G1429+operatingdata!G1430+operatingdata!G1431+operatingdata!G1432+operatingdata!G1435+operatingdata!G1436+operatingdata!G1437+operatingdata!G1438+operatingdata!G1440+operatingdata!G1441+operatingdata!G1442+operatingdata!G1443+operatingdata!G1444+operatingdata!G1463+operatingdata!G1464</f>
        <v>512700</v>
      </c>
      <c r="G20" s="285">
        <f>operatingdata!H1423+operatingdata!H1424+operatingdata!H1425+operatingdata!H1426+operatingdata!H1427+operatingdata!H1428+operatingdata!H1429+operatingdata!H1430+operatingdata!H1431+operatingdata!H1432+operatingdata!H1435+operatingdata!H1436+operatingdata!H1437+operatingdata!H1438+operatingdata!H1440+operatingdata!H1441+operatingdata!H1442+operatingdata!H1443+operatingdata!H1444+operatingdata!H1463+operatingdata!H1464</f>
        <v>523100</v>
      </c>
      <c r="H20" s="285">
        <f>operatingdata!I1423+operatingdata!I1424+operatingdata!I1425+operatingdata!I1426+operatingdata!I1427+operatingdata!I1428+operatingdata!I1429+operatingdata!I1430+operatingdata!I1431+operatingdata!I1432+operatingdata!I1435+operatingdata!I1436+operatingdata!I1437+operatingdata!I1438+operatingdata!I1440+operatingdata!I1441+operatingdata!I1442+operatingdata!I1443+operatingdata!I1444+operatingdata!I1463+operatingdata!I1464</f>
        <v>533600</v>
      </c>
      <c r="I20" s="285">
        <f>operatingdata!J1423+operatingdata!J1424+operatingdata!J1425+operatingdata!J1426+operatingdata!J1427+operatingdata!J1428+operatingdata!J1429+operatingdata!J1430+operatingdata!J1431+operatingdata!J1432+operatingdata!J1435+operatingdata!J1436+operatingdata!J1437+operatingdata!J1438+operatingdata!J1440+operatingdata!J1441+operatingdata!J1442+operatingdata!J1443+operatingdata!J1444+operatingdata!J1463+operatingdata!J1464</f>
        <v>544200</v>
      </c>
      <c r="J20" s="285">
        <f>operatingdata!K1423+operatingdata!K1424+operatingdata!K1425+operatingdata!K1426+operatingdata!K1427+operatingdata!K1428+operatingdata!K1429+operatingdata!K1430+operatingdata!K1431+operatingdata!K1432+operatingdata!K1435+operatingdata!K1436+operatingdata!K1437+operatingdata!K1438+operatingdata!K1440+operatingdata!K1441+operatingdata!K1442+operatingdata!K1443+operatingdata!K1444+operatingdata!K1463+operatingdata!K1464</f>
        <v>554900</v>
      </c>
      <c r="K20" s="285">
        <f>operatingdata!L1423+operatingdata!L1424+operatingdata!L1425+operatingdata!L1426+operatingdata!L1427+operatingdata!L1428+operatingdata!L1429+operatingdata!L1430+operatingdata!L1431+operatingdata!L1432+operatingdata!L1435+operatingdata!L1436+operatingdata!L1437+operatingdata!L1438+operatingdata!L1440+operatingdata!L1441+operatingdata!L1442+operatingdata!L1443+operatingdata!L1444+operatingdata!L1463+operatingdata!L1464</f>
        <v>568700</v>
      </c>
      <c r="L20" s="285">
        <f>operatingdata!M1423+operatingdata!M1424+operatingdata!M1425+operatingdata!M1426+operatingdata!M1427+operatingdata!M1428+operatingdata!M1429+operatingdata!M1430+operatingdata!M1431+operatingdata!M1432+operatingdata!M1435+operatingdata!M1436+operatingdata!M1437+operatingdata!M1438+operatingdata!M1440+operatingdata!M1441+operatingdata!M1442+operatingdata!M1443+operatingdata!M1444+operatingdata!M1463+operatingdata!M1464</f>
        <v>582800</v>
      </c>
      <c r="M20" s="285">
        <f>operatingdata!N1423+operatingdata!N1424+operatingdata!N1425+operatingdata!N1426+operatingdata!N1427+operatingdata!N1428+operatingdata!N1429+operatingdata!N1430+operatingdata!N1431+operatingdata!N1432+operatingdata!N1435+operatingdata!N1436+operatingdata!N1437+operatingdata!N1438+operatingdata!N1440+operatingdata!N1441+operatingdata!N1442+operatingdata!N1443+operatingdata!N1444+operatingdata!N1463+operatingdata!N1464</f>
        <v>597400</v>
      </c>
    </row>
    <row r="21" spans="1:13" x14ac:dyDescent="0.25">
      <c r="A21" t="s">
        <v>4474</v>
      </c>
      <c r="D21" s="285">
        <f>operatingdata!E1473+operatingdata!E1474+operatingdata!E1475+operatingdata!E1476+operatingdata!E1477+operatingdata!E1478+operatingdata!E1481+operatingdata!E1482+operatingdata!E1483+operatingdata!E1484+operatingdata!E1485</f>
        <v>370600</v>
      </c>
      <c r="E21" s="285">
        <f>operatingdata!F1473+operatingdata!F1474+operatingdata!F1475+operatingdata!F1476+operatingdata!F1477+operatingdata!F1478+operatingdata!F1481+operatingdata!F1482+operatingdata!F1483+operatingdata!F1484+operatingdata!F1485</f>
        <v>376100</v>
      </c>
      <c r="F21" s="285">
        <f>operatingdata!G1473+operatingdata!G1474+operatingdata!G1475+operatingdata!G1476+operatingdata!G1477+operatingdata!G1478+operatingdata!G1481+operatingdata!G1482+operatingdata!G1483+operatingdata!G1484+operatingdata!G1485</f>
        <v>383600</v>
      </c>
      <c r="G21" s="285">
        <f>operatingdata!H1473+operatingdata!H1474+operatingdata!H1475+operatingdata!H1476+operatingdata!H1477+operatingdata!H1478+operatingdata!H1481+operatingdata!H1482+operatingdata!H1483+operatingdata!H1484+operatingdata!H1485</f>
        <v>391200</v>
      </c>
      <c r="H21" s="285">
        <f>operatingdata!I1473+operatingdata!I1474+operatingdata!I1475+operatingdata!I1476+operatingdata!I1477+operatingdata!I1478+operatingdata!I1481+operatingdata!I1482+operatingdata!I1483+operatingdata!I1484+operatingdata!I1485</f>
        <v>399000</v>
      </c>
      <c r="I21" s="285">
        <f>operatingdata!J1473+operatingdata!J1474+operatingdata!J1475+operatingdata!J1476+operatingdata!J1477+operatingdata!J1478+operatingdata!J1481+operatingdata!J1482+operatingdata!J1483+operatingdata!J1484+operatingdata!J1485</f>
        <v>407100</v>
      </c>
      <c r="J21" s="285">
        <f>operatingdata!K1473+operatingdata!K1474+operatingdata!K1475+operatingdata!K1476+operatingdata!K1477+operatingdata!K1478+operatingdata!K1481+operatingdata!K1482+operatingdata!K1483+operatingdata!K1484+operatingdata!K1485</f>
        <v>415200</v>
      </c>
      <c r="K21" s="285">
        <f>operatingdata!L1473+operatingdata!L1474+operatingdata!L1475+operatingdata!L1476+operatingdata!L1477+operatingdata!L1478+operatingdata!L1481+operatingdata!L1482+operatingdata!L1483+operatingdata!L1484+operatingdata!L1485</f>
        <v>425500</v>
      </c>
      <c r="L21" s="285">
        <f>operatingdata!M1473+operatingdata!M1474+operatingdata!M1475+operatingdata!M1476+operatingdata!M1477+operatingdata!M1478+operatingdata!M1481+operatingdata!M1482+operatingdata!M1483+operatingdata!M1484+operatingdata!M1485</f>
        <v>436100</v>
      </c>
      <c r="M21" s="285">
        <f>operatingdata!N1473+operatingdata!N1474+operatingdata!N1475+operatingdata!N1476+operatingdata!N1477+operatingdata!N1478+operatingdata!N1481+operatingdata!N1482+operatingdata!N1483+operatingdata!N1484+operatingdata!N1485</f>
        <v>447000</v>
      </c>
    </row>
    <row r="22" spans="1:13" x14ac:dyDescent="0.25">
      <c r="A22" t="s">
        <v>4638</v>
      </c>
      <c r="D22" s="285">
        <f>operatingdata!E922</f>
        <v>0</v>
      </c>
      <c r="E22" s="285">
        <f>operatingdata!F922</f>
        <v>0</v>
      </c>
      <c r="F22" s="285">
        <f>operatingdata!G922</f>
        <v>106400</v>
      </c>
      <c r="G22" s="285">
        <f>operatingdata!H922</f>
        <v>259000</v>
      </c>
      <c r="H22" s="285">
        <f>operatingdata!I922</f>
        <v>580500</v>
      </c>
      <c r="I22" s="285">
        <f>operatingdata!J922</f>
        <v>604200</v>
      </c>
      <c r="J22" s="285">
        <f>operatingdata!K922</f>
        <v>629000</v>
      </c>
      <c r="K22" s="285">
        <f>operatingdata!L922</f>
        <v>654900</v>
      </c>
      <c r="L22" s="285">
        <f>operatingdata!M922</f>
        <v>682300</v>
      </c>
      <c r="M22" s="285">
        <f>operatingdata!N922</f>
        <v>706400</v>
      </c>
    </row>
    <row r="23" spans="1:13" x14ac:dyDescent="0.25">
      <c r="A23" t="s">
        <v>4635</v>
      </c>
      <c r="D23" s="285">
        <f>operatingdata!E924</f>
        <v>0</v>
      </c>
      <c r="E23" s="285">
        <f>operatingdata!F924</f>
        <v>79100</v>
      </c>
      <c r="F23" s="285">
        <f>operatingdata!G924</f>
        <v>152000</v>
      </c>
      <c r="G23" s="285">
        <f>operatingdata!H924</f>
        <v>232100</v>
      </c>
      <c r="H23" s="285">
        <f>operatingdata!I924</f>
        <v>319800</v>
      </c>
      <c r="I23" s="285">
        <f>operatingdata!J924</f>
        <v>327800</v>
      </c>
      <c r="J23" s="285">
        <f>operatingdata!K924</f>
        <v>336000</v>
      </c>
      <c r="K23" s="285">
        <f>operatingdata!L924</f>
        <v>344400</v>
      </c>
      <c r="L23" s="285">
        <f>operatingdata!M924</f>
        <v>353000</v>
      </c>
      <c r="M23" s="285">
        <f>operatingdata!N924</f>
        <v>361800</v>
      </c>
    </row>
    <row r="24" spans="1:13" x14ac:dyDescent="0.25">
      <c r="A24" t="s">
        <v>4636</v>
      </c>
      <c r="D24" s="285">
        <f>operatingdata!E1121</f>
        <v>0</v>
      </c>
      <c r="E24" s="285">
        <f>operatingdata!F1121</f>
        <v>0</v>
      </c>
      <c r="F24" s="285">
        <f>operatingdata!G1121</f>
        <v>0</v>
      </c>
      <c r="G24" s="285">
        <f>operatingdata!H1121</f>
        <v>0</v>
      </c>
      <c r="H24" s="285">
        <f>operatingdata!I1121</f>
        <v>0</v>
      </c>
      <c r="I24" s="285">
        <f>operatingdata!J1121</f>
        <v>0</v>
      </c>
      <c r="J24" s="285">
        <f>operatingdata!K1121</f>
        <v>0</v>
      </c>
      <c r="K24" s="285">
        <f>operatingdata!L1121</f>
        <v>0</v>
      </c>
      <c r="L24" s="285">
        <f>operatingdata!M1121</f>
        <v>0</v>
      </c>
      <c r="M24" s="285">
        <f>operatingdata!N1121</f>
        <v>0</v>
      </c>
    </row>
    <row r="25" spans="1:13" x14ac:dyDescent="0.25">
      <c r="A25" t="s">
        <v>4637</v>
      </c>
      <c r="D25" s="285">
        <f>operatingdata!E1121</f>
        <v>0</v>
      </c>
      <c r="E25" s="285">
        <f>operatingdata!F1121</f>
        <v>0</v>
      </c>
      <c r="F25" s="285">
        <f>operatingdata!G1121</f>
        <v>0</v>
      </c>
      <c r="G25" s="285">
        <f>operatingdata!H1121</f>
        <v>0</v>
      </c>
      <c r="H25" s="285">
        <f>operatingdata!I1121</f>
        <v>0</v>
      </c>
      <c r="I25" s="285">
        <f>operatingdata!J1121</f>
        <v>0</v>
      </c>
      <c r="J25" s="285">
        <f>operatingdata!K1121</f>
        <v>0</v>
      </c>
      <c r="K25" s="285">
        <f>operatingdata!L1121</f>
        <v>0</v>
      </c>
      <c r="L25" s="285">
        <f>operatingdata!M1121</f>
        <v>0</v>
      </c>
      <c r="M25" s="285">
        <f>operatingdata!N1121</f>
        <v>0</v>
      </c>
    </row>
    <row r="26" spans="1:13" x14ac:dyDescent="0.25">
      <c r="A26" t="s">
        <v>4472</v>
      </c>
      <c r="D26" s="285">
        <f>operatingdata!E1920+operatingdata!E1919+operatingdata!E1918+operatingdata!E1917+operatingdata!E1916+operatingdata!E1923+operatingdata!E1925</f>
        <v>1047600</v>
      </c>
      <c r="E26" s="285">
        <f>operatingdata!F1920+operatingdata!F1919+operatingdata!F1918+operatingdata!F1917+operatingdata!F1916+operatingdata!F1923+operatingdata!F1925</f>
        <v>1063300</v>
      </c>
      <c r="F26" s="285">
        <f>operatingdata!G1920+operatingdata!G1919+operatingdata!G1918+operatingdata!G1917+operatingdata!G1916+operatingdata!G1923+operatingdata!G1925</f>
        <v>1084600</v>
      </c>
      <c r="G26" s="285">
        <f>operatingdata!H1920+operatingdata!H1919+operatingdata!H1918+operatingdata!H1917+operatingdata!H1916+operatingdata!H1923+operatingdata!H1925</f>
        <v>1106300</v>
      </c>
      <c r="H26" s="285">
        <f>operatingdata!I1920+operatingdata!I1919+operatingdata!I1918+operatingdata!I1917+operatingdata!I1916+operatingdata!I1923+operatingdata!I1925</f>
        <v>1128300</v>
      </c>
      <c r="I26" s="285">
        <f>operatingdata!J1920+operatingdata!J1919+operatingdata!J1918+operatingdata!J1917+operatingdata!J1916+operatingdata!J1923+operatingdata!J1925</f>
        <v>1150800</v>
      </c>
      <c r="J26" s="285">
        <f>operatingdata!K1920+operatingdata!K1919+operatingdata!K1918+operatingdata!K1917+operatingdata!K1916+operatingdata!K1923+operatingdata!K1925</f>
        <v>1174000</v>
      </c>
      <c r="K26" s="285">
        <f>operatingdata!L1920+operatingdata!L1919+operatingdata!L1918+operatingdata!L1917+operatingdata!L1916+operatingdata!L1923+operatingdata!L1925</f>
        <v>1203500</v>
      </c>
      <c r="L26" s="285">
        <f>operatingdata!M1920+operatingdata!M1919+operatingdata!M1918+operatingdata!M1917+operatingdata!M1916+operatingdata!M1923+operatingdata!M1925</f>
        <v>1233600</v>
      </c>
      <c r="M26" s="285">
        <f>operatingdata!N1920+operatingdata!N1919+operatingdata!N1918+operatingdata!N1917+operatingdata!N1916+operatingdata!N1923+operatingdata!N1925</f>
        <v>1264400</v>
      </c>
    </row>
    <row r="27" spans="1:13" x14ac:dyDescent="0.25">
      <c r="A27" t="s">
        <v>4473</v>
      </c>
      <c r="D27" s="285">
        <f>operatingdata!E2003+operatingdata!E2018+operatingdata!E2019+operatingdata!E2020+operatingdata!E2022+operatingdata!E2021+operatingdata!E2023+operatingdata!E2024+operatingdata!E2025+operatingdata!E2030+operatingdata!E2031+operatingdata!E2032</f>
        <v>4027500</v>
      </c>
      <c r="E27" s="285">
        <f>operatingdata!F2003+operatingdata!F2018+operatingdata!F2019+operatingdata!F2020+operatingdata!F2022+operatingdata!F2021+operatingdata!F2023+operatingdata!F2024+operatingdata!F2025+operatingdata!F2030+operatingdata!F2031+operatingdata!F2032</f>
        <v>4088000</v>
      </c>
      <c r="F27" s="285">
        <f>operatingdata!G2003+operatingdata!G2018+operatingdata!G2019+operatingdata!G2020+operatingdata!G2022+operatingdata!G2021+operatingdata!G2023+operatingdata!G2024+operatingdata!G2025+operatingdata!G2030+operatingdata!G2031+operatingdata!G2032</f>
        <v>4169600</v>
      </c>
      <c r="G27" s="285">
        <f>operatingdata!H2003+operatingdata!H2018+operatingdata!H2019+operatingdata!H2020+operatingdata!H2022+operatingdata!H2021+operatingdata!H2023+operatingdata!H2024+operatingdata!H2025+operatingdata!H2030+operatingdata!H2031+operatingdata!H2032</f>
        <v>4253000</v>
      </c>
      <c r="H27" s="285">
        <f>operatingdata!I2003+operatingdata!I2018+operatingdata!I2019+operatingdata!I2020+operatingdata!I2022+operatingdata!I2021+operatingdata!I2023+operatingdata!I2024+operatingdata!I2025+operatingdata!I2030+operatingdata!I2031+operatingdata!I2032</f>
        <v>4338000</v>
      </c>
      <c r="I27" s="285">
        <f>operatingdata!J2003+operatingdata!J2018+operatingdata!J2019+operatingdata!J2020+operatingdata!J2022+operatingdata!J2021+operatingdata!J2023+operatingdata!J2024+operatingdata!J2025+operatingdata!J2030+operatingdata!J2031+operatingdata!J2032</f>
        <v>4424700</v>
      </c>
      <c r="J27" s="285">
        <f>operatingdata!K2003+operatingdata!K2018+operatingdata!K2019+operatingdata!K2020+operatingdata!K2022+operatingdata!K2021+operatingdata!K2023+operatingdata!K2024+operatingdata!K2025+operatingdata!K2030+operatingdata!K2031+operatingdata!K2032</f>
        <v>4513300</v>
      </c>
      <c r="K27" s="285">
        <f>operatingdata!L2003+operatingdata!L2018+operatingdata!L2019+operatingdata!L2020+operatingdata!L2022+operatingdata!L2021+operatingdata!L2023+operatingdata!L2024+operatingdata!L2025+operatingdata!L2030+operatingdata!L2031+operatingdata!L2032</f>
        <v>4626300</v>
      </c>
      <c r="L27" s="285">
        <f>operatingdata!M2003+operatingdata!M2018+operatingdata!M2019+operatingdata!M2020+operatingdata!M2022+operatingdata!M2021+operatingdata!M2023+operatingdata!M2024+operatingdata!M2025+operatingdata!M2030+operatingdata!M2031+operatingdata!M2032</f>
        <v>4742000</v>
      </c>
      <c r="M27" s="285">
        <f>operatingdata!N2003+operatingdata!N2018+operatingdata!N2019+operatingdata!N2020+operatingdata!N2022+operatingdata!N2021+operatingdata!N2023+operatingdata!N2024+operatingdata!N2025+operatingdata!N2030+operatingdata!N2031+operatingdata!N2032</f>
        <v>4860600</v>
      </c>
    </row>
    <row r="28" spans="1:13" x14ac:dyDescent="0.25">
      <c r="D28" s="285"/>
      <c r="E28" s="285"/>
      <c r="F28" s="285"/>
      <c r="G28" s="285"/>
      <c r="H28" s="285"/>
      <c r="I28" s="285"/>
      <c r="J28" s="285"/>
      <c r="K28" s="285"/>
      <c r="L28" s="285"/>
      <c r="M28" s="285"/>
    </row>
    <row r="29" spans="1:13" x14ac:dyDescent="0.25">
      <c r="D29" s="285"/>
      <c r="E29" s="285"/>
      <c r="F29" s="285"/>
      <c r="G29" s="285"/>
      <c r="H29" s="285"/>
      <c r="I29" s="285"/>
      <c r="J29" s="285"/>
      <c r="K29" s="285"/>
      <c r="L29" s="285"/>
      <c r="M29" s="285"/>
    </row>
    <row r="30" spans="1:13" x14ac:dyDescent="0.25">
      <c r="A30" s="47" t="s">
        <v>4475</v>
      </c>
      <c r="D30" s="354">
        <f>SUM(D7:D29)</f>
        <v>9942900</v>
      </c>
      <c r="E30" s="354">
        <f t="shared" ref="E30:M30" si="0">SUM(E7:E29)</f>
        <v>10170900</v>
      </c>
      <c r="F30" s="354">
        <f t="shared" si="0"/>
        <v>10551900</v>
      </c>
      <c r="G30" s="354">
        <f t="shared" si="0"/>
        <v>10990400</v>
      </c>
      <c r="H30" s="354">
        <f t="shared" si="0"/>
        <v>11609100</v>
      </c>
      <c r="I30" s="354">
        <f t="shared" si="0"/>
        <v>11854300</v>
      </c>
      <c r="J30" s="354">
        <f t="shared" si="0"/>
        <v>12105500</v>
      </c>
      <c r="K30" s="354">
        <f t="shared" si="0"/>
        <v>12418300</v>
      </c>
      <c r="L30" s="354">
        <f t="shared" si="0"/>
        <v>12739700</v>
      </c>
      <c r="M30" s="354">
        <f t="shared" si="0"/>
        <v>13065200</v>
      </c>
    </row>
    <row r="32" spans="1:13" x14ac:dyDescent="0.25">
      <c r="A32" s="47" t="s">
        <v>4564</v>
      </c>
    </row>
    <row r="33" spans="1:13" x14ac:dyDescent="0.25">
      <c r="A33" t="s">
        <v>3411</v>
      </c>
      <c r="D33" s="285">
        <f>capitalexpdata!F416-capitalexpdata!F402-capitalexpdata!F390-capitalexpdata!F364</f>
        <v>11057400</v>
      </c>
      <c r="E33" s="285">
        <f>capitalexpdata!G416</f>
        <v>8951500</v>
      </c>
      <c r="F33" s="285">
        <f>capitalexpdata!H416</f>
        <v>6856700</v>
      </c>
      <c r="G33" s="285">
        <f>capitalexpdata!I416</f>
        <v>8116300</v>
      </c>
      <c r="H33" s="285">
        <f>capitalexpdata!J416</f>
        <v>6625300</v>
      </c>
      <c r="I33" s="285">
        <f>capitalexpdata!K416</f>
        <v>6980200</v>
      </c>
      <c r="J33" s="285">
        <f>capitalexpdata!L416</f>
        <v>7038400</v>
      </c>
      <c r="K33" s="285">
        <f>capitalexpdata!M416</f>
        <v>7199300</v>
      </c>
      <c r="L33" s="285">
        <f>capitalexpdata!N416</f>
        <v>7596400</v>
      </c>
      <c r="M33" s="285">
        <f>capitalexpdata!O416</f>
        <v>8105200</v>
      </c>
    </row>
    <row r="34" spans="1:13" x14ac:dyDescent="0.25">
      <c r="A34" t="s">
        <v>4560</v>
      </c>
      <c r="D34" s="285">
        <f>capitalexpdata!F425</f>
        <v>371000</v>
      </c>
      <c r="E34" s="285">
        <f>capitalexpdata!G425</f>
        <v>298600</v>
      </c>
      <c r="F34" s="285">
        <f>capitalexpdata!H425</f>
        <v>306600</v>
      </c>
      <c r="G34" s="285">
        <f>capitalexpdata!I425</f>
        <v>316600</v>
      </c>
      <c r="H34" s="285">
        <f>capitalexpdata!J425</f>
        <v>329300</v>
      </c>
      <c r="I34" s="285">
        <f>capitalexpdata!K425</f>
        <v>342600</v>
      </c>
      <c r="J34" s="285">
        <f>capitalexpdata!L425</f>
        <v>356200</v>
      </c>
      <c r="K34" s="285">
        <f>capitalexpdata!M425</f>
        <v>370400</v>
      </c>
      <c r="L34" s="285">
        <f>capitalexpdata!N425</f>
        <v>385200</v>
      </c>
      <c r="M34" s="285">
        <f>capitalexpdata!O425</f>
        <v>0</v>
      </c>
    </row>
    <row r="35" spans="1:13" x14ac:dyDescent="0.25">
      <c r="A35" t="s">
        <v>3808</v>
      </c>
      <c r="D35" s="285">
        <f>capitalexpdata!F498</f>
        <v>2501700</v>
      </c>
      <c r="E35" s="285">
        <f>capitalexpdata!G498</f>
        <v>504900</v>
      </c>
      <c r="F35" s="285">
        <f>capitalexpdata!H498</f>
        <v>340900</v>
      </c>
      <c r="G35" s="285">
        <f>capitalexpdata!I498</f>
        <v>489400</v>
      </c>
      <c r="H35" s="285">
        <f>capitalexpdata!J498</f>
        <v>473200</v>
      </c>
      <c r="I35" s="285">
        <f>capitalexpdata!K498</f>
        <v>165100</v>
      </c>
      <c r="J35" s="285">
        <f>capitalexpdata!L498</f>
        <v>167100</v>
      </c>
      <c r="K35" s="285">
        <f>capitalexpdata!M498</f>
        <v>70500</v>
      </c>
      <c r="L35" s="285">
        <f>capitalexpdata!N498</f>
        <v>70500</v>
      </c>
      <c r="M35" s="285">
        <f>capitalexpdata!O498</f>
        <v>70500</v>
      </c>
    </row>
    <row r="36" spans="1:13" x14ac:dyDescent="0.25">
      <c r="A36" t="s">
        <v>3924</v>
      </c>
      <c r="D36" s="285">
        <f>capitalexpdata!F626</f>
        <v>658100</v>
      </c>
      <c r="E36" s="285">
        <f>capitalexpdata!G626</f>
        <v>162200</v>
      </c>
      <c r="F36" s="285">
        <f>capitalexpdata!H626</f>
        <v>168200</v>
      </c>
      <c r="G36" s="285">
        <f>capitalexpdata!I626</f>
        <v>174400</v>
      </c>
      <c r="H36" s="285">
        <f>capitalexpdata!J626</f>
        <v>180800</v>
      </c>
      <c r="I36" s="285">
        <f>capitalexpdata!K626</f>
        <v>187600</v>
      </c>
      <c r="J36" s="285">
        <f>capitalexpdata!L626</f>
        <v>193000</v>
      </c>
      <c r="K36" s="285">
        <f>capitalexpdata!M626</f>
        <v>198600</v>
      </c>
      <c r="L36" s="285">
        <f>capitalexpdata!N626</f>
        <v>204500</v>
      </c>
      <c r="M36" s="285">
        <f>capitalexpdata!O626</f>
        <v>210600</v>
      </c>
    </row>
    <row r="37" spans="1:13" x14ac:dyDescent="0.25">
      <c r="D37" s="285"/>
      <c r="E37" s="285"/>
      <c r="F37" s="285"/>
      <c r="G37" s="285"/>
      <c r="H37" s="285"/>
      <c r="I37" s="285"/>
      <c r="J37" s="285"/>
      <c r="K37" s="285"/>
      <c r="L37" s="285"/>
      <c r="M37" s="285"/>
    </row>
    <row r="38" spans="1:13" x14ac:dyDescent="0.25">
      <c r="A38" s="47" t="s">
        <v>4561</v>
      </c>
      <c r="D38" s="354">
        <f>SUM(D33:D37)</f>
        <v>14588200</v>
      </c>
      <c r="E38" s="354">
        <f t="shared" ref="E38:M38" si="1">SUM(E33:E37)</f>
        <v>9917200</v>
      </c>
      <c r="F38" s="354">
        <f t="shared" si="1"/>
        <v>7672400</v>
      </c>
      <c r="G38" s="354">
        <f t="shared" si="1"/>
        <v>9096700</v>
      </c>
      <c r="H38" s="354">
        <f t="shared" si="1"/>
        <v>7608600</v>
      </c>
      <c r="I38" s="354">
        <f t="shared" si="1"/>
        <v>7675500</v>
      </c>
      <c r="J38" s="354">
        <f t="shared" si="1"/>
        <v>7754700</v>
      </c>
      <c r="K38" s="354">
        <f t="shared" si="1"/>
        <v>7838800</v>
      </c>
      <c r="L38" s="354">
        <f t="shared" si="1"/>
        <v>8256600</v>
      </c>
      <c r="M38" s="354">
        <f t="shared" si="1"/>
        <v>8386300</v>
      </c>
    </row>
    <row r="39" spans="1:13" x14ac:dyDescent="0.25">
      <c r="D39" s="285"/>
      <c r="E39" s="285"/>
      <c r="F39" s="285"/>
      <c r="G39" s="285"/>
      <c r="H39" s="285"/>
      <c r="I39" s="285"/>
      <c r="J39" s="285"/>
      <c r="K39" s="285"/>
      <c r="L39" s="285"/>
      <c r="M39" s="285"/>
    </row>
    <row r="40" spans="1:13" x14ac:dyDescent="0.25">
      <c r="A40" s="47" t="s">
        <v>4562</v>
      </c>
      <c r="D40" s="354">
        <f>D30+D38</f>
        <v>24531100</v>
      </c>
      <c r="E40" s="354">
        <f t="shared" ref="E40:M40" si="2">E30+E38</f>
        <v>20088100</v>
      </c>
      <c r="F40" s="354">
        <f t="shared" si="2"/>
        <v>18224300</v>
      </c>
      <c r="G40" s="354">
        <f t="shared" si="2"/>
        <v>20087100</v>
      </c>
      <c r="H40" s="354">
        <f t="shared" si="2"/>
        <v>19217700</v>
      </c>
      <c r="I40" s="354">
        <f t="shared" si="2"/>
        <v>19529800</v>
      </c>
      <c r="J40" s="354">
        <f t="shared" si="2"/>
        <v>19860200</v>
      </c>
      <c r="K40" s="354">
        <f t="shared" si="2"/>
        <v>20257100</v>
      </c>
      <c r="L40" s="354">
        <f t="shared" si="2"/>
        <v>20996300</v>
      </c>
      <c r="M40" s="354">
        <f t="shared" si="2"/>
        <v>21451500</v>
      </c>
    </row>
    <row r="41" spans="1:13" x14ac:dyDescent="0.25">
      <c r="D41" s="285"/>
      <c r="E41" s="285"/>
      <c r="F41" s="285"/>
      <c r="G41" s="285"/>
      <c r="H41" s="285"/>
      <c r="I41" s="285"/>
      <c r="J41" s="285"/>
      <c r="K41" s="285"/>
      <c r="L41" s="285"/>
      <c r="M41" s="285"/>
    </row>
    <row r="42" spans="1:13" x14ac:dyDescent="0.25">
      <c r="A42" t="s">
        <v>4563</v>
      </c>
      <c r="D42" s="285">
        <f>ROUND(AVERAGE(D40:M40),-2)</f>
        <v>20424300</v>
      </c>
      <c r="E42" s="285"/>
      <c r="F42" s="285"/>
      <c r="G42" s="285"/>
      <c r="H42" s="285"/>
      <c r="I42" s="285"/>
      <c r="J42" s="285"/>
      <c r="K42" s="285"/>
      <c r="L42" s="285"/>
      <c r="M42" s="285"/>
    </row>
    <row r="43" spans="1:13" x14ac:dyDescent="0.25">
      <c r="D43" s="285"/>
      <c r="E43" s="285"/>
      <c r="F43" s="285"/>
      <c r="G43" s="285"/>
      <c r="H43" s="285"/>
      <c r="I43" s="285"/>
      <c r="J43" s="285"/>
      <c r="K43" s="285"/>
      <c r="L43" s="285"/>
      <c r="M43" s="285"/>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Assumptions</vt:lpstr>
      <vt:lpstr>checks</vt:lpstr>
      <vt:lpstr>salarieswages</vt:lpstr>
      <vt:lpstr>operatingdata</vt:lpstr>
      <vt:lpstr>capitalrevdata</vt:lpstr>
      <vt:lpstr>capitalexpdata</vt:lpstr>
      <vt:lpstr>loans</vt:lpstr>
      <vt:lpstr>newloans</vt:lpstr>
      <vt:lpstr>interest</vt:lpstr>
      <vt:lpstr>reservessummary</vt:lpstr>
      <vt:lpstr>reservecalc-internal</vt:lpstr>
      <vt:lpstr>reservecalc-external</vt:lpstr>
      <vt:lpstr>income</vt:lpstr>
      <vt:lpstr>fundingstat</vt:lpstr>
      <vt:lpstr>cashflow</vt:lpstr>
      <vt:lpstr>indicators generalfund</vt:lpstr>
      <vt:lpstr>Indicators consolidated</vt:lpstr>
      <vt:lpstr>maintenance funding</vt:lpstr>
      <vt:lpstr>capitalexpdata!Print_Titles</vt:lpstr>
      <vt:lpstr>'reservecalc-external'!Print_Titles</vt:lpstr>
      <vt:lpstr>reservessummary!Print_Titles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jbrickley</dc:creator>
  <cp:lastModifiedBy>jbrickley</cp:lastModifiedBy>
  <cp:lastPrinted>2017-02-07T04:28:43Z</cp:lastPrinted>
  <dcterms:created xsi:type="dcterms:W3CDTF">2016-08-13T03:41:37Z</dcterms:created>
  <dcterms:modified xsi:type="dcterms:W3CDTF">2017-02-08T11:24:21Z</dcterms:modified>
</cp:coreProperties>
</file>