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SRV 18-19\Engagement\Rates calculator\"/>
    </mc:Choice>
  </mc:AlternateContent>
  <workbookProtection workbookAlgorithmName="SHA-512" workbookHashValue="9rmRvckNqYPQIEGLn3sF19tyZuVbGXZaAyzKKRz8HYjryeExFpv1RBgxMPU2GDZJxuOp+SRjN6oNI7ZJmwB+WA==" workbookSaltValue="igTnUoZTxzehbqnJr/Jq2A==" workbookSpinCount="100000" lockStructure="1"/>
  <bookViews>
    <workbookView xWindow="0" yWindow="0" windowWidth="12156" windowHeight="8316" activeTab="1"/>
  </bookViews>
  <sheets>
    <sheet name="Sample Rates Notice" sheetId="7" r:id="rId1"/>
    <sheet name="Rates Calculator" sheetId="6" r:id="rId2"/>
    <sheet name="Tables" sheetId="4" state="hidden" r:id="rId3"/>
    <sheet name="Calculator - Audit-View" sheetId="5" state="hidden" r:id="rId4"/>
  </sheets>
  <definedNames>
    <definedName name="Add_Garbage">Tables!$A$24:$Z$28</definedName>
    <definedName name="Ordinary_Rates">Tables!$A$4:$N$14</definedName>
    <definedName name="Pensioner">Tables!$A$42:$Z$43</definedName>
    <definedName name="Sewer">Tables!$A$35:$Z$40</definedName>
    <definedName name="Waste_Mgmt">Tables!$A$16:$Y$21</definedName>
    <definedName name="Water">Tables!$A$30:$Z$33</definedName>
  </definedNames>
  <calcPr calcId="152511"/>
</workbook>
</file>

<file path=xl/calcChain.xml><?xml version="1.0" encoding="utf-8"?>
<calcChain xmlns="http://schemas.openxmlformats.org/spreadsheetml/2006/main">
  <c r="H14" i="4" l="1"/>
  <c r="H13" i="4"/>
  <c r="H12" i="4"/>
  <c r="H11" i="4"/>
  <c r="H10" i="4"/>
  <c r="H9" i="4"/>
  <c r="H8" i="4"/>
  <c r="H7" i="4"/>
  <c r="H6" i="4"/>
  <c r="H5" i="4"/>
  <c r="H4" i="4"/>
  <c r="H39" i="4" l="1"/>
  <c r="H38" i="4"/>
  <c r="H37" i="4"/>
  <c r="H36" i="4"/>
  <c r="H35" i="4"/>
  <c r="H32" i="4"/>
  <c r="H31" i="4"/>
  <c r="H30" i="4"/>
  <c r="H27" i="4"/>
  <c r="H26" i="4"/>
  <c r="H25" i="4"/>
  <c r="H24" i="4"/>
  <c r="H20" i="4"/>
  <c r="H17" i="4"/>
  <c r="H18" i="4"/>
  <c r="H19" i="4"/>
  <c r="H16" i="4"/>
  <c r="H21" i="4"/>
  <c r="Z12" i="6" l="1"/>
  <c r="AH12" i="6" s="1"/>
  <c r="P19" i="6" l="1"/>
  <c r="J19" i="6"/>
  <c r="Z19" i="6"/>
  <c r="AH21" i="6" s="1"/>
  <c r="V19" i="6"/>
  <c r="E43" i="4" l="1"/>
  <c r="AI21" i="6" s="1"/>
  <c r="D19" i="6"/>
  <c r="B9" i="6"/>
  <c r="F19" i="6" l="1"/>
  <c r="H26" i="6" s="1"/>
  <c r="CJ27" i="6" s="1"/>
  <c r="F12" i="6"/>
  <c r="D12" i="6"/>
  <c r="AJ21" i="6"/>
  <c r="J5" i="4"/>
  <c r="J6" i="4"/>
  <c r="J7" i="4"/>
  <c r="J8" i="4"/>
  <c r="J9" i="4"/>
  <c r="J10" i="4"/>
  <c r="J11" i="4"/>
  <c r="J12" i="4"/>
  <c r="J13" i="4"/>
  <c r="J14" i="4"/>
  <c r="J4" i="4"/>
  <c r="H30" i="6"/>
  <c r="L30" i="6" s="1"/>
  <c r="P30" i="6" s="1"/>
  <c r="H29" i="6"/>
  <c r="L29" i="6" s="1"/>
  <c r="P29" i="6" s="1"/>
  <c r="D27" i="6"/>
  <c r="AJ12" i="6"/>
  <c r="L26" i="6" l="1"/>
  <c r="CN27" i="6" s="1"/>
  <c r="D26" i="6"/>
  <c r="CG27" i="6" s="1"/>
  <c r="CG28" i="6" s="1"/>
  <c r="CJ28" i="6" s="1"/>
  <c r="H27" i="6"/>
  <c r="H28" i="6"/>
  <c r="L28" i="6" s="1"/>
  <c r="P28" i="6" s="1"/>
  <c r="L27" i="6" l="1"/>
  <c r="P27" i="6" s="1"/>
  <c r="T27" i="6" s="1"/>
  <c r="P26" i="6"/>
  <c r="CN28" i="6"/>
  <c r="CR28" i="6" s="1"/>
  <c r="AD19" i="6"/>
  <c r="P12" i="6"/>
  <c r="D30" i="6" s="1"/>
  <c r="T30" i="6" s="1"/>
  <c r="V12" i="6"/>
  <c r="J12" i="6"/>
  <c r="C47" i="5"/>
  <c r="G47" i="5" s="1"/>
  <c r="L47" i="5" s="1"/>
  <c r="Q47" i="5" s="1"/>
  <c r="U47" i="5" s="1"/>
  <c r="Y47" i="5" s="1"/>
  <c r="AC47" i="5" s="1"/>
  <c r="C46" i="5"/>
  <c r="G46" i="5" s="1"/>
  <c r="L46" i="5" s="1"/>
  <c r="Q46" i="5" s="1"/>
  <c r="U46" i="5" s="1"/>
  <c r="Y46" i="5" s="1"/>
  <c r="AC46" i="5" s="1"/>
  <c r="C45" i="5"/>
  <c r="G45" i="5" s="1"/>
  <c r="L45" i="5" s="1"/>
  <c r="Q45" i="5" s="1"/>
  <c r="U45" i="5" s="1"/>
  <c r="Y45" i="5" s="1"/>
  <c r="AC45" i="5" s="1"/>
  <c r="C44" i="5"/>
  <c r="G44" i="5" s="1"/>
  <c r="L44" i="5" s="1"/>
  <c r="Q44" i="5" s="1"/>
  <c r="U44" i="5" s="1"/>
  <c r="Y44" i="5" s="1"/>
  <c r="AC44" i="5" s="1"/>
  <c r="C43" i="5"/>
  <c r="G43" i="5" s="1"/>
  <c r="L43" i="5" s="1"/>
  <c r="Q43" i="5" s="1"/>
  <c r="U43" i="5" s="1"/>
  <c r="Y43" i="5" s="1"/>
  <c r="AC43" i="5" s="1"/>
  <c r="C42" i="5"/>
  <c r="G42" i="5" s="1"/>
  <c r="L42" i="5" s="1"/>
  <c r="Q42" i="5" s="1"/>
  <c r="U42" i="5" s="1"/>
  <c r="Y42" i="5" s="1"/>
  <c r="AC42" i="5" s="1"/>
  <c r="C41" i="5"/>
  <c r="G41" i="5" s="1"/>
  <c r="L41" i="5" s="1"/>
  <c r="Q41" i="5" s="1"/>
  <c r="U41" i="5" s="1"/>
  <c r="Y41" i="5" s="1"/>
  <c r="AC41" i="5" s="1"/>
  <c r="C40" i="5"/>
  <c r="G40" i="5" s="1"/>
  <c r="L40" i="5" s="1"/>
  <c r="Q40" i="5" s="1"/>
  <c r="U40" i="5" s="1"/>
  <c r="Y40" i="5" s="1"/>
  <c r="AC40" i="5" s="1"/>
  <c r="C39" i="5"/>
  <c r="G39" i="5" s="1"/>
  <c r="L39" i="5" s="1"/>
  <c r="C28" i="5"/>
  <c r="G28" i="5" s="1"/>
  <c r="L28" i="5" s="1"/>
  <c r="Q28" i="5" s="1"/>
  <c r="U28" i="5" s="1"/>
  <c r="Y28" i="5" s="1"/>
  <c r="AC28" i="5" s="1"/>
  <c r="C14" i="5"/>
  <c r="G14" i="5" s="1"/>
  <c r="L14" i="5" s="1"/>
  <c r="Q14" i="5" s="1"/>
  <c r="U14" i="5" s="1"/>
  <c r="Y14" i="5" s="1"/>
  <c r="AC14" i="5" s="1"/>
  <c r="C21" i="5"/>
  <c r="G21" i="5" s="1"/>
  <c r="C20" i="5"/>
  <c r="G20" i="5" s="1"/>
  <c r="C23" i="5"/>
  <c r="G23" i="5" s="1"/>
  <c r="L23" i="5" s="1"/>
  <c r="Q23" i="5" s="1"/>
  <c r="U23" i="5" s="1"/>
  <c r="Y23" i="5" s="1"/>
  <c r="AC23" i="5" s="1"/>
  <c r="C22" i="5"/>
  <c r="G22" i="5" s="1"/>
  <c r="L22" i="5" s="1"/>
  <c r="Q22" i="5" s="1"/>
  <c r="U22" i="5" s="1"/>
  <c r="Y22" i="5" s="1"/>
  <c r="AC22" i="5" s="1"/>
  <c r="C27" i="5"/>
  <c r="G27" i="5" s="1"/>
  <c r="L27" i="5" s="1"/>
  <c r="Q27" i="5" s="1"/>
  <c r="U27" i="5" s="1"/>
  <c r="Y27" i="5" s="1"/>
  <c r="AC27" i="5" s="1"/>
  <c r="C26" i="5"/>
  <c r="G26" i="5" s="1"/>
  <c r="L26" i="5" s="1"/>
  <c r="Q26" i="5" s="1"/>
  <c r="U26" i="5" s="1"/>
  <c r="Y26" i="5" s="1"/>
  <c r="AC26" i="5" s="1"/>
  <c r="C25" i="5"/>
  <c r="G25" i="5" s="1"/>
  <c r="L25" i="5" s="1"/>
  <c r="Q25" i="5" s="1"/>
  <c r="U25" i="5" s="1"/>
  <c r="Y25" i="5" s="1"/>
  <c r="AC25" i="5" s="1"/>
  <c r="C24" i="5"/>
  <c r="G24" i="5" s="1"/>
  <c r="L24" i="5" s="1"/>
  <c r="Q24" i="5" s="1"/>
  <c r="U24" i="5" s="1"/>
  <c r="Y24" i="5" s="1"/>
  <c r="AC24" i="5" s="1"/>
  <c r="C13" i="5"/>
  <c r="G13" i="5" s="1"/>
  <c r="L13" i="5" s="1"/>
  <c r="Q13" i="5" s="1"/>
  <c r="U13" i="5" s="1"/>
  <c r="Y13" i="5" s="1"/>
  <c r="AC13" i="5" s="1"/>
  <c r="C9" i="5"/>
  <c r="G9" i="5" s="1"/>
  <c r="L9" i="5" s="1"/>
  <c r="Q9" i="5" s="1"/>
  <c r="U9" i="5" s="1"/>
  <c r="Y9" i="5" s="1"/>
  <c r="AC9" i="5" s="1"/>
  <c r="C12" i="5"/>
  <c r="G12" i="5" s="1"/>
  <c r="L12" i="5" s="1"/>
  <c r="Q12" i="5" s="1"/>
  <c r="U12" i="5" s="1"/>
  <c r="Y12" i="5" s="1"/>
  <c r="AC12" i="5" s="1"/>
  <c r="C11" i="5"/>
  <c r="G11" i="5" s="1"/>
  <c r="L11" i="5" s="1"/>
  <c r="Q11" i="5" s="1"/>
  <c r="U11" i="5" s="1"/>
  <c r="Y11" i="5" s="1"/>
  <c r="AC11" i="5" s="1"/>
  <c r="C10" i="5"/>
  <c r="G10" i="5" s="1"/>
  <c r="L10" i="5" s="1"/>
  <c r="Q10" i="5" s="1"/>
  <c r="U10" i="5" s="1"/>
  <c r="Y10" i="5" s="1"/>
  <c r="AC10" i="5" s="1"/>
  <c r="C8" i="5"/>
  <c r="G8" i="5" s="1"/>
  <c r="L8" i="5" s="1"/>
  <c r="CR27" i="6" l="1"/>
  <c r="T26" i="6"/>
  <c r="B21" i="6"/>
  <c r="H43" i="4"/>
  <c r="AI12" i="6" s="1"/>
  <c r="D28" i="6"/>
  <c r="T28" i="6" s="1"/>
  <c r="D29" i="6"/>
  <c r="T29" i="6" s="1"/>
  <c r="H31" i="6"/>
  <c r="L31" i="6" s="1"/>
  <c r="P31" i="6" s="1"/>
  <c r="C16" i="5"/>
  <c r="C48" i="5"/>
  <c r="G16" i="5"/>
  <c r="L16" i="5"/>
  <c r="Q8" i="5"/>
  <c r="L18" i="5"/>
  <c r="G29" i="5"/>
  <c r="L21" i="5"/>
  <c r="Q21" i="5" s="1"/>
  <c r="U21" i="5" s="1"/>
  <c r="Y21" i="5" s="1"/>
  <c r="AC21" i="5" s="1"/>
  <c r="L48" i="5"/>
  <c r="Q39" i="5"/>
  <c r="L54" i="5"/>
  <c r="G35" i="5"/>
  <c r="C35" i="5"/>
  <c r="C18" i="5"/>
  <c r="L20" i="5"/>
  <c r="C54" i="5"/>
  <c r="C29" i="5"/>
  <c r="C31" i="5" s="1"/>
  <c r="G18" i="5"/>
  <c r="G54" i="5"/>
  <c r="G48" i="5"/>
  <c r="P32" i="6" l="1"/>
  <c r="AD12" i="6"/>
  <c r="B12" i="6" s="1"/>
  <c r="D21" i="6" s="1"/>
  <c r="J21" i="6" s="1"/>
  <c r="H32" i="6"/>
  <c r="G31" i="5"/>
  <c r="G33" i="5" s="1"/>
  <c r="G50" i="5"/>
  <c r="G52" i="5" s="1"/>
  <c r="C50" i="5"/>
  <c r="L50" i="5"/>
  <c r="C37" i="5"/>
  <c r="U8" i="5"/>
  <c r="Q18" i="5"/>
  <c r="Q16" i="5"/>
  <c r="U39" i="5"/>
  <c r="Q54" i="5"/>
  <c r="Q48" i="5"/>
  <c r="C56" i="5"/>
  <c r="G37" i="5"/>
  <c r="G56" i="5"/>
  <c r="Q20" i="5"/>
  <c r="L35" i="5"/>
  <c r="L37" i="5" s="1"/>
  <c r="L29" i="5"/>
  <c r="L31" i="5" s="1"/>
  <c r="L33" i="5" s="1"/>
  <c r="L56" i="5"/>
  <c r="D31" i="6" l="1"/>
  <c r="L32" i="6"/>
  <c r="L52" i="5"/>
  <c r="Q50" i="5"/>
  <c r="Q35" i="5"/>
  <c r="Q37" i="5" s="1"/>
  <c r="Q29" i="5"/>
  <c r="Q31" i="5" s="1"/>
  <c r="Q33" i="5" s="1"/>
  <c r="U20" i="5"/>
  <c r="Q56" i="5"/>
  <c r="U18" i="5"/>
  <c r="U16" i="5"/>
  <c r="Y8" i="5"/>
  <c r="Y39" i="5"/>
  <c r="U48" i="5"/>
  <c r="U54" i="5"/>
  <c r="D32" i="6" l="1"/>
  <c r="T32" i="6" s="1"/>
  <c r="AL32" i="6" s="1"/>
  <c r="T31" i="6"/>
  <c r="Q52" i="5"/>
  <c r="U50" i="5"/>
  <c r="AC8" i="5"/>
  <c r="Y18" i="5"/>
  <c r="Y16" i="5"/>
  <c r="U56" i="5"/>
  <c r="U35" i="5"/>
  <c r="U37" i="5" s="1"/>
  <c r="Y20" i="5"/>
  <c r="U29" i="5"/>
  <c r="U31" i="5" s="1"/>
  <c r="U33" i="5" s="1"/>
  <c r="AC39" i="5"/>
  <c r="Y54" i="5"/>
  <c r="Y48" i="5"/>
  <c r="U52" i="5" l="1"/>
  <c r="Y56" i="5"/>
  <c r="Y50" i="5"/>
  <c r="AC54" i="5"/>
  <c r="AC48" i="5"/>
  <c r="AC20" i="5"/>
  <c r="Y35" i="5"/>
  <c r="Y37" i="5" s="1"/>
  <c r="Y29" i="5"/>
  <c r="Y31" i="5" s="1"/>
  <c r="Y33" i="5" s="1"/>
  <c r="AC16" i="5"/>
  <c r="AC18" i="5"/>
  <c r="Y52" i="5" l="1"/>
  <c r="AC35" i="5"/>
  <c r="AC37" i="5" s="1"/>
  <c r="AC29" i="5"/>
  <c r="AC31" i="5" s="1"/>
  <c r="AC33" i="5" s="1"/>
  <c r="AC50" i="5"/>
  <c r="AC56" i="5"/>
  <c r="AC52" i="5" l="1"/>
</calcChain>
</file>

<file path=xl/sharedStrings.xml><?xml version="1.0" encoding="utf-8"?>
<sst xmlns="http://schemas.openxmlformats.org/spreadsheetml/2006/main" count="161" uniqueCount="125">
  <si>
    <t>Ordinary Rates</t>
  </si>
  <si>
    <t>Waste Management Charges</t>
  </si>
  <si>
    <t>Domestic Waste</t>
  </si>
  <si>
    <t>Special Rate Variation - Indicative Rates Comparison Calculator</t>
  </si>
  <si>
    <t>2013-14</t>
  </si>
  <si>
    <t>2014-15</t>
  </si>
  <si>
    <t>2015-16</t>
  </si>
  <si>
    <t>2016-17</t>
  </si>
  <si>
    <t>2017-18</t>
  </si>
  <si>
    <t>2018-19</t>
  </si>
  <si>
    <t>2019-20</t>
  </si>
  <si>
    <t>Domestic Waste - Vacant Land</t>
  </si>
  <si>
    <t>None</t>
  </si>
  <si>
    <t>Additional Garbage Charge</t>
  </si>
  <si>
    <t>Ordinary Rates
Classification</t>
  </si>
  <si>
    <t>Waste Management
Charges</t>
  </si>
  <si>
    <t>Additional Garbage
Charge</t>
  </si>
  <si>
    <t>Additional Recycling
Charge</t>
  </si>
  <si>
    <t>Statutory
Pension
 Rebate</t>
  </si>
  <si>
    <t>Residential - Vacant</t>
  </si>
  <si>
    <t>Non-Residential - Vacant</t>
  </si>
  <si>
    <t>Year 1</t>
  </si>
  <si>
    <t>Year 2</t>
  </si>
  <si>
    <t>Year 3</t>
  </si>
  <si>
    <t>Year 4</t>
  </si>
  <si>
    <t>Current Year</t>
  </si>
  <si>
    <t>Base Rate</t>
  </si>
  <si>
    <t>Waste Charge</t>
  </si>
  <si>
    <t>Garbage Charge</t>
  </si>
  <si>
    <t>Recycling Charge</t>
  </si>
  <si>
    <t>Sewerage Service</t>
  </si>
  <si>
    <t>Sewer Charges</t>
  </si>
  <si>
    <t>Sewerage Charge</t>
  </si>
  <si>
    <t>Pensioner Rebate</t>
  </si>
  <si>
    <t>General Rates</t>
  </si>
  <si>
    <t>General Rates - Farmland</t>
  </si>
  <si>
    <t>General Rates - Other</t>
  </si>
  <si>
    <t>Base Rate - Other</t>
  </si>
  <si>
    <t>Base Rate - Farmland</t>
  </si>
  <si>
    <r>
      <t xml:space="preserve">Land Valuation
</t>
    </r>
    <r>
      <rPr>
        <b/>
        <sz val="8"/>
        <color indexed="9"/>
        <rFont val="Arial"/>
        <family val="2"/>
      </rPr>
      <t>(per 2013/14 Rates Notice)</t>
    </r>
  </si>
  <si>
    <t>Not Applicable</t>
  </si>
  <si>
    <t>Rates and Services</t>
  </si>
  <si>
    <t>Total (All) Rates and Services</t>
  </si>
  <si>
    <t>Impact of SRV</t>
  </si>
  <si>
    <t>All figures $'s</t>
  </si>
  <si>
    <t>Cumulative Impact of SRV</t>
  </si>
  <si>
    <t>% Increase for Opt. 2 vs Opt. 1</t>
  </si>
  <si>
    <t>Impact of SRV (Compared Opt. 1)</t>
  </si>
  <si>
    <t>% Increase for Opt. 3 vs Opt. 1</t>
  </si>
  <si>
    <t>Base Rate
($)</t>
  </si>
  <si>
    <t>Ad-valorem
(cents in $)</t>
  </si>
  <si>
    <r>
      <t xml:space="preserve">Option 1
</t>
    </r>
    <r>
      <rPr>
        <sz val="10"/>
        <rFont val="Arial"/>
        <family val="2"/>
      </rPr>
      <t>Reduced Services Model
(Current Rate-Peg Only)</t>
    </r>
  </si>
  <si>
    <t>Extra Garbage Charge</t>
  </si>
  <si>
    <t>Extra Recycling Charge</t>
  </si>
  <si>
    <r>
      <t xml:space="preserve">Option 2
</t>
    </r>
    <r>
      <rPr>
        <sz val="10"/>
        <rFont val="Arial"/>
        <family val="2"/>
      </rPr>
      <t>WRI Model
(10% Special Rate Variation)</t>
    </r>
  </si>
  <si>
    <r>
      <t xml:space="preserve">Option 3
</t>
    </r>
    <r>
      <rPr>
        <sz val="10"/>
        <rFont val="Arial"/>
        <family val="2"/>
      </rPr>
      <t>Maintained Services Model
(15% Special Rate Variation)</t>
    </r>
  </si>
  <si>
    <t>Ad-valorem Rate</t>
  </si>
  <si>
    <t>All Other - Contact Council</t>
  </si>
  <si>
    <t>No Rebate</t>
  </si>
  <si>
    <t>Yes - Pensioner</t>
  </si>
  <si>
    <t>Statutory Pensioner Rebate</t>
  </si>
  <si>
    <t>Rates</t>
  </si>
  <si>
    <t>Sewer</t>
  </si>
  <si>
    <t>Statutory Pension         Rebate</t>
  </si>
  <si>
    <r>
      <t xml:space="preserve">Your Land Valuation
</t>
    </r>
    <r>
      <rPr>
        <b/>
        <sz val="8"/>
        <color indexed="9"/>
        <rFont val="Arial"/>
        <family val="2"/>
      </rPr>
      <t xml:space="preserve">(Please use your new valuation notice)
</t>
    </r>
  </si>
  <si>
    <t>Rates Payable - Senario 1
2017/18</t>
  </si>
  <si>
    <t>Residential</t>
  </si>
  <si>
    <t>Residential - Bellingen</t>
  </si>
  <si>
    <t>Residential - Rural</t>
  </si>
  <si>
    <t>Residential - Dorrigo</t>
  </si>
  <si>
    <t>Residential - Mylestom</t>
  </si>
  <si>
    <t>Residential - Urunga</t>
  </si>
  <si>
    <t>Business</t>
  </si>
  <si>
    <t>Business - Bellingen</t>
  </si>
  <si>
    <t>Business - Dorrigo</t>
  </si>
  <si>
    <t>Business - Urunga</t>
  </si>
  <si>
    <t>Farmland</t>
  </si>
  <si>
    <t>Waste Facility Access Charge</t>
  </si>
  <si>
    <t>Commercial Waste</t>
  </si>
  <si>
    <t>Commercial Waste - Access Charge</t>
  </si>
  <si>
    <t>Water</t>
  </si>
  <si>
    <t>Water Charges</t>
  </si>
  <si>
    <t>Fortnightly 240L - Mixed Waste</t>
  </si>
  <si>
    <t>Fortnightly 240L - Recycling</t>
  </si>
  <si>
    <t>Weekly 240L - Organics</t>
  </si>
  <si>
    <r>
      <rPr>
        <b/>
        <u/>
        <sz val="9"/>
        <color theme="3"/>
        <rFont val="Arial"/>
        <family val="2"/>
      </rPr>
      <t>Water</t>
    </r>
    <r>
      <rPr>
        <b/>
        <sz val="9"/>
        <color theme="0"/>
        <rFont val="Arial"/>
        <family val="2"/>
      </rPr>
      <t xml:space="preserve"> Service
Connection Type</t>
    </r>
  </si>
  <si>
    <r>
      <rPr>
        <b/>
        <u/>
        <sz val="9"/>
        <color rgb="FFFFFF00"/>
        <rFont val="Arial"/>
        <family val="2"/>
      </rPr>
      <t>Sewerage</t>
    </r>
    <r>
      <rPr>
        <b/>
        <sz val="9"/>
        <color theme="0"/>
        <rFont val="Arial"/>
        <family val="2"/>
      </rPr>
      <t xml:space="preserve"> Service
Connection Type</t>
    </r>
  </si>
  <si>
    <r>
      <rPr>
        <b/>
        <u/>
        <sz val="9"/>
        <color rgb="FF92D050"/>
        <rFont val="Arial"/>
        <family val="2"/>
      </rPr>
      <t>Waste</t>
    </r>
    <r>
      <rPr>
        <b/>
        <sz val="9"/>
        <color theme="0"/>
        <rFont val="Arial"/>
        <family val="2"/>
      </rPr>
      <t xml:space="preserve"> Management
Charges</t>
    </r>
  </si>
  <si>
    <r>
      <rPr>
        <b/>
        <u/>
        <sz val="9"/>
        <color theme="0"/>
        <rFont val="Arial"/>
        <family val="2"/>
      </rPr>
      <t>Additional</t>
    </r>
    <r>
      <rPr>
        <b/>
        <sz val="9"/>
        <color theme="0"/>
        <rFont val="Arial"/>
        <family val="2"/>
      </rPr>
      <t xml:space="preserve"> </t>
    </r>
    <r>
      <rPr>
        <b/>
        <u/>
        <sz val="9"/>
        <color rgb="FF92D050"/>
        <rFont val="Arial"/>
        <family val="2"/>
      </rPr>
      <t>Waste</t>
    </r>
    <r>
      <rPr>
        <b/>
        <sz val="9"/>
        <color theme="0"/>
        <rFont val="Arial"/>
        <family val="2"/>
      </rPr>
      <t xml:space="preserve">
Charge</t>
    </r>
  </si>
  <si>
    <t>Water Charge - Connected (20mm)</t>
  </si>
  <si>
    <t>Water Charge - Not Connected</t>
  </si>
  <si>
    <t>2018/19 Rate Peg Only</t>
  </si>
  <si>
    <t>2018/19 6% Increase</t>
  </si>
  <si>
    <t xml:space="preserve">Total
Rates and Services (Rate Peg)
</t>
  </si>
  <si>
    <t>Estimated Rates 2018/19</t>
  </si>
  <si>
    <t>Charges</t>
  </si>
  <si>
    <t>Sewer Annual Charges</t>
  </si>
  <si>
    <t>Water Annual Charges</t>
  </si>
  <si>
    <t>Domestic Waste Service</t>
  </si>
  <si>
    <t>Less: Pensioner Rebate</t>
  </si>
  <si>
    <t>Total</t>
  </si>
  <si>
    <t>2017/18</t>
  </si>
  <si>
    <t>2018/19</t>
  </si>
  <si>
    <t>2019/20</t>
  </si>
  <si>
    <t>2020/21</t>
  </si>
  <si>
    <t>Actuals</t>
  </si>
  <si>
    <t>Estimate</t>
  </si>
  <si>
    <t>Waste Additional Services</t>
  </si>
  <si>
    <t>Contact Council</t>
  </si>
  <si>
    <t>General Rates - 6% SRV</t>
  </si>
  <si>
    <t>Estimated Rates 2018/19 to 2020/21</t>
  </si>
  <si>
    <t>Total Estimated
Rates and Services (6% SRV)</t>
  </si>
  <si>
    <r>
      <t xml:space="preserve">Your Land Valuation
</t>
    </r>
    <r>
      <rPr>
        <b/>
        <sz val="12"/>
        <color indexed="9"/>
        <rFont val="Arial"/>
        <family val="2"/>
      </rPr>
      <t xml:space="preserve">(from your rates notice)
</t>
    </r>
  </si>
  <si>
    <r>
      <rPr>
        <b/>
        <u/>
        <sz val="12"/>
        <color rgb="FF92D050"/>
        <rFont val="Arial"/>
        <family val="2"/>
      </rPr>
      <t>Waste</t>
    </r>
    <r>
      <rPr>
        <b/>
        <sz val="12"/>
        <color theme="0"/>
        <rFont val="Arial"/>
        <family val="2"/>
      </rPr>
      <t xml:space="preserve"> Management
Charges</t>
    </r>
  </si>
  <si>
    <r>
      <rPr>
        <b/>
        <u/>
        <sz val="12"/>
        <color theme="0"/>
        <rFont val="Arial"/>
        <family val="2"/>
      </rPr>
      <t>Additional</t>
    </r>
    <r>
      <rPr>
        <b/>
        <sz val="12"/>
        <color theme="0"/>
        <rFont val="Arial"/>
        <family val="2"/>
      </rPr>
      <t xml:space="preserve"> </t>
    </r>
    <r>
      <rPr>
        <b/>
        <u/>
        <sz val="12"/>
        <color rgb="FF92D050"/>
        <rFont val="Arial"/>
        <family val="2"/>
      </rPr>
      <t>Waste</t>
    </r>
    <r>
      <rPr>
        <b/>
        <sz val="12"/>
        <color theme="0"/>
        <rFont val="Arial"/>
        <family val="2"/>
      </rPr>
      <t xml:space="preserve">
Charge</t>
    </r>
  </si>
  <si>
    <r>
      <rPr>
        <b/>
        <u/>
        <sz val="12"/>
        <color theme="3"/>
        <rFont val="Arial"/>
        <family val="2"/>
      </rPr>
      <t>Water</t>
    </r>
    <r>
      <rPr>
        <b/>
        <sz val="12"/>
        <color theme="0"/>
        <rFont val="Arial"/>
        <family val="2"/>
      </rPr>
      <t xml:space="preserve"> Service
Connection Type</t>
    </r>
  </si>
  <si>
    <r>
      <rPr>
        <b/>
        <u/>
        <sz val="12"/>
        <color rgb="FFFFFF00"/>
        <rFont val="Arial"/>
        <family val="2"/>
      </rPr>
      <t>Sewerage</t>
    </r>
    <r>
      <rPr>
        <b/>
        <sz val="12"/>
        <color theme="0"/>
        <rFont val="Arial"/>
        <family val="2"/>
      </rPr>
      <t xml:space="preserve"> Service
Connection Type</t>
    </r>
  </si>
  <si>
    <t>Water 2018</t>
  </si>
  <si>
    <t>Residential - 20mm</t>
  </si>
  <si>
    <t>Non-Residential - 20mm</t>
  </si>
  <si>
    <t>Special Variation Impact Calculator</t>
  </si>
  <si>
    <t>General Rates - Rate Peg Only</t>
  </si>
  <si>
    <t>Please refer to sample Rates Notice to right of screen for further information required to input into rates calculator.</t>
  </si>
  <si>
    <t>Average Annual % Increase over 3 year Period</t>
  </si>
  <si>
    <t>Ordinary Rates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</si>
</sst>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0000_-;\-* #,##0.000000_-;_-* &quot;-&quot;??_-;_-@_-"/>
    <numFmt numFmtId="167" formatCode="#,##0.00;[Red]\(#,##0.00\)"/>
    <numFmt numFmtId="168" formatCode="&quot;$&quot;#,##0.00"/>
    <numFmt numFmtId="169" formatCode="&quot;$&quot;#,##0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8"/>
      <color indexed="9"/>
      <name val="Arial"/>
      <family val="2"/>
    </font>
    <font>
      <b/>
      <i/>
      <sz val="10"/>
      <name val="Arial"/>
      <family val="2"/>
    </font>
    <font>
      <sz val="10"/>
      <color rgb="FFCCFFCC"/>
      <name val="Arial"/>
      <family val="2"/>
    </font>
    <font>
      <b/>
      <sz val="10"/>
      <color rgb="FFCCFFCC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  <font>
      <b/>
      <sz val="11"/>
      <color rgb="FFFF0000"/>
      <name val="Arial"/>
      <family val="2"/>
    </font>
    <font>
      <b/>
      <sz val="14"/>
      <color rgb="FF0070C0"/>
      <name val="Arial"/>
      <family val="2"/>
    </font>
    <font>
      <b/>
      <u/>
      <sz val="9"/>
      <color theme="3"/>
      <name val="Arial"/>
      <family val="2"/>
    </font>
    <font>
      <b/>
      <u/>
      <sz val="9"/>
      <color rgb="FFFFFF00"/>
      <name val="Arial"/>
      <family val="2"/>
    </font>
    <font>
      <b/>
      <u/>
      <sz val="9"/>
      <color rgb="FF92D050"/>
      <name val="Arial"/>
      <family val="2"/>
    </font>
    <font>
      <b/>
      <u/>
      <sz val="9"/>
      <color theme="0"/>
      <name val="Arial"/>
      <family val="2"/>
    </font>
    <font>
      <b/>
      <u/>
      <sz val="9"/>
      <color theme="8" tint="0.3999755851924192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3"/>
      <name val="Arial"/>
      <family val="2"/>
    </font>
    <font>
      <b/>
      <sz val="18"/>
      <color rgb="FF002060"/>
      <name val="Arial"/>
      <family val="2"/>
    </font>
    <font>
      <b/>
      <sz val="14"/>
      <color theme="0"/>
      <name val="Arial"/>
      <family val="2"/>
    </font>
    <font>
      <b/>
      <u/>
      <sz val="12"/>
      <color theme="3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indexed="9"/>
      <name val="Arial"/>
      <family val="2"/>
    </font>
    <font>
      <b/>
      <u/>
      <sz val="12"/>
      <color theme="8" tint="0.39997558519241921"/>
      <name val="Arial"/>
      <family val="2"/>
    </font>
    <font>
      <b/>
      <u/>
      <sz val="12"/>
      <color rgb="FF92D050"/>
      <name val="Arial"/>
      <family val="2"/>
    </font>
    <font>
      <b/>
      <u/>
      <sz val="12"/>
      <color theme="0"/>
      <name val="Arial"/>
      <family val="2"/>
    </font>
    <font>
      <b/>
      <u/>
      <sz val="12"/>
      <color rgb="FFFFFF00"/>
      <name val="Arial"/>
      <family val="2"/>
    </font>
    <font>
      <b/>
      <sz val="12"/>
      <color rgb="FFCCFFCC"/>
      <name val="Arial"/>
      <family val="2"/>
    </font>
    <font>
      <sz val="12"/>
      <color rgb="FFCCFFCC"/>
      <name val="Arial"/>
      <family val="2"/>
    </font>
    <font>
      <sz val="12"/>
      <color theme="0" tint="-0.34998626667073579"/>
      <name val="Arial"/>
      <family val="2"/>
    </font>
    <font>
      <b/>
      <sz val="12"/>
      <color theme="0" tint="-0.1499984740745262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DDD9C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/>
      <top style="thin">
        <color theme="7" tint="-0.24994659260841701"/>
      </top>
      <bottom/>
      <diagonal/>
    </border>
    <border>
      <left style="thin">
        <color theme="7" tint="-0.24994659260841701"/>
      </left>
      <right/>
      <top/>
      <bottom/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/>
      <top/>
      <bottom style="thin">
        <color theme="7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/>
      <right/>
      <top style="thin">
        <color theme="3" tint="0.39994506668294322"/>
      </top>
      <bottom/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9" tint="0.39994506668294322"/>
      </left>
      <right/>
      <top/>
      <bottom style="thin">
        <color theme="9" tint="0.39994506668294322"/>
      </bottom>
      <diagonal/>
    </border>
    <border>
      <left/>
      <right/>
      <top/>
      <bottom style="thin">
        <color theme="9" tint="0.39994506668294322"/>
      </bottom>
      <diagonal/>
    </border>
    <border>
      <left/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indexed="64"/>
      </left>
      <right/>
      <top style="thick">
        <color theme="1" tint="0.499984740745262"/>
      </top>
      <bottom/>
      <diagonal/>
    </border>
    <border>
      <left style="medium">
        <color indexed="64"/>
      </left>
      <right style="medium">
        <color theme="2" tint="-0.24994659260841701"/>
      </right>
      <top style="medium">
        <color theme="2" tint="-0.24994659260841701"/>
      </top>
      <bottom style="thin">
        <color theme="2" tint="-0.24994659260841701"/>
      </bottom>
      <diagonal/>
    </border>
    <border>
      <left style="medium">
        <color indexed="64"/>
      </left>
      <right style="medium">
        <color theme="2" tint="-0.24994659260841701"/>
      </right>
      <top style="thin">
        <color theme="2" tint="-0.24994659260841701"/>
      </top>
      <bottom style="medium">
        <color indexed="64"/>
      </bottom>
      <diagonal/>
    </border>
    <border>
      <left/>
      <right style="thin">
        <color theme="0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ck">
        <color theme="1" tint="0.499984740745262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9">
    <xf numFmtId="0" fontId="0" fillId="0" borderId="0" xfId="0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Protection="1"/>
    <xf numFmtId="0" fontId="2" fillId="0" borderId="0" xfId="0" applyFont="1" applyFill="1" applyBorder="1" applyProtection="1"/>
    <xf numFmtId="164" fontId="1" fillId="0" borderId="0" xfId="1" applyNumberFormat="1" applyFill="1" applyBorder="1" applyProtection="1"/>
    <xf numFmtId="0" fontId="2" fillId="0" borderId="0" xfId="0" applyFont="1" applyProtection="1"/>
    <xf numFmtId="0" fontId="0" fillId="0" borderId="0" xfId="0" applyAlignment="1" applyProtection="1">
      <alignment horizontal="left" indent="1"/>
    </xf>
    <xf numFmtId="43" fontId="1" fillId="0" borderId="0" xfId="1" applyProtection="1"/>
    <xf numFmtId="166" fontId="0" fillId="0" borderId="0" xfId="1" applyNumberFormat="1" applyFont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164" fontId="1" fillId="0" borderId="0" xfId="1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44" fontId="2" fillId="0" borderId="0" xfId="2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164" fontId="1" fillId="0" borderId="0" xfId="1" applyNumberFormat="1" applyBorder="1" applyProtection="1"/>
    <xf numFmtId="0" fontId="2" fillId="0" borderId="0" xfId="0" applyFont="1" applyBorder="1" applyAlignment="1" applyProtection="1">
      <alignment vertical="center"/>
    </xf>
    <xf numFmtId="164" fontId="1" fillId="0" borderId="0" xfId="1" applyNumberFormat="1" applyBorder="1" applyAlignment="1" applyProtection="1">
      <alignment vertical="center"/>
    </xf>
    <xf numFmtId="0" fontId="4" fillId="0" borderId="0" xfId="0" applyFont="1" applyBorder="1" applyProtection="1"/>
    <xf numFmtId="0" fontId="5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43" fontId="4" fillId="0" borderId="0" xfId="1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43" fontId="4" fillId="0" borderId="0" xfId="1" applyFont="1" applyFill="1" applyBorder="1" applyAlignment="1" applyProtection="1">
      <alignment horizontal="right"/>
    </xf>
    <xf numFmtId="43" fontId="2" fillId="0" borderId="0" xfId="1" applyFont="1" applyFill="1" applyBorder="1" applyAlignment="1" applyProtection="1">
      <alignment vertical="center"/>
    </xf>
    <xf numFmtId="43" fontId="7" fillId="0" borderId="0" xfId="1" applyFont="1" applyFill="1" applyBorder="1" applyAlignment="1" applyProtection="1">
      <alignment vertical="center"/>
    </xf>
    <xf numFmtId="6" fontId="11" fillId="0" borderId="0" xfId="2" applyNumberFormat="1" applyFont="1" applyFill="1" applyBorder="1" applyAlignment="1" applyProtection="1">
      <alignment vertical="center"/>
    </xf>
    <xf numFmtId="164" fontId="10" fillId="0" borderId="0" xfId="1" applyNumberFormat="1" applyFont="1" applyFill="1" applyBorder="1" applyAlignment="1" applyProtection="1">
      <alignment horizontal="center" vertical="center"/>
    </xf>
    <xf numFmtId="164" fontId="10" fillId="0" borderId="0" xfId="1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horizontal="right" vertical="center"/>
    </xf>
    <xf numFmtId="43" fontId="5" fillId="0" borderId="0" xfId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2" fillId="4" borderId="0" xfId="0" applyFont="1" applyFill="1" applyBorder="1" applyAlignment="1" applyProtection="1">
      <alignment vertical="center"/>
    </xf>
    <xf numFmtId="43" fontId="2" fillId="4" borderId="0" xfId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/>
    </xf>
    <xf numFmtId="43" fontId="2" fillId="5" borderId="0" xfId="1" applyFont="1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left" vertical="center" wrapText="1"/>
    </xf>
    <xf numFmtId="43" fontId="2" fillId="6" borderId="0" xfId="1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43" fontId="7" fillId="3" borderId="0" xfId="1" applyFont="1" applyFill="1" applyBorder="1" applyAlignment="1" applyProtection="1">
      <alignment horizontal="right" vertical="center"/>
    </xf>
    <xf numFmtId="165" fontId="7" fillId="3" borderId="0" xfId="3" applyNumberFormat="1" applyFont="1" applyFill="1" applyBorder="1" applyAlignment="1" applyProtection="1">
      <alignment horizontal="right" vertical="center"/>
    </xf>
    <xf numFmtId="0" fontId="6" fillId="7" borderId="0" xfId="0" applyFont="1" applyFill="1" applyBorder="1" applyAlignment="1" applyProtection="1">
      <alignment horizontal="center" vertical="center"/>
    </xf>
    <xf numFmtId="165" fontId="7" fillId="7" borderId="0" xfId="3" applyNumberFormat="1" applyFont="1" applyFill="1" applyBorder="1" applyAlignment="1" applyProtection="1">
      <alignment horizontal="right" vertical="center"/>
    </xf>
    <xf numFmtId="0" fontId="6" fillId="8" borderId="0" xfId="0" applyFont="1" applyFill="1" applyBorder="1" applyAlignment="1" applyProtection="1">
      <alignment horizontal="center" vertical="center"/>
    </xf>
    <xf numFmtId="165" fontId="7" fillId="8" borderId="0" xfId="3" applyNumberFormat="1" applyFont="1" applyFill="1" applyBorder="1" applyAlignment="1" applyProtection="1">
      <alignment horizontal="right" vertical="center"/>
    </xf>
    <xf numFmtId="0" fontId="6" fillId="9" borderId="0" xfId="0" applyFont="1" applyFill="1" applyBorder="1" applyAlignment="1" applyProtection="1">
      <alignment horizontal="center" vertical="center"/>
    </xf>
    <xf numFmtId="165" fontId="7" fillId="9" borderId="0" xfId="3" applyNumberFormat="1" applyFont="1" applyFill="1" applyBorder="1" applyAlignment="1" applyProtection="1">
      <alignment horizontal="right" vertical="center"/>
    </xf>
    <xf numFmtId="0" fontId="6" fillId="10" borderId="0" xfId="0" applyFont="1" applyFill="1" applyBorder="1" applyAlignment="1" applyProtection="1">
      <alignment horizontal="center" vertical="center"/>
    </xf>
    <xf numFmtId="165" fontId="7" fillId="10" borderId="0" xfId="3" applyNumberFormat="1" applyFont="1" applyFill="1" applyBorder="1" applyAlignment="1" applyProtection="1">
      <alignment horizontal="right" vertical="center"/>
    </xf>
    <xf numFmtId="43" fontId="4" fillId="9" borderId="0" xfId="1" applyFont="1" applyFill="1" applyBorder="1" applyProtection="1"/>
    <xf numFmtId="43" fontId="4" fillId="2" borderId="0" xfId="1" applyFont="1" applyFill="1" applyBorder="1" applyProtection="1"/>
    <xf numFmtId="165" fontId="7" fillId="2" borderId="0" xfId="3" applyNumberFormat="1" applyFont="1" applyFill="1" applyBorder="1" applyAlignment="1" applyProtection="1">
      <alignment horizontal="center" vertical="center" wrapText="1"/>
    </xf>
    <xf numFmtId="0" fontId="12" fillId="11" borderId="0" xfId="1" applyNumberFormat="1" applyFont="1" applyFill="1" applyBorder="1" applyAlignment="1" applyProtection="1">
      <alignment horizontal="center" vertical="center" wrapText="1"/>
    </xf>
    <xf numFmtId="6" fontId="13" fillId="12" borderId="0" xfId="2" applyNumberFormat="1" applyFont="1" applyFill="1" applyBorder="1" applyAlignment="1" applyProtection="1">
      <alignment horizontal="center" vertical="center"/>
      <protection locked="0"/>
    </xf>
    <xf numFmtId="43" fontId="7" fillId="3" borderId="0" xfId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43" fontId="7" fillId="7" borderId="0" xfId="1" applyFont="1" applyFill="1" applyBorder="1" applyAlignment="1" applyProtection="1">
      <alignment horizontal="right" vertical="center"/>
    </xf>
    <xf numFmtId="43" fontId="7" fillId="8" borderId="0" xfId="1" applyFont="1" applyFill="1" applyBorder="1" applyAlignment="1" applyProtection="1">
      <alignment horizontal="right" vertical="center"/>
    </xf>
    <xf numFmtId="43" fontId="7" fillId="10" borderId="0" xfId="1" applyFont="1" applyFill="1" applyBorder="1" applyAlignment="1" applyProtection="1">
      <alignment horizontal="right" vertical="center"/>
    </xf>
    <xf numFmtId="43" fontId="7" fillId="9" borderId="0" xfId="1" applyFont="1" applyFill="1" applyBorder="1" applyAlignment="1" applyProtection="1">
      <alignment horizontal="right" vertical="center"/>
    </xf>
    <xf numFmtId="43" fontId="7" fillId="2" borderId="0" xfId="1" applyFont="1" applyFill="1" applyBorder="1" applyAlignment="1" applyProtection="1">
      <alignment horizontal="center" vertical="center" wrapText="1"/>
    </xf>
    <xf numFmtId="0" fontId="4" fillId="6" borderId="0" xfId="0" applyFont="1" applyFill="1" applyBorder="1" applyAlignment="1" applyProtection="1">
      <alignment vertical="center"/>
    </xf>
    <xf numFmtId="0" fontId="7" fillId="0" borderId="0" xfId="0" applyFont="1" applyBorder="1" applyProtection="1"/>
    <xf numFmtId="0" fontId="0" fillId="6" borderId="0" xfId="0" applyFill="1" applyBorder="1" applyProtection="1"/>
    <xf numFmtId="0" fontId="7" fillId="6" borderId="0" xfId="0" applyFont="1" applyFill="1" applyBorder="1" applyProtection="1"/>
    <xf numFmtId="0" fontId="6" fillId="13" borderId="0" xfId="0" applyFont="1" applyFill="1" applyBorder="1" applyAlignment="1" applyProtection="1">
      <alignment horizontal="center" vertical="center"/>
    </xf>
    <xf numFmtId="165" fontId="7" fillId="13" borderId="0" xfId="3" applyNumberFormat="1" applyFont="1" applyFill="1" applyBorder="1" applyAlignment="1" applyProtection="1">
      <alignment horizontal="right" vertical="center"/>
    </xf>
    <xf numFmtId="43" fontId="7" fillId="13" borderId="0" xfId="1" applyFont="1" applyFill="1" applyBorder="1" applyAlignment="1" applyProtection="1">
      <alignment horizontal="right" vertical="center"/>
    </xf>
    <xf numFmtId="43" fontId="9" fillId="3" borderId="0" xfId="1" applyFont="1" applyFill="1" applyBorder="1" applyAlignment="1" applyProtection="1">
      <alignment horizontal="right" vertical="center"/>
    </xf>
    <xf numFmtId="43" fontId="9" fillId="0" borderId="0" xfId="1" applyFont="1" applyFill="1" applyBorder="1" applyAlignment="1" applyProtection="1">
      <alignment vertical="center"/>
    </xf>
    <xf numFmtId="165" fontId="9" fillId="14" borderId="0" xfId="3" applyNumberFormat="1" applyFont="1" applyFill="1" applyBorder="1" applyAlignment="1" applyProtection="1">
      <alignment horizontal="center" vertical="center" wrapText="1"/>
    </xf>
    <xf numFmtId="164" fontId="2" fillId="6" borderId="0" xfId="1" applyNumberFormat="1" applyFont="1" applyFill="1" applyBorder="1" applyProtection="1"/>
    <xf numFmtId="0" fontId="2" fillId="6" borderId="0" xfId="0" applyFont="1" applyFill="1" applyBorder="1" applyProtection="1"/>
    <xf numFmtId="0" fontId="2" fillId="3" borderId="0" xfId="0" applyFont="1" applyFill="1" applyBorder="1" applyProtection="1"/>
    <xf numFmtId="164" fontId="2" fillId="3" borderId="0" xfId="1" applyNumberFormat="1" applyFont="1" applyFill="1" applyBorder="1" applyProtection="1"/>
    <xf numFmtId="164" fontId="2" fillId="0" borderId="0" xfId="1" applyNumberFormat="1" applyFont="1" applyFill="1" applyBorder="1" applyProtection="1"/>
    <xf numFmtId="164" fontId="2" fillId="15" borderId="0" xfId="1" applyNumberFormat="1" applyFont="1" applyFill="1" applyBorder="1" applyProtection="1"/>
    <xf numFmtId="164" fontId="2" fillId="13" borderId="0" xfId="1" applyNumberFormat="1" applyFont="1" applyFill="1" applyBorder="1" applyProtection="1"/>
    <xf numFmtId="0" fontId="2" fillId="8" borderId="0" xfId="0" applyFont="1" applyFill="1" applyBorder="1" applyProtection="1"/>
    <xf numFmtId="0" fontId="2" fillId="10" borderId="0" xfId="0" applyFont="1" applyFill="1" applyBorder="1" applyProtection="1"/>
    <xf numFmtId="0" fontId="2" fillId="9" borderId="0" xfId="0" applyFont="1" applyFill="1" applyBorder="1" applyProtection="1"/>
    <xf numFmtId="0" fontId="2" fillId="14" borderId="0" xfId="0" applyFont="1" applyFill="1" applyBorder="1" applyProtection="1"/>
    <xf numFmtId="164" fontId="9" fillId="6" borderId="0" xfId="1" applyNumberFormat="1" applyFont="1" applyFill="1" applyBorder="1" applyProtection="1"/>
    <xf numFmtId="0" fontId="9" fillId="6" borderId="0" xfId="0" applyFont="1" applyFill="1" applyBorder="1" applyProtection="1"/>
    <xf numFmtId="0" fontId="9" fillId="0" borderId="0" xfId="0" applyFont="1" applyFill="1" applyBorder="1" applyProtection="1"/>
    <xf numFmtId="43" fontId="5" fillId="7" borderId="0" xfId="1" applyFont="1" applyFill="1" applyBorder="1" applyAlignment="1" applyProtection="1">
      <alignment horizontal="center" vertical="center"/>
    </xf>
    <xf numFmtId="43" fontId="5" fillId="13" borderId="0" xfId="1" applyFont="1" applyFill="1" applyBorder="1" applyAlignment="1" applyProtection="1">
      <alignment horizontal="center" vertical="center"/>
    </xf>
    <xf numFmtId="43" fontId="5" fillId="8" borderId="0" xfId="1" applyFont="1" applyFill="1" applyBorder="1" applyAlignment="1" applyProtection="1">
      <alignment horizontal="center" vertical="center"/>
    </xf>
    <xf numFmtId="43" fontId="5" fillId="10" borderId="0" xfId="1" applyFont="1" applyFill="1" applyBorder="1" applyAlignment="1" applyProtection="1">
      <alignment horizontal="center" vertical="center"/>
    </xf>
    <xf numFmtId="43" fontId="5" fillId="9" borderId="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 wrapText="1"/>
    </xf>
    <xf numFmtId="43" fontId="2" fillId="3" borderId="0" xfId="1" applyFont="1" applyFill="1" applyBorder="1" applyAlignment="1" applyProtection="1">
      <alignment horizontal="center" vertical="center"/>
    </xf>
    <xf numFmtId="43" fontId="2" fillId="7" borderId="0" xfId="1" applyFont="1" applyFill="1" applyBorder="1" applyAlignment="1" applyProtection="1">
      <alignment horizontal="center" vertical="center"/>
    </xf>
    <xf numFmtId="43" fontId="2" fillId="13" borderId="0" xfId="1" applyFont="1" applyFill="1" applyBorder="1" applyAlignment="1" applyProtection="1">
      <alignment horizontal="center" vertical="center"/>
    </xf>
    <xf numFmtId="43" fontId="2" fillId="8" borderId="0" xfId="1" applyFont="1" applyFill="1" applyBorder="1" applyAlignment="1" applyProtection="1">
      <alignment horizontal="center" vertical="center"/>
    </xf>
    <xf numFmtId="43" fontId="2" fillId="10" borderId="0" xfId="1" applyFont="1" applyFill="1" applyBorder="1" applyAlignment="1" applyProtection="1">
      <alignment horizontal="center" vertical="center"/>
    </xf>
    <xf numFmtId="43" fontId="2" fillId="9" borderId="0" xfId="1" applyFont="1" applyFill="1" applyBorder="1" applyAlignment="1" applyProtection="1">
      <alignment horizontal="center" vertical="center"/>
    </xf>
    <xf numFmtId="43" fontId="4" fillId="3" borderId="0" xfId="1" applyFont="1" applyFill="1" applyBorder="1" applyAlignment="1" applyProtection="1">
      <alignment horizontal="center"/>
    </xf>
    <xf numFmtId="43" fontId="2" fillId="2" borderId="0" xfId="1" applyFont="1" applyFill="1" applyBorder="1" applyAlignment="1" applyProtection="1">
      <alignment horizontal="center" vertical="center"/>
    </xf>
    <xf numFmtId="165" fontId="9" fillId="9" borderId="0" xfId="3" applyNumberFormat="1" applyFont="1" applyFill="1" applyBorder="1" applyAlignment="1" applyProtection="1">
      <alignment horizontal="right" vertical="center"/>
    </xf>
    <xf numFmtId="165" fontId="9" fillId="3" borderId="0" xfId="3" applyNumberFormat="1" applyFont="1" applyFill="1" applyBorder="1" applyAlignment="1" applyProtection="1">
      <alignment horizontal="right" vertical="center"/>
    </xf>
    <xf numFmtId="165" fontId="9" fillId="7" borderId="0" xfId="3" applyNumberFormat="1" applyFont="1" applyFill="1" applyBorder="1" applyAlignment="1" applyProtection="1">
      <alignment horizontal="right" vertical="center"/>
    </xf>
    <xf numFmtId="165" fontId="9" fillId="13" borderId="0" xfId="3" applyNumberFormat="1" applyFont="1" applyFill="1" applyBorder="1" applyAlignment="1" applyProtection="1">
      <alignment horizontal="right" vertical="center"/>
    </xf>
    <xf numFmtId="165" fontId="9" fillId="8" borderId="0" xfId="3" applyNumberFormat="1" applyFont="1" applyFill="1" applyBorder="1" applyAlignment="1" applyProtection="1">
      <alignment horizontal="right" vertical="center"/>
    </xf>
    <xf numFmtId="165" fontId="9" fillId="10" borderId="0" xfId="3" applyNumberFormat="1" applyFont="1" applyFill="1" applyBorder="1" applyAlignment="1" applyProtection="1">
      <alignment horizontal="right" vertical="center"/>
    </xf>
    <xf numFmtId="43" fontId="2" fillId="3" borderId="0" xfId="1" applyFont="1" applyFill="1" applyBorder="1" applyAlignment="1" applyProtection="1">
      <alignment horizontal="right" vertical="center"/>
    </xf>
    <xf numFmtId="43" fontId="2" fillId="7" borderId="0" xfId="1" applyFont="1" applyFill="1" applyBorder="1" applyAlignment="1" applyProtection="1">
      <alignment horizontal="right" vertical="center"/>
    </xf>
    <xf numFmtId="43" fontId="2" fillId="13" borderId="0" xfId="1" applyFont="1" applyFill="1" applyBorder="1" applyAlignment="1" applyProtection="1">
      <alignment horizontal="right" vertical="center"/>
    </xf>
    <xf numFmtId="43" fontId="2" fillId="8" borderId="0" xfId="1" applyFont="1" applyFill="1" applyBorder="1" applyAlignment="1" applyProtection="1">
      <alignment horizontal="right" vertical="center"/>
    </xf>
    <xf numFmtId="43" fontId="2" fillId="10" borderId="0" xfId="1" applyFont="1" applyFill="1" applyBorder="1" applyAlignment="1" applyProtection="1">
      <alignment horizontal="right" vertical="center"/>
    </xf>
    <xf numFmtId="43" fontId="2" fillId="9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horizontal="right" vertical="center" wrapText="1"/>
    </xf>
    <xf numFmtId="43" fontId="2" fillId="14" borderId="0" xfId="1" applyFont="1" applyFill="1" applyBorder="1" applyAlignment="1" applyProtection="1">
      <alignment horizontal="center" vertical="center"/>
    </xf>
    <xf numFmtId="0" fontId="4" fillId="0" borderId="1" xfId="0" applyFont="1" applyFill="1" applyBorder="1" applyProtection="1"/>
    <xf numFmtId="0" fontId="0" fillId="0" borderId="2" xfId="0" applyFill="1" applyBorder="1" applyProtection="1"/>
    <xf numFmtId="43" fontId="5" fillId="0" borderId="2" xfId="1" applyFont="1" applyFill="1" applyBorder="1" applyAlignment="1" applyProtection="1">
      <alignment horizontal="right" vertical="center"/>
    </xf>
    <xf numFmtId="43" fontId="4" fillId="0" borderId="2" xfId="1" applyFont="1" applyFill="1" applyBorder="1" applyAlignment="1" applyProtection="1">
      <alignment horizontal="right"/>
    </xf>
    <xf numFmtId="0" fontId="4" fillId="0" borderId="3" xfId="0" applyFont="1" applyFill="1" applyBorder="1" applyProtection="1"/>
    <xf numFmtId="0" fontId="0" fillId="0" borderId="3" xfId="0" applyFill="1" applyBorder="1" applyProtection="1"/>
    <xf numFmtId="43" fontId="4" fillId="2" borderId="4" xfId="1" applyFont="1" applyFill="1" applyBorder="1" applyProtection="1"/>
    <xf numFmtId="0" fontId="2" fillId="5" borderId="3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vertical="center" wrapText="1"/>
    </xf>
    <xf numFmtId="43" fontId="2" fillId="2" borderId="4" xfId="1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vertical="center" wrapText="1"/>
    </xf>
    <xf numFmtId="0" fontId="4" fillId="5" borderId="6" xfId="0" applyFont="1" applyFill="1" applyBorder="1" applyAlignment="1" applyProtection="1">
      <alignment vertical="center"/>
    </xf>
    <xf numFmtId="43" fontId="2" fillId="5" borderId="6" xfId="1" applyFont="1" applyFill="1" applyBorder="1" applyAlignment="1" applyProtection="1">
      <alignment vertical="center"/>
    </xf>
    <xf numFmtId="0" fontId="4" fillId="0" borderId="7" xfId="0" applyFont="1" applyFill="1" applyBorder="1" applyProtection="1"/>
    <xf numFmtId="0" fontId="0" fillId="0" borderId="8" xfId="0" applyFill="1" applyBorder="1" applyProtection="1"/>
    <xf numFmtId="43" fontId="5" fillId="0" borderId="8" xfId="1" applyFont="1" applyFill="1" applyBorder="1" applyAlignment="1" applyProtection="1">
      <alignment horizontal="right" vertical="center"/>
    </xf>
    <xf numFmtId="43" fontId="4" fillId="0" borderId="8" xfId="1" applyFont="1" applyFill="1" applyBorder="1" applyAlignment="1" applyProtection="1">
      <alignment horizontal="right"/>
    </xf>
    <xf numFmtId="0" fontId="4" fillId="0" borderId="9" xfId="0" applyFont="1" applyFill="1" applyBorder="1" applyProtection="1"/>
    <xf numFmtId="0" fontId="2" fillId="0" borderId="9" xfId="0" applyFont="1" applyFill="1" applyBorder="1" applyAlignment="1" applyProtection="1">
      <alignment horizontal="left" vertical="center" wrapText="1"/>
    </xf>
    <xf numFmtId="43" fontId="2" fillId="2" borderId="10" xfId="1" applyFont="1" applyFill="1" applyBorder="1" applyAlignment="1" applyProtection="1">
      <alignment horizontal="center" vertical="center"/>
    </xf>
    <xf numFmtId="0" fontId="4" fillId="4" borderId="9" xfId="0" applyFont="1" applyFill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vertical="center" wrapText="1"/>
    </xf>
    <xf numFmtId="43" fontId="7" fillId="2" borderId="10" xfId="1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vertical="center" wrapText="1"/>
    </xf>
    <xf numFmtId="43" fontId="2" fillId="2" borderId="10" xfId="1" applyFont="1" applyFill="1" applyBorder="1" applyAlignment="1" applyProtection="1">
      <alignment horizontal="right" vertical="center" wrapText="1"/>
    </xf>
    <xf numFmtId="43" fontId="2" fillId="2" borderId="10" xfId="1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/>
    </xf>
    <xf numFmtId="43" fontId="9" fillId="4" borderId="12" xfId="1" applyFont="1" applyFill="1" applyBorder="1" applyAlignment="1" applyProtection="1">
      <alignment vertical="center"/>
    </xf>
    <xf numFmtId="0" fontId="4" fillId="0" borderId="13" xfId="0" applyFont="1" applyFill="1" applyBorder="1" applyProtection="1"/>
    <xf numFmtId="0" fontId="0" fillId="0" borderId="14" xfId="0" applyFill="1" applyBorder="1" applyProtection="1"/>
    <xf numFmtId="43" fontId="5" fillId="0" borderId="14" xfId="1" applyFont="1" applyFill="1" applyBorder="1" applyAlignment="1" applyProtection="1">
      <alignment horizontal="right" vertical="center"/>
    </xf>
    <xf numFmtId="43" fontId="4" fillId="0" borderId="14" xfId="1" applyFont="1" applyFill="1" applyBorder="1" applyAlignment="1" applyProtection="1">
      <alignment horizontal="right"/>
    </xf>
    <xf numFmtId="0" fontId="4" fillId="0" borderId="15" xfId="0" applyFont="1" applyFill="1" applyBorder="1" applyProtection="1"/>
    <xf numFmtId="0" fontId="2" fillId="0" borderId="15" xfId="0" applyFont="1" applyFill="1" applyBorder="1" applyAlignment="1" applyProtection="1">
      <alignment horizontal="left" vertical="center" wrapText="1"/>
    </xf>
    <xf numFmtId="43" fontId="2" fillId="14" borderId="16" xfId="1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vertical="center" wrapText="1"/>
    </xf>
    <xf numFmtId="0" fontId="7" fillId="0" borderId="15" xfId="0" applyFont="1" applyFill="1" applyBorder="1" applyAlignment="1" applyProtection="1">
      <alignment vertical="center" wrapText="1"/>
    </xf>
    <xf numFmtId="165" fontId="9" fillId="14" borderId="16" xfId="3" applyNumberFormat="1" applyFont="1" applyFill="1" applyBorder="1" applyAlignment="1" applyProtection="1">
      <alignment horizontal="center" vertical="center" wrapText="1"/>
    </xf>
    <xf numFmtId="0" fontId="0" fillId="6" borderId="15" xfId="0" applyFill="1" applyBorder="1" applyProtection="1"/>
    <xf numFmtId="0" fontId="0" fillId="0" borderId="15" xfId="0" applyBorder="1" applyProtection="1"/>
    <xf numFmtId="0" fontId="2" fillId="14" borderId="16" xfId="0" applyFont="1" applyFill="1" applyBorder="1" applyProtection="1"/>
    <xf numFmtId="0" fontId="7" fillId="6" borderId="15" xfId="0" applyFont="1" applyFill="1" applyBorder="1" applyProtection="1"/>
    <xf numFmtId="0" fontId="0" fillId="0" borderId="17" xfId="0" applyBorder="1" applyProtection="1"/>
    <xf numFmtId="0" fontId="0" fillId="0" borderId="18" xfId="0" applyFill="1" applyBorder="1" applyProtection="1"/>
    <xf numFmtId="0" fontId="0" fillId="3" borderId="18" xfId="0" applyFill="1" applyBorder="1" applyProtection="1"/>
    <xf numFmtId="164" fontId="1" fillId="3" borderId="18" xfId="1" applyNumberFormat="1" applyFill="1" applyBorder="1" applyProtection="1"/>
    <xf numFmtId="164" fontId="1" fillId="0" borderId="18" xfId="1" applyNumberFormat="1" applyFill="1" applyBorder="1" applyProtection="1"/>
    <xf numFmtId="164" fontId="1" fillId="15" borderId="18" xfId="1" applyNumberFormat="1" applyFill="1" applyBorder="1" applyProtection="1"/>
    <xf numFmtId="164" fontId="1" fillId="13" borderId="18" xfId="1" applyNumberFormat="1" applyFill="1" applyBorder="1" applyProtection="1"/>
    <xf numFmtId="0" fontId="0" fillId="8" borderId="18" xfId="0" applyFill="1" applyBorder="1" applyProtection="1"/>
    <xf numFmtId="0" fontId="0" fillId="10" borderId="18" xfId="0" applyFill="1" applyBorder="1" applyProtection="1"/>
    <xf numFmtId="0" fontId="0" fillId="9" borderId="18" xfId="0" applyFill="1" applyBorder="1" applyProtection="1"/>
    <xf numFmtId="0" fontId="0" fillId="14" borderId="18" xfId="0" applyFill="1" applyBorder="1" applyProtection="1"/>
    <xf numFmtId="0" fontId="0" fillId="14" borderId="19" xfId="0" applyFill="1" applyBorder="1" applyProtection="1"/>
    <xf numFmtId="0" fontId="0" fillId="0" borderId="0" xfId="0" applyFill="1" applyBorder="1" applyAlignment="1" applyProtection="1">
      <alignment horizontal="right" vertical="center"/>
    </xf>
    <xf numFmtId="0" fontId="0" fillId="0" borderId="0" xfId="0" applyBorder="1" applyAlignment="1" applyProtection="1"/>
    <xf numFmtId="43" fontId="1" fillId="0" borderId="0" xfId="1" applyAlignment="1" applyProtection="1">
      <alignment horizontal="left"/>
    </xf>
    <xf numFmtId="0" fontId="2" fillId="0" borderId="0" xfId="0" applyFont="1" applyAlignment="1" applyProtection="1">
      <alignment horizontal="center" wrapText="1"/>
    </xf>
    <xf numFmtId="43" fontId="1" fillId="0" borderId="0" xfId="1" applyFont="1" applyAlignment="1" applyProtection="1">
      <alignment horizontal="center"/>
    </xf>
    <xf numFmtId="0" fontId="0" fillId="19" borderId="0" xfId="0" applyFill="1" applyProtection="1"/>
    <xf numFmtId="0" fontId="1" fillId="19" borderId="0" xfId="0" applyFont="1" applyFill="1" applyAlignment="1" applyProtection="1">
      <alignment horizontal="left" indent="1"/>
    </xf>
    <xf numFmtId="0" fontId="0" fillId="19" borderId="0" xfId="0" applyFill="1" applyAlignment="1" applyProtection="1">
      <alignment horizontal="left" indent="1"/>
    </xf>
    <xf numFmtId="43" fontId="1" fillId="19" borderId="0" xfId="1" applyFill="1" applyProtection="1"/>
    <xf numFmtId="166" fontId="0" fillId="19" borderId="0" xfId="1" applyNumberFormat="1" applyFont="1" applyFill="1" applyProtection="1"/>
    <xf numFmtId="166" fontId="1" fillId="19" borderId="0" xfId="1" applyNumberFormat="1" applyFont="1" applyFill="1" applyProtection="1"/>
    <xf numFmtId="0" fontId="2" fillId="19" borderId="0" xfId="0" applyFont="1" applyFill="1" applyProtection="1"/>
    <xf numFmtId="43" fontId="1" fillId="19" borderId="0" xfId="1" applyFill="1" applyAlignment="1" applyProtection="1">
      <alignment wrapText="1"/>
    </xf>
    <xf numFmtId="0" fontId="1" fillId="19" borderId="0" xfId="0" applyFont="1" applyFill="1" applyAlignment="1" applyProtection="1">
      <alignment wrapText="1"/>
    </xf>
    <xf numFmtId="0" fontId="4" fillId="19" borderId="0" xfId="0" applyFont="1" applyFill="1" applyAlignment="1" applyProtection="1">
      <alignment horizontal="left" indent="1"/>
    </xf>
    <xf numFmtId="0" fontId="0" fillId="19" borderId="0" xfId="0" applyFont="1" applyFill="1" applyProtection="1"/>
    <xf numFmtId="43" fontId="1" fillId="19" borderId="0" xfId="1" applyFill="1" applyAlignment="1" applyProtection="1">
      <alignment horizontal="left"/>
    </xf>
    <xf numFmtId="0" fontId="2" fillId="19" borderId="0" xfId="0" applyFont="1" applyFill="1" applyAlignment="1" applyProtection="1">
      <alignment horizontal="center"/>
    </xf>
    <xf numFmtId="0" fontId="2" fillId="19" borderId="0" xfId="0" applyFont="1" applyFill="1" applyAlignment="1" applyProtection="1">
      <alignment horizontal="left"/>
    </xf>
    <xf numFmtId="0" fontId="2" fillId="19" borderId="0" xfId="0" applyFont="1" applyFill="1" applyAlignment="1" applyProtection="1">
      <alignment horizontal="center" wrapText="1"/>
    </xf>
    <xf numFmtId="43" fontId="4" fillId="19" borderId="0" xfId="1" applyFont="1" applyFill="1" applyProtection="1"/>
    <xf numFmtId="44" fontId="2" fillId="0" borderId="0" xfId="2" applyFont="1" applyAlignment="1" applyProtection="1">
      <alignment horizontal="center" vertical="center" wrapText="1"/>
    </xf>
    <xf numFmtId="0" fontId="26" fillId="18" borderId="0" xfId="0" applyFont="1" applyFill="1" applyBorder="1" applyAlignment="1" applyProtection="1">
      <alignment vertical="center"/>
    </xf>
    <xf numFmtId="164" fontId="26" fillId="18" borderId="89" xfId="1" applyNumberFormat="1" applyFont="1" applyFill="1" applyBorder="1" applyAlignment="1" applyProtection="1">
      <alignment vertical="center"/>
    </xf>
    <xf numFmtId="0" fontId="28" fillId="13" borderId="0" xfId="0" applyFont="1" applyFill="1" applyBorder="1" applyProtection="1"/>
    <xf numFmtId="169" fontId="28" fillId="13" borderId="0" xfId="1" applyNumberFormat="1" applyFont="1" applyFill="1" applyBorder="1" applyAlignment="1" applyProtection="1">
      <alignment horizontal="right" indent="2"/>
    </xf>
    <xf numFmtId="0" fontId="26" fillId="18" borderId="72" xfId="0" applyFont="1" applyFill="1" applyBorder="1" applyAlignment="1" applyProtection="1">
      <alignment vertical="center"/>
    </xf>
    <xf numFmtId="0" fontId="26" fillId="18" borderId="73" xfId="0" applyFont="1" applyFill="1" applyBorder="1" applyAlignment="1" applyProtection="1">
      <alignment vertical="center"/>
    </xf>
    <xf numFmtId="164" fontId="26" fillId="18" borderId="106" xfId="1" applyNumberFormat="1" applyFont="1" applyFill="1" applyBorder="1" applyAlignment="1" applyProtection="1">
      <alignment vertical="center"/>
    </xf>
    <xf numFmtId="0" fontId="26" fillId="18" borderId="109" xfId="0" applyFont="1" applyFill="1" applyBorder="1" applyAlignment="1" applyProtection="1">
      <alignment vertical="center"/>
    </xf>
    <xf numFmtId="0" fontId="28" fillId="13" borderId="109" xfId="0" applyFont="1" applyFill="1" applyBorder="1" applyAlignment="1" applyProtection="1">
      <alignment vertical="center"/>
    </xf>
    <xf numFmtId="0" fontId="29" fillId="13" borderId="110" xfId="0" applyFont="1" applyFill="1" applyBorder="1" applyAlignment="1" applyProtection="1">
      <alignment vertical="center"/>
    </xf>
    <xf numFmtId="0" fontId="28" fillId="13" borderId="111" xfId="0" applyFont="1" applyFill="1" applyBorder="1" applyProtection="1"/>
    <xf numFmtId="169" fontId="29" fillId="13" borderId="112" xfId="1" applyNumberFormat="1" applyFont="1" applyFill="1" applyBorder="1" applyAlignment="1" applyProtection="1">
      <alignment horizontal="right" indent="2"/>
    </xf>
    <xf numFmtId="0" fontId="0" fillId="4" borderId="0" xfId="0" applyFill="1" applyBorder="1" applyProtection="1"/>
    <xf numFmtId="164" fontId="1" fillId="4" borderId="0" xfId="1" applyNumberFormat="1" applyFill="1" applyBorder="1" applyProtection="1"/>
    <xf numFmtId="44" fontId="25" fillId="4" borderId="0" xfId="1" applyNumberFormat="1" applyFont="1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 wrapText="1"/>
    </xf>
    <xf numFmtId="0" fontId="24" fillId="4" borderId="0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23" fillId="4" borderId="0" xfId="0" applyFont="1" applyFill="1" applyBorder="1" applyAlignment="1" applyProtection="1">
      <alignment horizontal="left" vertical="center" wrapText="1"/>
    </xf>
    <xf numFmtId="168" fontId="2" fillId="4" borderId="0" xfId="1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6" fillId="4" borderId="73" xfId="1" applyNumberFormat="1" applyFont="1" applyFill="1" applyBorder="1" applyAlignment="1" applyProtection="1">
      <alignment horizontal="center" vertical="center" wrapText="1"/>
    </xf>
    <xf numFmtId="0" fontId="6" fillId="4" borderId="73" xfId="0" applyFont="1" applyFill="1" applyBorder="1" applyAlignment="1" applyProtection="1">
      <alignment horizontal="center" vertical="center" wrapText="1"/>
    </xf>
    <xf numFmtId="0" fontId="5" fillId="4" borderId="73" xfId="0" applyFont="1" applyFill="1" applyBorder="1" applyAlignment="1" applyProtection="1">
      <alignment horizontal="center" vertical="center"/>
    </xf>
    <xf numFmtId="0" fontId="6" fillId="4" borderId="73" xfId="0" applyFont="1" applyFill="1" applyBorder="1" applyAlignment="1" applyProtection="1">
      <alignment horizontal="center" vertical="center"/>
    </xf>
    <xf numFmtId="0" fontId="6" fillId="4" borderId="0" xfId="1" applyNumberFormat="1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vertical="center"/>
    </xf>
    <xf numFmtId="6" fontId="14" fillId="4" borderId="79" xfId="2" applyNumberFormat="1" applyFont="1" applyFill="1" applyBorder="1" applyAlignment="1" applyProtection="1">
      <alignment horizontal="center" vertical="center"/>
      <protection locked="0"/>
    </xf>
    <xf numFmtId="6" fontId="11" fillId="4" borderId="0" xfId="2" applyNumberFormat="1" applyFont="1" applyFill="1" applyBorder="1" applyAlignment="1" applyProtection="1">
      <alignment vertical="center"/>
    </xf>
    <xf numFmtId="164" fontId="10" fillId="4" borderId="0" xfId="1" applyNumberFormat="1" applyFont="1" applyFill="1" applyBorder="1" applyAlignment="1" applyProtection="1">
      <alignment horizontal="center" vertical="center"/>
    </xf>
    <xf numFmtId="164" fontId="10" fillId="4" borderId="0" xfId="1" applyNumberFormat="1" applyFont="1" applyFill="1" applyBorder="1" applyAlignment="1" applyProtection="1">
      <alignment vertical="center"/>
    </xf>
    <xf numFmtId="6" fontId="14" fillId="4" borderId="80" xfId="2" applyNumberFormat="1" applyFont="1" applyFill="1" applyBorder="1" applyAlignment="1" applyProtection="1">
      <alignment horizontal="center" vertical="center"/>
      <protection locked="0"/>
    </xf>
    <xf numFmtId="164" fontId="15" fillId="4" borderId="0" xfId="1" applyNumberFormat="1" applyFont="1" applyFill="1" applyBorder="1" applyAlignment="1" applyProtection="1">
      <alignment horizontal="center" vertical="center"/>
      <protection locked="0"/>
    </xf>
    <xf numFmtId="164" fontId="10" fillId="4" borderId="0" xfId="1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75" xfId="0" applyFont="1" applyFill="1" applyBorder="1" applyAlignment="1" applyProtection="1">
      <alignment horizontal="center" vertical="center"/>
      <protection locked="0"/>
    </xf>
    <xf numFmtId="0" fontId="2" fillId="4" borderId="81" xfId="0" applyFont="1" applyFill="1" applyBorder="1" applyAlignment="1" applyProtection="1">
      <alignment horizontal="center" vertical="center" wrapText="1"/>
    </xf>
    <xf numFmtId="164" fontId="1" fillId="4" borderId="0" xfId="1" applyNumberFormat="1" applyFill="1" applyBorder="1" applyAlignment="1" applyProtection="1">
      <alignment vertical="center"/>
    </xf>
    <xf numFmtId="0" fontId="0" fillId="4" borderId="0" xfId="0" applyFill="1" applyBorder="1" applyAlignment="1" applyProtection="1">
      <alignment horizontal="right" vertical="center"/>
    </xf>
    <xf numFmtId="168" fontId="2" fillId="4" borderId="82" xfId="1" applyNumberFormat="1" applyFont="1" applyFill="1" applyBorder="1" applyAlignment="1" applyProtection="1">
      <alignment horizontal="center" vertical="center"/>
    </xf>
    <xf numFmtId="0" fontId="0" fillId="4" borderId="76" xfId="0" applyFill="1" applyBorder="1" applyAlignment="1" applyProtection="1">
      <alignment horizontal="right" vertical="center"/>
    </xf>
    <xf numFmtId="168" fontId="5" fillId="4" borderId="76" xfId="0" applyNumberFormat="1" applyFont="1" applyFill="1" applyBorder="1" applyAlignment="1" applyProtection="1">
      <alignment horizontal="right" vertical="center"/>
    </xf>
    <xf numFmtId="168" fontId="1" fillId="4" borderId="76" xfId="0" applyNumberFormat="1" applyFont="1" applyFill="1" applyBorder="1" applyAlignment="1" applyProtection="1">
      <alignment horizontal="right" vertical="center"/>
    </xf>
    <xf numFmtId="43" fontId="5" fillId="4" borderId="0" xfId="1" applyFont="1" applyFill="1" applyBorder="1" applyAlignment="1" applyProtection="1">
      <alignment horizontal="right" vertical="center"/>
    </xf>
    <xf numFmtId="43" fontId="5" fillId="4" borderId="0" xfId="1" applyFont="1" applyFill="1" applyBorder="1" applyAlignment="1" applyProtection="1">
      <alignment horizontal="center" vertical="center"/>
    </xf>
    <xf numFmtId="43" fontId="4" fillId="4" borderId="0" xfId="1" applyFont="1" applyFill="1" applyBorder="1" applyAlignment="1" applyProtection="1">
      <alignment vertical="center"/>
    </xf>
    <xf numFmtId="0" fontId="0" fillId="4" borderId="0" xfId="0" applyFill="1" applyBorder="1" applyAlignment="1" applyProtection="1"/>
    <xf numFmtId="0" fontId="27" fillId="4" borderId="0" xfId="0" applyFont="1" applyFill="1" applyBorder="1" applyAlignment="1" applyProtection="1">
      <alignment horizontal="left" vertical="center"/>
    </xf>
    <xf numFmtId="0" fontId="31" fillId="4" borderId="0" xfId="0" applyFont="1" applyFill="1" applyBorder="1" applyAlignment="1" applyProtection="1"/>
    <xf numFmtId="164" fontId="31" fillId="4" borderId="0" xfId="1" applyNumberFormat="1" applyFont="1" applyFill="1" applyBorder="1" applyAlignment="1" applyProtection="1"/>
    <xf numFmtId="43" fontId="31" fillId="4" borderId="0" xfId="1" applyNumberFormat="1" applyFont="1" applyFill="1" applyBorder="1" applyAlignment="1" applyProtection="1"/>
    <xf numFmtId="0" fontId="5" fillId="4" borderId="0" xfId="1" applyNumberFormat="1" applyFont="1" applyFill="1" applyBorder="1" applyAlignment="1" applyProtection="1">
      <alignment vertical="center" wrapText="1"/>
    </xf>
    <xf numFmtId="0" fontId="30" fillId="4" borderId="0" xfId="1" applyNumberFormat="1" applyFont="1" applyFill="1" applyBorder="1" applyAlignment="1" applyProtection="1">
      <alignment horizontal="center" vertical="center" wrapText="1"/>
    </xf>
    <xf numFmtId="6" fontId="39" fillId="4" borderId="0" xfId="2" applyNumberFormat="1" applyFont="1" applyFill="1" applyBorder="1" applyAlignment="1" applyProtection="1">
      <alignment vertical="center"/>
    </xf>
    <xf numFmtId="0" fontId="31" fillId="4" borderId="0" xfId="0" applyFont="1" applyFill="1" applyBorder="1" applyAlignment="1" applyProtection="1">
      <alignment vertical="center"/>
    </xf>
    <xf numFmtId="164" fontId="40" fillId="4" borderId="0" xfId="1" applyNumberFormat="1" applyFont="1" applyFill="1" applyBorder="1" applyAlignment="1" applyProtection="1">
      <alignment horizontal="center" vertical="center"/>
      <protection locked="0"/>
    </xf>
    <xf numFmtId="164" fontId="40" fillId="4" borderId="0" xfId="1" applyNumberFormat="1" applyFont="1" applyFill="1" applyBorder="1" applyAlignment="1" applyProtection="1">
      <alignment horizontal="center" vertical="center"/>
    </xf>
    <xf numFmtId="164" fontId="41" fillId="4" borderId="0" xfId="1" applyNumberFormat="1" applyFont="1" applyFill="1" applyBorder="1" applyAlignment="1" applyProtection="1">
      <alignment horizontal="center" vertical="center"/>
      <protection locked="0"/>
    </xf>
    <xf numFmtId="164" fontId="40" fillId="4" borderId="0" xfId="1" applyNumberFormat="1" applyFont="1" applyFill="1" applyBorder="1" applyAlignment="1" applyProtection="1">
      <alignment vertical="center"/>
    </xf>
    <xf numFmtId="0" fontId="40" fillId="4" borderId="0" xfId="0" applyFont="1" applyFill="1" applyBorder="1" applyAlignment="1" applyProtection="1">
      <alignment horizontal="center" vertical="center"/>
      <protection locked="0"/>
    </xf>
    <xf numFmtId="0" fontId="40" fillId="4" borderId="0" xfId="0" applyFont="1" applyFill="1" applyBorder="1" applyAlignment="1" applyProtection="1">
      <alignment vertical="center"/>
    </xf>
    <xf numFmtId="0" fontId="30" fillId="4" borderId="0" xfId="0" applyFont="1" applyFill="1" applyBorder="1" applyAlignment="1" applyProtection="1">
      <alignment horizontal="center" vertical="center" wrapText="1"/>
    </xf>
    <xf numFmtId="0" fontId="31" fillId="4" borderId="0" xfId="0" applyFont="1" applyFill="1" applyBorder="1" applyAlignment="1" applyProtection="1">
      <alignment horizontal="center" vertical="center"/>
    </xf>
    <xf numFmtId="0" fontId="30" fillId="4" borderId="0" xfId="0" applyFont="1" applyFill="1" applyBorder="1" applyAlignment="1" applyProtection="1">
      <alignment horizontal="center" vertical="center"/>
    </xf>
    <xf numFmtId="0" fontId="26" fillId="4" borderId="97" xfId="0" applyFont="1" applyFill="1" applyBorder="1" applyAlignment="1" applyProtection="1">
      <alignment vertical="center"/>
    </xf>
    <xf numFmtId="0" fontId="28" fillId="4" borderId="97" xfId="0" applyFont="1" applyFill="1" applyBorder="1" applyAlignment="1" applyProtection="1">
      <alignment vertical="center"/>
    </xf>
    <xf numFmtId="168" fontId="30" fillId="20" borderId="101" xfId="1" applyNumberFormat="1" applyFont="1" applyFill="1" applyBorder="1" applyAlignment="1" applyProtection="1">
      <alignment horizontal="center" vertical="center"/>
    </xf>
    <xf numFmtId="167" fontId="1" fillId="4" borderId="20" xfId="0" applyNumberFormat="1" applyFont="1" applyFill="1" applyBorder="1" applyAlignment="1" applyProtection="1">
      <alignment horizontal="center" vertical="center"/>
    </xf>
    <xf numFmtId="2" fontId="0" fillId="4" borderId="0" xfId="0" applyNumberFormat="1" applyFill="1" applyBorder="1" applyAlignment="1" applyProtection="1">
      <alignment horizontal="right" vertical="center"/>
    </xf>
    <xf numFmtId="0" fontId="27" fillId="4" borderId="0" xfId="0" applyFont="1" applyFill="1" applyBorder="1" applyAlignment="1" applyProtection="1">
      <alignment horizontal="left" vertical="top"/>
    </xf>
    <xf numFmtId="0" fontId="31" fillId="4" borderId="0" xfId="0" applyFont="1" applyFill="1" applyBorder="1" applyAlignment="1" applyProtection="1">
      <alignment horizontal="right" vertical="center"/>
    </xf>
    <xf numFmtId="6" fontId="32" fillId="0" borderId="120" xfId="2" applyNumberFormat="1" applyFont="1" applyFill="1" applyBorder="1" applyAlignment="1" applyProtection="1">
      <alignment horizontal="center" vertical="center"/>
      <protection locked="0"/>
    </xf>
    <xf numFmtId="6" fontId="32" fillId="4" borderId="121" xfId="2" applyNumberFormat="1" applyFont="1" applyFill="1" applyBorder="1" applyAlignment="1" applyProtection="1">
      <alignment horizontal="center" vertical="center"/>
      <protection locked="0"/>
    </xf>
    <xf numFmtId="0" fontId="30" fillId="5" borderId="122" xfId="0" applyFont="1" applyFill="1" applyBorder="1" applyAlignment="1" applyProtection="1">
      <alignment horizontal="center" vertical="center" wrapText="1"/>
    </xf>
    <xf numFmtId="165" fontId="2" fillId="4" borderId="0" xfId="3" applyNumberFormat="1" applyFont="1" applyFill="1" applyBorder="1" applyProtection="1"/>
    <xf numFmtId="0" fontId="1" fillId="4" borderId="0" xfId="0" applyFont="1" applyFill="1" applyBorder="1" applyProtection="1"/>
    <xf numFmtId="0" fontId="29" fillId="4" borderId="0" xfId="0" applyFont="1" applyFill="1" applyBorder="1" applyAlignment="1" applyProtection="1">
      <alignment horizontal="right"/>
    </xf>
    <xf numFmtId="44" fontId="25" fillId="4" borderId="0" xfId="1" applyNumberFormat="1" applyFont="1" applyFill="1" applyBorder="1" applyAlignment="1" applyProtection="1">
      <alignment vertical="center" wrapText="1"/>
    </xf>
    <xf numFmtId="0" fontId="0" fillId="0" borderId="0" xfId="0" applyFill="1"/>
    <xf numFmtId="167" fontId="1" fillId="0" borderId="20" xfId="0" applyNumberFormat="1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 applyProtection="1">
      <alignment horizontal="right" vertical="center"/>
    </xf>
    <xf numFmtId="0" fontId="0" fillId="0" borderId="0" xfId="0" applyFill="1" applyBorder="1" applyAlignment="1" applyProtection="1"/>
    <xf numFmtId="0" fontId="5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Fill="1" applyBorder="1" applyProtection="1"/>
    <xf numFmtId="169" fontId="42" fillId="4" borderId="0" xfId="0" applyNumberFormat="1" applyFont="1" applyFill="1" applyBorder="1" applyAlignment="1" applyProtection="1">
      <alignment horizontal="right" vertical="center"/>
    </xf>
    <xf numFmtId="165" fontId="29" fillId="13" borderId="115" xfId="3" applyNumberFormat="1" applyFont="1" applyFill="1" applyBorder="1" applyAlignment="1" applyProtection="1">
      <alignment horizontal="center"/>
    </xf>
    <xf numFmtId="165" fontId="29" fillId="13" borderId="76" xfId="3" applyNumberFormat="1" applyFont="1" applyFill="1" applyBorder="1" applyAlignment="1" applyProtection="1">
      <alignment horizontal="center"/>
    </xf>
    <xf numFmtId="165" fontId="29" fillId="13" borderId="77" xfId="3" applyNumberFormat="1" applyFont="1" applyFill="1" applyBorder="1" applyAlignment="1" applyProtection="1">
      <alignment horizontal="center"/>
    </xf>
    <xf numFmtId="0" fontId="26" fillId="4" borderId="93" xfId="0" applyFont="1" applyFill="1" applyBorder="1" applyAlignment="1" applyProtection="1">
      <alignment horizontal="center" vertical="center"/>
    </xf>
    <xf numFmtId="0" fontId="26" fillId="4" borderId="94" xfId="0" applyFont="1" applyFill="1" applyBorder="1" applyAlignment="1" applyProtection="1">
      <alignment horizontal="center" vertical="center"/>
    </xf>
    <xf numFmtId="0" fontId="26" fillId="4" borderId="95" xfId="0" applyFont="1" applyFill="1" applyBorder="1" applyAlignment="1" applyProtection="1">
      <alignment horizontal="center" vertical="center"/>
    </xf>
    <xf numFmtId="164" fontId="26" fillId="4" borderId="93" xfId="1" quotePrefix="1" applyNumberFormat="1" applyFont="1" applyFill="1" applyBorder="1" applyAlignment="1" applyProtection="1">
      <alignment horizontal="center" vertical="center"/>
    </xf>
    <xf numFmtId="164" fontId="26" fillId="4" borderId="94" xfId="1" applyNumberFormat="1" applyFont="1" applyFill="1" applyBorder="1" applyAlignment="1" applyProtection="1">
      <alignment horizontal="center" vertical="center"/>
    </xf>
    <xf numFmtId="164" fontId="26" fillId="4" borderId="94" xfId="1" quotePrefix="1" applyNumberFormat="1" applyFont="1" applyFill="1" applyBorder="1" applyAlignment="1" applyProtection="1">
      <alignment horizontal="center" vertical="center"/>
    </xf>
    <xf numFmtId="164" fontId="26" fillId="4" borderId="95" xfId="1" quotePrefix="1" applyNumberFormat="1" applyFont="1" applyFill="1" applyBorder="1" applyAlignment="1" applyProtection="1">
      <alignment horizontal="center" vertical="center"/>
    </xf>
    <xf numFmtId="164" fontId="26" fillId="18" borderId="93" xfId="1" quotePrefix="1" applyNumberFormat="1" applyFont="1" applyFill="1" applyBorder="1" applyAlignment="1" applyProtection="1">
      <alignment horizontal="center" vertical="center"/>
    </xf>
    <xf numFmtId="164" fontId="26" fillId="18" borderId="94" xfId="1" applyNumberFormat="1" applyFont="1" applyFill="1" applyBorder="1" applyAlignment="1" applyProtection="1">
      <alignment horizontal="center" vertical="center"/>
    </xf>
    <xf numFmtId="164" fontId="26" fillId="18" borderId="96" xfId="1" applyNumberFormat="1" applyFont="1" applyFill="1" applyBorder="1" applyAlignment="1" applyProtection="1">
      <alignment horizontal="center" vertical="center"/>
    </xf>
    <xf numFmtId="169" fontId="28" fillId="4" borderId="89" xfId="0" applyNumberFormat="1" applyFont="1" applyFill="1" applyBorder="1" applyAlignment="1" applyProtection="1">
      <alignment horizontal="right" indent="2"/>
    </xf>
    <xf numFmtId="169" fontId="28" fillId="4" borderId="90" xfId="0" applyNumberFormat="1" applyFont="1" applyFill="1" applyBorder="1" applyAlignment="1" applyProtection="1">
      <alignment horizontal="right" indent="2"/>
    </xf>
    <xf numFmtId="169" fontId="28" fillId="4" borderId="91" xfId="0" applyNumberFormat="1" applyFont="1" applyFill="1" applyBorder="1" applyAlignment="1" applyProtection="1">
      <alignment horizontal="right" indent="2"/>
    </xf>
    <xf numFmtId="169" fontId="28" fillId="4" borderId="23" xfId="1" applyNumberFormat="1" applyFont="1" applyFill="1" applyBorder="1" applyAlignment="1" applyProtection="1">
      <alignment horizontal="right" indent="2"/>
    </xf>
    <xf numFmtId="169" fontId="28" fillId="4" borderId="92" xfId="1" applyNumberFormat="1" applyFont="1" applyFill="1" applyBorder="1" applyAlignment="1" applyProtection="1">
      <alignment horizontal="right" indent="2"/>
    </xf>
    <xf numFmtId="169" fontId="28" fillId="4" borderId="24" xfId="1" applyNumberFormat="1" applyFont="1" applyFill="1" applyBorder="1" applyAlignment="1" applyProtection="1">
      <alignment horizontal="right" indent="2"/>
    </xf>
    <xf numFmtId="169" fontId="28" fillId="13" borderId="23" xfId="1" applyNumberFormat="1" applyFont="1" applyFill="1" applyBorder="1" applyAlignment="1" applyProtection="1">
      <alignment horizontal="right" indent="2"/>
    </xf>
    <xf numFmtId="169" fontId="28" fillId="13" borderId="92" xfId="1" applyNumberFormat="1" applyFont="1" applyFill="1" applyBorder="1" applyAlignment="1" applyProtection="1">
      <alignment horizontal="right" indent="2"/>
    </xf>
    <xf numFmtId="169" fontId="28" fillId="13" borderId="24" xfId="1" applyNumberFormat="1" applyFont="1" applyFill="1" applyBorder="1" applyAlignment="1" applyProtection="1">
      <alignment horizontal="right" indent="2"/>
    </xf>
    <xf numFmtId="169" fontId="28" fillId="4" borderId="23" xfId="0" applyNumberFormat="1" applyFont="1" applyFill="1" applyBorder="1" applyAlignment="1" applyProtection="1">
      <alignment horizontal="right" indent="2"/>
    </xf>
    <xf numFmtId="169" fontId="28" fillId="4" borderId="92" xfId="0" applyNumberFormat="1" applyFont="1" applyFill="1" applyBorder="1" applyAlignment="1" applyProtection="1">
      <alignment horizontal="right" indent="2"/>
    </xf>
    <xf numFmtId="169" fontId="28" fillId="4" borderId="24" xfId="0" applyNumberFormat="1" applyFont="1" applyFill="1" applyBorder="1" applyAlignment="1" applyProtection="1">
      <alignment horizontal="right" indent="2"/>
    </xf>
    <xf numFmtId="165" fontId="28" fillId="13" borderId="97" xfId="3" applyNumberFormat="1" applyFont="1" applyFill="1" applyBorder="1" applyAlignment="1" applyProtection="1">
      <alignment horizontal="center"/>
    </xf>
    <xf numFmtId="165" fontId="28" fillId="13" borderId="0" xfId="3" applyNumberFormat="1" applyFont="1" applyFill="1" applyBorder="1" applyAlignment="1" applyProtection="1">
      <alignment horizontal="center"/>
    </xf>
    <xf numFmtId="165" fontId="28" fillId="13" borderId="75" xfId="3" applyNumberFormat="1" applyFont="1" applyFill="1" applyBorder="1" applyAlignment="1" applyProtection="1">
      <alignment horizontal="center"/>
    </xf>
    <xf numFmtId="169" fontId="28" fillId="13" borderId="21" xfId="1" applyNumberFormat="1" applyFont="1" applyFill="1" applyBorder="1" applyAlignment="1" applyProtection="1">
      <alignment horizontal="right" indent="2"/>
    </xf>
    <xf numFmtId="169" fontId="28" fillId="13" borderId="0" xfId="1" applyNumberFormat="1" applyFont="1" applyFill="1" applyBorder="1" applyAlignment="1" applyProtection="1">
      <alignment horizontal="right" indent="2"/>
    </xf>
    <xf numFmtId="169" fontId="28" fillId="13" borderId="20" xfId="1" applyNumberFormat="1" applyFont="1" applyFill="1" applyBorder="1" applyAlignment="1" applyProtection="1">
      <alignment horizontal="right" indent="2"/>
    </xf>
    <xf numFmtId="169" fontId="28" fillId="13" borderId="99" xfId="1" applyNumberFormat="1" applyFont="1" applyFill="1" applyBorder="1" applyAlignment="1" applyProtection="1">
      <alignment horizontal="right" indent="2"/>
    </xf>
    <xf numFmtId="169" fontId="28" fillId="13" borderId="100" xfId="1" applyNumberFormat="1" applyFont="1" applyFill="1" applyBorder="1" applyAlignment="1" applyProtection="1">
      <alignment horizontal="right" indent="2"/>
    </xf>
    <xf numFmtId="169" fontId="28" fillId="13" borderId="21" xfId="0" applyNumberFormat="1" applyFont="1" applyFill="1" applyBorder="1" applyAlignment="1" applyProtection="1">
      <alignment horizontal="right" indent="2"/>
    </xf>
    <xf numFmtId="169" fontId="28" fillId="13" borderId="0" xfId="0" applyNumberFormat="1" applyFont="1" applyFill="1" applyBorder="1" applyAlignment="1" applyProtection="1">
      <alignment horizontal="right" indent="2"/>
    </xf>
    <xf numFmtId="169" fontId="28" fillId="13" borderId="20" xfId="0" applyNumberFormat="1" applyFont="1" applyFill="1" applyBorder="1" applyAlignment="1" applyProtection="1">
      <alignment horizontal="right" indent="2"/>
    </xf>
    <xf numFmtId="169" fontId="29" fillId="13" borderId="112" xfId="0" applyNumberFormat="1" applyFont="1" applyFill="1" applyBorder="1" applyAlignment="1" applyProtection="1">
      <alignment horizontal="right" indent="2"/>
    </xf>
    <xf numFmtId="169" fontId="29" fillId="13" borderId="113" xfId="0" applyNumberFormat="1" applyFont="1" applyFill="1" applyBorder="1" applyAlignment="1" applyProtection="1">
      <alignment horizontal="right" indent="2"/>
    </xf>
    <xf numFmtId="169" fontId="29" fillId="13" borderId="111" xfId="0" applyNumberFormat="1" applyFont="1" applyFill="1" applyBorder="1" applyAlignment="1" applyProtection="1">
      <alignment horizontal="right" indent="2"/>
    </xf>
    <xf numFmtId="0" fontId="26" fillId="18" borderId="103" xfId="0" applyFont="1" applyFill="1" applyBorder="1" applyAlignment="1" applyProtection="1">
      <alignment horizontal="center" vertical="center"/>
    </xf>
    <xf numFmtId="0" fontId="26" fillId="18" borderId="104" xfId="0" applyFont="1" applyFill="1" applyBorder="1" applyAlignment="1" applyProtection="1">
      <alignment horizontal="center" vertical="center"/>
    </xf>
    <xf numFmtId="0" fontId="26" fillId="18" borderId="105" xfId="0" applyFont="1" applyFill="1" applyBorder="1" applyAlignment="1" applyProtection="1">
      <alignment horizontal="center" vertical="center"/>
    </xf>
    <xf numFmtId="164" fontId="26" fillId="18" borderId="103" xfId="1" quotePrefix="1" applyNumberFormat="1" applyFont="1" applyFill="1" applyBorder="1" applyAlignment="1" applyProtection="1">
      <alignment horizontal="center" vertical="center"/>
    </xf>
    <xf numFmtId="164" fontId="26" fillId="18" borderId="104" xfId="1" applyNumberFormat="1" applyFont="1" applyFill="1" applyBorder="1" applyAlignment="1" applyProtection="1">
      <alignment horizontal="center" vertical="center"/>
    </xf>
    <xf numFmtId="164" fontId="26" fillId="18" borderId="104" xfId="1" quotePrefix="1" applyNumberFormat="1" applyFont="1" applyFill="1" applyBorder="1" applyAlignment="1" applyProtection="1">
      <alignment horizontal="center" vertical="center"/>
    </xf>
    <xf numFmtId="164" fontId="26" fillId="18" borderId="105" xfId="1" quotePrefix="1" applyNumberFormat="1" applyFont="1" applyFill="1" applyBorder="1" applyAlignment="1" applyProtection="1">
      <alignment horizontal="center" vertical="center"/>
    </xf>
    <xf numFmtId="169" fontId="29" fillId="13" borderId="112" xfId="1" applyNumberFormat="1" applyFont="1" applyFill="1" applyBorder="1" applyAlignment="1" applyProtection="1">
      <alignment horizontal="right" indent="2"/>
    </xf>
    <xf numFmtId="169" fontId="29" fillId="13" borderId="113" xfId="1" applyNumberFormat="1" applyFont="1" applyFill="1" applyBorder="1" applyAlignment="1" applyProtection="1">
      <alignment horizontal="right" indent="2"/>
    </xf>
    <xf numFmtId="169" fontId="29" fillId="13" borderId="114" xfId="1" applyNumberFormat="1" applyFont="1" applyFill="1" applyBorder="1" applyAlignment="1" applyProtection="1">
      <alignment horizontal="right" indent="2"/>
    </xf>
    <xf numFmtId="169" fontId="29" fillId="13" borderId="111" xfId="1" applyNumberFormat="1" applyFont="1" applyFill="1" applyBorder="1" applyAlignment="1" applyProtection="1">
      <alignment horizontal="right" indent="2"/>
    </xf>
    <xf numFmtId="164" fontId="26" fillId="18" borderId="89" xfId="1" quotePrefix="1" applyNumberFormat="1" applyFont="1" applyFill="1" applyBorder="1" applyAlignment="1" applyProtection="1">
      <alignment horizontal="center" vertical="center"/>
    </xf>
    <xf numFmtId="164" fontId="26" fillId="18" borderId="90" xfId="1" applyNumberFormat="1" applyFont="1" applyFill="1" applyBorder="1" applyAlignment="1" applyProtection="1">
      <alignment horizontal="center" vertical="center"/>
    </xf>
    <xf numFmtId="164" fontId="26" fillId="18" borderId="91" xfId="1" applyNumberFormat="1" applyFont="1" applyFill="1" applyBorder="1" applyAlignment="1" applyProtection="1">
      <alignment horizontal="center" vertical="center"/>
    </xf>
    <xf numFmtId="164" fontId="26" fillId="18" borderId="98" xfId="1" applyNumberFormat="1" applyFont="1" applyFill="1" applyBorder="1" applyAlignment="1" applyProtection="1">
      <alignment horizontal="center" vertical="center"/>
    </xf>
    <xf numFmtId="0" fontId="33" fillId="11" borderId="0" xfId="0" applyFont="1" applyFill="1" applyBorder="1" applyAlignment="1" applyProtection="1">
      <alignment horizontal="center" vertical="center" wrapText="1"/>
    </xf>
    <xf numFmtId="43" fontId="4" fillId="4" borderId="0" xfId="1" applyFont="1" applyFill="1" applyBorder="1" applyAlignment="1" applyProtection="1">
      <alignment horizontal="left" vertical="center" indent="2"/>
    </xf>
    <xf numFmtId="169" fontId="28" fillId="13" borderId="23" xfId="0" applyNumberFormat="1" applyFont="1" applyFill="1" applyBorder="1" applyAlignment="1" applyProtection="1">
      <alignment horizontal="right" indent="2"/>
    </xf>
    <xf numFmtId="169" fontId="28" fillId="13" borderId="92" xfId="0" applyNumberFormat="1" applyFont="1" applyFill="1" applyBorder="1" applyAlignment="1" applyProtection="1">
      <alignment horizontal="right" indent="2"/>
    </xf>
    <xf numFmtId="169" fontId="28" fillId="13" borderId="24" xfId="0" applyNumberFormat="1" applyFont="1" applyFill="1" applyBorder="1" applyAlignment="1" applyProtection="1">
      <alignment horizontal="right" indent="2"/>
    </xf>
    <xf numFmtId="43" fontId="5" fillId="4" borderId="0" xfId="1" applyFont="1" applyFill="1" applyBorder="1" applyAlignment="1" applyProtection="1">
      <alignment horizontal="center" vertical="center"/>
    </xf>
    <xf numFmtId="0" fontId="26" fillId="18" borderId="23" xfId="0" applyFont="1" applyFill="1" applyBorder="1" applyAlignment="1" applyProtection="1">
      <alignment horizontal="center" vertical="center"/>
    </xf>
    <xf numFmtId="0" fontId="26" fillId="18" borderId="92" xfId="0" applyFont="1" applyFill="1" applyBorder="1" applyAlignment="1" applyProtection="1">
      <alignment horizontal="center" vertical="center"/>
    </xf>
    <xf numFmtId="0" fontId="26" fillId="18" borderId="24" xfId="0" applyFont="1" applyFill="1" applyBorder="1" applyAlignment="1" applyProtection="1">
      <alignment horizontal="center" vertical="center"/>
    </xf>
    <xf numFmtId="168" fontId="30" fillId="20" borderId="116" xfId="1" applyNumberFormat="1" applyFont="1" applyFill="1" applyBorder="1" applyAlignment="1" applyProtection="1">
      <alignment horizontal="center" vertical="center"/>
    </xf>
    <xf numFmtId="168" fontId="30" fillId="20" borderId="102" xfId="1" applyNumberFormat="1" applyFont="1" applyFill="1" applyBorder="1" applyAlignment="1" applyProtection="1">
      <alignment horizontal="center" vertical="center"/>
    </xf>
    <xf numFmtId="168" fontId="30" fillId="20" borderId="117" xfId="1" applyNumberFormat="1" applyFont="1" applyFill="1" applyBorder="1" applyAlignment="1" applyProtection="1">
      <alignment horizontal="center" vertical="center"/>
    </xf>
    <xf numFmtId="164" fontId="26" fillId="18" borderId="108" xfId="1" quotePrefix="1" applyNumberFormat="1" applyFont="1" applyFill="1" applyBorder="1" applyAlignment="1" applyProtection="1">
      <alignment horizontal="center" vertical="center" wrapText="1"/>
    </xf>
    <xf numFmtId="164" fontId="26" fillId="18" borderId="73" xfId="1" quotePrefix="1" applyNumberFormat="1" applyFont="1" applyFill="1" applyBorder="1" applyAlignment="1" applyProtection="1">
      <alignment horizontal="center" vertical="center" wrapText="1"/>
    </xf>
    <xf numFmtId="164" fontId="26" fillId="18" borderId="74" xfId="1" quotePrefix="1" applyNumberFormat="1" applyFont="1" applyFill="1" applyBorder="1" applyAlignment="1" applyProtection="1">
      <alignment horizontal="center" vertical="center" wrapText="1"/>
    </xf>
    <xf numFmtId="164" fontId="26" fillId="18" borderId="97" xfId="1" quotePrefix="1" applyNumberFormat="1" applyFont="1" applyFill="1" applyBorder="1" applyAlignment="1" applyProtection="1">
      <alignment horizontal="center" vertical="center" wrapText="1"/>
    </xf>
    <xf numFmtId="164" fontId="26" fillId="18" borderId="0" xfId="1" quotePrefix="1" applyNumberFormat="1" applyFont="1" applyFill="1" applyBorder="1" applyAlignment="1" applyProtection="1">
      <alignment horizontal="center" vertical="center" wrapText="1"/>
    </xf>
    <xf numFmtId="164" fontId="26" fillId="18" borderId="75" xfId="1" quotePrefix="1" applyNumberFormat="1" applyFont="1" applyFill="1" applyBorder="1" applyAlignment="1" applyProtection="1">
      <alignment horizontal="center" vertical="center" wrapText="1"/>
    </xf>
    <xf numFmtId="168" fontId="5" fillId="4" borderId="76" xfId="0" applyNumberFormat="1" applyFont="1" applyFill="1" applyBorder="1" applyAlignment="1" applyProtection="1">
      <alignment horizontal="center" vertical="center"/>
    </xf>
    <xf numFmtId="164" fontId="26" fillId="18" borderId="107" xfId="1" applyNumberFormat="1" applyFont="1" applyFill="1" applyBorder="1" applyAlignment="1" applyProtection="1">
      <alignment horizontal="center" vertical="center"/>
    </xf>
    <xf numFmtId="44" fontId="40" fillId="12" borderId="0" xfId="1" applyNumberFormat="1" applyFont="1" applyFill="1" applyBorder="1" applyAlignment="1" applyProtection="1">
      <alignment horizontal="center" vertical="center"/>
      <protection locked="0"/>
    </xf>
    <xf numFmtId="164" fontId="41" fillId="12" borderId="0" xfId="1" applyNumberFormat="1" applyFont="1" applyFill="1" applyBorder="1" applyAlignment="1" applyProtection="1">
      <alignment horizontal="center" vertical="center"/>
      <protection locked="0"/>
    </xf>
    <xf numFmtId="164" fontId="40" fillId="12" borderId="0" xfId="1" applyNumberFormat="1" applyFont="1" applyFill="1" applyBorder="1" applyAlignment="1" applyProtection="1">
      <alignment horizontal="center" vertical="center"/>
      <protection locked="0"/>
    </xf>
    <xf numFmtId="44" fontId="25" fillId="4" borderId="0" xfId="1" applyNumberFormat="1" applyFont="1" applyFill="1" applyBorder="1" applyAlignment="1" applyProtection="1">
      <alignment horizontal="left" vertical="center" wrapText="1"/>
    </xf>
    <xf numFmtId="44" fontId="14" fillId="4" borderId="0" xfId="1" applyNumberFormat="1" applyFont="1" applyFill="1" applyBorder="1" applyAlignment="1" applyProtection="1">
      <alignment horizontal="left" vertical="center" wrapText="1"/>
    </xf>
    <xf numFmtId="0" fontId="0" fillId="4" borderId="0" xfId="0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168" fontId="1" fillId="4" borderId="83" xfId="0" applyNumberFormat="1" applyFont="1" applyFill="1" applyBorder="1" applyAlignment="1" applyProtection="1">
      <alignment horizontal="center" vertical="center"/>
    </xf>
    <xf numFmtId="168" fontId="1" fillId="4" borderId="84" xfId="0" applyNumberFormat="1" applyFont="1" applyFill="1" applyBorder="1" applyAlignment="1" applyProtection="1">
      <alignment horizontal="center" vertical="center"/>
    </xf>
    <xf numFmtId="168" fontId="1" fillId="4" borderId="85" xfId="0" applyNumberFormat="1" applyFont="1" applyFill="1" applyBorder="1" applyAlignment="1" applyProtection="1">
      <alignment horizontal="center" vertical="center"/>
    </xf>
    <xf numFmtId="168" fontId="1" fillId="4" borderId="86" xfId="0" applyNumberFormat="1" applyFont="1" applyFill="1" applyBorder="1" applyAlignment="1" applyProtection="1">
      <alignment horizontal="center" vertical="center"/>
    </xf>
    <xf numFmtId="0" fontId="12" fillId="4" borderId="88" xfId="1" applyNumberFormat="1" applyFont="1" applyFill="1" applyBorder="1" applyAlignment="1" applyProtection="1">
      <alignment horizontal="center" vertical="center" wrapText="1"/>
    </xf>
    <xf numFmtId="0" fontId="12" fillId="4" borderId="78" xfId="1" applyNumberFormat="1" applyFont="1" applyFill="1" applyBorder="1" applyAlignment="1" applyProtection="1">
      <alignment horizontal="center" vertical="center" wrapText="1"/>
    </xf>
    <xf numFmtId="0" fontId="12" fillId="4" borderId="73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164" fontId="1" fillId="4" borderId="0" xfId="1" applyNumberFormat="1" applyFill="1" applyBorder="1" applyAlignment="1" applyProtection="1">
      <alignment horizontal="center" vertical="center"/>
    </xf>
    <xf numFmtId="0" fontId="12" fillId="4" borderId="22" xfId="0" applyFont="1" applyFill="1" applyBorder="1" applyAlignment="1" applyProtection="1">
      <alignment horizontal="center" vertical="center" wrapText="1"/>
    </xf>
    <xf numFmtId="0" fontId="12" fillId="4" borderId="23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75" xfId="0" applyFont="1" applyFill="1" applyBorder="1" applyAlignment="1" applyProtection="1">
      <alignment horizontal="center" vertical="center"/>
      <protection locked="0"/>
    </xf>
    <xf numFmtId="0" fontId="22" fillId="4" borderId="73" xfId="0" applyFont="1" applyFill="1" applyBorder="1" applyAlignment="1" applyProtection="1">
      <alignment horizontal="center" vertical="center" wrapText="1"/>
    </xf>
    <xf numFmtId="164" fontId="10" fillId="4" borderId="0" xfId="1" applyNumberFormat="1" applyFont="1" applyFill="1" applyBorder="1" applyAlignment="1" applyProtection="1">
      <alignment horizontal="center" vertical="center"/>
      <protection locked="0"/>
    </xf>
    <xf numFmtId="164" fontId="15" fillId="4" borderId="0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horizontal="left" vertical="center" wrapText="1"/>
    </xf>
    <xf numFmtId="0" fontId="33" fillId="11" borderId="118" xfId="1" applyNumberFormat="1" applyFont="1" applyFill="1" applyBorder="1" applyAlignment="1" applyProtection="1">
      <alignment horizontal="center" vertical="center" wrapText="1"/>
    </xf>
    <xf numFmtId="0" fontId="33" fillId="11" borderId="119" xfId="1" applyNumberFormat="1" applyFont="1" applyFill="1" applyBorder="1" applyAlignment="1" applyProtection="1">
      <alignment horizontal="center" vertical="center" wrapText="1"/>
    </xf>
    <xf numFmtId="0" fontId="12" fillId="4" borderId="24" xfId="0" applyFont="1" applyFill="1" applyBorder="1" applyAlignment="1" applyProtection="1">
      <alignment horizontal="center" vertical="center" wrapText="1"/>
    </xf>
    <xf numFmtId="0" fontId="12" fillId="4" borderId="74" xfId="0" applyFont="1" applyFill="1" applyBorder="1" applyAlignment="1" applyProtection="1">
      <alignment horizontal="center" vertical="center" wrapText="1"/>
    </xf>
    <xf numFmtId="0" fontId="12" fillId="4" borderId="75" xfId="0" applyFont="1" applyFill="1" applyBorder="1" applyAlignment="1" applyProtection="1">
      <alignment horizontal="center" vertical="center" wrapText="1"/>
    </xf>
    <xf numFmtId="0" fontId="35" fillId="11" borderId="0" xfId="0" applyFont="1" applyFill="1" applyBorder="1" applyAlignment="1" applyProtection="1">
      <alignment horizontal="center" vertical="center" wrapText="1"/>
    </xf>
    <xf numFmtId="168" fontId="1" fillId="4" borderId="87" xfId="0" applyNumberFormat="1" applyFont="1" applyFill="1" applyBorder="1" applyAlignment="1" applyProtection="1">
      <alignment horizontal="center" vertical="center"/>
    </xf>
    <xf numFmtId="168" fontId="1" fillId="4" borderId="77" xfId="0" applyNumberFormat="1" applyFont="1" applyFill="1" applyBorder="1" applyAlignment="1" applyProtection="1">
      <alignment horizontal="center" vertical="center"/>
    </xf>
    <xf numFmtId="43" fontId="4" fillId="4" borderId="0" xfId="1" applyFont="1" applyFill="1" applyBorder="1" applyAlignment="1" applyProtection="1">
      <alignment horizontal="center" vertical="center"/>
    </xf>
    <xf numFmtId="169" fontId="42" fillId="4" borderId="0" xfId="0" applyNumberFormat="1" applyFont="1" applyFill="1" applyBorder="1" applyAlignment="1" applyProtection="1">
      <alignment horizontal="center" vertical="center"/>
    </xf>
    <xf numFmtId="0" fontId="40" fillId="12" borderId="0" xfId="0" applyFont="1" applyFill="1" applyBorder="1" applyAlignment="1" applyProtection="1">
      <alignment horizontal="center" vertical="center"/>
      <protection locked="0"/>
    </xf>
    <xf numFmtId="0" fontId="0" fillId="4" borderId="75" xfId="0" applyFill="1" applyBorder="1" applyAlignment="1" applyProtection="1">
      <alignment horizontal="center" vertical="center"/>
    </xf>
    <xf numFmtId="0" fontId="13" fillId="16" borderId="0" xfId="0" applyFont="1" applyFill="1" applyAlignment="1" applyProtection="1">
      <alignment horizontal="center" vertical="center"/>
    </xf>
    <xf numFmtId="44" fontId="2" fillId="0" borderId="0" xfId="2" applyFont="1" applyAlignment="1" applyProtection="1">
      <alignment horizontal="center" vertical="center" wrapText="1"/>
    </xf>
    <xf numFmtId="44" fontId="2" fillId="0" borderId="0" xfId="2" quotePrefix="1" applyFont="1" applyAlignment="1" applyProtection="1">
      <alignment horizontal="center" vertical="center" wrapText="1"/>
    </xf>
    <xf numFmtId="44" fontId="13" fillId="17" borderId="0" xfId="2" applyFont="1" applyFill="1" applyAlignment="1" applyProtection="1">
      <alignment horizontal="center" vertical="center" wrapText="1"/>
    </xf>
    <xf numFmtId="44" fontId="13" fillId="17" borderId="0" xfId="2" quotePrefix="1" applyFont="1" applyFill="1" applyAlignment="1" applyProtection="1">
      <alignment horizontal="center" vertical="center" wrapText="1"/>
    </xf>
    <xf numFmtId="13" fontId="13" fillId="18" borderId="0" xfId="2" quotePrefix="1" applyNumberFormat="1" applyFont="1" applyFill="1" applyAlignment="1" applyProtection="1">
      <alignment horizontal="center" vertical="center" wrapText="1"/>
    </xf>
    <xf numFmtId="44" fontId="13" fillId="18" borderId="0" xfId="2" quotePrefix="1" applyFont="1" applyFill="1" applyAlignment="1" applyProtection="1">
      <alignment horizontal="center" vertical="center" wrapText="1"/>
    </xf>
    <xf numFmtId="43" fontId="4" fillId="3" borderId="8" xfId="1" applyFont="1" applyFill="1" applyBorder="1" applyAlignment="1" applyProtection="1">
      <alignment horizontal="right"/>
    </xf>
    <xf numFmtId="43" fontId="5" fillId="7" borderId="8" xfId="1" applyFont="1" applyFill="1" applyBorder="1" applyAlignment="1" applyProtection="1">
      <alignment horizontal="right" vertical="center"/>
    </xf>
    <xf numFmtId="43" fontId="5" fillId="13" borderId="8" xfId="1" applyFont="1" applyFill="1" applyBorder="1" applyAlignment="1" applyProtection="1">
      <alignment horizontal="right" vertical="center"/>
    </xf>
    <xf numFmtId="43" fontId="5" fillId="8" borderId="8" xfId="1" applyFont="1" applyFill="1" applyBorder="1" applyAlignment="1" applyProtection="1">
      <alignment horizontal="right" vertical="center"/>
    </xf>
    <xf numFmtId="43" fontId="5" fillId="10" borderId="8" xfId="1" applyFont="1" applyFill="1" applyBorder="1" applyAlignment="1" applyProtection="1">
      <alignment horizontal="right" vertical="center"/>
    </xf>
    <xf numFmtId="43" fontId="2" fillId="9" borderId="0" xfId="0" applyNumberFormat="1" applyFont="1" applyFill="1" applyBorder="1" applyAlignment="1" applyProtection="1">
      <alignment horizontal="center"/>
    </xf>
    <xf numFmtId="0" fontId="2" fillId="9" borderId="0" xfId="0" applyFont="1" applyFill="1" applyBorder="1" applyAlignment="1" applyProtection="1">
      <alignment horizontal="center"/>
    </xf>
    <xf numFmtId="43" fontId="2" fillId="14" borderId="0" xfId="0" applyNumberFormat="1" applyFont="1" applyFill="1" applyBorder="1" applyAlignment="1" applyProtection="1">
      <alignment horizontal="center"/>
    </xf>
    <xf numFmtId="0" fontId="2" fillId="14" borderId="0" xfId="0" applyFont="1" applyFill="1" applyBorder="1" applyAlignment="1" applyProtection="1">
      <alignment horizontal="center"/>
    </xf>
    <xf numFmtId="0" fontId="2" fillId="14" borderId="16" xfId="0" applyFont="1" applyFill="1" applyBorder="1" applyAlignment="1" applyProtection="1">
      <alignment horizontal="center"/>
    </xf>
    <xf numFmtId="165" fontId="9" fillId="15" borderId="0" xfId="3" applyNumberFormat="1" applyFont="1" applyFill="1" applyBorder="1" applyAlignment="1" applyProtection="1">
      <alignment horizontal="right"/>
    </xf>
    <xf numFmtId="165" fontId="9" fillId="13" borderId="0" xfId="3" applyNumberFormat="1" applyFont="1" applyFill="1" applyBorder="1" applyAlignment="1" applyProtection="1">
      <alignment horizontal="right"/>
    </xf>
    <xf numFmtId="165" fontId="9" fillId="8" borderId="0" xfId="3" applyNumberFormat="1" applyFont="1" applyFill="1" applyBorder="1" applyAlignment="1" applyProtection="1">
      <alignment horizontal="right"/>
    </xf>
    <xf numFmtId="165" fontId="9" fillId="10" borderId="0" xfId="3" applyNumberFormat="1" applyFont="1" applyFill="1" applyBorder="1" applyAlignment="1" applyProtection="1">
      <alignment horizontal="right"/>
    </xf>
    <xf numFmtId="9" fontId="9" fillId="9" borderId="0" xfId="3" applyFont="1" applyFill="1" applyBorder="1" applyAlignment="1" applyProtection="1">
      <alignment horizontal="right"/>
    </xf>
    <xf numFmtId="165" fontId="9" fillId="14" borderId="0" xfId="3" applyNumberFormat="1" applyFont="1" applyFill="1" applyBorder="1" applyAlignment="1" applyProtection="1">
      <alignment horizontal="right"/>
    </xf>
    <xf numFmtId="165" fontId="9" fillId="14" borderId="16" xfId="3" applyNumberFormat="1" applyFont="1" applyFill="1" applyBorder="1" applyAlignment="1" applyProtection="1">
      <alignment horizontal="right"/>
    </xf>
    <xf numFmtId="43" fontId="2" fillId="3" borderId="0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165" fontId="9" fillId="3" borderId="0" xfId="3" applyNumberFormat="1" applyFont="1" applyFill="1" applyBorder="1" applyAlignment="1" applyProtection="1">
      <alignment horizontal="right"/>
    </xf>
    <xf numFmtId="43" fontId="2" fillId="15" borderId="0" xfId="1" applyNumberFormat="1" applyFont="1" applyFill="1" applyBorder="1" applyAlignment="1" applyProtection="1">
      <alignment horizontal="center"/>
    </xf>
    <xf numFmtId="43" fontId="2" fillId="13" borderId="0" xfId="1" applyNumberFormat="1" applyFont="1" applyFill="1" applyBorder="1" applyAlignment="1" applyProtection="1">
      <alignment horizontal="center"/>
    </xf>
    <xf numFmtId="43" fontId="2" fillId="8" borderId="0" xfId="0" applyNumberFormat="1" applyFont="1" applyFill="1" applyBorder="1" applyAlignment="1" applyProtection="1">
      <alignment horizontal="center"/>
    </xf>
    <xf numFmtId="0" fontId="2" fillId="8" borderId="0" xfId="0" applyFont="1" applyFill="1" applyBorder="1" applyAlignment="1" applyProtection="1">
      <alignment horizontal="center"/>
    </xf>
    <xf numFmtId="43" fontId="2" fillId="10" borderId="0" xfId="0" applyNumberFormat="1" applyFont="1" applyFill="1" applyBorder="1" applyAlignment="1" applyProtection="1">
      <alignment horizontal="center"/>
    </xf>
    <xf numFmtId="0" fontId="2" fillId="10" borderId="0" xfId="0" applyFont="1" applyFill="1" applyBorder="1" applyAlignment="1" applyProtection="1">
      <alignment horizontal="center"/>
    </xf>
    <xf numFmtId="43" fontId="4" fillId="3" borderId="0" xfId="1" applyFont="1" applyFill="1" applyBorder="1" applyAlignment="1" applyProtection="1">
      <alignment horizontal="right"/>
    </xf>
    <xf numFmtId="43" fontId="5" fillId="9" borderId="0" xfId="1" applyFont="1" applyFill="1" applyBorder="1" applyAlignment="1" applyProtection="1">
      <alignment horizontal="right" vertical="center"/>
    </xf>
    <xf numFmtId="43" fontId="5" fillId="2" borderId="0" xfId="1" applyFont="1" applyFill="1" applyBorder="1" applyAlignment="1" applyProtection="1">
      <alignment horizontal="right" vertical="center"/>
    </xf>
    <xf numFmtId="43" fontId="5" fillId="2" borderId="10" xfId="1" applyFont="1" applyFill="1" applyBorder="1" applyAlignment="1" applyProtection="1">
      <alignment horizontal="right" vertical="center"/>
    </xf>
    <xf numFmtId="43" fontId="5" fillId="13" borderId="0" xfId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43" fontId="2" fillId="7" borderId="0" xfId="1" applyFont="1" applyFill="1" applyBorder="1" applyAlignment="1" applyProtection="1">
      <alignment horizontal="center" vertical="center"/>
    </xf>
    <xf numFmtId="43" fontId="2" fillId="13" borderId="0" xfId="1" applyFont="1" applyFill="1" applyBorder="1" applyAlignment="1" applyProtection="1">
      <alignment horizontal="center" vertical="center"/>
    </xf>
    <xf numFmtId="43" fontId="2" fillId="8" borderId="0" xfId="1" applyFont="1" applyFill="1" applyBorder="1" applyAlignment="1" applyProtection="1">
      <alignment horizontal="center" vertical="center"/>
    </xf>
    <xf numFmtId="43" fontId="2" fillId="10" borderId="0" xfId="1" applyFont="1" applyFill="1" applyBorder="1" applyAlignment="1" applyProtection="1">
      <alignment horizontal="center" vertical="center"/>
    </xf>
    <xf numFmtId="43" fontId="4" fillId="3" borderId="0" xfId="1" applyFont="1" applyFill="1" applyBorder="1" applyAlignment="1" applyProtection="1">
      <alignment horizontal="center"/>
    </xf>
    <xf numFmtId="43" fontId="4" fillId="8" borderId="0" xfId="1" applyFont="1" applyFill="1" applyBorder="1" applyAlignment="1" applyProtection="1">
      <alignment horizontal="center"/>
    </xf>
    <xf numFmtId="43" fontId="4" fillId="10" borderId="0" xfId="1" applyFont="1" applyFill="1" applyBorder="1" applyAlignment="1" applyProtection="1">
      <alignment horizontal="center"/>
    </xf>
    <xf numFmtId="43" fontId="5" fillId="7" borderId="0" xfId="1" applyFont="1" applyFill="1" applyBorder="1" applyAlignment="1" applyProtection="1">
      <alignment horizontal="right" vertical="center"/>
    </xf>
    <xf numFmtId="43" fontId="5" fillId="8" borderId="0" xfId="1" applyFont="1" applyFill="1" applyBorder="1" applyAlignment="1" applyProtection="1">
      <alignment horizontal="right" vertical="center"/>
    </xf>
    <xf numFmtId="43" fontId="4" fillId="7" borderId="0" xfId="1" applyFont="1" applyFill="1" applyBorder="1" applyAlignment="1" applyProtection="1">
      <alignment horizontal="center"/>
    </xf>
    <xf numFmtId="43" fontId="5" fillId="7" borderId="0" xfId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/>
    </xf>
    <xf numFmtId="0" fontId="2" fillId="3" borderId="27" xfId="0" applyFont="1" applyFill="1" applyBorder="1" applyAlignment="1" applyProtection="1">
      <alignment horizontal="center"/>
    </xf>
    <xf numFmtId="0" fontId="2" fillId="3" borderId="28" xfId="0" applyFont="1" applyFill="1" applyBorder="1" applyAlignment="1" applyProtection="1">
      <alignment horizontal="center"/>
    </xf>
    <xf numFmtId="0" fontId="6" fillId="7" borderId="29" xfId="0" applyFont="1" applyFill="1" applyBorder="1" applyAlignment="1" applyProtection="1">
      <alignment horizontal="center" vertical="center"/>
    </xf>
    <xf numFmtId="0" fontId="6" fillId="7" borderId="30" xfId="0" applyFont="1" applyFill="1" applyBorder="1" applyAlignment="1" applyProtection="1">
      <alignment horizontal="center" vertical="center"/>
    </xf>
    <xf numFmtId="0" fontId="6" fillId="7" borderId="31" xfId="0" applyFont="1" applyFill="1" applyBorder="1" applyAlignment="1" applyProtection="1">
      <alignment horizontal="center" vertical="center"/>
    </xf>
    <xf numFmtId="0" fontId="6" fillId="7" borderId="32" xfId="0" applyFont="1" applyFill="1" applyBorder="1" applyAlignment="1" applyProtection="1">
      <alignment horizontal="center" vertical="center"/>
    </xf>
    <xf numFmtId="0" fontId="6" fillId="7" borderId="33" xfId="0" applyFont="1" applyFill="1" applyBorder="1" applyAlignment="1" applyProtection="1">
      <alignment horizontal="center" vertical="center"/>
    </xf>
    <xf numFmtId="0" fontId="6" fillId="7" borderId="34" xfId="0" applyFont="1" applyFill="1" applyBorder="1" applyAlignment="1" applyProtection="1">
      <alignment horizontal="center" vertical="center"/>
    </xf>
    <xf numFmtId="43" fontId="2" fillId="3" borderId="6" xfId="1" applyFont="1" applyFill="1" applyBorder="1" applyAlignment="1" applyProtection="1">
      <alignment horizontal="right" vertical="center"/>
    </xf>
    <xf numFmtId="0" fontId="6" fillId="10" borderId="35" xfId="0" applyFont="1" applyFill="1" applyBorder="1" applyAlignment="1" applyProtection="1">
      <alignment horizontal="center" vertical="center"/>
    </xf>
    <xf numFmtId="0" fontId="6" fillId="10" borderId="36" xfId="0" applyFont="1" applyFill="1" applyBorder="1" applyAlignment="1" applyProtection="1">
      <alignment horizontal="center" vertical="center"/>
    </xf>
    <xf numFmtId="0" fontId="6" fillId="10" borderId="37" xfId="0" applyFont="1" applyFill="1" applyBorder="1" applyAlignment="1" applyProtection="1">
      <alignment horizontal="center" vertical="center"/>
    </xf>
    <xf numFmtId="0" fontId="6" fillId="13" borderId="38" xfId="0" applyFont="1" applyFill="1" applyBorder="1" applyAlignment="1" applyProtection="1">
      <alignment horizontal="center" vertical="center"/>
    </xf>
    <xf numFmtId="0" fontId="6" fillId="13" borderId="39" xfId="0" applyFont="1" applyFill="1" applyBorder="1" applyAlignment="1" applyProtection="1">
      <alignment horizontal="center" vertical="center"/>
    </xf>
    <xf numFmtId="0" fontId="6" fillId="13" borderId="40" xfId="0" applyFont="1" applyFill="1" applyBorder="1" applyAlignment="1" applyProtection="1">
      <alignment horizontal="center" vertical="center"/>
    </xf>
    <xf numFmtId="43" fontId="5" fillId="13" borderId="2" xfId="1" applyFont="1" applyFill="1" applyBorder="1" applyAlignment="1" applyProtection="1">
      <alignment horizontal="right" vertical="center"/>
    </xf>
    <xf numFmtId="43" fontId="5" fillId="8" borderId="2" xfId="1" applyFont="1" applyFill="1" applyBorder="1" applyAlignment="1" applyProtection="1">
      <alignment horizontal="right" vertical="center"/>
    </xf>
    <xf numFmtId="43" fontId="4" fillId="3" borderId="2" xfId="1" applyFont="1" applyFill="1" applyBorder="1" applyAlignment="1" applyProtection="1">
      <alignment horizontal="right"/>
    </xf>
    <xf numFmtId="43" fontId="4" fillId="13" borderId="0" xfId="1" applyFont="1" applyFill="1" applyBorder="1" applyAlignment="1" applyProtection="1">
      <alignment horizontal="center"/>
    </xf>
    <xf numFmtId="43" fontId="4" fillId="9" borderId="0" xfId="1" applyFont="1" applyFill="1" applyBorder="1" applyAlignment="1" applyProtection="1">
      <alignment horizontal="center"/>
    </xf>
    <xf numFmtId="0" fontId="6" fillId="10" borderId="41" xfId="0" applyFont="1" applyFill="1" applyBorder="1" applyAlignment="1" applyProtection="1">
      <alignment horizontal="center" vertical="center"/>
    </xf>
    <xf numFmtId="0" fontId="6" fillId="10" borderId="42" xfId="0" applyFont="1" applyFill="1" applyBorder="1" applyAlignment="1" applyProtection="1">
      <alignment horizontal="center" vertical="center"/>
    </xf>
    <xf numFmtId="0" fontId="6" fillId="10" borderId="43" xfId="0" applyFont="1" applyFill="1" applyBorder="1" applyAlignment="1" applyProtection="1">
      <alignment horizontal="center" vertical="center"/>
    </xf>
    <xf numFmtId="0" fontId="6" fillId="8" borderId="44" xfId="0" applyFont="1" applyFill="1" applyBorder="1" applyAlignment="1" applyProtection="1">
      <alignment horizontal="center" vertical="center"/>
    </xf>
    <xf numFmtId="0" fontId="6" fillId="8" borderId="45" xfId="0" applyFont="1" applyFill="1" applyBorder="1" applyAlignment="1" applyProtection="1">
      <alignment horizontal="center" vertical="center"/>
    </xf>
    <xf numFmtId="0" fontId="6" fillId="8" borderId="46" xfId="0" applyFont="1" applyFill="1" applyBorder="1" applyAlignment="1" applyProtection="1">
      <alignment horizontal="center" vertical="center"/>
    </xf>
    <xf numFmtId="43" fontId="5" fillId="7" borderId="2" xfId="1" applyFont="1" applyFill="1" applyBorder="1" applyAlignment="1" applyProtection="1">
      <alignment horizontal="right" vertical="center"/>
    </xf>
    <xf numFmtId="43" fontId="5" fillId="9" borderId="2" xfId="1" applyFont="1" applyFill="1" applyBorder="1" applyAlignment="1" applyProtection="1">
      <alignment horizontal="right" vertical="center"/>
    </xf>
    <xf numFmtId="43" fontId="5" fillId="2" borderId="4" xfId="1" applyFont="1" applyFill="1" applyBorder="1" applyAlignment="1" applyProtection="1">
      <alignment horizontal="right" vertical="center"/>
    </xf>
    <xf numFmtId="0" fontId="12" fillId="11" borderId="0" xfId="0" applyFont="1" applyFill="1" applyBorder="1" applyAlignment="1" applyProtection="1">
      <alignment horizontal="center" vertical="center" wrapText="1"/>
    </xf>
    <xf numFmtId="43" fontId="5" fillId="10" borderId="0" xfId="1" applyFont="1" applyFill="1" applyBorder="1" applyAlignment="1" applyProtection="1">
      <alignment horizontal="right" vertical="center"/>
    </xf>
    <xf numFmtId="0" fontId="6" fillId="2" borderId="47" xfId="0" applyFont="1" applyFill="1" applyBorder="1" applyAlignment="1" applyProtection="1">
      <alignment horizontal="center" vertical="center"/>
    </xf>
    <xf numFmtId="0" fontId="6" fillId="2" borderId="48" xfId="0" applyFont="1" applyFill="1" applyBorder="1" applyAlignment="1" applyProtection="1">
      <alignment horizontal="center" vertical="center"/>
    </xf>
    <xf numFmtId="0" fontId="6" fillId="2" borderId="49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/>
    </xf>
    <xf numFmtId="0" fontId="2" fillId="2" borderId="51" xfId="0" applyFont="1" applyFill="1" applyBorder="1" applyAlignment="1" applyProtection="1">
      <alignment horizontal="center"/>
    </xf>
    <xf numFmtId="0" fontId="2" fillId="2" borderId="52" xfId="0" applyFont="1" applyFill="1" applyBorder="1" applyAlignment="1" applyProtection="1">
      <alignment horizontal="center"/>
    </xf>
    <xf numFmtId="0" fontId="6" fillId="9" borderId="53" xfId="0" applyFont="1" applyFill="1" applyBorder="1" applyAlignment="1" applyProtection="1">
      <alignment horizontal="center" vertical="center"/>
    </xf>
    <xf numFmtId="0" fontId="6" fillId="9" borderId="54" xfId="0" applyFont="1" applyFill="1" applyBorder="1" applyAlignment="1" applyProtection="1">
      <alignment horizontal="center" vertical="center"/>
    </xf>
    <xf numFmtId="0" fontId="6" fillId="9" borderId="55" xfId="0" applyFont="1" applyFill="1" applyBorder="1" applyAlignment="1" applyProtection="1">
      <alignment horizontal="center" vertical="center"/>
    </xf>
    <xf numFmtId="0" fontId="6" fillId="13" borderId="56" xfId="0" applyFont="1" applyFill="1" applyBorder="1" applyAlignment="1" applyProtection="1">
      <alignment horizontal="center" vertical="center"/>
    </xf>
    <xf numFmtId="0" fontId="6" fillId="13" borderId="57" xfId="0" applyFont="1" applyFill="1" applyBorder="1" applyAlignment="1" applyProtection="1">
      <alignment horizontal="center" vertical="center"/>
    </xf>
    <xf numFmtId="0" fontId="6" fillId="13" borderId="58" xfId="0" applyFont="1" applyFill="1" applyBorder="1" applyAlignment="1" applyProtection="1">
      <alignment horizontal="center" vertical="center"/>
    </xf>
    <xf numFmtId="43" fontId="5" fillId="10" borderId="2" xfId="1" applyFont="1" applyFill="1" applyBorder="1" applyAlignment="1" applyProtection="1">
      <alignment horizontal="right" vertical="center"/>
    </xf>
    <xf numFmtId="43" fontId="5" fillId="2" borderId="2" xfId="1" applyFont="1" applyFill="1" applyBorder="1" applyAlignment="1" applyProtection="1">
      <alignment horizontal="right" vertical="center"/>
    </xf>
    <xf numFmtId="43" fontId="5" fillId="2" borderId="59" xfId="1" applyFont="1" applyFill="1" applyBorder="1" applyAlignment="1" applyProtection="1">
      <alignment horizontal="right" vertical="center"/>
    </xf>
    <xf numFmtId="0" fontId="12" fillId="11" borderId="0" xfId="0" applyFont="1" applyFill="1" applyBorder="1" applyAlignment="1" applyProtection="1">
      <alignment horizontal="center" vertical="center"/>
    </xf>
    <xf numFmtId="164" fontId="15" fillId="12" borderId="0" xfId="1" applyNumberFormat="1" applyFont="1" applyFill="1" applyBorder="1" applyAlignment="1" applyProtection="1">
      <alignment horizontal="center" vertical="center"/>
      <protection locked="0"/>
    </xf>
    <xf numFmtId="0" fontId="10" fillId="12" borderId="0" xfId="0" applyFont="1" applyFill="1" applyBorder="1" applyAlignment="1" applyProtection="1">
      <alignment horizontal="center" vertical="center"/>
      <protection locked="0"/>
    </xf>
    <xf numFmtId="164" fontId="10" fillId="12" borderId="0" xfId="1" applyNumberFormat="1" applyFont="1" applyFill="1" applyBorder="1" applyAlignment="1" applyProtection="1">
      <alignment horizontal="center" vertical="center"/>
      <protection locked="0"/>
    </xf>
    <xf numFmtId="44" fontId="17" fillId="0" borderId="0" xfId="1" applyNumberFormat="1" applyFont="1" applyFill="1" applyBorder="1" applyAlignment="1" applyProtection="1">
      <alignment horizontal="center" vertical="center" wrapText="1"/>
    </xf>
    <xf numFmtId="43" fontId="2" fillId="9" borderId="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 wrapText="1"/>
    </xf>
    <xf numFmtId="43" fontId="2" fillId="2" borderId="4" xfId="1" applyFont="1" applyFill="1" applyBorder="1" applyAlignment="1" applyProtection="1">
      <alignment horizontal="center" vertical="center" wrapText="1"/>
    </xf>
    <xf numFmtId="0" fontId="6" fillId="8" borderId="60" xfId="0" applyFont="1" applyFill="1" applyBorder="1" applyAlignment="1" applyProtection="1">
      <alignment horizontal="center" vertical="center"/>
    </xf>
    <xf numFmtId="0" fontId="6" fillId="8" borderId="61" xfId="0" applyFont="1" applyFill="1" applyBorder="1" applyAlignment="1" applyProtection="1">
      <alignment horizontal="center" vertical="center"/>
    </xf>
    <xf numFmtId="0" fontId="6" fillId="8" borderId="62" xfId="0" applyFont="1" applyFill="1" applyBorder="1" applyAlignment="1" applyProtection="1">
      <alignment horizontal="center" vertical="center"/>
    </xf>
    <xf numFmtId="43" fontId="5" fillId="9" borderId="0" xfId="1" applyFont="1" applyFill="1" applyBorder="1" applyAlignment="1" applyProtection="1">
      <alignment horizontal="center" vertical="center"/>
    </xf>
    <xf numFmtId="43" fontId="4" fillId="2" borderId="0" xfId="1" applyFont="1" applyFill="1" applyBorder="1" applyAlignment="1" applyProtection="1">
      <alignment horizontal="center"/>
    </xf>
    <xf numFmtId="43" fontId="4" fillId="2" borderId="4" xfId="1" applyFont="1" applyFill="1" applyBorder="1" applyAlignment="1" applyProtection="1">
      <alignment horizontal="center"/>
    </xf>
    <xf numFmtId="0" fontId="6" fillId="9" borderId="63" xfId="0" applyFont="1" applyFill="1" applyBorder="1" applyAlignment="1" applyProtection="1">
      <alignment horizontal="center" vertical="center"/>
    </xf>
    <xf numFmtId="0" fontId="6" fillId="9" borderId="64" xfId="0" applyFont="1" applyFill="1" applyBorder="1" applyAlignment="1" applyProtection="1">
      <alignment horizontal="center" vertical="center"/>
    </xf>
    <xf numFmtId="0" fontId="6" fillId="9" borderId="65" xfId="0" applyFont="1" applyFill="1" applyBorder="1" applyAlignment="1" applyProtection="1">
      <alignment horizontal="center" vertical="center"/>
    </xf>
    <xf numFmtId="0" fontId="6" fillId="3" borderId="66" xfId="0" applyFont="1" applyFill="1" applyBorder="1" applyAlignment="1" applyProtection="1">
      <alignment horizontal="center" vertical="center"/>
    </xf>
    <xf numFmtId="0" fontId="6" fillId="3" borderId="67" xfId="0" applyFont="1" applyFill="1" applyBorder="1" applyAlignment="1" applyProtection="1">
      <alignment horizontal="center" vertical="center"/>
    </xf>
    <xf numFmtId="0" fontId="6" fillId="3" borderId="68" xfId="0" applyFont="1" applyFill="1" applyBorder="1" applyAlignment="1" applyProtection="1">
      <alignment horizontal="center" vertical="center"/>
    </xf>
    <xf numFmtId="43" fontId="5" fillId="13" borderId="0" xfId="1" applyFont="1" applyFill="1" applyBorder="1" applyAlignment="1" applyProtection="1">
      <alignment horizontal="center" vertical="center"/>
    </xf>
    <xf numFmtId="43" fontId="5" fillId="8" borderId="0" xfId="1" applyFont="1" applyFill="1" applyBorder="1" applyAlignment="1" applyProtection="1">
      <alignment horizontal="center" vertical="center"/>
    </xf>
    <xf numFmtId="43" fontId="5" fillId="10" borderId="0" xfId="1" applyFont="1" applyFill="1" applyBorder="1" applyAlignment="1" applyProtection="1">
      <alignment horizontal="center" vertical="center"/>
    </xf>
    <xf numFmtId="43" fontId="5" fillId="9" borderId="8" xfId="1" applyFont="1" applyFill="1" applyBorder="1" applyAlignment="1" applyProtection="1">
      <alignment horizontal="right" vertical="center"/>
    </xf>
    <xf numFmtId="43" fontId="2" fillId="2" borderId="6" xfId="1" applyFont="1" applyFill="1" applyBorder="1" applyAlignment="1" applyProtection="1">
      <alignment horizontal="right" vertical="center" wrapText="1"/>
    </xf>
    <xf numFmtId="43" fontId="2" fillId="2" borderId="69" xfId="1" applyFont="1" applyFill="1" applyBorder="1" applyAlignment="1" applyProtection="1">
      <alignment horizontal="right" vertical="center" wrapText="1"/>
    </xf>
    <xf numFmtId="43" fontId="5" fillId="2" borderId="8" xfId="1" applyFont="1" applyFill="1" applyBorder="1" applyAlignment="1" applyProtection="1">
      <alignment horizontal="right" vertical="center"/>
    </xf>
    <xf numFmtId="43" fontId="5" fillId="2" borderId="25" xfId="1" applyFont="1" applyFill="1" applyBorder="1" applyAlignment="1" applyProtection="1">
      <alignment horizontal="right" vertical="center"/>
    </xf>
    <xf numFmtId="43" fontId="2" fillId="7" borderId="6" xfId="1" applyFont="1" applyFill="1" applyBorder="1" applyAlignment="1" applyProtection="1">
      <alignment horizontal="right" vertical="center"/>
    </xf>
    <xf numFmtId="43" fontId="2" fillId="13" borderId="6" xfId="1" applyFont="1" applyFill="1" applyBorder="1" applyAlignment="1" applyProtection="1">
      <alignment horizontal="right" vertical="center"/>
    </xf>
    <xf numFmtId="43" fontId="2" fillId="8" borderId="6" xfId="1" applyFont="1" applyFill="1" applyBorder="1" applyAlignment="1" applyProtection="1">
      <alignment horizontal="right" vertical="center"/>
    </xf>
    <xf numFmtId="43" fontId="2" fillId="10" borderId="6" xfId="1" applyFont="1" applyFill="1" applyBorder="1" applyAlignment="1" applyProtection="1">
      <alignment horizontal="right" vertical="center"/>
    </xf>
    <xf numFmtId="43" fontId="2" fillId="9" borderId="6" xfId="1" applyFont="1" applyFill="1" applyBorder="1" applyAlignment="1" applyProtection="1">
      <alignment horizontal="right" vertical="center"/>
    </xf>
    <xf numFmtId="43" fontId="4" fillId="2" borderId="10" xfId="1" applyFont="1" applyFill="1" applyBorder="1" applyAlignment="1" applyProtection="1">
      <alignment horizontal="center"/>
    </xf>
    <xf numFmtId="43" fontId="5" fillId="2" borderId="0" xfId="1" applyFont="1" applyFill="1" applyBorder="1" applyAlignment="1" applyProtection="1">
      <alignment horizontal="center" vertical="center"/>
    </xf>
    <xf numFmtId="43" fontId="5" fillId="2" borderId="10" xfId="1" applyFont="1" applyFill="1" applyBorder="1" applyAlignment="1" applyProtection="1">
      <alignment horizontal="center" vertical="center"/>
    </xf>
    <xf numFmtId="43" fontId="2" fillId="2" borderId="0" xfId="1" applyFont="1" applyFill="1" applyBorder="1" applyAlignment="1" applyProtection="1">
      <alignment horizontal="center" vertical="center"/>
    </xf>
    <xf numFmtId="43" fontId="2" fillId="2" borderId="10" xfId="1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right" vertical="center"/>
    </xf>
    <xf numFmtId="43" fontId="2" fillId="7" borderId="0" xfId="1" applyFont="1" applyFill="1" applyBorder="1" applyAlignment="1" applyProtection="1">
      <alignment horizontal="right" vertical="center"/>
    </xf>
    <xf numFmtId="43" fontId="2" fillId="13" borderId="0" xfId="1" applyFont="1" applyFill="1" applyBorder="1" applyAlignment="1" applyProtection="1">
      <alignment horizontal="right" vertical="center"/>
    </xf>
    <xf numFmtId="43" fontId="2" fillId="8" borderId="0" xfId="1" applyFont="1" applyFill="1" applyBorder="1" applyAlignment="1" applyProtection="1">
      <alignment horizontal="right" vertical="center"/>
    </xf>
    <xf numFmtId="43" fontId="2" fillId="10" borderId="0" xfId="1" applyFont="1" applyFill="1" applyBorder="1" applyAlignment="1" applyProtection="1">
      <alignment horizontal="right" vertical="center"/>
    </xf>
    <xf numFmtId="43" fontId="2" fillId="9" borderId="0" xfId="1" applyFont="1" applyFill="1" applyBorder="1" applyAlignment="1" applyProtection="1">
      <alignment horizontal="right" vertical="center"/>
    </xf>
    <xf numFmtId="43" fontId="2" fillId="2" borderId="0" xfId="1" applyFont="1" applyFill="1" applyBorder="1" applyAlignment="1" applyProtection="1">
      <alignment horizontal="right" vertical="center" wrapText="1"/>
    </xf>
    <xf numFmtId="43" fontId="2" fillId="2" borderId="10" xfId="1" applyFont="1" applyFill="1" applyBorder="1" applyAlignment="1" applyProtection="1">
      <alignment horizontal="right" vertical="center" wrapText="1"/>
    </xf>
    <xf numFmtId="165" fontId="9" fillId="3" borderId="12" xfId="3" applyNumberFormat="1" applyFont="1" applyFill="1" applyBorder="1" applyAlignment="1" applyProtection="1">
      <alignment horizontal="right" vertical="center"/>
    </xf>
    <xf numFmtId="165" fontId="9" fillId="7" borderId="12" xfId="3" applyNumberFormat="1" applyFont="1" applyFill="1" applyBorder="1" applyAlignment="1" applyProtection="1">
      <alignment horizontal="right" vertical="center"/>
    </xf>
    <xf numFmtId="165" fontId="9" fillId="13" borderId="12" xfId="3" applyNumberFormat="1" applyFont="1" applyFill="1" applyBorder="1" applyAlignment="1" applyProtection="1">
      <alignment horizontal="right" vertical="center"/>
    </xf>
    <xf numFmtId="165" fontId="9" fillId="8" borderId="12" xfId="3" applyNumberFormat="1" applyFont="1" applyFill="1" applyBorder="1" applyAlignment="1" applyProtection="1">
      <alignment horizontal="right" vertical="center"/>
    </xf>
    <xf numFmtId="165" fontId="9" fillId="10" borderId="12" xfId="3" applyNumberFormat="1" applyFont="1" applyFill="1" applyBorder="1" applyAlignment="1" applyProtection="1">
      <alignment horizontal="right" vertical="center"/>
    </xf>
    <xf numFmtId="165" fontId="9" fillId="9" borderId="12" xfId="3" applyNumberFormat="1" applyFont="1" applyFill="1" applyBorder="1" applyAlignment="1" applyProtection="1">
      <alignment horizontal="right" vertical="center"/>
    </xf>
    <xf numFmtId="43" fontId="5" fillId="2" borderId="14" xfId="1" applyFont="1" applyFill="1" applyBorder="1" applyAlignment="1" applyProtection="1">
      <alignment horizontal="right" vertical="center"/>
    </xf>
    <xf numFmtId="43" fontId="5" fillId="2" borderId="70" xfId="1" applyFont="1" applyFill="1" applyBorder="1" applyAlignment="1" applyProtection="1">
      <alignment horizontal="right" vertical="center"/>
    </xf>
    <xf numFmtId="43" fontId="2" fillId="2" borderId="10" xfId="1" applyFont="1" applyFill="1" applyBorder="1" applyAlignment="1" applyProtection="1">
      <alignment horizontal="center" vertical="center" wrapText="1"/>
    </xf>
    <xf numFmtId="165" fontId="9" fillId="2" borderId="12" xfId="3" applyNumberFormat="1" applyFont="1" applyFill="1" applyBorder="1" applyAlignment="1" applyProtection="1">
      <alignment horizontal="right" vertical="center" wrapText="1"/>
    </xf>
    <xf numFmtId="165" fontId="9" fillId="2" borderId="71" xfId="3" applyNumberFormat="1" applyFont="1" applyFill="1" applyBorder="1" applyAlignment="1" applyProtection="1">
      <alignment horizontal="right" vertical="center" wrapText="1"/>
    </xf>
    <xf numFmtId="43" fontId="4" fillId="3" borderId="14" xfId="1" applyFont="1" applyFill="1" applyBorder="1" applyAlignment="1" applyProtection="1">
      <alignment horizontal="right"/>
    </xf>
    <xf numFmtId="43" fontId="5" fillId="7" borderId="14" xfId="1" applyFont="1" applyFill="1" applyBorder="1" applyAlignment="1" applyProtection="1">
      <alignment horizontal="right" vertical="center"/>
    </xf>
    <xf numFmtId="43" fontId="5" fillId="13" borderId="14" xfId="1" applyFont="1" applyFill="1" applyBorder="1" applyAlignment="1" applyProtection="1">
      <alignment horizontal="right" vertical="center"/>
    </xf>
    <xf numFmtId="43" fontId="5" fillId="8" borderId="14" xfId="1" applyFont="1" applyFill="1" applyBorder="1" applyAlignment="1" applyProtection="1">
      <alignment horizontal="right" vertical="center"/>
    </xf>
    <xf numFmtId="43" fontId="5" fillId="10" borderId="14" xfId="1" applyFont="1" applyFill="1" applyBorder="1" applyAlignment="1" applyProtection="1">
      <alignment horizontal="right" vertical="center"/>
    </xf>
    <xf numFmtId="43" fontId="5" fillId="9" borderId="14" xfId="1" applyFont="1" applyFill="1" applyBorder="1" applyAlignment="1" applyProtection="1">
      <alignment horizontal="right" vertical="center"/>
    </xf>
    <xf numFmtId="43" fontId="5" fillId="2" borderId="16" xfId="1" applyFont="1" applyFill="1" applyBorder="1" applyAlignment="1" applyProtection="1">
      <alignment horizontal="right" vertical="center"/>
    </xf>
    <xf numFmtId="43" fontId="5" fillId="2" borderId="16" xfId="1" applyFont="1" applyFill="1" applyBorder="1" applyAlignment="1" applyProtection="1">
      <alignment horizontal="center" vertical="center"/>
    </xf>
    <xf numFmtId="43" fontId="4" fillId="2" borderId="16" xfId="1" applyFont="1" applyFill="1" applyBorder="1" applyAlignment="1" applyProtection="1">
      <alignment horizontal="center"/>
    </xf>
    <xf numFmtId="43" fontId="2" fillId="14" borderId="0" xfId="1" applyFont="1" applyFill="1" applyBorder="1" applyAlignment="1" applyProtection="1">
      <alignment horizontal="center" vertical="center"/>
    </xf>
    <xf numFmtId="43" fontId="2" fillId="14" borderId="16" xfId="1" applyFont="1" applyFill="1" applyBorder="1" applyAlignment="1" applyProtection="1">
      <alignment horizontal="center" vertical="center"/>
    </xf>
    <xf numFmtId="43" fontId="4" fillId="14" borderId="0" xfId="1" applyFont="1" applyFill="1" applyBorder="1" applyAlignment="1" applyProtection="1">
      <alignment horizontal="center"/>
    </xf>
    <xf numFmtId="43" fontId="4" fillId="14" borderId="16" xfId="1" applyFont="1" applyFill="1" applyBorder="1" applyAlignment="1" applyProtection="1">
      <alignment horizontal="center"/>
    </xf>
    <xf numFmtId="43" fontId="2" fillId="14" borderId="0" xfId="1" applyFont="1" applyFill="1" applyBorder="1" applyAlignment="1" applyProtection="1">
      <alignment vertical="center" wrapText="1"/>
    </xf>
    <xf numFmtId="43" fontId="2" fillId="14" borderId="16" xfId="1" applyFont="1" applyFill="1" applyBorder="1" applyAlignment="1" applyProtection="1">
      <alignment vertical="center" wrapText="1"/>
    </xf>
    <xf numFmtId="43" fontId="2" fillId="14" borderId="0" xfId="1" applyFont="1" applyFill="1" applyBorder="1" applyAlignment="1" applyProtection="1">
      <alignment horizontal="right" vertical="center"/>
    </xf>
    <xf numFmtId="43" fontId="2" fillId="14" borderId="16" xfId="1" applyFont="1" applyFill="1" applyBorder="1" applyAlignment="1" applyProtection="1">
      <alignment horizontal="right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SV (6%) vs </a:t>
            </a:r>
          </a:p>
          <a:p>
            <a:pPr>
              <a:defRPr/>
            </a:pPr>
            <a:r>
              <a:rPr lang="en-US"/>
              <a:t>Rate Peg Only (2.3%-2.5%)</a:t>
            </a:r>
          </a:p>
        </c:rich>
      </c:tx>
      <c:layout>
        <c:manualLayout>
          <c:xMode val="edge"/>
          <c:yMode val="edge"/>
          <c:x val="9.5933118992390279E-2"/>
          <c:y val="2.2152843525176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8132383927050047E-2"/>
          <c:y val="0.18495479548156049"/>
          <c:w val="0.93009062946707488"/>
          <c:h val="0.61203184751827922"/>
        </c:manualLayout>
      </c:layout>
      <c:lineChart>
        <c:grouping val="standard"/>
        <c:varyColors val="0"/>
        <c:ser>
          <c:idx val="0"/>
          <c:order val="0"/>
          <c:tx>
            <c:strRef>
              <c:f>'Rates Calculator'!$CF$27</c:f>
              <c:strCache>
                <c:ptCount val="1"/>
                <c:pt idx="0">
                  <c:v>General Rates - 6% SRV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8.9110677242648317E-2"/>
                  <c:y val="-2.6437825658846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'Rates Calculator'!$CG$26:$CU$26</c15:sqref>
                  </c15:fullRef>
                </c:ext>
              </c:extLst>
              <c:f>('Rates Calculator'!$CG$26,'Rates Calculator'!$CJ$26,'Rates Calculator'!$CN$26,'Rates Calculator'!$CR$26)</c:f>
              <c:strCache>
                <c:ptCount val="4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'Rates Calculator'!$CG$27:$CU$27</c15:sqref>
                  </c15:fullRef>
                </c:ext>
              </c:extLst>
              <c:f>('Rates Calculator'!$CG$27,'Rates Calculator'!$CJ$27,'Rates Calculator'!$CN$27,'Rates Calculator'!$CR$27)</c:f>
              <c:numCache>
                <c:formatCode>"$"#,##0</c:formatCode>
                <c:ptCount val="4"/>
                <c:pt idx="0">
                  <c:v>1011.6802605402995</c:v>
                </c:pt>
                <c:pt idx="1">
                  <c:v>1072.4070761727176</c:v>
                </c:pt>
                <c:pt idx="2">
                  <c:v>1136.7515007430807</c:v>
                </c:pt>
                <c:pt idx="3">
                  <c:v>1204.9565907876656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'Rates Calculator'!$CF$28</c:f>
              <c:strCache>
                <c:ptCount val="1"/>
                <c:pt idx="0">
                  <c:v>General Rates - Rate Peg Only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dLbl>
              <c:idx val="1"/>
              <c:layout>
                <c:manualLayout>
                  <c:x val="-0.11453226652734835"/>
                  <c:y val="3.5250434211795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'Rates Calculator'!$CG$26:$CU$26</c15:sqref>
                  </c15:fullRef>
                </c:ext>
              </c:extLst>
              <c:f>('Rates Calculator'!$CG$26,'Rates Calculator'!$CJ$26,'Rates Calculator'!$CN$26,'Rates Calculator'!$CR$26)</c:f>
              <c:strCache>
                <c:ptCount val="4"/>
                <c:pt idx="0">
                  <c:v>2017/18</c:v>
                </c:pt>
                <c:pt idx="1">
                  <c:v>2018/19</c:v>
                </c:pt>
                <c:pt idx="2">
                  <c:v>2019/20</c:v>
                </c:pt>
                <c:pt idx="3">
                  <c:v>2020/21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'Rates Calculator'!$CG$28:$CU$28</c15:sqref>
                  </c15:fullRef>
                </c:ext>
              </c:extLst>
              <c:f>('Rates Calculator'!$CG$28,'Rates Calculator'!$CJ$28,'Rates Calculator'!$CN$28,'Rates Calculator'!$CR$28)</c:f>
              <c:numCache>
                <c:formatCode>"$"#,##0</c:formatCode>
                <c:ptCount val="4"/>
                <c:pt idx="0">
                  <c:v>1011.6802605402995</c:v>
                </c:pt>
                <c:pt idx="1">
                  <c:v>1034.9489065327264</c:v>
                </c:pt>
                <c:pt idx="2">
                  <c:v>1060.8226291960445</c:v>
                </c:pt>
                <c:pt idx="3">
                  <c:v>1087.3431949259455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458696"/>
        <c:axId val="182455560"/>
      </c:lineChart>
      <c:catAx>
        <c:axId val="182458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455560"/>
        <c:crosses val="autoZero"/>
        <c:auto val="1"/>
        <c:lblAlgn val="ctr"/>
        <c:lblOffset val="100"/>
        <c:noMultiLvlLbl val="0"/>
      </c:catAx>
      <c:valAx>
        <c:axId val="18245556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crossAx val="18245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127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trlProps/ctrlProp1.xml><?xml version="1.0" encoding="utf-8"?>
<formControlPr xmlns="http://schemas.microsoft.com/office/spreadsheetml/2009/9/main" objectType="Drop" dropLines="5" dropStyle="combo" dx="26" fmlaLink="$S$9" fmlaRange="Tables!$B$24:$B$28" noThreeD="1" sel="1" val="0"/>
</file>

<file path=xl/ctrlProps/ctrlProp10.xml><?xml version="1.0" encoding="utf-8"?>
<formControlPr xmlns="http://schemas.microsoft.com/office/spreadsheetml/2009/9/main" objectType="Drop" dropLines="7" dropStyle="combo" dx="26" fmlaLink="$J$9" fmlaRange="Tables!$B$16:$B$22" sel="1" val="0"/>
</file>

<file path=xl/ctrlProps/ctrlProp11.xml><?xml version="1.0" encoding="utf-8"?>
<formControlPr xmlns="http://schemas.microsoft.com/office/spreadsheetml/2009/9/main" objectType="Drop" dropLines="2" dropStyle="combo" dx="26" fmlaLink="$AE$9" fmlaRange="Tables!$B$42:$B$43" noThreeD="1" sel="2" val="0"/>
</file>

<file path=xl/ctrlProps/ctrlProp12.xml><?xml version="1.0" encoding="utf-8"?>
<formControlPr xmlns="http://schemas.microsoft.com/office/spreadsheetml/2009/9/main" objectType="Drop" dropLines="12" dropStyle="combo" dx="26" fmlaLink="$Z$9" fmlaRange="Tables!$B$35:$B$40" noThreeD="1" sel="2" val="0"/>
</file>

<file path=xl/ctrlProps/ctrlProp13.xml><?xml version="1.0" encoding="utf-8"?>
<formControlPr xmlns="http://schemas.microsoft.com/office/spreadsheetml/2009/9/main" objectType="Drop" dropLines="5" dropStyle="combo" dx="26" fmlaLink="$V$9" fmlaRange="Tables!$B$30:$B$33" noThreeD="1" sel="2" val="0"/>
</file>

<file path=xl/ctrlProps/ctrlProp14.xml><?xml version="1.0" encoding="utf-8"?>
<formControlPr xmlns="http://schemas.microsoft.com/office/spreadsheetml/2009/9/main" objectType="Drop" dropLines="13" dropStyle="combo" dx="26" fmlaLink="$D$9" fmlaRange="Tables!$B$4:$B$14" noThreeD="1" sel="2" val="0"/>
</file>

<file path=xl/ctrlProps/ctrlProp15.xml><?xml version="1.0" encoding="utf-8"?>
<formControlPr xmlns="http://schemas.microsoft.com/office/spreadsheetml/2009/9/main" objectType="Drop" dropLines="5" dropStyle="combo" dx="26" fmlaLink="$R$3" fmlaRange="Tables!$B$24:$B$28" noThreeD="1" sel="2" val="0"/>
</file>

<file path=xl/ctrlProps/ctrlProp16.xml><?xml version="1.0" encoding="utf-8"?>
<formControlPr xmlns="http://schemas.microsoft.com/office/spreadsheetml/2009/9/main" objectType="Drop" dropLines="13" dropStyle="combo" dx="26" fmlaLink="$C$3" fmlaRange="Tables!$B$4:$B$13" noThreeD="1" sel="3" val="0"/>
</file>

<file path=xl/ctrlProps/ctrlProp17.xml><?xml version="1.0" encoding="utf-8"?>
<formControlPr xmlns="http://schemas.microsoft.com/office/spreadsheetml/2009/9/main" objectType="Drop" dropLines="5" dropStyle="combo" dx="26" fmlaLink="$I$3" fmlaRange="Tables!$B$16:$B$21" sel="2" val="0"/>
</file>

<file path=xl/ctrlProps/ctrlProp18.xml><?xml version="1.0" encoding="utf-8"?>
<formControlPr xmlns="http://schemas.microsoft.com/office/spreadsheetml/2009/9/main" objectType="Drop" dropLines="2" dropStyle="combo" dx="26" fmlaLink="$AD$3" fmlaRange="Tables!$B$42:$B$43" noThreeD="1" sel="2" val="0"/>
</file>

<file path=xl/ctrlProps/ctrlProp19.xml><?xml version="1.0" encoding="utf-8"?>
<formControlPr xmlns="http://schemas.microsoft.com/office/spreadsheetml/2009/9/main" objectType="Drop" dropLines="12" dropStyle="combo" dx="26" fmlaLink="$Y$3" fmlaRange="Tables!$B$35:$B$40" noThreeD="1" sel="1" val="0"/>
</file>

<file path=xl/ctrlProps/ctrlProp2.xml><?xml version="1.0" encoding="utf-8"?>
<formControlPr xmlns="http://schemas.microsoft.com/office/spreadsheetml/2009/9/main" objectType="Drop" dropLines="5" dropStyle="combo" dx="26" fmlaLink="$J$9" fmlaRange="Tables!$B$16:$B$21" sel="1" val="0"/>
</file>

<file path=xl/ctrlProps/ctrlProp20.xml><?xml version="1.0" encoding="utf-8"?>
<formControlPr xmlns="http://schemas.microsoft.com/office/spreadsheetml/2009/9/main" objectType="Drop" dropLines="5" dropStyle="combo" dx="26" fmlaLink="$U$3" fmlaRange="Tables!$B$30:$B$33" noThreeD="1" sel="2" val="0"/>
</file>

<file path=xl/ctrlProps/ctrlProp3.xml><?xml version="1.0" encoding="utf-8"?>
<formControlPr xmlns="http://schemas.microsoft.com/office/spreadsheetml/2009/9/main" objectType="Drop" dropLines="2" dropStyle="combo" dx="26" fmlaLink="$AE$9" fmlaRange="Tables!$B$42:$B$43" noThreeD="1" sel="2" val="0"/>
</file>

<file path=xl/ctrlProps/ctrlProp4.xml><?xml version="1.0" encoding="utf-8"?>
<formControlPr xmlns="http://schemas.microsoft.com/office/spreadsheetml/2009/9/main" objectType="Drop" dropLines="12" dropStyle="combo" dx="26" fmlaLink="$Z$9" fmlaRange="Tables!$B$35:$B$40" noThreeD="1" sel="2" val="0"/>
</file>

<file path=xl/ctrlProps/ctrlProp5.xml><?xml version="1.0" encoding="utf-8"?>
<formControlPr xmlns="http://schemas.microsoft.com/office/spreadsheetml/2009/9/main" objectType="Drop" dropLines="5" dropStyle="combo" dx="26" fmlaLink="$V$9" fmlaRange="Tables!$B$30:$B$33" noThreeD="1" sel="2" val="0"/>
</file>

<file path=xl/ctrlProps/ctrlProp6.xml><?xml version="1.0" encoding="utf-8"?>
<formControlPr xmlns="http://schemas.microsoft.com/office/spreadsheetml/2009/9/main" objectType="Drop" dropLines="5" dropStyle="combo" dx="26" fmlaLink="$S$9" fmlaRange="Tables!$B$24:$B$28" noThreeD="1" sel="1" val="0"/>
</file>

<file path=xl/ctrlProps/ctrlProp7.xml><?xml version="1.0" encoding="utf-8"?>
<formControlPr xmlns="http://schemas.microsoft.com/office/spreadsheetml/2009/9/main" objectType="Drop" dropLines="12" dropStyle="combo" dx="26" fmlaLink="$Z$9" fmlaRange="Tables!$B$35:$B$40" noThreeD="1" sel="2" val="0"/>
</file>

<file path=xl/ctrlProps/ctrlProp8.xml><?xml version="1.0" encoding="utf-8"?>
<formControlPr xmlns="http://schemas.microsoft.com/office/spreadsheetml/2009/9/main" objectType="Drop" dropLines="5" dropStyle="combo" dx="26" fmlaLink="$V$9" fmlaRange="Tables!$B$30:$B$33" noThreeD="1" sel="2" val="0"/>
</file>

<file path=xl/ctrlProps/ctrlProp9.xml><?xml version="1.0" encoding="utf-8"?>
<formControlPr xmlns="http://schemas.microsoft.com/office/spreadsheetml/2009/9/main" objectType="Drop" dropLines="5" dropStyle="combo" dx="26" fmlaLink="$S$9" fmlaRange="Tables!$B$24:$B$2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30561</xdr:colOff>
      <xdr:row>0</xdr:row>
      <xdr:rowOff>79262</xdr:rowOff>
    </xdr:from>
    <xdr:to>
      <xdr:col>8</xdr:col>
      <xdr:colOff>497840</xdr:colOff>
      <xdr:row>42</xdr:row>
      <xdr:rowOff>2429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161" y="79262"/>
          <a:ext cx="4734479" cy="6857367"/>
        </a:xfrm>
        <a:prstGeom prst="rect">
          <a:avLst/>
        </a:prstGeom>
      </xdr:spPr>
    </xdr:pic>
    <xdr:clientData/>
  </xdr:twoCellAnchor>
  <xdr:twoCellAnchor>
    <xdr:from>
      <xdr:col>4</xdr:col>
      <xdr:colOff>561639</xdr:colOff>
      <xdr:row>19</xdr:row>
      <xdr:rowOff>75303</xdr:rowOff>
    </xdr:from>
    <xdr:to>
      <xdr:col>5</xdr:col>
      <xdr:colOff>360680</xdr:colOff>
      <xdr:row>20</xdr:row>
      <xdr:rowOff>33020</xdr:rowOff>
    </xdr:to>
    <xdr:sp macro="" textlink="">
      <xdr:nvSpPr>
        <xdr:cNvPr id="15" name="Oval 14"/>
        <xdr:cNvSpPr/>
      </xdr:nvSpPr>
      <xdr:spPr bwMode="auto">
        <a:xfrm>
          <a:off x="3000039" y="3260463"/>
          <a:ext cx="408641" cy="125357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</xdr:col>
      <xdr:colOff>68280</xdr:colOff>
      <xdr:row>13</xdr:row>
      <xdr:rowOff>133274</xdr:rowOff>
    </xdr:from>
    <xdr:to>
      <xdr:col>4</xdr:col>
      <xdr:colOff>450849</xdr:colOff>
      <xdr:row>16</xdr:row>
      <xdr:rowOff>152400</xdr:rowOff>
    </xdr:to>
    <xdr:sp macro="" textlink="">
      <xdr:nvSpPr>
        <xdr:cNvPr id="16" name="TextBox 15"/>
        <xdr:cNvSpPr txBox="1"/>
      </xdr:nvSpPr>
      <xdr:spPr>
        <a:xfrm>
          <a:off x="1897080" y="2279574"/>
          <a:ext cx="992169" cy="5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  <a:endParaRPr lang="en-AU" sz="1200">
            <a:effectLst/>
          </a:endParaRPr>
        </a:p>
        <a:p>
          <a:pPr algn="ctr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Rate Category</a:t>
          </a:r>
          <a:endParaRPr lang="en-AU" sz="1200">
            <a:effectLst/>
          </a:endParaRPr>
        </a:p>
      </xdr:txBody>
    </xdr:sp>
    <xdr:clientData/>
  </xdr:twoCellAnchor>
  <xdr:twoCellAnchor>
    <xdr:from>
      <xdr:col>3</xdr:col>
      <xdr:colOff>564365</xdr:colOff>
      <xdr:row>16</xdr:row>
      <xdr:rowOff>152400</xdr:rowOff>
    </xdr:from>
    <xdr:to>
      <xdr:col>5</xdr:col>
      <xdr:colOff>156360</xdr:colOff>
      <xdr:row>19</xdr:row>
      <xdr:rowOff>75303</xdr:rowOff>
    </xdr:to>
    <xdr:cxnSp macro="">
      <xdr:nvCxnSpPr>
        <xdr:cNvPr id="17" name="Straight Connector 16"/>
        <xdr:cNvCxnSpPr>
          <a:stCxn id="16" idx="2"/>
          <a:endCxn id="15" idx="0"/>
        </xdr:cNvCxnSpPr>
      </xdr:nvCxnSpPr>
      <xdr:spPr bwMode="auto">
        <a:xfrm>
          <a:off x="2393165" y="2794000"/>
          <a:ext cx="811195" cy="41820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175340</xdr:colOff>
      <xdr:row>22</xdr:row>
      <xdr:rowOff>55880</xdr:rowOff>
    </xdr:from>
    <xdr:to>
      <xdr:col>4</xdr:col>
      <xdr:colOff>556259</xdr:colOff>
      <xdr:row>26</xdr:row>
      <xdr:rowOff>101600</xdr:rowOff>
    </xdr:to>
    <xdr:sp macro="" textlink="">
      <xdr:nvSpPr>
        <xdr:cNvPr id="18" name="TextBox 17"/>
        <xdr:cNvSpPr txBox="1"/>
      </xdr:nvSpPr>
      <xdr:spPr>
        <a:xfrm>
          <a:off x="2004140" y="3688080"/>
          <a:ext cx="990519" cy="706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i="0" u="sng"/>
            <a:t>Step 2</a:t>
          </a:r>
        </a:p>
        <a:p>
          <a:pPr algn="ctr"/>
          <a:r>
            <a:rPr lang="en-AU" sz="1200"/>
            <a:t>Rate Category</a:t>
          </a:r>
        </a:p>
      </xdr:txBody>
    </xdr:sp>
    <xdr:clientData/>
  </xdr:twoCellAnchor>
  <xdr:twoCellAnchor>
    <xdr:from>
      <xdr:col>3</xdr:col>
      <xdr:colOff>220980</xdr:colOff>
      <xdr:row>19</xdr:row>
      <xdr:rowOff>143137</xdr:rowOff>
    </xdr:from>
    <xdr:to>
      <xdr:col>4</xdr:col>
      <xdr:colOff>61000</xdr:colOff>
      <xdr:row>22</xdr:row>
      <xdr:rowOff>55880</xdr:rowOff>
    </xdr:to>
    <xdr:cxnSp macro="">
      <xdr:nvCxnSpPr>
        <xdr:cNvPr id="19" name="Straight Connector 18"/>
        <xdr:cNvCxnSpPr>
          <a:stCxn id="18" idx="0"/>
          <a:endCxn id="20" idx="6"/>
        </xdr:cNvCxnSpPr>
      </xdr:nvCxnSpPr>
      <xdr:spPr bwMode="auto">
        <a:xfrm flipH="1" flipV="1">
          <a:off x="2049780" y="3280037"/>
          <a:ext cx="449620" cy="408043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586740</xdr:colOff>
      <xdr:row>19</xdr:row>
      <xdr:rowOff>67833</xdr:rowOff>
    </xdr:from>
    <xdr:to>
      <xdr:col>3</xdr:col>
      <xdr:colOff>220980</xdr:colOff>
      <xdr:row>20</xdr:row>
      <xdr:rowOff>53340</xdr:rowOff>
    </xdr:to>
    <xdr:sp macro="" textlink="">
      <xdr:nvSpPr>
        <xdr:cNvPr id="20" name="Oval 19"/>
        <xdr:cNvSpPr/>
      </xdr:nvSpPr>
      <xdr:spPr bwMode="auto">
        <a:xfrm>
          <a:off x="1196340" y="3252993"/>
          <a:ext cx="853440" cy="153147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0</xdr:col>
      <xdr:colOff>525781</xdr:colOff>
      <xdr:row>19</xdr:row>
      <xdr:rowOff>160020</xdr:rowOff>
    </xdr:from>
    <xdr:to>
      <xdr:col>3</xdr:col>
      <xdr:colOff>342901</xdr:colOff>
      <xdr:row>22</xdr:row>
      <xdr:rowOff>106679</xdr:rowOff>
    </xdr:to>
    <xdr:sp macro="" textlink="">
      <xdr:nvSpPr>
        <xdr:cNvPr id="21" name="Oval 20"/>
        <xdr:cNvSpPr/>
      </xdr:nvSpPr>
      <xdr:spPr bwMode="auto">
        <a:xfrm>
          <a:off x="525781" y="3345180"/>
          <a:ext cx="1645920" cy="449579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2</xdr:col>
      <xdr:colOff>79416</xdr:colOff>
      <xdr:row>22</xdr:row>
      <xdr:rowOff>106679</xdr:rowOff>
    </xdr:from>
    <xdr:to>
      <xdr:col>2</xdr:col>
      <xdr:colOff>129541</xdr:colOff>
      <xdr:row>24</xdr:row>
      <xdr:rowOff>137160</xdr:rowOff>
    </xdr:to>
    <xdr:cxnSp macro="">
      <xdr:nvCxnSpPr>
        <xdr:cNvPr id="22" name="Straight Connector 21"/>
        <xdr:cNvCxnSpPr>
          <a:stCxn id="23" idx="0"/>
          <a:endCxn id="21" idx="4"/>
        </xdr:cNvCxnSpPr>
      </xdr:nvCxnSpPr>
      <xdr:spPr bwMode="auto">
        <a:xfrm flipV="1">
          <a:off x="1298616" y="3738879"/>
          <a:ext cx="50125" cy="36068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</xdr:col>
      <xdr:colOff>59771</xdr:colOff>
      <xdr:row>24</xdr:row>
      <xdr:rowOff>137160</xdr:rowOff>
    </xdr:from>
    <xdr:to>
      <xdr:col>3</xdr:col>
      <xdr:colOff>99060</xdr:colOff>
      <xdr:row>27</xdr:row>
      <xdr:rowOff>127000</xdr:rowOff>
    </xdr:to>
    <xdr:sp macro="" textlink="">
      <xdr:nvSpPr>
        <xdr:cNvPr id="23" name="TextBox 22"/>
        <xdr:cNvSpPr txBox="1"/>
      </xdr:nvSpPr>
      <xdr:spPr>
        <a:xfrm>
          <a:off x="669371" y="4099560"/>
          <a:ext cx="1258489" cy="485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3</a:t>
          </a:r>
        </a:p>
        <a:p>
          <a:pPr algn="ctr"/>
          <a:r>
            <a:rPr lang="en-AU" sz="1200"/>
            <a:t>Services</a:t>
          </a:r>
        </a:p>
      </xdr:txBody>
    </xdr:sp>
    <xdr:clientData/>
  </xdr:twoCellAnchor>
  <xdr:twoCellAnchor>
    <xdr:from>
      <xdr:col>1</xdr:col>
      <xdr:colOff>111991</xdr:colOff>
      <xdr:row>6</xdr:row>
      <xdr:rowOff>90916</xdr:rowOff>
    </xdr:from>
    <xdr:to>
      <xdr:col>5</xdr:col>
      <xdr:colOff>266700</xdr:colOff>
      <xdr:row>12</xdr:row>
      <xdr:rowOff>30479</xdr:rowOff>
    </xdr:to>
    <xdr:sp macro="" textlink="">
      <xdr:nvSpPr>
        <xdr:cNvPr id="24" name="TextBox 23"/>
        <xdr:cNvSpPr txBox="1"/>
      </xdr:nvSpPr>
      <xdr:spPr>
        <a:xfrm>
          <a:off x="721591" y="1096756"/>
          <a:ext cx="2593109" cy="945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/>
            <a:t>Sample Rates Notice </a:t>
          </a:r>
        </a:p>
        <a:p>
          <a:pPr algn="ctr"/>
          <a:r>
            <a:rPr lang="en-AU" sz="1400"/>
            <a:t>2017/18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68580</xdr:rowOff>
        </xdr:from>
        <xdr:to>
          <xdr:col>19</xdr:col>
          <xdr:colOff>45720</xdr:colOff>
          <xdr:row>16</xdr:row>
          <xdr:rowOff>259080</xdr:rowOff>
        </xdr:to>
        <xdr:sp macro="" textlink="">
          <xdr:nvSpPr>
            <xdr:cNvPr id="5146" name="Drop Dow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16</xdr:row>
          <xdr:rowOff>60960</xdr:rowOff>
        </xdr:from>
        <xdr:to>
          <xdr:col>13</xdr:col>
          <xdr:colOff>495300</xdr:colOff>
          <xdr:row>16</xdr:row>
          <xdr:rowOff>259080</xdr:rowOff>
        </xdr:to>
        <xdr:sp macro="" textlink="">
          <xdr:nvSpPr>
            <xdr:cNvPr id="5148" name="Drop Dow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487680</xdr:colOff>
          <xdr:row>16</xdr:row>
          <xdr:rowOff>68580</xdr:rowOff>
        </xdr:from>
        <xdr:to>
          <xdr:col>31</xdr:col>
          <xdr:colOff>137160</xdr:colOff>
          <xdr:row>16</xdr:row>
          <xdr:rowOff>259080</xdr:rowOff>
        </xdr:to>
        <xdr:sp macro="" textlink="">
          <xdr:nvSpPr>
            <xdr:cNvPr id="5149" name="Drop Dow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16</xdr:row>
          <xdr:rowOff>76200</xdr:rowOff>
        </xdr:from>
        <xdr:to>
          <xdr:col>27</xdr:col>
          <xdr:colOff>441960</xdr:colOff>
          <xdr:row>16</xdr:row>
          <xdr:rowOff>274320</xdr:rowOff>
        </xdr:to>
        <xdr:sp macro="" textlink="">
          <xdr:nvSpPr>
            <xdr:cNvPr id="5150" name="Drop Dow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16</xdr:row>
          <xdr:rowOff>76200</xdr:rowOff>
        </xdr:from>
        <xdr:to>
          <xdr:col>23</xdr:col>
          <xdr:colOff>7620</xdr:colOff>
          <xdr:row>16</xdr:row>
          <xdr:rowOff>274320</xdr:rowOff>
        </xdr:to>
        <xdr:sp macro="" textlink="">
          <xdr:nvSpPr>
            <xdr:cNvPr id="5151" name="Drop Down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16</xdr:row>
          <xdr:rowOff>68580</xdr:rowOff>
        </xdr:from>
        <xdr:to>
          <xdr:col>19</xdr:col>
          <xdr:colOff>45720</xdr:colOff>
          <xdr:row>16</xdr:row>
          <xdr:rowOff>259080</xdr:rowOff>
        </xdr:to>
        <xdr:sp macro="" textlink="">
          <xdr:nvSpPr>
            <xdr:cNvPr id="5152" name="Drop Down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16</xdr:row>
          <xdr:rowOff>76200</xdr:rowOff>
        </xdr:from>
        <xdr:to>
          <xdr:col>27</xdr:col>
          <xdr:colOff>441960</xdr:colOff>
          <xdr:row>16</xdr:row>
          <xdr:rowOff>274320</xdr:rowOff>
        </xdr:to>
        <xdr:sp macro="" textlink="">
          <xdr:nvSpPr>
            <xdr:cNvPr id="5154" name="Drop Down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16</xdr:row>
          <xdr:rowOff>76200</xdr:rowOff>
        </xdr:from>
        <xdr:to>
          <xdr:col>23</xdr:col>
          <xdr:colOff>7620</xdr:colOff>
          <xdr:row>16</xdr:row>
          <xdr:rowOff>274320</xdr:rowOff>
        </xdr:to>
        <xdr:sp macro="" textlink="">
          <xdr:nvSpPr>
            <xdr:cNvPr id="5155" name="Drop Down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16</xdr:row>
          <xdr:rowOff>76200</xdr:rowOff>
        </xdr:from>
        <xdr:to>
          <xdr:col>19</xdr:col>
          <xdr:colOff>480060</xdr:colOff>
          <xdr:row>16</xdr:row>
          <xdr:rowOff>289560</xdr:rowOff>
        </xdr:to>
        <xdr:sp macro="" textlink="">
          <xdr:nvSpPr>
            <xdr:cNvPr id="5156" name="Drop Down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60960</xdr:colOff>
          <xdr:row>16</xdr:row>
          <xdr:rowOff>68580</xdr:rowOff>
        </xdr:from>
        <xdr:to>
          <xdr:col>13</xdr:col>
          <xdr:colOff>502920</xdr:colOff>
          <xdr:row>16</xdr:row>
          <xdr:rowOff>259080</xdr:rowOff>
        </xdr:to>
        <xdr:sp macro="" textlink="">
          <xdr:nvSpPr>
            <xdr:cNvPr id="5158" name="Drop Down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16</xdr:row>
          <xdr:rowOff>68580</xdr:rowOff>
        </xdr:from>
        <xdr:to>
          <xdr:col>31</xdr:col>
          <xdr:colOff>708660</xdr:colOff>
          <xdr:row>16</xdr:row>
          <xdr:rowOff>266700</xdr:rowOff>
        </xdr:to>
        <xdr:sp macro="" textlink="">
          <xdr:nvSpPr>
            <xdr:cNvPr id="5159" name="Drop Down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16</xdr:row>
          <xdr:rowOff>60960</xdr:rowOff>
        </xdr:from>
        <xdr:to>
          <xdr:col>27</xdr:col>
          <xdr:colOff>487680</xdr:colOff>
          <xdr:row>16</xdr:row>
          <xdr:rowOff>274320</xdr:rowOff>
        </xdr:to>
        <xdr:sp macro="" textlink="">
          <xdr:nvSpPr>
            <xdr:cNvPr id="5160" name="Drop Dow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60960</xdr:colOff>
          <xdr:row>16</xdr:row>
          <xdr:rowOff>76200</xdr:rowOff>
        </xdr:from>
        <xdr:to>
          <xdr:col>23</xdr:col>
          <xdr:colOff>495300</xdr:colOff>
          <xdr:row>16</xdr:row>
          <xdr:rowOff>289560</xdr:rowOff>
        </xdr:to>
        <xdr:sp macro="" textlink="">
          <xdr:nvSpPr>
            <xdr:cNvPr id="5161" name="Drop Down 41" hidden="1">
              <a:extLst>
                <a:ext uri="{63B3BB69-23CF-44E3-9099-C40C66FF867C}">
                  <a14:compatExt spid="_x0000_s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16</xdr:row>
          <xdr:rowOff>60960</xdr:rowOff>
        </xdr:from>
        <xdr:to>
          <xdr:col>7</xdr:col>
          <xdr:colOff>518160</xdr:colOff>
          <xdr:row>16</xdr:row>
          <xdr:rowOff>259080</xdr:rowOff>
        </xdr:to>
        <xdr:sp macro="" textlink="">
          <xdr:nvSpPr>
            <xdr:cNvPr id="5162" name="Drop Down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</xdr:col>
      <xdr:colOff>76200</xdr:colOff>
      <xdr:row>3</xdr:row>
      <xdr:rowOff>53340</xdr:rowOff>
    </xdr:from>
    <xdr:to>
      <xdr:col>1</xdr:col>
      <xdr:colOff>1577340</xdr:colOff>
      <xdr:row>3</xdr:row>
      <xdr:rowOff>655320</xdr:rowOff>
    </xdr:to>
    <xdr:sp macro="" textlink="">
      <xdr:nvSpPr>
        <xdr:cNvPr id="44" name="TextBox 43"/>
        <xdr:cNvSpPr txBox="1"/>
      </xdr:nvSpPr>
      <xdr:spPr>
        <a:xfrm>
          <a:off x="144780" y="1211580"/>
          <a:ext cx="1501140" cy="601980"/>
        </a:xfrm>
        <a:prstGeom prst="rect">
          <a:avLst/>
        </a:prstGeom>
        <a:solidFill>
          <a:srgbClr val="FF9933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1: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Enter Land Value</a:t>
          </a:r>
        </a:p>
        <a:p>
          <a:endParaRPr lang="en-US" sz="1100"/>
        </a:p>
      </xdr:txBody>
    </xdr:sp>
    <xdr:clientData/>
  </xdr:twoCellAnchor>
  <xdr:twoCellAnchor>
    <xdr:from>
      <xdr:col>1</xdr:col>
      <xdr:colOff>2255520</xdr:colOff>
      <xdr:row>3</xdr:row>
      <xdr:rowOff>45720</xdr:rowOff>
    </xdr:from>
    <xdr:to>
      <xdr:col>12</xdr:col>
      <xdr:colOff>15240</xdr:colOff>
      <xdr:row>3</xdr:row>
      <xdr:rowOff>662940</xdr:rowOff>
    </xdr:to>
    <xdr:sp macro="" textlink="">
      <xdr:nvSpPr>
        <xdr:cNvPr id="45" name="TextBox 44"/>
        <xdr:cNvSpPr txBox="1"/>
      </xdr:nvSpPr>
      <xdr:spPr>
        <a:xfrm>
          <a:off x="2324100" y="1203960"/>
          <a:ext cx="3101340" cy="617220"/>
        </a:xfrm>
        <a:prstGeom prst="rect">
          <a:avLst/>
        </a:prstGeom>
        <a:solidFill>
          <a:srgbClr val="FF9933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2: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Select Rate Category</a:t>
          </a:r>
          <a:r>
            <a:rPr lang="en-US" sz="1400" b="1" baseline="0">
              <a:solidFill>
                <a:sysClr val="windowText" lastClr="000000"/>
              </a:solidFill>
            </a:rPr>
            <a:t> for your property</a:t>
          </a:r>
          <a:endParaRPr lang="en-US" sz="1400" b="1">
            <a:solidFill>
              <a:sysClr val="windowText" lastClr="000000"/>
            </a:solidFill>
          </a:endParaRPr>
        </a:p>
        <a:p>
          <a:endParaRPr lang="en-US" sz="1100"/>
        </a:p>
      </xdr:txBody>
    </xdr:sp>
    <xdr:clientData/>
  </xdr:twoCellAnchor>
  <xdr:twoCellAnchor>
    <xdr:from>
      <xdr:col>17</xdr:col>
      <xdr:colOff>106680</xdr:colOff>
      <xdr:row>3</xdr:row>
      <xdr:rowOff>53340</xdr:rowOff>
    </xdr:from>
    <xdr:to>
      <xdr:col>24</xdr:col>
      <xdr:colOff>38100</xdr:colOff>
      <xdr:row>3</xdr:row>
      <xdr:rowOff>708660</xdr:rowOff>
    </xdr:to>
    <xdr:sp macro="" textlink="">
      <xdr:nvSpPr>
        <xdr:cNvPr id="46" name="TextBox 45"/>
        <xdr:cNvSpPr txBox="1"/>
      </xdr:nvSpPr>
      <xdr:spPr>
        <a:xfrm>
          <a:off x="6949440" y="1211580"/>
          <a:ext cx="3192780" cy="655320"/>
        </a:xfrm>
        <a:prstGeom prst="rect">
          <a:avLst/>
        </a:prstGeom>
        <a:solidFill>
          <a:srgbClr val="FF9933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3: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Select services</a:t>
          </a:r>
          <a:r>
            <a:rPr lang="en-US" sz="1400" b="1" baseline="0">
              <a:solidFill>
                <a:sysClr val="windowText" lastClr="000000"/>
              </a:solidFill>
            </a:rPr>
            <a:t> you currently pay for</a:t>
          </a:r>
          <a:endParaRPr lang="en-US" sz="1400" b="1">
            <a:solidFill>
              <a:sysClr val="windowText" lastClr="000000"/>
            </a:solidFill>
          </a:endParaRPr>
        </a:p>
        <a:p>
          <a:endParaRPr lang="en-US" sz="1400" b="1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800100</xdr:colOff>
      <xdr:row>3</xdr:row>
      <xdr:rowOff>685800</xdr:rowOff>
    </xdr:from>
    <xdr:to>
      <xdr:col>1</xdr:col>
      <xdr:colOff>800100</xdr:colOff>
      <xdr:row>5</xdr:row>
      <xdr:rowOff>0</xdr:rowOff>
    </xdr:to>
    <xdr:cxnSp macro="">
      <xdr:nvCxnSpPr>
        <xdr:cNvPr id="49" name="Straight Arrow Connector 48"/>
        <xdr:cNvCxnSpPr/>
      </xdr:nvCxnSpPr>
      <xdr:spPr bwMode="auto">
        <a:xfrm>
          <a:off x="868680" y="1844040"/>
          <a:ext cx="0" cy="24384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</xdr:colOff>
      <xdr:row>3</xdr:row>
      <xdr:rowOff>685800</xdr:rowOff>
    </xdr:from>
    <xdr:to>
      <xdr:col>5</xdr:col>
      <xdr:colOff>441960</xdr:colOff>
      <xdr:row>13</xdr:row>
      <xdr:rowOff>205740</xdr:rowOff>
    </xdr:to>
    <xdr:cxnSp macro="">
      <xdr:nvCxnSpPr>
        <xdr:cNvPr id="51" name="Straight Arrow Connector 50"/>
        <xdr:cNvCxnSpPr/>
      </xdr:nvCxnSpPr>
      <xdr:spPr bwMode="auto">
        <a:xfrm flipH="1">
          <a:off x="3474720" y="1844040"/>
          <a:ext cx="388620" cy="44958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394447</xdr:colOff>
      <xdr:row>3</xdr:row>
      <xdr:rowOff>717176</xdr:rowOff>
    </xdr:from>
    <xdr:to>
      <xdr:col>21</xdr:col>
      <xdr:colOff>188259</xdr:colOff>
      <xdr:row>4</xdr:row>
      <xdr:rowOff>98611</xdr:rowOff>
    </xdr:to>
    <xdr:cxnSp macro="">
      <xdr:nvCxnSpPr>
        <xdr:cNvPr id="52" name="Straight Arrow Connector 51"/>
        <xdr:cNvCxnSpPr/>
      </xdr:nvCxnSpPr>
      <xdr:spPr bwMode="auto">
        <a:xfrm flipH="1">
          <a:off x="6293223" y="1981200"/>
          <a:ext cx="2357718" cy="170329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213360</xdr:colOff>
      <xdr:row>3</xdr:row>
      <xdr:rowOff>739140</xdr:rowOff>
    </xdr:from>
    <xdr:to>
      <xdr:col>25</xdr:col>
      <xdr:colOff>175260</xdr:colOff>
      <xdr:row>13</xdr:row>
      <xdr:rowOff>198120</xdr:rowOff>
    </xdr:to>
    <xdr:cxnSp macro="">
      <xdr:nvCxnSpPr>
        <xdr:cNvPr id="54" name="Straight Arrow Connector 53"/>
        <xdr:cNvCxnSpPr/>
      </xdr:nvCxnSpPr>
      <xdr:spPr bwMode="auto">
        <a:xfrm>
          <a:off x="8641080" y="1897380"/>
          <a:ext cx="1760220" cy="38862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457200</xdr:colOff>
      <xdr:row>3</xdr:row>
      <xdr:rowOff>723900</xdr:rowOff>
    </xdr:from>
    <xdr:to>
      <xdr:col>21</xdr:col>
      <xdr:colOff>198120</xdr:colOff>
      <xdr:row>13</xdr:row>
      <xdr:rowOff>175260</xdr:rowOff>
    </xdr:to>
    <xdr:cxnSp macro="">
      <xdr:nvCxnSpPr>
        <xdr:cNvPr id="58" name="Straight Arrow Connector 57"/>
        <xdr:cNvCxnSpPr/>
      </xdr:nvCxnSpPr>
      <xdr:spPr bwMode="auto">
        <a:xfrm flipH="1">
          <a:off x="7825740" y="1882140"/>
          <a:ext cx="800100" cy="3810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190500</xdr:colOff>
      <xdr:row>3</xdr:row>
      <xdr:rowOff>53340</xdr:rowOff>
    </xdr:from>
    <xdr:to>
      <xdr:col>31</xdr:col>
      <xdr:colOff>723900</xdr:colOff>
      <xdr:row>3</xdr:row>
      <xdr:rowOff>670560</xdr:rowOff>
    </xdr:to>
    <xdr:sp macro="" textlink="">
      <xdr:nvSpPr>
        <xdr:cNvPr id="66" name="TextBox 65"/>
        <xdr:cNvSpPr txBox="1"/>
      </xdr:nvSpPr>
      <xdr:spPr>
        <a:xfrm>
          <a:off x="11437620" y="1211580"/>
          <a:ext cx="2019300" cy="617220"/>
        </a:xfrm>
        <a:prstGeom prst="rect">
          <a:avLst/>
        </a:prstGeom>
        <a:solidFill>
          <a:srgbClr val="FF9933"/>
        </a:solidFill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4:</a:t>
          </a:r>
        </a:p>
        <a:p>
          <a:pPr algn="ctr"/>
          <a:r>
            <a:rPr lang="en-US" sz="1400" b="1">
              <a:solidFill>
                <a:sysClr val="windowText" lastClr="000000"/>
              </a:solidFill>
            </a:rPr>
            <a:t>Select pensioner status</a:t>
          </a:r>
        </a:p>
        <a:p>
          <a:endParaRPr lang="en-US" sz="1100"/>
        </a:p>
      </xdr:txBody>
    </xdr:sp>
    <xdr:clientData/>
  </xdr:twoCellAnchor>
  <xdr:twoCellAnchor>
    <xdr:from>
      <xdr:col>29</xdr:col>
      <xdr:colOff>647700</xdr:colOff>
      <xdr:row>3</xdr:row>
      <xdr:rowOff>716280</xdr:rowOff>
    </xdr:from>
    <xdr:to>
      <xdr:col>30</xdr:col>
      <xdr:colOff>15240</xdr:colOff>
      <xdr:row>13</xdr:row>
      <xdr:rowOff>205740</xdr:rowOff>
    </xdr:to>
    <xdr:cxnSp macro="">
      <xdr:nvCxnSpPr>
        <xdr:cNvPr id="67" name="Straight Arrow Connector 66"/>
        <xdr:cNvCxnSpPr/>
      </xdr:nvCxnSpPr>
      <xdr:spPr bwMode="auto">
        <a:xfrm>
          <a:off x="12473940" y="1874520"/>
          <a:ext cx="198120" cy="4191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23525</xdr:colOff>
      <xdr:row>23</xdr:row>
      <xdr:rowOff>2637</xdr:rowOff>
    </xdr:from>
    <xdr:to>
      <xdr:col>32</xdr:col>
      <xdr:colOff>45903</xdr:colOff>
      <xdr:row>32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</xdr:colOff>
      <xdr:row>17</xdr:row>
      <xdr:rowOff>89958</xdr:rowOff>
    </xdr:from>
    <xdr:to>
      <xdr:col>2</xdr:col>
      <xdr:colOff>-1</xdr:colOff>
      <xdr:row>18</xdr:row>
      <xdr:rowOff>492337</xdr:rowOff>
    </xdr:to>
    <xdr:sp macro="" textlink="">
      <xdr:nvSpPr>
        <xdr:cNvPr id="32" name="TextBox 31"/>
        <xdr:cNvSpPr txBox="1"/>
      </xdr:nvSpPr>
      <xdr:spPr>
        <a:xfrm>
          <a:off x="74085" y="3365500"/>
          <a:ext cx="2418290" cy="545254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Total Estimated</a:t>
          </a: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Rates and Services 2018/19 </a:t>
          </a:r>
        </a:p>
        <a:p>
          <a:pPr algn="ctr"/>
          <a:r>
            <a:rPr lang="en-US" sz="1200" b="1">
              <a:solidFill>
                <a:sysClr val="windowText" lastClr="000000"/>
              </a:solidFill>
            </a:rPr>
            <a:t>(6% SRV)</a:t>
          </a:r>
        </a:p>
      </xdr:txBody>
    </xdr:sp>
    <xdr:clientData/>
  </xdr:twoCellAnchor>
  <xdr:twoCellAnchor>
    <xdr:from>
      <xdr:col>21</xdr:col>
      <xdr:colOff>182880</xdr:colOff>
      <xdr:row>3</xdr:row>
      <xdr:rowOff>716280</xdr:rowOff>
    </xdr:from>
    <xdr:to>
      <xdr:col>22</xdr:col>
      <xdr:colOff>220980</xdr:colOff>
      <xdr:row>13</xdr:row>
      <xdr:rowOff>205740</xdr:rowOff>
    </xdr:to>
    <xdr:cxnSp macro="">
      <xdr:nvCxnSpPr>
        <xdr:cNvPr id="53" name="Straight Arrow Connector 52"/>
        <xdr:cNvCxnSpPr/>
      </xdr:nvCxnSpPr>
      <xdr:spPr bwMode="auto">
        <a:xfrm>
          <a:off x="8610600" y="1874520"/>
          <a:ext cx="678180" cy="4191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7968</xdr:colOff>
      <xdr:row>31</xdr:row>
      <xdr:rowOff>7471</xdr:rowOff>
    </xdr:from>
    <xdr:to>
      <xdr:col>22</xdr:col>
      <xdr:colOff>573741</xdr:colOff>
      <xdr:row>31</xdr:row>
      <xdr:rowOff>266950</xdr:rowOff>
    </xdr:to>
    <xdr:sp macro="" textlink="$AL$32">
      <xdr:nvSpPr>
        <xdr:cNvPr id="34" name="TextBox 33"/>
        <xdr:cNvSpPr txBox="1"/>
      </xdr:nvSpPr>
      <xdr:spPr>
        <a:xfrm>
          <a:off x="7887944" y="7161306"/>
          <a:ext cx="1784973" cy="259479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fld id="{EC30A32E-C686-4270-8747-D8B31B0134F3}" type="TxLink">
            <a:rPr lang="en-US" sz="1400" b="1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4.7%</a:t>
          </a:fld>
          <a:endParaRPr lang="en-US" sz="20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32</xdr:col>
      <xdr:colOff>53790</xdr:colOff>
      <xdr:row>23</xdr:row>
      <xdr:rowOff>295835</xdr:rowOff>
    </xdr:from>
    <xdr:to>
      <xdr:col>42</xdr:col>
      <xdr:colOff>242048</xdr:colOff>
      <xdr:row>32</xdr:row>
      <xdr:rowOff>0</xdr:rowOff>
    </xdr:to>
    <xdr:sp macro="" textlink="">
      <xdr:nvSpPr>
        <xdr:cNvPr id="35" name="TextBox 34"/>
        <xdr:cNvSpPr txBox="1"/>
      </xdr:nvSpPr>
      <xdr:spPr>
        <a:xfrm>
          <a:off x="13572566" y="4894729"/>
          <a:ext cx="3325906" cy="2563906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50" b="1" u="sng">
              <a:solidFill>
                <a:sysClr val="windowText" lastClr="000000"/>
              </a:solidFill>
            </a:rPr>
            <a:t>Important Information about the Rate</a:t>
          </a:r>
          <a:r>
            <a:rPr lang="en-US" sz="1050" b="1" u="sng" baseline="0">
              <a:solidFill>
                <a:sysClr val="windowText" lastClr="000000"/>
              </a:solidFill>
            </a:rPr>
            <a:t> Calculator</a:t>
          </a:r>
        </a:p>
        <a:p>
          <a:pPr algn="l"/>
          <a:endParaRPr lang="en-US" sz="500" b="1" u="sng" baseline="0">
            <a:solidFill>
              <a:sysClr val="windowText" lastClr="000000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1">
              <a:solidFill>
                <a:sysClr val="windowText" lastClr="000000"/>
              </a:solidFill>
            </a:rPr>
            <a:t>Please note this calculator is provided for general information purposes. This calculator provides an </a:t>
          </a:r>
          <a:r>
            <a:rPr lang="en-US" sz="1050" b="1" u="sng">
              <a:solidFill>
                <a:sysClr val="windowText" lastClr="000000"/>
              </a:solidFill>
            </a:rPr>
            <a:t>estimate only</a:t>
          </a:r>
          <a:r>
            <a:rPr lang="en-US" sz="1050" b="1" u="none">
              <a:solidFill>
                <a:sysClr val="windowText" lastClr="000000"/>
              </a:solidFill>
            </a:rPr>
            <a:t> </a:t>
          </a:r>
          <a:r>
            <a:rPr lang="en-US" sz="1050" b="1">
              <a:solidFill>
                <a:sysClr val="windowText" lastClr="000000"/>
              </a:solidFill>
            </a:rPr>
            <a:t>and is subject to change. Your final rate amount will be dependent on your land value and the final rates</a:t>
          </a:r>
          <a:r>
            <a:rPr lang="en-US" sz="1050" b="1" baseline="0">
              <a:solidFill>
                <a:sysClr val="windowText" lastClr="000000"/>
              </a:solidFill>
            </a:rPr>
            <a:t> model(s) adopted by Council.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500" b="1">
            <a:solidFill>
              <a:sysClr val="windowText" lastClr="000000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1" baseline="0">
              <a:solidFill>
                <a:sysClr val="windowText" lastClr="000000"/>
              </a:solidFill>
            </a:rPr>
            <a:t>This estimate cannot be substituted for actual Rates Notices from Council and Council cannot be held liable for an incorrect estimate.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500" b="1" baseline="0">
            <a:solidFill>
              <a:sysClr val="windowText" lastClr="000000"/>
            </a:solidFill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1" baseline="0">
              <a:solidFill>
                <a:sysClr val="windowText" lastClr="000000"/>
              </a:solidFill>
            </a:rPr>
            <a:t>This calculator is provided in good faith, however Council makes no statements, representations or warranties about the accuracy or completeness of any information provided by this calculator.</a:t>
          </a:r>
          <a:endParaRPr lang="en-US" sz="105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32</xdr:col>
      <xdr:colOff>50880</xdr:colOff>
      <xdr:row>0</xdr:row>
      <xdr:rowOff>47438</xdr:rowOff>
    </xdr:from>
    <xdr:to>
      <xdr:col>42</xdr:col>
      <xdr:colOff>203135</xdr:colOff>
      <xdr:row>23</xdr:row>
      <xdr:rowOff>297535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9656" y="47438"/>
          <a:ext cx="3289903" cy="4831062"/>
        </a:xfrm>
        <a:prstGeom prst="rect">
          <a:avLst/>
        </a:prstGeom>
      </xdr:spPr>
    </xdr:pic>
    <xdr:clientData/>
  </xdr:twoCellAnchor>
  <xdr:twoCellAnchor>
    <xdr:from>
      <xdr:col>39</xdr:col>
      <xdr:colOff>340658</xdr:colOff>
      <xdr:row>14</xdr:row>
      <xdr:rowOff>134469</xdr:rowOff>
    </xdr:from>
    <xdr:to>
      <xdr:col>40</xdr:col>
      <xdr:colOff>139699</xdr:colOff>
      <xdr:row>14</xdr:row>
      <xdr:rowOff>267446</xdr:rowOff>
    </xdr:to>
    <xdr:sp macro="" textlink="">
      <xdr:nvSpPr>
        <xdr:cNvPr id="4" name="Oval 3"/>
        <xdr:cNvSpPr/>
      </xdr:nvSpPr>
      <xdr:spPr bwMode="auto">
        <a:xfrm>
          <a:off x="15114493" y="2232210"/>
          <a:ext cx="426571" cy="132977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32</xdr:col>
      <xdr:colOff>599516</xdr:colOff>
      <xdr:row>3</xdr:row>
      <xdr:rowOff>415736</xdr:rowOff>
    </xdr:from>
    <xdr:to>
      <xdr:col>39</xdr:col>
      <xdr:colOff>330574</xdr:colOff>
      <xdr:row>4</xdr:row>
      <xdr:rowOff>107576</xdr:rowOff>
    </xdr:to>
    <xdr:sp macro="" textlink="">
      <xdr:nvSpPr>
        <xdr:cNvPr id="5" name="TextBox 4"/>
        <xdr:cNvSpPr txBox="1"/>
      </xdr:nvSpPr>
      <xdr:spPr>
        <a:xfrm>
          <a:off x="14118292" y="1679760"/>
          <a:ext cx="986117" cy="4807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1 </a:t>
          </a:r>
        </a:p>
        <a:p>
          <a:pPr algn="ctr"/>
          <a:r>
            <a:rPr lang="en-AU" sz="1200"/>
            <a:t>Land Value</a:t>
          </a:r>
        </a:p>
      </xdr:txBody>
    </xdr:sp>
    <xdr:clientData/>
  </xdr:twoCellAnchor>
  <xdr:twoCellAnchor>
    <xdr:from>
      <xdr:col>38</xdr:col>
      <xdr:colOff>465045</xdr:colOff>
      <xdr:row>4</xdr:row>
      <xdr:rowOff>107576</xdr:rowOff>
    </xdr:from>
    <xdr:to>
      <xdr:col>39</xdr:col>
      <xdr:colOff>553944</xdr:colOff>
      <xdr:row>14</xdr:row>
      <xdr:rowOff>134469</xdr:rowOff>
    </xdr:to>
    <xdr:cxnSp macro="">
      <xdr:nvCxnSpPr>
        <xdr:cNvPr id="8" name="Straight Connector 7"/>
        <xdr:cNvCxnSpPr>
          <a:stCxn id="5" idx="2"/>
          <a:endCxn id="4" idx="0"/>
        </xdr:cNvCxnSpPr>
      </xdr:nvCxnSpPr>
      <xdr:spPr bwMode="auto">
        <a:xfrm>
          <a:off x="14611351" y="2061882"/>
          <a:ext cx="716428" cy="17032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38</xdr:col>
      <xdr:colOff>430387</xdr:colOff>
      <xdr:row>15</xdr:row>
      <xdr:rowOff>143436</xdr:rowOff>
    </xdr:from>
    <xdr:to>
      <xdr:col>40</xdr:col>
      <xdr:colOff>166675</xdr:colOff>
      <xdr:row>18</xdr:row>
      <xdr:rowOff>116542</xdr:rowOff>
    </xdr:to>
    <xdr:sp macro="" textlink="">
      <xdr:nvSpPr>
        <xdr:cNvPr id="43" name="TextBox 42"/>
        <xdr:cNvSpPr txBox="1"/>
      </xdr:nvSpPr>
      <xdr:spPr>
        <a:xfrm>
          <a:off x="14576693" y="2572871"/>
          <a:ext cx="991347" cy="779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2</a:t>
          </a:r>
        </a:p>
        <a:p>
          <a:pPr algn="ctr"/>
          <a:r>
            <a:rPr lang="en-AU" sz="1200"/>
            <a:t>Rate Category</a:t>
          </a:r>
        </a:p>
      </xdr:txBody>
    </xdr:sp>
    <xdr:clientData/>
  </xdr:twoCellAnchor>
  <xdr:twoCellAnchor>
    <xdr:from>
      <xdr:col>38</xdr:col>
      <xdr:colOff>352986</xdr:colOff>
      <xdr:row>14</xdr:row>
      <xdr:rowOff>217769</xdr:rowOff>
    </xdr:from>
    <xdr:to>
      <xdr:col>39</xdr:col>
      <xdr:colOff>298532</xdr:colOff>
      <xdr:row>15</xdr:row>
      <xdr:rowOff>143436</xdr:rowOff>
    </xdr:to>
    <xdr:cxnSp macro="">
      <xdr:nvCxnSpPr>
        <xdr:cNvPr id="47" name="Straight Connector 46"/>
        <xdr:cNvCxnSpPr>
          <a:stCxn id="43" idx="0"/>
          <a:endCxn id="48" idx="6"/>
        </xdr:cNvCxnSpPr>
      </xdr:nvCxnSpPr>
      <xdr:spPr bwMode="auto">
        <a:xfrm flipH="1" flipV="1">
          <a:off x="14499292" y="2315510"/>
          <a:ext cx="573075" cy="257361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435617</xdr:colOff>
      <xdr:row>14</xdr:row>
      <xdr:rowOff>153895</xdr:rowOff>
    </xdr:from>
    <xdr:to>
      <xdr:col>38</xdr:col>
      <xdr:colOff>352986</xdr:colOff>
      <xdr:row>14</xdr:row>
      <xdr:rowOff>281642</xdr:rowOff>
    </xdr:to>
    <xdr:sp macro="" textlink="">
      <xdr:nvSpPr>
        <xdr:cNvPr id="48" name="Oval 47"/>
        <xdr:cNvSpPr/>
      </xdr:nvSpPr>
      <xdr:spPr bwMode="auto">
        <a:xfrm>
          <a:off x="13954393" y="2251636"/>
          <a:ext cx="544899" cy="127747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31</xdr:col>
      <xdr:colOff>681690</xdr:colOff>
      <xdr:row>14</xdr:row>
      <xdr:rowOff>297331</xdr:rowOff>
    </xdr:from>
    <xdr:to>
      <xdr:col>38</xdr:col>
      <xdr:colOff>351491</xdr:colOff>
      <xdr:row>15</xdr:row>
      <xdr:rowOff>176681</xdr:rowOff>
    </xdr:to>
    <xdr:sp macro="" textlink="">
      <xdr:nvSpPr>
        <xdr:cNvPr id="55" name="Oval 54"/>
        <xdr:cNvSpPr/>
      </xdr:nvSpPr>
      <xdr:spPr bwMode="auto">
        <a:xfrm>
          <a:off x="13465361" y="2395072"/>
          <a:ext cx="1032436" cy="211044"/>
        </a:xfrm>
        <a:prstGeom prst="ellipse">
          <a:avLst/>
        </a:prstGeom>
        <a:noFill/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AU" sz="1100">
            <a:ln>
              <a:solidFill>
                <a:sysClr val="windowText" lastClr="000000"/>
              </a:solidFill>
            </a:ln>
            <a:noFill/>
          </a:endParaRPr>
        </a:p>
      </xdr:txBody>
    </xdr:sp>
    <xdr:clientData/>
  </xdr:twoCellAnchor>
  <xdr:twoCellAnchor>
    <xdr:from>
      <xdr:col>32</xdr:col>
      <xdr:colOff>462803</xdr:colOff>
      <xdr:row>15</xdr:row>
      <xdr:rowOff>176681</xdr:rowOff>
    </xdr:from>
    <xdr:to>
      <xdr:col>32</xdr:col>
      <xdr:colOff>506361</xdr:colOff>
      <xdr:row>16</xdr:row>
      <xdr:rowOff>8965</xdr:rowOff>
    </xdr:to>
    <xdr:cxnSp macro="">
      <xdr:nvCxnSpPr>
        <xdr:cNvPr id="56" name="Straight Connector 55"/>
        <xdr:cNvCxnSpPr>
          <a:stCxn id="59" idx="0"/>
          <a:endCxn id="55" idx="4"/>
        </xdr:cNvCxnSpPr>
      </xdr:nvCxnSpPr>
      <xdr:spPr bwMode="auto">
        <a:xfrm flipH="1" flipV="1">
          <a:off x="13981579" y="2606116"/>
          <a:ext cx="43558" cy="163978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32</xdr:col>
      <xdr:colOff>161073</xdr:colOff>
      <xdr:row>16</xdr:row>
      <xdr:rowOff>8965</xdr:rowOff>
    </xdr:from>
    <xdr:to>
      <xdr:col>38</xdr:col>
      <xdr:colOff>224118</xdr:colOff>
      <xdr:row>18</xdr:row>
      <xdr:rowOff>143436</xdr:rowOff>
    </xdr:to>
    <xdr:sp macro="" textlink="">
      <xdr:nvSpPr>
        <xdr:cNvPr id="59" name="TextBox 58"/>
        <xdr:cNvSpPr txBox="1"/>
      </xdr:nvSpPr>
      <xdr:spPr>
        <a:xfrm>
          <a:off x="13679849" y="2770094"/>
          <a:ext cx="690575" cy="609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200" b="1" u="sng"/>
            <a:t>Step 3</a:t>
          </a:r>
        </a:p>
        <a:p>
          <a:pPr algn="ctr"/>
          <a:r>
            <a:rPr lang="en-AU" sz="1200"/>
            <a:t>Services</a:t>
          </a:r>
        </a:p>
      </xdr:txBody>
    </xdr:sp>
    <xdr:clientData/>
  </xdr:twoCellAnchor>
  <xdr:twoCellAnchor>
    <xdr:from>
      <xdr:col>32</xdr:col>
      <xdr:colOff>119611</xdr:colOff>
      <xdr:row>1</xdr:row>
      <xdr:rowOff>692896</xdr:rowOff>
    </xdr:from>
    <xdr:to>
      <xdr:col>39</xdr:col>
      <xdr:colOff>582706</xdr:colOff>
      <xdr:row>3</xdr:row>
      <xdr:rowOff>179293</xdr:rowOff>
    </xdr:to>
    <xdr:sp macro="" textlink="">
      <xdr:nvSpPr>
        <xdr:cNvPr id="65" name="TextBox 64"/>
        <xdr:cNvSpPr txBox="1"/>
      </xdr:nvSpPr>
      <xdr:spPr>
        <a:xfrm>
          <a:off x="13638387" y="764614"/>
          <a:ext cx="1718154" cy="5800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400"/>
            <a:t>Sample Rates Notice 2017/18</a:t>
          </a:r>
        </a:p>
      </xdr:txBody>
    </xdr:sp>
    <xdr:clientData/>
  </xdr:twoCellAnchor>
  <xdr:twoCellAnchor>
    <xdr:from>
      <xdr:col>2</xdr:col>
      <xdr:colOff>62751</xdr:colOff>
      <xdr:row>17</xdr:row>
      <xdr:rowOff>89646</xdr:rowOff>
    </xdr:from>
    <xdr:to>
      <xdr:col>8</xdr:col>
      <xdr:colOff>17929</xdr:colOff>
      <xdr:row>19</xdr:row>
      <xdr:rowOff>0</xdr:rowOff>
    </xdr:to>
    <xdr:sp macro="" textlink="">
      <xdr:nvSpPr>
        <xdr:cNvPr id="60" name="TextBox 59"/>
        <xdr:cNvSpPr txBox="1"/>
      </xdr:nvSpPr>
      <xdr:spPr>
        <a:xfrm>
          <a:off x="2456327" y="3182470"/>
          <a:ext cx="2070849" cy="555812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Estimated Increase 2018/19</a:t>
          </a:r>
        </a:p>
      </xdr:txBody>
    </xdr:sp>
    <xdr:clientData/>
  </xdr:twoCellAnchor>
  <xdr:twoCellAnchor>
    <xdr:from>
      <xdr:col>9</xdr:col>
      <xdr:colOff>8964</xdr:colOff>
      <xdr:row>17</xdr:row>
      <xdr:rowOff>89646</xdr:rowOff>
    </xdr:from>
    <xdr:to>
      <xdr:col>14</xdr:col>
      <xdr:colOff>0</xdr:colOff>
      <xdr:row>19</xdr:row>
      <xdr:rowOff>8965</xdr:rowOff>
    </xdr:to>
    <xdr:sp macro="" textlink="">
      <xdr:nvSpPr>
        <xdr:cNvPr id="61" name="TextBox 60"/>
        <xdr:cNvSpPr txBox="1"/>
      </xdr:nvSpPr>
      <xdr:spPr>
        <a:xfrm>
          <a:off x="4589929" y="3182470"/>
          <a:ext cx="1918447" cy="564777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 b="1">
              <a:solidFill>
                <a:sysClr val="windowText" lastClr="000000"/>
              </a:solidFill>
            </a:rPr>
            <a:t>Estimated Increase</a:t>
          </a:r>
          <a:r>
            <a:rPr lang="en-US" sz="1200" b="1" baseline="0">
              <a:solidFill>
                <a:sysClr val="windowText" lastClr="000000"/>
              </a:solidFill>
            </a:rPr>
            <a:t> Per Week 2018/19 </a:t>
          </a:r>
          <a:endParaRPr 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</xdr:row>
          <xdr:rowOff>68580</xdr:rowOff>
        </xdr:from>
        <xdr:to>
          <xdr:col>18</xdr:col>
          <xdr:colOff>45720</xdr:colOff>
          <xdr:row>2</xdr:row>
          <xdr:rowOff>266700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</xdr:colOff>
          <xdr:row>2</xdr:row>
          <xdr:rowOff>60960</xdr:rowOff>
        </xdr:from>
        <xdr:to>
          <xdr:col>6</xdr:col>
          <xdr:colOff>495300</xdr:colOff>
          <xdr:row>2</xdr:row>
          <xdr:rowOff>259080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2</xdr:row>
          <xdr:rowOff>68580</xdr:rowOff>
        </xdr:from>
        <xdr:to>
          <xdr:col>12</xdr:col>
          <xdr:colOff>464820</xdr:colOff>
          <xdr:row>2</xdr:row>
          <xdr:rowOff>266700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487680</xdr:colOff>
          <xdr:row>2</xdr:row>
          <xdr:rowOff>68580</xdr:rowOff>
        </xdr:from>
        <xdr:to>
          <xdr:col>30</xdr:col>
          <xdr:colOff>30480</xdr:colOff>
          <xdr:row>2</xdr:row>
          <xdr:rowOff>266700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2</xdr:row>
          <xdr:rowOff>76200</xdr:rowOff>
        </xdr:from>
        <xdr:to>
          <xdr:col>26</xdr:col>
          <xdr:colOff>441960</xdr:colOff>
          <xdr:row>2</xdr:row>
          <xdr:rowOff>274320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304800</xdr:colOff>
          <xdr:row>2</xdr:row>
          <xdr:rowOff>76200</xdr:rowOff>
        </xdr:from>
        <xdr:to>
          <xdr:col>22</xdr:col>
          <xdr:colOff>213360</xdr:colOff>
          <xdr:row>2</xdr:row>
          <xdr:rowOff>274320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showGridLines="0" showRowColHeaders="0" zoomScale="80" zoomScaleNormal="80" workbookViewId="0">
      <selection activeCell="F48" sqref="F48"/>
    </sheetView>
  </sheetViews>
  <sheetFormatPr defaultRowHeight="13.2" x14ac:dyDescent="0.25"/>
  <sheetData>
    <row r="1" spans="2:18" x14ac:dyDescent="0.25"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2:18" x14ac:dyDescent="0.25">
      <c r="B2" s="290"/>
      <c r="C2" s="16"/>
      <c r="D2" s="16"/>
      <c r="E2" s="16"/>
      <c r="F2" s="16"/>
      <c r="G2" s="16"/>
      <c r="H2" s="16"/>
      <c r="I2" s="16"/>
      <c r="J2" s="16"/>
      <c r="K2" s="16"/>
      <c r="L2" s="16"/>
      <c r="M2" s="290"/>
      <c r="N2" s="290"/>
      <c r="O2" s="290"/>
      <c r="P2" s="290"/>
      <c r="Q2" s="290"/>
      <c r="R2" s="290"/>
    </row>
    <row r="3" spans="2:18" x14ac:dyDescent="0.25">
      <c r="B3" s="290"/>
      <c r="C3" s="16"/>
      <c r="D3" s="16"/>
      <c r="E3" s="16"/>
      <c r="F3" s="16"/>
      <c r="G3" s="16"/>
      <c r="H3" s="16"/>
      <c r="I3" s="16"/>
      <c r="J3" s="16"/>
      <c r="K3" s="16"/>
      <c r="L3" s="16"/>
      <c r="M3" s="290"/>
      <c r="N3" s="290"/>
      <c r="O3" s="290"/>
      <c r="P3" s="290"/>
      <c r="Q3" s="290"/>
      <c r="R3" s="290"/>
    </row>
    <row r="4" spans="2:18" x14ac:dyDescent="0.25">
      <c r="B4" s="290"/>
      <c r="C4" s="16"/>
      <c r="D4" s="16"/>
      <c r="E4" s="16"/>
      <c r="F4" s="16"/>
      <c r="G4" s="16"/>
      <c r="H4" s="16"/>
      <c r="I4" s="16"/>
      <c r="J4" s="16"/>
      <c r="K4" s="16"/>
      <c r="L4" s="16"/>
      <c r="M4" s="290"/>
      <c r="N4" s="290"/>
      <c r="O4" s="290"/>
      <c r="P4" s="290"/>
      <c r="Q4" s="290"/>
      <c r="R4" s="290"/>
    </row>
    <row r="5" spans="2:18" x14ac:dyDescent="0.25">
      <c r="B5" s="290"/>
      <c r="C5" s="16"/>
      <c r="D5" s="16"/>
      <c r="E5" s="16"/>
      <c r="F5" s="16"/>
      <c r="G5" s="16"/>
      <c r="H5" s="16"/>
      <c r="I5" s="16"/>
      <c r="J5" s="16"/>
      <c r="K5" s="16"/>
      <c r="L5" s="16"/>
      <c r="M5" s="290"/>
      <c r="N5" s="290"/>
      <c r="O5" s="290"/>
      <c r="P5" s="290"/>
      <c r="Q5" s="290"/>
      <c r="R5" s="290"/>
    </row>
    <row r="6" spans="2:18" x14ac:dyDescent="0.25">
      <c r="B6" s="290"/>
      <c r="C6" s="16"/>
      <c r="D6" s="16"/>
      <c r="E6" s="16"/>
      <c r="F6" s="16"/>
      <c r="G6" s="16"/>
      <c r="H6" s="16"/>
      <c r="I6" s="16"/>
      <c r="J6" s="16"/>
      <c r="K6" s="16"/>
      <c r="L6" s="16"/>
      <c r="M6" s="290"/>
      <c r="N6" s="290"/>
      <c r="O6" s="290"/>
      <c r="P6" s="290"/>
      <c r="Q6" s="290"/>
      <c r="R6" s="290"/>
    </row>
    <row r="7" spans="2:18" x14ac:dyDescent="0.25">
      <c r="B7" s="290"/>
      <c r="C7" s="53"/>
      <c r="D7" s="53"/>
      <c r="E7" s="53"/>
      <c r="F7" s="53"/>
      <c r="G7" s="53"/>
      <c r="H7" s="53"/>
      <c r="I7" s="53"/>
      <c r="J7" s="53"/>
      <c r="K7" s="53"/>
      <c r="L7" s="53"/>
      <c r="M7" s="290"/>
      <c r="N7" s="290"/>
      <c r="O7" s="290"/>
      <c r="P7" s="290"/>
      <c r="Q7" s="290"/>
      <c r="R7" s="290"/>
    </row>
    <row r="8" spans="2:18" x14ac:dyDescent="0.25">
      <c r="B8" s="290"/>
      <c r="C8" s="53"/>
      <c r="D8" s="53"/>
      <c r="E8" s="53"/>
      <c r="F8" s="53"/>
      <c r="G8" s="53"/>
      <c r="H8" s="53"/>
      <c r="I8" s="53"/>
      <c r="J8" s="53"/>
      <c r="K8" s="53"/>
      <c r="L8" s="53"/>
      <c r="M8" s="290"/>
      <c r="N8" s="290"/>
      <c r="O8" s="290"/>
      <c r="P8" s="290"/>
      <c r="Q8" s="290"/>
      <c r="R8" s="290"/>
    </row>
    <row r="9" spans="2:18" x14ac:dyDescent="0.25">
      <c r="B9" s="290"/>
      <c r="C9" s="28"/>
      <c r="D9" s="28"/>
      <c r="E9" s="28"/>
      <c r="F9" s="28"/>
      <c r="G9" s="28"/>
      <c r="H9" s="28"/>
      <c r="I9" s="28"/>
      <c r="J9" s="28"/>
      <c r="K9" s="28"/>
      <c r="L9" s="28"/>
      <c r="M9" s="290"/>
      <c r="N9" s="290"/>
      <c r="O9" s="290"/>
      <c r="P9" s="290"/>
      <c r="Q9" s="290"/>
      <c r="R9" s="290"/>
    </row>
    <row r="10" spans="2:18" x14ac:dyDescent="0.25">
      <c r="B10" s="290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90"/>
      <c r="N10" s="290"/>
      <c r="O10" s="290"/>
      <c r="P10" s="290"/>
      <c r="Q10" s="290"/>
      <c r="R10" s="290"/>
    </row>
    <row r="11" spans="2:18" x14ac:dyDescent="0.25">
      <c r="B11" s="290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90"/>
      <c r="N11" s="290"/>
      <c r="O11" s="290"/>
      <c r="P11" s="290"/>
      <c r="Q11" s="290"/>
      <c r="R11" s="290"/>
    </row>
    <row r="12" spans="2:18" x14ac:dyDescent="0.25">
      <c r="B12" s="290"/>
      <c r="C12" s="187"/>
      <c r="D12" s="291"/>
      <c r="E12" s="291"/>
      <c r="F12" s="291"/>
      <c r="G12" s="187"/>
      <c r="H12" s="187"/>
      <c r="I12" s="187"/>
      <c r="J12" s="187"/>
      <c r="K12" s="187"/>
      <c r="L12" s="187"/>
      <c r="M12" s="290"/>
      <c r="N12" s="290"/>
      <c r="O12" s="290"/>
      <c r="P12" s="290"/>
      <c r="Q12" s="290"/>
      <c r="R12" s="290"/>
    </row>
    <row r="13" spans="2:18" x14ac:dyDescent="0.25">
      <c r="B13" s="290"/>
      <c r="C13" s="16"/>
      <c r="D13" s="16"/>
      <c r="E13" s="16"/>
      <c r="F13" s="292"/>
      <c r="G13" s="16"/>
      <c r="H13" s="16"/>
      <c r="I13" s="16"/>
      <c r="J13" s="16"/>
      <c r="K13" s="16"/>
      <c r="L13" s="16"/>
      <c r="M13" s="290"/>
      <c r="N13" s="290"/>
      <c r="O13" s="290"/>
      <c r="P13" s="290"/>
      <c r="Q13" s="290"/>
      <c r="R13" s="290"/>
    </row>
    <row r="14" spans="2:18" x14ac:dyDescent="0.25">
      <c r="B14" s="290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0"/>
      <c r="N14" s="290"/>
      <c r="O14" s="290"/>
      <c r="P14" s="290"/>
      <c r="Q14" s="290"/>
      <c r="R14" s="290"/>
    </row>
    <row r="15" spans="2:18" x14ac:dyDescent="0.25">
      <c r="B15" s="290"/>
      <c r="C15" s="294"/>
      <c r="D15" s="16"/>
      <c r="E15" s="16"/>
      <c r="F15" s="16"/>
      <c r="G15" s="16"/>
      <c r="H15" s="16"/>
      <c r="I15" s="16"/>
      <c r="J15" s="16"/>
      <c r="K15" s="16"/>
      <c r="L15" s="16"/>
      <c r="M15" s="290"/>
      <c r="N15" s="290"/>
      <c r="O15" s="290"/>
      <c r="P15" s="290"/>
      <c r="Q15" s="290"/>
      <c r="R15" s="290"/>
    </row>
    <row r="16" spans="2:18" x14ac:dyDescent="0.25">
      <c r="B16" s="290"/>
      <c r="C16" s="294"/>
      <c r="D16" s="16"/>
      <c r="E16" s="16"/>
      <c r="F16" s="16"/>
      <c r="G16" s="16"/>
      <c r="H16" s="16"/>
      <c r="I16" s="16"/>
      <c r="J16" s="16"/>
      <c r="K16" s="16"/>
      <c r="L16" s="16"/>
      <c r="M16" s="290"/>
      <c r="N16" s="290"/>
      <c r="O16" s="290"/>
      <c r="P16" s="290"/>
      <c r="Q16" s="290"/>
      <c r="R16" s="290"/>
    </row>
    <row r="17" spans="2:18" x14ac:dyDescent="0.25">
      <c r="B17" s="29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290"/>
      <c r="N17" s="290"/>
      <c r="O17" s="290"/>
      <c r="P17" s="290"/>
      <c r="Q17" s="290"/>
      <c r="R17" s="290"/>
    </row>
    <row r="18" spans="2:18" x14ac:dyDescent="0.25">
      <c r="B18" s="29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290"/>
      <c r="N18" s="290"/>
      <c r="O18" s="290"/>
      <c r="P18" s="290"/>
      <c r="Q18" s="290"/>
      <c r="R18" s="290"/>
    </row>
    <row r="19" spans="2:18" x14ac:dyDescent="0.25">
      <c r="B19" s="290"/>
      <c r="C19" s="2"/>
      <c r="D19" s="295"/>
      <c r="E19" s="295"/>
      <c r="F19" s="2"/>
      <c r="G19" s="2"/>
      <c r="H19" s="2"/>
      <c r="I19" s="2"/>
      <c r="J19" s="2"/>
      <c r="K19" s="2"/>
      <c r="L19" s="2"/>
      <c r="M19" s="290"/>
      <c r="N19" s="290"/>
      <c r="O19" s="290"/>
      <c r="P19" s="290"/>
      <c r="Q19" s="290"/>
      <c r="R19" s="290"/>
    </row>
    <row r="20" spans="2:18" x14ac:dyDescent="0.25">
      <c r="B20" s="290"/>
      <c r="C20" s="2"/>
      <c r="D20" s="291"/>
      <c r="E20" s="291"/>
      <c r="F20" s="291"/>
      <c r="G20" s="2"/>
      <c r="H20" s="2"/>
      <c r="I20" s="2"/>
      <c r="J20" s="2"/>
      <c r="K20" s="2"/>
      <c r="L20" s="2"/>
      <c r="M20" s="290"/>
      <c r="N20" s="290"/>
      <c r="O20" s="290"/>
      <c r="P20" s="290"/>
      <c r="Q20" s="290"/>
      <c r="R20" s="290"/>
    </row>
    <row r="21" spans="2:18" x14ac:dyDescent="0.25">
      <c r="B21" s="290"/>
      <c r="C21" s="2"/>
      <c r="D21" s="2"/>
      <c r="E21" s="2"/>
      <c r="F21" s="2"/>
      <c r="G21" s="2"/>
      <c r="H21" s="2"/>
      <c r="I21" s="2"/>
      <c r="J21" s="2"/>
      <c r="K21" s="2"/>
      <c r="L21" s="2"/>
      <c r="M21" s="290"/>
      <c r="N21" s="290"/>
      <c r="O21" s="290"/>
      <c r="P21" s="290"/>
      <c r="Q21" s="290"/>
      <c r="R21" s="290"/>
    </row>
    <row r="22" spans="2:18" x14ac:dyDescent="0.25">
      <c r="B22" s="290"/>
      <c r="C22" s="2"/>
      <c r="D22" s="2"/>
      <c r="E22" s="2"/>
      <c r="F22" s="2"/>
      <c r="G22" s="2"/>
      <c r="H22" s="2"/>
      <c r="I22" s="2"/>
      <c r="J22" s="2"/>
      <c r="K22" s="2"/>
      <c r="L22" s="2"/>
      <c r="M22" s="290"/>
      <c r="N22" s="290"/>
      <c r="O22" s="290"/>
      <c r="P22" s="290"/>
      <c r="Q22" s="290"/>
      <c r="R22" s="290"/>
    </row>
    <row r="23" spans="2:18" x14ac:dyDescent="0.25">
      <c r="B23" s="290"/>
      <c r="C23" s="2"/>
      <c r="D23" s="2"/>
      <c r="E23" s="2"/>
      <c r="F23" s="2"/>
      <c r="G23" s="2"/>
      <c r="H23" s="2"/>
      <c r="I23" s="2"/>
      <c r="J23" s="2"/>
      <c r="K23" s="2"/>
      <c r="L23" s="2"/>
      <c r="M23" s="290"/>
      <c r="N23" s="290"/>
      <c r="O23" s="290"/>
      <c r="P23" s="290"/>
      <c r="Q23" s="290"/>
      <c r="R23" s="290"/>
    </row>
    <row r="24" spans="2:18" x14ac:dyDescent="0.25">
      <c r="B24" s="290"/>
      <c r="C24" s="2"/>
      <c r="D24" s="2"/>
      <c r="E24" s="2"/>
      <c r="F24" s="2"/>
      <c r="G24" s="2"/>
      <c r="H24" s="2"/>
      <c r="I24" s="2"/>
      <c r="J24" s="2"/>
      <c r="K24" s="2"/>
      <c r="L24" s="2"/>
      <c r="M24" s="290"/>
      <c r="N24" s="290"/>
      <c r="O24" s="290"/>
      <c r="P24" s="290"/>
      <c r="Q24" s="290"/>
      <c r="R24" s="290"/>
    </row>
    <row r="25" spans="2:18" x14ac:dyDescent="0.25">
      <c r="B25" s="290"/>
      <c r="C25" s="2"/>
      <c r="D25" s="2"/>
      <c r="E25" s="2"/>
      <c r="F25" s="2"/>
      <c r="G25" s="2"/>
      <c r="H25" s="2"/>
      <c r="I25" s="2"/>
      <c r="J25" s="2"/>
      <c r="K25" s="2"/>
      <c r="L25" s="2"/>
      <c r="M25" s="290"/>
      <c r="N25" s="290"/>
      <c r="O25" s="290"/>
      <c r="P25" s="290"/>
      <c r="Q25" s="290"/>
      <c r="R25" s="290"/>
    </row>
    <row r="26" spans="2:18" x14ac:dyDescent="0.25">
      <c r="B26" s="290"/>
      <c r="C26" s="2"/>
      <c r="D26" s="2"/>
      <c r="E26" s="2"/>
      <c r="F26" s="2"/>
      <c r="G26" s="2"/>
      <c r="H26" s="2"/>
      <c r="I26" s="2"/>
      <c r="J26" s="2"/>
      <c r="K26" s="2"/>
      <c r="L26" s="2"/>
      <c r="M26" s="290"/>
      <c r="N26" s="290"/>
      <c r="O26" s="290"/>
      <c r="P26" s="290"/>
      <c r="Q26" s="290"/>
      <c r="R26" s="290"/>
    </row>
    <row r="27" spans="2:18" x14ac:dyDescent="0.25">
      <c r="B27" s="290"/>
      <c r="C27" s="2"/>
      <c r="D27" s="2"/>
      <c r="E27" s="2"/>
      <c r="F27" s="2"/>
      <c r="G27" s="2"/>
      <c r="H27" s="2"/>
      <c r="I27" s="2"/>
      <c r="J27" s="2"/>
      <c r="K27" s="2"/>
      <c r="L27" s="2"/>
      <c r="M27" s="290"/>
      <c r="N27" s="290"/>
      <c r="O27" s="290"/>
      <c r="P27" s="290"/>
      <c r="Q27" s="290"/>
      <c r="R27" s="290"/>
    </row>
    <row r="28" spans="2:18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</row>
    <row r="29" spans="2:18" x14ac:dyDescent="0.25"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</row>
    <row r="30" spans="2:18" x14ac:dyDescent="0.25">
      <c r="B30" s="290"/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</row>
    <row r="31" spans="2:18" x14ac:dyDescent="0.25">
      <c r="B31" s="290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90"/>
      <c r="N31" s="290"/>
      <c r="O31" s="290"/>
      <c r="P31" s="290"/>
      <c r="Q31" s="290"/>
      <c r="R31" s="290"/>
    </row>
    <row r="32" spans="2:18" x14ac:dyDescent="0.25">
      <c r="B32" s="290"/>
      <c r="C32" s="290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</row>
    <row r="33" spans="2:18" x14ac:dyDescent="0.25">
      <c r="B33" s="290"/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2:18" x14ac:dyDescent="0.25"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</row>
    <row r="35" spans="2:18" x14ac:dyDescent="0.25"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</row>
    <row r="36" spans="2:18" x14ac:dyDescent="0.25">
      <c r="B36" s="290"/>
      <c r="C36" s="29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2:18" x14ac:dyDescent="0.25"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90"/>
      <c r="N37" s="290"/>
      <c r="O37" s="290"/>
      <c r="P37" s="290"/>
      <c r="Q37" s="290"/>
      <c r="R37" s="290"/>
    </row>
    <row r="38" spans="2:18" x14ac:dyDescent="0.25"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</row>
  </sheetData>
  <sheetProtection algorithmName="SHA-512" hashValue="69E/Wzb2nB0alwyq9WD1SzVqccCwFUIbjXf4bQAa629v+jP29DEXO7rGnfMift2UBSWZA/nl7SF3t1AnmSe71Q==" saltValue="EAOv8AUh/qfbczZPT4ikhA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67"/>
  <sheetViews>
    <sheetView showGridLines="0" showRowColHeaders="0" tabSelected="1" showRuler="0" topLeftCell="A18" zoomScale="85" zoomScaleNormal="85" workbookViewId="0">
      <selection activeCell="H29" sqref="H29:K29"/>
    </sheetView>
  </sheetViews>
  <sheetFormatPr defaultColWidth="9.109375" defaultRowHeight="13.2" x14ac:dyDescent="0.25"/>
  <cols>
    <col min="1" max="1" width="1" style="1" customWidth="1"/>
    <col min="2" max="2" width="33.88671875" style="1" customWidth="1"/>
    <col min="3" max="3" width="1" style="2" customWidth="1"/>
    <col min="4" max="4" width="6.5546875" style="1" customWidth="1"/>
    <col min="5" max="5" width="7.44140625" style="21" customWidth="1"/>
    <col min="6" max="6" width="6.6640625" style="21" customWidth="1"/>
    <col min="7" max="7" width="1" style="5" customWidth="1"/>
    <col min="8" max="8" width="8.109375" style="21" customWidth="1"/>
    <col min="9" max="9" width="1" style="5" customWidth="1"/>
    <col min="10" max="10" width="3.88671875" style="21" customWidth="1"/>
    <col min="11" max="11" width="7.33203125" style="5" customWidth="1"/>
    <col min="12" max="12" width="1" style="5" customWidth="1"/>
    <col min="13" max="13" width="6.88671875" style="5" customWidth="1"/>
    <col min="14" max="14" width="8.88671875" style="5" customWidth="1"/>
    <col min="15" max="15" width="1" style="5" customWidth="1"/>
    <col min="16" max="16" width="3.88671875" style="5" customWidth="1"/>
    <col min="17" max="17" width="1" style="2" customWidth="1"/>
    <col min="18" max="18" width="6.88671875" style="1" customWidth="1"/>
    <col min="19" max="19" width="7" style="1" customWidth="1"/>
    <col min="20" max="20" width="7.44140625" style="2" customWidth="1"/>
    <col min="21" max="21" width="1" style="2" customWidth="1"/>
    <col min="22" max="22" width="9.33203125" style="2" customWidth="1"/>
    <col min="23" max="23" width="8.44140625" style="1" customWidth="1"/>
    <col min="24" max="24" width="7.44140625" style="2" customWidth="1"/>
    <col min="25" max="25" width="1" style="2" customWidth="1"/>
    <col min="26" max="26" width="7.44140625" style="2" customWidth="1"/>
    <col min="27" max="28" width="7.44140625" style="1" customWidth="1"/>
    <col min="29" max="29" width="1" style="2" customWidth="1"/>
    <col min="30" max="30" width="12.109375" style="1" customWidth="1"/>
    <col min="31" max="31" width="1.109375" style="1" customWidth="1"/>
    <col min="32" max="32" width="10.6640625" style="1" customWidth="1"/>
    <col min="33" max="33" width="9.109375" style="1" customWidth="1"/>
    <col min="34" max="36" width="9.109375" style="221" hidden="1" customWidth="1"/>
    <col min="37" max="38" width="9.109375" style="1" hidden="1" customWidth="1"/>
    <col min="39" max="44" width="9.109375" style="1" customWidth="1"/>
    <col min="45" max="82" width="9.109375" style="1"/>
    <col min="83" max="83" width="9.109375" style="1" customWidth="1"/>
    <col min="84" max="84" width="32.5546875" style="1" customWidth="1"/>
    <col min="85" max="99" width="6.44140625" style="1" customWidth="1"/>
    <col min="100" max="100" width="9.109375" style="1" customWidth="1"/>
    <col min="101" max="16384" width="9.109375" style="1"/>
  </cols>
  <sheetData>
    <row r="1" spans="1:95" ht="5.4" customHeight="1" x14ac:dyDescent="0.25">
      <c r="A1" s="221"/>
      <c r="B1" s="221"/>
      <c r="C1" s="221"/>
      <c r="D1" s="221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  <c r="AF1" s="221"/>
      <c r="AG1" s="221"/>
      <c r="AK1" s="221"/>
      <c r="AL1" s="221"/>
      <c r="AM1" s="221"/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  <c r="BY1" s="221"/>
      <c r="BZ1" s="221"/>
      <c r="CA1" s="221"/>
      <c r="CB1" s="221"/>
      <c r="CC1" s="221"/>
      <c r="CD1" s="221"/>
      <c r="CE1" s="221"/>
      <c r="CF1" s="221"/>
      <c r="CG1" s="221"/>
      <c r="CH1" s="221"/>
      <c r="CI1" s="221"/>
      <c r="CJ1" s="221"/>
      <c r="CK1" s="221"/>
      <c r="CL1" s="221"/>
      <c r="CM1" s="221"/>
      <c r="CN1" s="221"/>
      <c r="CO1" s="221"/>
      <c r="CP1" s="221"/>
      <c r="CQ1" s="221"/>
    </row>
    <row r="2" spans="1:95" s="17" customFormat="1" ht="55.95" customHeight="1" x14ac:dyDescent="0.25">
      <c r="A2" s="374" t="s">
        <v>120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  <c r="Q2" s="374"/>
      <c r="R2" s="374"/>
      <c r="S2" s="374"/>
      <c r="T2" s="374"/>
      <c r="U2" s="374"/>
      <c r="V2" s="374"/>
      <c r="W2" s="374"/>
      <c r="X2" s="374"/>
      <c r="Y2" s="223"/>
      <c r="Z2" s="223"/>
      <c r="AA2" s="223"/>
      <c r="AB2" s="223"/>
      <c r="AC2" s="223"/>
      <c r="AD2" s="223"/>
      <c r="AE2" s="223"/>
      <c r="AF2" s="223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</row>
    <row r="3" spans="1:95" s="17" customFormat="1" ht="30" customHeight="1" x14ac:dyDescent="0.25">
      <c r="A3" s="289"/>
      <c r="B3" s="375" t="s">
        <v>122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223"/>
      <c r="Z3" s="223"/>
      <c r="AA3" s="223"/>
      <c r="AB3" s="223"/>
      <c r="AC3" s="223"/>
      <c r="AD3" s="223"/>
      <c r="AE3" s="223"/>
      <c r="AF3" s="223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</row>
    <row r="4" spans="1:95" s="17" customFormat="1" ht="61.95" customHeight="1" x14ac:dyDescent="0.25">
      <c r="A4" s="22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225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</row>
    <row r="5" spans="1:95" s="17" customFormat="1" ht="11.4" customHeight="1" x14ac:dyDescent="0.25">
      <c r="A5" s="224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  <c r="BX5" s="224"/>
      <c r="BY5" s="224"/>
      <c r="BZ5" s="224"/>
      <c r="CA5" s="224"/>
      <c r="CB5" s="224"/>
      <c r="CC5" s="224"/>
      <c r="CD5" s="224"/>
      <c r="CE5" s="224"/>
      <c r="CF5" s="224"/>
      <c r="CG5" s="224"/>
      <c r="CH5" s="224"/>
      <c r="CI5" s="224"/>
      <c r="CJ5" s="224"/>
      <c r="CK5" s="224"/>
      <c r="CL5" s="224"/>
      <c r="CM5" s="224"/>
      <c r="CN5" s="224"/>
      <c r="CO5" s="224"/>
      <c r="CP5" s="224"/>
      <c r="CQ5" s="224"/>
    </row>
    <row r="6" spans="1:95" s="17" customFormat="1" ht="5.4" hidden="1" customHeight="1" thickBot="1" x14ac:dyDescent="0.3">
      <c r="A6" s="224"/>
      <c r="B6" s="228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9"/>
      <c r="AE6" s="229"/>
      <c r="AF6" s="229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224"/>
      <c r="CJ6" s="224"/>
      <c r="CK6" s="224"/>
      <c r="CL6" s="224"/>
      <c r="CM6" s="224"/>
      <c r="CN6" s="224"/>
      <c r="CO6" s="224"/>
      <c r="CP6" s="224"/>
      <c r="CQ6" s="224"/>
    </row>
    <row r="7" spans="1:95" s="25" customFormat="1" ht="22.5" hidden="1" customHeight="1" x14ac:dyDescent="0.25">
      <c r="A7" s="230"/>
      <c r="B7" s="382" t="s">
        <v>64</v>
      </c>
      <c r="C7" s="231"/>
      <c r="D7" s="391" t="s">
        <v>0</v>
      </c>
      <c r="E7" s="391"/>
      <c r="F7" s="391"/>
      <c r="G7" s="391"/>
      <c r="H7" s="391"/>
      <c r="I7" s="232"/>
      <c r="J7" s="384" t="s">
        <v>87</v>
      </c>
      <c r="K7" s="384"/>
      <c r="L7" s="384"/>
      <c r="M7" s="384"/>
      <c r="N7" s="384"/>
      <c r="O7" s="232"/>
      <c r="P7" s="384" t="s">
        <v>88</v>
      </c>
      <c r="Q7" s="384"/>
      <c r="R7" s="384"/>
      <c r="S7" s="384"/>
      <c r="T7" s="384"/>
      <c r="U7" s="233"/>
      <c r="V7" s="384" t="s">
        <v>85</v>
      </c>
      <c r="W7" s="384"/>
      <c r="X7" s="384"/>
      <c r="Y7" s="234"/>
      <c r="Z7" s="384" t="s">
        <v>86</v>
      </c>
      <c r="AA7" s="384"/>
      <c r="AB7" s="384"/>
      <c r="AC7" s="233"/>
      <c r="AD7" s="384" t="s">
        <v>63</v>
      </c>
      <c r="AE7" s="384"/>
      <c r="AF7" s="398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</row>
    <row r="8" spans="1:95" s="25" customFormat="1" ht="22.5" hidden="1" customHeight="1" thickBot="1" x14ac:dyDescent="0.3">
      <c r="A8" s="230"/>
      <c r="B8" s="383"/>
      <c r="C8" s="235"/>
      <c r="D8" s="397" t="s">
        <v>26</v>
      </c>
      <c r="E8" s="387"/>
      <c r="F8" s="387" t="s">
        <v>56</v>
      </c>
      <c r="G8" s="387"/>
      <c r="H8" s="388"/>
      <c r="I8" s="236"/>
      <c r="J8" s="385"/>
      <c r="K8" s="385"/>
      <c r="L8" s="385"/>
      <c r="M8" s="385"/>
      <c r="N8" s="385"/>
      <c r="O8" s="236"/>
      <c r="P8" s="385"/>
      <c r="Q8" s="385"/>
      <c r="R8" s="385"/>
      <c r="S8" s="385"/>
      <c r="T8" s="385"/>
      <c r="U8" s="230"/>
      <c r="V8" s="385"/>
      <c r="W8" s="385"/>
      <c r="X8" s="385"/>
      <c r="Y8" s="237"/>
      <c r="Z8" s="385"/>
      <c r="AA8" s="385"/>
      <c r="AB8" s="385"/>
      <c r="AC8" s="230"/>
      <c r="AD8" s="385"/>
      <c r="AE8" s="385"/>
      <c r="AF8" s="399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</row>
    <row r="9" spans="1:95" s="26" customFormat="1" ht="25.5" hidden="1" customHeight="1" thickTop="1" thickBot="1" x14ac:dyDescent="0.3">
      <c r="A9" s="238"/>
      <c r="B9" s="239">
        <f>+B17</f>
        <v>217000</v>
      </c>
      <c r="C9" s="240"/>
      <c r="D9" s="392">
        <v>2</v>
      </c>
      <c r="E9" s="392"/>
      <c r="F9" s="392"/>
      <c r="G9" s="392"/>
      <c r="H9" s="392"/>
      <c r="I9" s="241"/>
      <c r="J9" s="393">
        <v>1</v>
      </c>
      <c r="K9" s="393"/>
      <c r="L9" s="393"/>
      <c r="M9" s="393"/>
      <c r="N9" s="393"/>
      <c r="O9" s="241"/>
      <c r="P9" s="392"/>
      <c r="Q9" s="392"/>
      <c r="R9" s="392"/>
      <c r="S9" s="392">
        <v>1</v>
      </c>
      <c r="T9" s="392"/>
      <c r="U9" s="242">
        <v>5</v>
      </c>
      <c r="V9" s="393">
        <v>2</v>
      </c>
      <c r="W9" s="393"/>
      <c r="X9" s="393"/>
      <c r="Y9" s="242"/>
      <c r="Z9" s="389">
        <v>2</v>
      </c>
      <c r="AA9" s="389"/>
      <c r="AB9" s="389"/>
      <c r="AC9" s="238"/>
      <c r="AD9" s="389"/>
      <c r="AE9" s="389">
        <v>2</v>
      </c>
      <c r="AF9" s="390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8"/>
      <c r="BE9" s="238"/>
      <c r="BF9" s="238"/>
      <c r="BG9" s="238"/>
      <c r="BH9" s="238"/>
      <c r="BI9" s="238"/>
      <c r="BJ9" s="238"/>
      <c r="BK9" s="238"/>
      <c r="BL9" s="238"/>
      <c r="BM9" s="238"/>
      <c r="BN9" s="238"/>
      <c r="BO9" s="238"/>
      <c r="BP9" s="238"/>
      <c r="BQ9" s="238"/>
      <c r="BR9" s="238"/>
      <c r="BS9" s="238"/>
      <c r="BT9" s="238"/>
      <c r="BU9" s="238"/>
      <c r="BV9" s="238"/>
      <c r="BW9" s="238"/>
      <c r="BX9" s="238"/>
      <c r="BY9" s="238"/>
      <c r="BZ9" s="238"/>
      <c r="CA9" s="238"/>
      <c r="CB9" s="238"/>
      <c r="CC9" s="238"/>
      <c r="CD9" s="238"/>
      <c r="CE9" s="238"/>
      <c r="CF9" s="238"/>
      <c r="CG9" s="238"/>
      <c r="CH9" s="238"/>
      <c r="CI9" s="238"/>
      <c r="CJ9" s="238"/>
      <c r="CK9" s="238"/>
      <c r="CL9" s="238"/>
      <c r="CM9" s="238"/>
      <c r="CN9" s="238"/>
      <c r="CO9" s="238"/>
      <c r="CP9" s="238"/>
      <c r="CQ9" s="238"/>
    </row>
    <row r="10" spans="1:95" s="28" customFormat="1" ht="7.5" hidden="1" customHeight="1" thickTop="1" thickBot="1" x14ac:dyDescent="0.3">
      <c r="A10" s="238"/>
      <c r="B10" s="243"/>
      <c r="C10" s="240"/>
      <c r="D10" s="376"/>
      <c r="E10" s="376"/>
      <c r="F10" s="376"/>
      <c r="G10" s="376"/>
      <c r="H10" s="376"/>
      <c r="I10" s="241"/>
      <c r="J10" s="244"/>
      <c r="K10" s="244"/>
      <c r="L10" s="244"/>
      <c r="M10" s="244"/>
      <c r="N10" s="244"/>
      <c r="O10" s="241"/>
      <c r="P10" s="245"/>
      <c r="Q10" s="245"/>
      <c r="R10" s="245"/>
      <c r="S10" s="245"/>
      <c r="T10" s="245"/>
      <c r="U10" s="242"/>
      <c r="V10" s="244"/>
      <c r="W10" s="244"/>
      <c r="X10" s="244"/>
      <c r="Y10" s="242"/>
      <c r="Z10" s="246"/>
      <c r="AA10" s="246"/>
      <c r="AB10" s="246"/>
      <c r="AC10" s="238"/>
      <c r="AD10" s="246"/>
      <c r="AE10" s="246"/>
      <c r="AF10" s="247"/>
      <c r="AG10" s="238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238"/>
      <c r="AU10" s="238"/>
      <c r="AV10" s="238"/>
      <c r="AW10" s="238"/>
      <c r="AX10" s="238"/>
      <c r="AY10" s="238"/>
      <c r="AZ10" s="238"/>
      <c r="BA10" s="238"/>
      <c r="BB10" s="238"/>
      <c r="BC10" s="238"/>
      <c r="BD10" s="238"/>
      <c r="BE10" s="238"/>
      <c r="BF10" s="238"/>
      <c r="BG10" s="238"/>
      <c r="BH10" s="238"/>
      <c r="BI10" s="238"/>
      <c r="BJ10" s="238"/>
      <c r="BK10" s="238"/>
      <c r="BL10" s="238"/>
      <c r="BM10" s="238"/>
      <c r="BN10" s="238"/>
      <c r="BO10" s="238"/>
      <c r="BP10" s="238"/>
      <c r="BQ10" s="238"/>
      <c r="BR10" s="238"/>
      <c r="BS10" s="238"/>
      <c r="BT10" s="238"/>
      <c r="BU10" s="238"/>
      <c r="BV10" s="238"/>
      <c r="BW10" s="238"/>
      <c r="BX10" s="238"/>
      <c r="BY10" s="238"/>
      <c r="BZ10" s="238"/>
      <c r="CA10" s="238"/>
      <c r="CB10" s="238"/>
      <c r="CC10" s="238"/>
      <c r="CD10" s="238"/>
      <c r="CE10" s="238"/>
      <c r="CF10" s="238"/>
      <c r="CG10" s="238"/>
      <c r="CH10" s="238"/>
      <c r="CI10" s="238"/>
      <c r="CJ10" s="238"/>
      <c r="CK10" s="238"/>
      <c r="CL10" s="238"/>
      <c r="CM10" s="238"/>
      <c r="CN10" s="238"/>
      <c r="CO10" s="238"/>
      <c r="CP10" s="238"/>
      <c r="CQ10" s="238"/>
    </row>
    <row r="11" spans="1:95" s="17" customFormat="1" ht="33.6" hidden="1" customHeight="1" x14ac:dyDescent="0.25">
      <c r="A11" s="224"/>
      <c r="B11" s="248" t="s">
        <v>93</v>
      </c>
      <c r="C11" s="224"/>
      <c r="D11" s="224"/>
      <c r="E11" s="224"/>
      <c r="F11" s="224"/>
      <c r="G11" s="224"/>
      <c r="H11" s="224"/>
      <c r="I11" s="249"/>
      <c r="J11" s="386"/>
      <c r="K11" s="386"/>
      <c r="L11" s="386"/>
      <c r="M11" s="386"/>
      <c r="N11" s="386"/>
      <c r="O11" s="249"/>
      <c r="P11" s="386"/>
      <c r="Q11" s="386"/>
      <c r="R11" s="386"/>
      <c r="S11" s="386"/>
      <c r="T11" s="386"/>
      <c r="U11" s="224"/>
      <c r="V11" s="376"/>
      <c r="W11" s="376"/>
      <c r="X11" s="376"/>
      <c r="Y11" s="224"/>
      <c r="Z11" s="377"/>
      <c r="AA11" s="377"/>
      <c r="AB11" s="377"/>
      <c r="AC11" s="224"/>
      <c r="AD11" s="376"/>
      <c r="AE11" s="376"/>
      <c r="AF11" s="406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</row>
    <row r="12" spans="1:95" s="187" customFormat="1" ht="43.5" hidden="1" customHeight="1" thickBot="1" x14ac:dyDescent="0.3">
      <c r="A12" s="250"/>
      <c r="B12" s="251">
        <f>IFERROR(IF($D$9&gt;12,VLOOKUP(5,Sewer,4),IF($D$9&lt;12,(D12+F12+J12+P12+V12+Z12+AD12+AE12),VLOOKUP($D$9,Ordinary_Rates,10))),"Contact Council")</f>
        <v>2330.1802605402995</v>
      </c>
      <c r="C12" s="252"/>
      <c r="D12" s="378">
        <f>IF($D$9&lt;9,VLOOKUP($D$9,Ordinary_Rates,4),VLOOKUP($D$9,Ordinary_Rates,4))</f>
        <v>462.9</v>
      </c>
      <c r="E12" s="379"/>
      <c r="F12" s="380">
        <f>IF($D$9&lt;12,($B$9*VLOOKUP($D$9,Ordinary_Rates,6)/100),VLOOKUP($D$9,Ordinary_Rates,5))</f>
        <v>548.78026054029954</v>
      </c>
      <c r="G12" s="380"/>
      <c r="H12" s="381"/>
      <c r="I12" s="253"/>
      <c r="J12" s="369">
        <f>VLOOKUP($J$9, Waste_Mgmt,4)</f>
        <v>659</v>
      </c>
      <c r="K12" s="369"/>
      <c r="L12" s="369"/>
      <c r="M12" s="369"/>
      <c r="N12" s="369"/>
      <c r="O12" s="253"/>
      <c r="P12" s="369">
        <f>VLOOKUP($S$9,Add_Garbage,4)</f>
        <v>0</v>
      </c>
      <c r="Q12" s="369"/>
      <c r="R12" s="369"/>
      <c r="S12" s="369"/>
      <c r="T12" s="369"/>
      <c r="U12" s="253"/>
      <c r="V12" s="369">
        <f>VLOOKUP($V$9,Water,4)</f>
        <v>126</v>
      </c>
      <c r="W12" s="369"/>
      <c r="X12" s="369"/>
      <c r="Y12" s="253"/>
      <c r="Z12" s="369">
        <f>IF($D$9&lt;12,VLOOKUP($Z$9,Sewer,4),IF($D$9=4,VLOOKUP($Z$9,Sewer,5),IF($D$9=7,VLOOKUP($Z$9,Sewer,4),IF($D$9=8,VLOOKUP($Z$9,Sewer,5),0))))</f>
        <v>934</v>
      </c>
      <c r="AA12" s="369"/>
      <c r="AB12" s="369"/>
      <c r="AC12" s="254"/>
      <c r="AD12" s="401">
        <f>+AH12+AJ12+AI12</f>
        <v>-400.5</v>
      </c>
      <c r="AE12" s="401"/>
      <c r="AF12" s="402"/>
      <c r="AG12" s="250"/>
      <c r="AH12" s="279">
        <f>IF(Z12&gt;0,-IF($D$9&lt;8,VLOOKUP($AE$9,Pensioner,6),0),0)</f>
        <v>-87.5</v>
      </c>
      <c r="AI12" s="279">
        <f>IF(V12&gt;0,-IF($D$9&lt;8,VLOOKUP($AE$9,Pensioner,8),0),0)</f>
        <v>-63</v>
      </c>
      <c r="AJ12" s="279">
        <f>-IF($D$9&lt;8,VLOOKUP($AE$9,Pensioner,4),0)</f>
        <v>-250</v>
      </c>
      <c r="AK12" s="250"/>
      <c r="AL12" s="250"/>
      <c r="AM12" s="250"/>
      <c r="AN12" s="250"/>
      <c r="AO12" s="250"/>
      <c r="AP12" s="250"/>
      <c r="AQ12" s="250"/>
      <c r="AR12" s="250"/>
      <c r="AS12" s="250"/>
      <c r="AT12" s="250"/>
      <c r="AU12" s="250"/>
      <c r="AV12" s="250"/>
      <c r="AW12" s="250"/>
      <c r="AX12" s="250"/>
      <c r="AY12" s="250"/>
      <c r="AZ12" s="250"/>
      <c r="BA12" s="250"/>
      <c r="BB12" s="250"/>
      <c r="BC12" s="250"/>
      <c r="BD12" s="250"/>
      <c r="BE12" s="250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0"/>
      <c r="CM12" s="250"/>
      <c r="CN12" s="250"/>
      <c r="CO12" s="250"/>
      <c r="CP12" s="250"/>
      <c r="CQ12" s="250"/>
    </row>
    <row r="13" spans="1:95" s="16" customFormat="1" ht="7.5" hidden="1" customHeight="1" x14ac:dyDescent="0.25">
      <c r="A13" s="224"/>
      <c r="B13" s="74"/>
      <c r="C13" s="224"/>
      <c r="D13" s="352"/>
      <c r="E13" s="352"/>
      <c r="F13" s="352"/>
      <c r="G13" s="255"/>
      <c r="H13" s="356"/>
      <c r="I13" s="356"/>
      <c r="J13" s="356"/>
      <c r="K13" s="356"/>
      <c r="L13" s="256"/>
      <c r="M13" s="356"/>
      <c r="N13" s="356"/>
      <c r="O13" s="356"/>
      <c r="P13" s="356"/>
      <c r="Q13" s="256"/>
      <c r="R13" s="356"/>
      <c r="S13" s="356"/>
      <c r="T13" s="356"/>
      <c r="U13" s="256"/>
      <c r="V13" s="356"/>
      <c r="W13" s="356"/>
      <c r="X13" s="356"/>
      <c r="Y13" s="256"/>
      <c r="Z13" s="356"/>
      <c r="AA13" s="356"/>
      <c r="AB13" s="356"/>
      <c r="AC13" s="257"/>
      <c r="AD13" s="403"/>
      <c r="AE13" s="403"/>
      <c r="AF13" s="403"/>
      <c r="AG13" s="224"/>
      <c r="AH13" s="224"/>
      <c r="AI13" s="224"/>
      <c r="AJ13" s="280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</row>
    <row r="14" spans="1:95" s="188" customFormat="1" ht="18" hidden="1" customHeight="1" x14ac:dyDescent="0.25">
      <c r="A14" s="258"/>
      <c r="B14" s="281" t="s">
        <v>94</v>
      </c>
      <c r="C14" s="260"/>
      <c r="D14" s="260"/>
      <c r="E14" s="261"/>
      <c r="F14" s="261"/>
      <c r="G14" s="261"/>
      <c r="H14" s="261"/>
      <c r="I14" s="261"/>
      <c r="J14" s="261"/>
      <c r="K14" s="261"/>
      <c r="L14" s="261"/>
      <c r="M14" s="261"/>
      <c r="N14" s="262"/>
      <c r="O14" s="261"/>
      <c r="P14" s="261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58"/>
      <c r="AH14" s="258"/>
      <c r="AI14" s="258"/>
      <c r="AJ14" s="258"/>
      <c r="AK14" s="258"/>
      <c r="AL14" s="258"/>
      <c r="AM14" s="258"/>
      <c r="AN14" s="258"/>
      <c r="AO14" s="258"/>
      <c r="AP14" s="258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  <c r="BR14" s="258"/>
      <c r="BS14" s="258"/>
      <c r="BT14" s="258"/>
      <c r="BU14" s="258"/>
      <c r="BV14" s="258"/>
      <c r="BW14" s="258"/>
      <c r="BX14" s="258"/>
      <c r="BY14" s="258"/>
      <c r="BZ14" s="258"/>
      <c r="CA14" s="258"/>
      <c r="CB14" s="258"/>
      <c r="CC14" s="258"/>
      <c r="CD14" s="258"/>
      <c r="CE14" s="258"/>
      <c r="CF14" s="258"/>
      <c r="CG14" s="258"/>
      <c r="CH14" s="258"/>
      <c r="CI14" s="258"/>
      <c r="CJ14" s="258"/>
      <c r="CK14" s="258"/>
      <c r="CL14" s="258"/>
      <c r="CM14" s="258"/>
      <c r="CN14" s="258"/>
      <c r="CO14" s="258"/>
      <c r="CP14" s="258"/>
      <c r="CQ14" s="258"/>
    </row>
    <row r="15" spans="1:95" s="17" customFormat="1" ht="25.95" customHeight="1" x14ac:dyDescent="0.25">
      <c r="A15" s="224"/>
      <c r="B15" s="395" t="s">
        <v>112</v>
      </c>
      <c r="C15" s="264"/>
      <c r="D15" s="400" t="s">
        <v>124</v>
      </c>
      <c r="E15" s="400"/>
      <c r="F15" s="400"/>
      <c r="G15" s="400"/>
      <c r="H15" s="400"/>
      <c r="I15" s="273"/>
      <c r="J15" s="351" t="s">
        <v>113</v>
      </c>
      <c r="K15" s="351"/>
      <c r="L15" s="351"/>
      <c r="M15" s="351"/>
      <c r="N15" s="351"/>
      <c r="O15" s="273"/>
      <c r="P15" s="351" t="s">
        <v>114</v>
      </c>
      <c r="Q15" s="351"/>
      <c r="R15" s="351"/>
      <c r="S15" s="351"/>
      <c r="T15" s="351"/>
      <c r="U15" s="274"/>
      <c r="V15" s="351" t="s">
        <v>115</v>
      </c>
      <c r="W15" s="351"/>
      <c r="X15" s="351"/>
      <c r="Y15" s="275"/>
      <c r="Z15" s="351" t="s">
        <v>116</v>
      </c>
      <c r="AA15" s="351"/>
      <c r="AB15" s="351"/>
      <c r="AC15" s="274"/>
      <c r="AD15" s="351" t="s">
        <v>63</v>
      </c>
      <c r="AE15" s="351"/>
      <c r="AF15" s="351"/>
      <c r="AG15" s="263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224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</row>
    <row r="16" spans="1:95" s="17" customFormat="1" ht="25.95" customHeight="1" thickBot="1" x14ac:dyDescent="0.3">
      <c r="A16" s="224"/>
      <c r="B16" s="396"/>
      <c r="C16" s="264"/>
      <c r="D16" s="400"/>
      <c r="E16" s="400"/>
      <c r="F16" s="400"/>
      <c r="G16" s="400"/>
      <c r="H16" s="400"/>
      <c r="I16" s="273"/>
      <c r="J16" s="351"/>
      <c r="K16" s="351"/>
      <c r="L16" s="351"/>
      <c r="M16" s="351"/>
      <c r="N16" s="351"/>
      <c r="O16" s="273"/>
      <c r="P16" s="351"/>
      <c r="Q16" s="351"/>
      <c r="R16" s="351"/>
      <c r="S16" s="351"/>
      <c r="T16" s="351"/>
      <c r="U16" s="274"/>
      <c r="V16" s="351"/>
      <c r="W16" s="351"/>
      <c r="X16" s="351"/>
      <c r="Y16" s="275"/>
      <c r="Z16" s="351"/>
      <c r="AA16" s="351"/>
      <c r="AB16" s="351"/>
      <c r="AC16" s="274"/>
      <c r="AD16" s="351"/>
      <c r="AE16" s="351"/>
      <c r="AF16" s="351"/>
      <c r="AG16" s="263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224"/>
      <c r="AX16" s="224"/>
      <c r="AY16" s="224"/>
      <c r="AZ16" s="224"/>
      <c r="BA16" s="224"/>
      <c r="BB16" s="224"/>
      <c r="BC16" s="224"/>
      <c r="BD16" s="224"/>
      <c r="BE16" s="224"/>
      <c r="BF16" s="224"/>
      <c r="BG16" s="224"/>
      <c r="BH16" s="224"/>
      <c r="BI16" s="224"/>
      <c r="BJ16" s="224"/>
      <c r="BK16" s="224"/>
      <c r="BL16" s="224"/>
      <c r="BM16" s="224"/>
      <c r="BN16" s="224"/>
      <c r="BO16" s="224"/>
      <c r="BP16" s="224"/>
      <c r="BQ16" s="224"/>
      <c r="BR16" s="224"/>
      <c r="BS16" s="224"/>
      <c r="BT16" s="224"/>
      <c r="BU16" s="224"/>
      <c r="BV16" s="224"/>
      <c r="BW16" s="224"/>
      <c r="BX16" s="224"/>
      <c r="BY16" s="224"/>
      <c r="BZ16" s="224"/>
      <c r="CA16" s="224"/>
      <c r="CB16" s="224"/>
      <c r="CC16" s="224"/>
      <c r="CD16" s="224"/>
      <c r="CE16" s="224"/>
      <c r="CF16" s="224"/>
      <c r="CG16" s="224"/>
      <c r="CH16" s="224"/>
      <c r="CI16" s="224"/>
      <c r="CJ16" s="224"/>
      <c r="CK16" s="224"/>
      <c r="CL16" s="224"/>
      <c r="CM16" s="224"/>
      <c r="CN16" s="224"/>
      <c r="CO16" s="224"/>
      <c r="CP16" s="224"/>
      <c r="CQ16" s="224"/>
    </row>
    <row r="17" spans="1:99" s="17" customFormat="1" ht="25.95" customHeight="1" thickTop="1" thickBot="1" x14ac:dyDescent="0.3">
      <c r="A17" s="224"/>
      <c r="B17" s="283">
        <v>217000</v>
      </c>
      <c r="C17" s="265"/>
      <c r="D17" s="371">
        <v>3</v>
      </c>
      <c r="E17" s="371"/>
      <c r="F17" s="371"/>
      <c r="G17" s="371"/>
      <c r="H17" s="371"/>
      <c r="I17" s="268"/>
      <c r="J17" s="372">
        <v>2</v>
      </c>
      <c r="K17" s="372"/>
      <c r="L17" s="372"/>
      <c r="M17" s="372"/>
      <c r="N17" s="372"/>
      <c r="O17" s="268"/>
      <c r="P17" s="373"/>
      <c r="Q17" s="373"/>
      <c r="R17" s="373"/>
      <c r="S17" s="373">
        <v>1</v>
      </c>
      <c r="T17" s="373"/>
      <c r="U17" s="270">
        <v>5</v>
      </c>
      <c r="V17" s="372">
        <v>2</v>
      </c>
      <c r="W17" s="372"/>
      <c r="X17" s="372"/>
      <c r="Y17" s="270"/>
      <c r="Z17" s="405">
        <v>2</v>
      </c>
      <c r="AA17" s="405"/>
      <c r="AB17" s="405"/>
      <c r="AC17" s="272"/>
      <c r="AD17" s="405"/>
      <c r="AE17" s="405">
        <v>1</v>
      </c>
      <c r="AF17" s="405"/>
      <c r="AG17" s="224"/>
      <c r="AH17" s="224"/>
      <c r="AI17" s="224"/>
      <c r="AJ17" s="224"/>
      <c r="AK17" s="224"/>
      <c r="AL17" s="224"/>
      <c r="AM17" s="224"/>
      <c r="AN17" s="224"/>
      <c r="AO17" s="224"/>
      <c r="AP17" s="224"/>
      <c r="AQ17" s="224"/>
      <c r="AR17" s="224"/>
      <c r="AS17" s="224"/>
      <c r="AT17" s="224"/>
      <c r="AU17" s="224"/>
      <c r="AV17" s="224"/>
      <c r="AW17" s="224"/>
      <c r="AX17" s="224"/>
      <c r="AY17" s="224"/>
      <c r="AZ17" s="224"/>
      <c r="BA17" s="224"/>
      <c r="BB17" s="224"/>
      <c r="BC17" s="224"/>
      <c r="BD17" s="224"/>
      <c r="BE17" s="224"/>
      <c r="BF17" s="224"/>
      <c r="BG17" s="224"/>
      <c r="BH17" s="224"/>
      <c r="BI17" s="224"/>
      <c r="BJ17" s="224"/>
      <c r="BK17" s="224"/>
      <c r="BL17" s="224"/>
      <c r="BM17" s="224"/>
      <c r="BN17" s="224"/>
      <c r="BO17" s="224"/>
      <c r="BP17" s="224"/>
      <c r="BQ17" s="224"/>
      <c r="BR17" s="224"/>
      <c r="BS17" s="224"/>
      <c r="BT17" s="224"/>
      <c r="BU17" s="224"/>
      <c r="BV17" s="224"/>
      <c r="BW17" s="224"/>
      <c r="BX17" s="224"/>
      <c r="BY17" s="224"/>
      <c r="BZ17" s="224"/>
      <c r="CA17" s="224"/>
      <c r="CB17" s="224"/>
      <c r="CC17" s="224"/>
      <c r="CD17" s="224"/>
      <c r="CE17" s="224"/>
      <c r="CF17" s="224"/>
      <c r="CG17" s="224"/>
      <c r="CH17" s="224"/>
      <c r="CI17" s="224"/>
      <c r="CJ17" s="224"/>
      <c r="CK17" s="224"/>
      <c r="CL17" s="224"/>
      <c r="CM17" s="224"/>
      <c r="CN17" s="224"/>
      <c r="CO17" s="224"/>
      <c r="CP17" s="224"/>
      <c r="CQ17" s="224"/>
    </row>
    <row r="18" spans="1:99" s="17" customFormat="1" ht="11.4" customHeight="1" thickTop="1" thickBot="1" x14ac:dyDescent="0.3">
      <c r="A18" s="224"/>
      <c r="B18" s="284"/>
      <c r="C18" s="265"/>
      <c r="D18" s="267"/>
      <c r="E18" s="267"/>
      <c r="F18" s="267"/>
      <c r="G18" s="267"/>
      <c r="H18" s="267"/>
      <c r="I18" s="268"/>
      <c r="J18" s="269"/>
      <c r="K18" s="269"/>
      <c r="L18" s="269"/>
      <c r="M18" s="269"/>
      <c r="N18" s="269"/>
      <c r="O18" s="268"/>
      <c r="P18" s="267"/>
      <c r="Q18" s="267"/>
      <c r="R18" s="267"/>
      <c r="S18" s="267"/>
      <c r="T18" s="267"/>
      <c r="U18" s="270"/>
      <c r="V18" s="269"/>
      <c r="W18" s="269"/>
      <c r="X18" s="269"/>
      <c r="Y18" s="270"/>
      <c r="Z18" s="271"/>
      <c r="AA18" s="271"/>
      <c r="AB18" s="271"/>
      <c r="AC18" s="272"/>
      <c r="AD18" s="271"/>
      <c r="AE18" s="271"/>
      <c r="AF18" s="271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/>
      <c r="BE18" s="224"/>
      <c r="BF18" s="224"/>
      <c r="BG18" s="224"/>
      <c r="BH18" s="224"/>
      <c r="BI18" s="224"/>
      <c r="BJ18" s="224"/>
      <c r="BK18" s="224"/>
      <c r="BL18" s="224"/>
      <c r="BM18" s="224"/>
      <c r="BN18" s="224"/>
      <c r="BO18" s="224"/>
      <c r="BP18" s="224"/>
      <c r="BQ18" s="224"/>
      <c r="BR18" s="224"/>
      <c r="BS18" s="224"/>
      <c r="BT18" s="224"/>
      <c r="BU18" s="224"/>
      <c r="BV18" s="224"/>
      <c r="BW18" s="224"/>
      <c r="BX18" s="224"/>
      <c r="BY18" s="224"/>
      <c r="BZ18" s="224"/>
      <c r="CA18" s="224"/>
      <c r="CB18" s="224"/>
      <c r="CC18" s="224"/>
      <c r="CD18" s="224"/>
      <c r="CE18" s="224"/>
      <c r="CF18" s="224"/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</row>
    <row r="19" spans="1:99" ht="39.6" customHeight="1" x14ac:dyDescent="0.25">
      <c r="A19" s="221"/>
      <c r="B19" s="285" t="s">
        <v>111</v>
      </c>
      <c r="C19" s="266"/>
      <c r="D19" s="404">
        <f>IF($D$9&lt;9,VLOOKUP($D$9,Ordinary_Rates,12),VLOOKUP($D$9,Ordinary_Rates,12))</f>
        <v>490.7</v>
      </c>
      <c r="E19" s="404"/>
      <c r="F19" s="404">
        <f>IF($D$9&lt;12,($B$9*VLOOKUP($D$9,Ordinary_Rates,14)/100),VLOOKUP($D$9,Ordinary_Rates,13))</f>
        <v>581.70707617271762</v>
      </c>
      <c r="G19" s="404"/>
      <c r="H19" s="404"/>
      <c r="I19" s="296"/>
      <c r="J19" s="404">
        <f>VLOOKUP($J$9, Waste_Mgmt,8)</f>
        <v>679</v>
      </c>
      <c r="K19" s="404"/>
      <c r="L19" s="404"/>
      <c r="M19" s="404"/>
      <c r="N19" s="404"/>
      <c r="O19" s="296"/>
      <c r="P19" s="404">
        <f>VLOOKUP($S$9,Add_Garbage,8)</f>
        <v>0</v>
      </c>
      <c r="Q19" s="404"/>
      <c r="R19" s="404"/>
      <c r="S19" s="404"/>
      <c r="T19" s="404"/>
      <c r="U19" s="296"/>
      <c r="V19" s="404">
        <f>VLOOKUP($V$9,Water,8)</f>
        <v>130</v>
      </c>
      <c r="W19" s="404"/>
      <c r="X19" s="404"/>
      <c r="Y19" s="296"/>
      <c r="Z19" s="404">
        <f>IF($D$9&lt;12,VLOOKUP($Z$9,Sewer,8),IF($D$9=8,VLOOKUP($Z$9,Sewer,5),IF($D$9=7,VLOOKUP($Z$9,Sewer,4),IF($D$9=8,VLOOKUP($Z$9,Sewer,5),0))))</f>
        <v>962</v>
      </c>
      <c r="AA19" s="404"/>
      <c r="AB19" s="404"/>
      <c r="AC19" s="296"/>
      <c r="AD19" s="404">
        <f>+AH21+AJ21+AI21</f>
        <v>-402.5</v>
      </c>
      <c r="AE19" s="404"/>
      <c r="AF19" s="404"/>
      <c r="AG19" s="221"/>
      <c r="AH19" s="287" t="s">
        <v>62</v>
      </c>
      <c r="AI19" s="287" t="s">
        <v>80</v>
      </c>
      <c r="AK19" s="221"/>
      <c r="AL19" s="221"/>
      <c r="AM19" s="221"/>
      <c r="AN19" s="221"/>
      <c r="AO19" s="221"/>
      <c r="AP19" s="221"/>
      <c r="AQ19" s="221"/>
      <c r="AR19" s="221"/>
      <c r="AS19" s="221"/>
      <c r="AT19" s="221"/>
      <c r="AU19" s="221"/>
      <c r="AV19" s="221"/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221"/>
      <c r="BO19" s="221"/>
      <c r="BP19" s="221"/>
      <c r="BQ19" s="221"/>
      <c r="BR19" s="221"/>
      <c r="BS19" s="221"/>
      <c r="BT19" s="221"/>
      <c r="BU19" s="221"/>
      <c r="BV19" s="221"/>
      <c r="BW19" s="221"/>
      <c r="BX19" s="221"/>
      <c r="BY19" s="221"/>
      <c r="BZ19" s="221"/>
      <c r="CA19" s="221"/>
      <c r="CB19" s="221"/>
      <c r="CC19" s="221"/>
      <c r="CD19" s="221"/>
      <c r="CE19" s="221"/>
      <c r="CF19" s="221"/>
      <c r="CG19" s="221"/>
      <c r="CH19" s="221"/>
      <c r="CI19" s="221"/>
      <c r="CJ19" s="221"/>
      <c r="CK19" s="221"/>
      <c r="CL19" s="221"/>
      <c r="CM19" s="221"/>
      <c r="CN19" s="221"/>
      <c r="CO19" s="221"/>
      <c r="CP19" s="221"/>
      <c r="CQ19" s="221"/>
    </row>
    <row r="20" spans="1:99" ht="6.6" customHeight="1" x14ac:dyDescent="0.25">
      <c r="A20" s="221"/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87"/>
      <c r="AI20" s="287"/>
      <c r="AK20" s="221"/>
      <c r="AL20" s="221"/>
      <c r="AM20" s="221"/>
      <c r="AN20" s="221"/>
      <c r="AO20" s="221"/>
      <c r="AP20" s="221"/>
      <c r="AQ20" s="221"/>
      <c r="AR20" s="221"/>
      <c r="AS20" s="221"/>
      <c r="AT20" s="221"/>
      <c r="AU20" s="221"/>
      <c r="AV20" s="221"/>
      <c r="AW20" s="221"/>
      <c r="AX20" s="221"/>
      <c r="AY20" s="221"/>
      <c r="AZ20" s="221"/>
      <c r="BA20" s="221"/>
      <c r="BB20" s="221"/>
      <c r="BC20" s="221"/>
      <c r="BD20" s="221"/>
      <c r="BE20" s="221"/>
      <c r="BF20" s="221"/>
      <c r="BG20" s="221"/>
      <c r="BH20" s="221"/>
      <c r="BI20" s="221"/>
      <c r="BJ20" s="221"/>
      <c r="BK20" s="221"/>
      <c r="BL20" s="221"/>
      <c r="BM20" s="221"/>
      <c r="BN20" s="221"/>
      <c r="BO20" s="221"/>
      <c r="BP20" s="221"/>
      <c r="BQ20" s="221"/>
      <c r="BR20" s="221"/>
      <c r="BS20" s="221"/>
      <c r="BT20" s="221"/>
      <c r="BU20" s="221"/>
      <c r="BV20" s="221"/>
      <c r="BW20" s="221"/>
      <c r="BX20" s="221"/>
      <c r="BY20" s="221"/>
      <c r="BZ20" s="221"/>
      <c r="CA20" s="221"/>
      <c r="CB20" s="221"/>
      <c r="CC20" s="221"/>
      <c r="CD20" s="221"/>
      <c r="CE20" s="221"/>
      <c r="CF20" s="221"/>
      <c r="CG20" s="221"/>
      <c r="CH20" s="221"/>
      <c r="CI20" s="221"/>
      <c r="CJ20" s="221"/>
      <c r="CK20" s="221"/>
      <c r="CL20" s="221"/>
      <c r="CM20" s="221"/>
      <c r="CN20" s="221"/>
      <c r="CO20" s="221"/>
      <c r="CP20" s="221"/>
      <c r="CQ20" s="221"/>
    </row>
    <row r="21" spans="1:99" ht="36" customHeight="1" x14ac:dyDescent="0.25">
      <c r="A21" s="221"/>
      <c r="B21" s="278">
        <f>IFERROR(IF($D$9&gt;12,VLOOKUP(5,Sewer,4),IF($D$9&lt;12,(D19+F19+J19+P19+V19+Z19+AD19+AE19),VLOOKUP($D$9,Ordinary_Rates,10))),"Contact Council")</f>
        <v>2440.9070761727176</v>
      </c>
      <c r="C21" s="282"/>
      <c r="D21" s="360">
        <f>IFERROR(B21-B12,"Contact Council")</f>
        <v>110.72681563241804</v>
      </c>
      <c r="E21" s="361"/>
      <c r="F21" s="361"/>
      <c r="G21" s="361"/>
      <c r="H21" s="362"/>
      <c r="I21" s="221"/>
      <c r="J21" s="360">
        <f>IFERROR(D21/52,"Contact Council")</f>
        <v>2.1293618390849622</v>
      </c>
      <c r="K21" s="361"/>
      <c r="L21" s="361"/>
      <c r="M21" s="361"/>
      <c r="N21" s="362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79">
        <f>IF(Z19&gt;0,-IF($D$9&lt;8,VLOOKUP($AE$9,Pensioner,6),0),0)</f>
        <v>-87.5</v>
      </c>
      <c r="AI21" s="279">
        <f>IF(V19&gt;0,-IF($D$9&lt;8,VLOOKUP($AE$9,Pensioner,5),0),0)</f>
        <v>-65</v>
      </c>
      <c r="AJ21" s="279">
        <f>-IF($D$9&lt;8,VLOOKUP($AE$9,Pensioner,4),0)</f>
        <v>-250</v>
      </c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1"/>
      <c r="BB21" s="221"/>
      <c r="BC21" s="221"/>
      <c r="BD21" s="221"/>
      <c r="BE21" s="221"/>
      <c r="BF21" s="221"/>
      <c r="BG21" s="221"/>
      <c r="BH21" s="221"/>
      <c r="BI21" s="221"/>
      <c r="BJ21" s="221"/>
      <c r="BK21" s="221"/>
      <c r="BL21" s="221"/>
      <c r="BM21" s="221"/>
      <c r="BN21" s="221"/>
      <c r="BO21" s="221"/>
      <c r="BP21" s="221"/>
      <c r="BQ21" s="221"/>
      <c r="BR21" s="221"/>
      <c r="BS21" s="221"/>
      <c r="BT21" s="221"/>
      <c r="BU21" s="221"/>
      <c r="BV21" s="221"/>
      <c r="BW21" s="221"/>
      <c r="BX21" s="221"/>
      <c r="BY21" s="221"/>
      <c r="BZ21" s="221"/>
      <c r="CA21" s="221"/>
      <c r="CB21" s="221"/>
      <c r="CC21" s="221"/>
      <c r="CD21" s="221"/>
      <c r="CE21" s="221"/>
      <c r="CF21" s="221"/>
      <c r="CG21" s="221"/>
      <c r="CH21" s="221"/>
      <c r="CI21" s="221"/>
      <c r="CJ21" s="221"/>
      <c r="CK21" s="221"/>
      <c r="CL21" s="221"/>
      <c r="CM21" s="221"/>
      <c r="CN21" s="221"/>
      <c r="CO21" s="221"/>
      <c r="CP21" s="221"/>
      <c r="CQ21" s="221"/>
    </row>
    <row r="22" spans="1:99" ht="3.6" customHeight="1" x14ac:dyDescent="0.25">
      <c r="A22" s="221"/>
      <c r="B22" s="221"/>
      <c r="C22" s="221"/>
      <c r="D22" s="221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</row>
    <row r="23" spans="1:99" ht="20.7" customHeight="1" thickBot="1" x14ac:dyDescent="0.3">
      <c r="A23" s="221"/>
      <c r="B23" s="259" t="s">
        <v>110</v>
      </c>
      <c r="C23" s="221"/>
      <c r="D23" s="221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K23" s="221"/>
      <c r="AL23" s="221"/>
      <c r="AM23" s="221"/>
      <c r="AN23" s="221"/>
      <c r="AO23" s="221"/>
      <c r="AP23" s="221"/>
      <c r="AQ23" s="221"/>
      <c r="AR23" s="221"/>
      <c r="AS23" s="221"/>
      <c r="AT23" s="221"/>
      <c r="AU23" s="221"/>
      <c r="AV23" s="221"/>
      <c r="AW23" s="221"/>
      <c r="AX23" s="221"/>
      <c r="AY23" s="221"/>
      <c r="AZ23" s="221"/>
      <c r="BA23" s="221"/>
      <c r="BB23" s="221"/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</row>
    <row r="24" spans="1:99" ht="31.2" customHeight="1" x14ac:dyDescent="0.25">
      <c r="A24" s="221"/>
      <c r="B24" s="213"/>
      <c r="C24" s="214"/>
      <c r="D24" s="336" t="s">
        <v>101</v>
      </c>
      <c r="E24" s="337"/>
      <c r="F24" s="338"/>
      <c r="G24" s="215"/>
      <c r="H24" s="339" t="s">
        <v>102</v>
      </c>
      <c r="I24" s="340"/>
      <c r="J24" s="340"/>
      <c r="K24" s="340"/>
      <c r="L24" s="339" t="s">
        <v>103</v>
      </c>
      <c r="M24" s="341"/>
      <c r="N24" s="341"/>
      <c r="O24" s="342"/>
      <c r="P24" s="339" t="s">
        <v>104</v>
      </c>
      <c r="Q24" s="340"/>
      <c r="R24" s="340"/>
      <c r="S24" s="370"/>
      <c r="T24" s="363" t="s">
        <v>123</v>
      </c>
      <c r="U24" s="364"/>
      <c r="V24" s="364"/>
      <c r="W24" s="365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1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1"/>
      <c r="BX24" s="221"/>
      <c r="BY24" s="221"/>
      <c r="BZ24" s="221"/>
      <c r="CA24" s="221"/>
      <c r="CB24" s="221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1"/>
    </row>
    <row r="25" spans="1:99" ht="36" customHeight="1" x14ac:dyDescent="0.25">
      <c r="A25" s="221"/>
      <c r="B25" s="216" t="s">
        <v>95</v>
      </c>
      <c r="C25" s="209"/>
      <c r="D25" s="357" t="s">
        <v>105</v>
      </c>
      <c r="E25" s="358"/>
      <c r="F25" s="359"/>
      <c r="G25" s="210"/>
      <c r="H25" s="347" t="s">
        <v>106</v>
      </c>
      <c r="I25" s="348"/>
      <c r="J25" s="348"/>
      <c r="K25" s="349"/>
      <c r="L25" s="347" t="s">
        <v>106</v>
      </c>
      <c r="M25" s="348"/>
      <c r="N25" s="348"/>
      <c r="O25" s="349"/>
      <c r="P25" s="347" t="s">
        <v>106</v>
      </c>
      <c r="Q25" s="348"/>
      <c r="R25" s="348"/>
      <c r="S25" s="350"/>
      <c r="T25" s="366"/>
      <c r="U25" s="367"/>
      <c r="V25" s="367"/>
      <c r="W25" s="368"/>
      <c r="X25" s="221"/>
      <c r="Y25" s="221"/>
      <c r="Z25" s="221"/>
      <c r="AA25" s="221"/>
      <c r="AB25" s="221"/>
      <c r="AC25" s="221"/>
      <c r="AD25" s="221"/>
      <c r="AE25" s="221"/>
      <c r="AF25" s="221"/>
      <c r="AG25" s="221"/>
      <c r="AK25" s="221"/>
      <c r="AL25" s="221"/>
      <c r="AM25" s="221"/>
      <c r="AN25" s="221"/>
      <c r="AO25" s="221"/>
      <c r="AP25" s="221"/>
      <c r="AQ25" s="221"/>
      <c r="AR25" s="221"/>
      <c r="AS25" s="221"/>
      <c r="AT25" s="221"/>
      <c r="AU25" s="221"/>
      <c r="AV25" s="221"/>
      <c r="AW25" s="221"/>
      <c r="AX25" s="221"/>
      <c r="AY25" s="221"/>
      <c r="AZ25" s="221"/>
      <c r="BA25" s="221"/>
      <c r="BB25" s="221"/>
      <c r="BC25" s="221"/>
      <c r="BD25" s="221"/>
      <c r="BE25" s="221"/>
      <c r="BF25" s="221"/>
      <c r="BG25" s="221"/>
      <c r="BH25" s="221"/>
      <c r="BI25" s="221"/>
      <c r="BJ25" s="221"/>
      <c r="BK25" s="221"/>
      <c r="BL25" s="221"/>
      <c r="BM25" s="221"/>
      <c r="BN25" s="221"/>
      <c r="BO25" s="221"/>
      <c r="BP25" s="221"/>
      <c r="BQ25" s="221"/>
      <c r="BR25" s="221"/>
      <c r="BS25" s="221"/>
      <c r="BT25" s="221"/>
      <c r="BU25" s="221"/>
      <c r="BV25" s="221"/>
      <c r="BW25" s="221"/>
      <c r="BX25" s="221"/>
      <c r="BY25" s="221"/>
      <c r="BZ25" s="221"/>
      <c r="CA25" s="221"/>
      <c r="CB25" s="221"/>
      <c r="CC25" s="221"/>
      <c r="CD25" s="221"/>
      <c r="CE25" s="221"/>
      <c r="CF25" s="221"/>
      <c r="CG25" s="221"/>
      <c r="CH25" s="221"/>
      <c r="CI25" s="221"/>
      <c r="CJ25" s="221"/>
      <c r="CK25" s="221"/>
      <c r="CL25" s="221"/>
      <c r="CM25" s="221"/>
      <c r="CN25" s="221"/>
      <c r="CO25" s="221"/>
      <c r="CP25" s="221"/>
      <c r="CQ25" s="221"/>
    </row>
    <row r="26" spans="1:99" ht="22.95" customHeight="1" x14ac:dyDescent="0.3">
      <c r="A26" s="221"/>
      <c r="B26" s="217" t="s">
        <v>34</v>
      </c>
      <c r="C26" s="211"/>
      <c r="D26" s="353">
        <f>+SUM(D12:H12)</f>
        <v>1011.6802605402995</v>
      </c>
      <c r="E26" s="354"/>
      <c r="F26" s="355"/>
      <c r="G26" s="212"/>
      <c r="H26" s="316">
        <f>+SUM(D19:H19)</f>
        <v>1072.4070761727176</v>
      </c>
      <c r="I26" s="317"/>
      <c r="J26" s="317"/>
      <c r="K26" s="318"/>
      <c r="L26" s="316">
        <f>+H26*1.06</f>
        <v>1136.7515007430807</v>
      </c>
      <c r="M26" s="317"/>
      <c r="N26" s="317"/>
      <c r="O26" s="318"/>
      <c r="P26" s="316">
        <f>+L26*1.06</f>
        <v>1204.9565907876656</v>
      </c>
      <c r="Q26" s="317"/>
      <c r="R26" s="317"/>
      <c r="S26" s="328"/>
      <c r="T26" s="322">
        <f>IFERROR(((P26-D26)/D26)/3,0)</f>
        <v>6.3681625439031053E-2</v>
      </c>
      <c r="U26" s="323"/>
      <c r="V26" s="323"/>
      <c r="W26" s="324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K26" s="221"/>
      <c r="AL26" s="221"/>
      <c r="AM26" s="221"/>
      <c r="AN26" s="221"/>
      <c r="AO26" s="221"/>
      <c r="AP26" s="221"/>
      <c r="AQ26" s="221"/>
      <c r="AR26" s="221"/>
      <c r="AS26" s="221"/>
      <c r="AT26" s="221"/>
      <c r="AU26" s="221"/>
      <c r="AV26" s="221"/>
      <c r="AW26" s="221"/>
      <c r="AX26" s="221"/>
      <c r="AY26" s="221"/>
      <c r="AZ26" s="221"/>
      <c r="BA26" s="221"/>
      <c r="BB26" s="221"/>
      <c r="BC26" s="221"/>
      <c r="BD26" s="221"/>
      <c r="BE26" s="221"/>
      <c r="BF26" s="221"/>
      <c r="BG26" s="221"/>
      <c r="BH26" s="221"/>
      <c r="BI26" s="221"/>
      <c r="BJ26" s="221"/>
      <c r="BK26" s="221"/>
      <c r="BL26" s="221"/>
      <c r="BM26" s="221"/>
      <c r="BN26" s="221"/>
      <c r="BO26" s="221"/>
      <c r="BP26" s="221"/>
      <c r="BQ26" s="221"/>
      <c r="BR26" s="221"/>
      <c r="BS26" s="221"/>
      <c r="BT26" s="221"/>
      <c r="BU26" s="221"/>
      <c r="BV26" s="221"/>
      <c r="BW26" s="221"/>
      <c r="BX26" s="221"/>
      <c r="BY26" s="221"/>
      <c r="BZ26" s="221"/>
      <c r="CA26" s="221"/>
      <c r="CB26" s="221"/>
      <c r="CC26" s="221"/>
      <c r="CD26" s="221"/>
      <c r="CE26" s="221"/>
      <c r="CF26" s="276"/>
      <c r="CG26" s="300" t="s">
        <v>101</v>
      </c>
      <c r="CH26" s="301"/>
      <c r="CI26" s="302"/>
      <c r="CJ26" s="303" t="s">
        <v>102</v>
      </c>
      <c r="CK26" s="304"/>
      <c r="CL26" s="304"/>
      <c r="CM26" s="304"/>
      <c r="CN26" s="303" t="s">
        <v>103</v>
      </c>
      <c r="CO26" s="305"/>
      <c r="CP26" s="305"/>
      <c r="CQ26" s="306"/>
      <c r="CR26" s="307" t="s">
        <v>104</v>
      </c>
      <c r="CS26" s="308"/>
      <c r="CT26" s="308"/>
      <c r="CU26" s="309"/>
    </row>
    <row r="27" spans="1:99" ht="22.95" customHeight="1" x14ac:dyDescent="0.3">
      <c r="A27" s="221"/>
      <c r="B27" s="217" t="s">
        <v>96</v>
      </c>
      <c r="C27" s="211"/>
      <c r="D27" s="330">
        <f>+Z12</f>
        <v>934</v>
      </c>
      <c r="E27" s="331"/>
      <c r="F27" s="332"/>
      <c r="G27" s="212"/>
      <c r="H27" s="325">
        <f>+Z19</f>
        <v>962</v>
      </c>
      <c r="I27" s="326"/>
      <c r="J27" s="326"/>
      <c r="K27" s="327"/>
      <c r="L27" s="325">
        <f>IFERROR(ROUND(H27*1.025,-0.1),"Contact Council")</f>
        <v>986</v>
      </c>
      <c r="M27" s="326"/>
      <c r="N27" s="326"/>
      <c r="O27" s="327"/>
      <c r="P27" s="325">
        <f>IFERROR(ROUND(L27*1.025,-0.1),"Contact Council")</f>
        <v>1011</v>
      </c>
      <c r="Q27" s="326"/>
      <c r="R27" s="326"/>
      <c r="S27" s="329"/>
      <c r="T27" s="322">
        <f t="shared" ref="T27:T31" si="0">IFERROR(((P27-D27)/D27)/3,0)</f>
        <v>2.7480371163454673E-2</v>
      </c>
      <c r="U27" s="323"/>
      <c r="V27" s="323"/>
      <c r="W27" s="324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221"/>
      <c r="AU27" s="221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221"/>
      <c r="BG27" s="221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221"/>
      <c r="BS27" s="221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221"/>
      <c r="CE27" s="221"/>
      <c r="CF27" s="277" t="s">
        <v>109</v>
      </c>
      <c r="CG27" s="310">
        <f>D26</f>
        <v>1011.6802605402995</v>
      </c>
      <c r="CH27" s="311"/>
      <c r="CI27" s="312"/>
      <c r="CJ27" s="313">
        <f>H26</f>
        <v>1072.4070761727176</v>
      </c>
      <c r="CK27" s="314"/>
      <c r="CL27" s="314"/>
      <c r="CM27" s="315"/>
      <c r="CN27" s="313">
        <f t="shared" ref="CN27" si="1">L26</f>
        <v>1136.7515007430807</v>
      </c>
      <c r="CO27" s="314"/>
      <c r="CP27" s="314"/>
      <c r="CQ27" s="315"/>
      <c r="CR27" s="316">
        <f t="shared" ref="CR27" si="2">P26</f>
        <v>1204.9565907876656</v>
      </c>
      <c r="CS27" s="317"/>
      <c r="CT27" s="317"/>
      <c r="CU27" s="318"/>
    </row>
    <row r="28" spans="1:99" ht="22.95" customHeight="1" x14ac:dyDescent="0.3">
      <c r="A28" s="221"/>
      <c r="B28" s="217" t="s">
        <v>97</v>
      </c>
      <c r="C28" s="211"/>
      <c r="D28" s="330">
        <f>+V12</f>
        <v>126</v>
      </c>
      <c r="E28" s="331"/>
      <c r="F28" s="332"/>
      <c r="G28" s="212"/>
      <c r="H28" s="325">
        <f>+V19</f>
        <v>130</v>
      </c>
      <c r="I28" s="326"/>
      <c r="J28" s="326"/>
      <c r="K28" s="327"/>
      <c r="L28" s="325">
        <f>IFERROR(ROUND(H28*1.025,-0.1),"Contact Council")</f>
        <v>133</v>
      </c>
      <c r="M28" s="326"/>
      <c r="N28" s="326"/>
      <c r="O28" s="327"/>
      <c r="P28" s="325">
        <f>IFERROR(ROUND(L28*1.025,-0.1),"Contact Council")</f>
        <v>136</v>
      </c>
      <c r="Q28" s="326"/>
      <c r="R28" s="326"/>
      <c r="S28" s="329"/>
      <c r="T28" s="322">
        <f t="shared" si="0"/>
        <v>2.6455026455026454E-2</v>
      </c>
      <c r="U28" s="323"/>
      <c r="V28" s="323"/>
      <c r="W28" s="324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77" t="s">
        <v>121</v>
      </c>
      <c r="CG28" s="319">
        <f>CG27</f>
        <v>1011.6802605402995</v>
      </c>
      <c r="CH28" s="320"/>
      <c r="CI28" s="321"/>
      <c r="CJ28" s="313">
        <f>CG28*1.023</f>
        <v>1034.9489065327264</v>
      </c>
      <c r="CK28" s="314"/>
      <c r="CL28" s="314"/>
      <c r="CM28" s="315"/>
      <c r="CN28" s="313">
        <f>CJ28*1.025</f>
        <v>1060.8226291960445</v>
      </c>
      <c r="CO28" s="314"/>
      <c r="CP28" s="314"/>
      <c r="CQ28" s="315"/>
      <c r="CR28" s="316">
        <f>CN28*1.025</f>
        <v>1087.3431949259455</v>
      </c>
      <c r="CS28" s="317"/>
      <c r="CT28" s="317"/>
      <c r="CU28" s="318"/>
    </row>
    <row r="29" spans="1:99" ht="22.95" customHeight="1" x14ac:dyDescent="0.3">
      <c r="A29" s="221"/>
      <c r="B29" s="217" t="s">
        <v>98</v>
      </c>
      <c r="C29" s="211"/>
      <c r="D29" s="330">
        <f>+J12</f>
        <v>659</v>
      </c>
      <c r="E29" s="331"/>
      <c r="F29" s="332"/>
      <c r="G29" s="212"/>
      <c r="H29" s="325">
        <f>+J19</f>
        <v>679</v>
      </c>
      <c r="I29" s="326"/>
      <c r="J29" s="326"/>
      <c r="K29" s="327"/>
      <c r="L29" s="325">
        <f>IFERROR(ROUND(H29*1.025,-0.1),"Contact Council")</f>
        <v>696</v>
      </c>
      <c r="M29" s="326"/>
      <c r="N29" s="326"/>
      <c r="O29" s="327"/>
      <c r="P29" s="325">
        <f>IFERROR(ROUND(L29*1.025,-0.1),"Contact Council")</f>
        <v>713</v>
      </c>
      <c r="Q29" s="326"/>
      <c r="R29" s="326"/>
      <c r="S29" s="329"/>
      <c r="T29" s="322">
        <f t="shared" si="0"/>
        <v>2.7314112291350532E-2</v>
      </c>
      <c r="U29" s="323"/>
      <c r="V29" s="323"/>
      <c r="W29" s="324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K29" s="221"/>
      <c r="AL29" s="221"/>
      <c r="AM29" s="221"/>
      <c r="AN29" s="221"/>
      <c r="AO29" s="221"/>
      <c r="AP29" s="221"/>
      <c r="AQ29" s="221"/>
      <c r="AR29" s="221"/>
      <c r="AS29" s="221"/>
      <c r="AT29" s="221"/>
      <c r="AU29" s="221"/>
      <c r="AV29" s="221"/>
      <c r="AW29" s="221"/>
      <c r="AX29" s="221"/>
      <c r="AY29" s="221"/>
      <c r="AZ29" s="221"/>
      <c r="BA29" s="221"/>
      <c r="BB29" s="221"/>
      <c r="BC29" s="221"/>
      <c r="BD29" s="221"/>
      <c r="BE29" s="221"/>
      <c r="BF29" s="221"/>
      <c r="BG29" s="221"/>
      <c r="BH29" s="221"/>
      <c r="BI29" s="221"/>
      <c r="BJ29" s="221"/>
      <c r="BK29" s="221"/>
      <c r="BL29" s="221"/>
      <c r="BM29" s="221"/>
      <c r="BN29" s="221"/>
      <c r="BO29" s="221"/>
      <c r="BP29" s="221"/>
      <c r="BQ29" s="221"/>
      <c r="BR29" s="221"/>
      <c r="BS29" s="221"/>
      <c r="BT29" s="221"/>
      <c r="BU29" s="221"/>
      <c r="BV29" s="221"/>
      <c r="BW29" s="221"/>
      <c r="BX29" s="221"/>
      <c r="BY29" s="221"/>
      <c r="BZ29" s="221"/>
      <c r="CA29" s="221"/>
      <c r="CB29" s="221"/>
      <c r="CC29" s="221"/>
      <c r="CD29" s="221"/>
      <c r="CE29" s="221"/>
      <c r="CF29" s="221"/>
      <c r="CG29" s="221"/>
      <c r="CH29" s="221"/>
      <c r="CI29" s="221"/>
      <c r="CJ29" s="221"/>
      <c r="CK29" s="221"/>
      <c r="CL29" s="221"/>
      <c r="CM29" s="221"/>
      <c r="CN29" s="221"/>
      <c r="CO29" s="221"/>
      <c r="CP29" s="221"/>
      <c r="CQ29" s="221"/>
    </row>
    <row r="30" spans="1:99" ht="22.95" customHeight="1" x14ac:dyDescent="0.3">
      <c r="A30" s="221"/>
      <c r="B30" s="217" t="s">
        <v>107</v>
      </c>
      <c r="C30" s="211"/>
      <c r="D30" s="330">
        <f>+P12</f>
        <v>0</v>
      </c>
      <c r="E30" s="331"/>
      <c r="F30" s="332"/>
      <c r="G30" s="212"/>
      <c r="H30" s="325">
        <f>+P19</f>
        <v>0</v>
      </c>
      <c r="I30" s="326"/>
      <c r="J30" s="326"/>
      <c r="K30" s="327"/>
      <c r="L30" s="325">
        <f>IFERROR(ROUND(H30*1.025,-0.1),"Contact Council")</f>
        <v>0</v>
      </c>
      <c r="M30" s="326"/>
      <c r="N30" s="326"/>
      <c r="O30" s="327"/>
      <c r="P30" s="325">
        <f>IFERROR(ROUND(L30*1.025,-0.1),"Contact Council")</f>
        <v>0</v>
      </c>
      <c r="Q30" s="326"/>
      <c r="R30" s="326"/>
      <c r="S30" s="329"/>
      <c r="T30" s="322">
        <f t="shared" si="0"/>
        <v>0</v>
      </c>
      <c r="U30" s="323"/>
      <c r="V30" s="323"/>
      <c r="W30" s="324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K30" s="221"/>
      <c r="AL30" s="221"/>
      <c r="AM30" s="221"/>
      <c r="AN30" s="221"/>
      <c r="AO30" s="221"/>
      <c r="AP30" s="221"/>
      <c r="AQ30" s="221"/>
      <c r="AR30" s="221"/>
      <c r="AS30" s="221"/>
      <c r="AT30" s="221"/>
      <c r="AU30" s="221"/>
      <c r="AV30" s="221"/>
      <c r="AW30" s="221"/>
      <c r="AX30" s="221"/>
      <c r="AY30" s="221"/>
      <c r="AZ30" s="221"/>
      <c r="BA30" s="221"/>
      <c r="BB30" s="221"/>
      <c r="BC30" s="221"/>
      <c r="BD30" s="221"/>
      <c r="BE30" s="221"/>
      <c r="BF30" s="221"/>
      <c r="BG30" s="221"/>
      <c r="BH30" s="221"/>
      <c r="BI30" s="221"/>
      <c r="BJ30" s="221"/>
      <c r="BK30" s="221"/>
      <c r="BL30" s="221"/>
      <c r="BM30" s="221"/>
      <c r="BN30" s="221"/>
      <c r="BO30" s="221"/>
      <c r="BP30" s="221"/>
      <c r="BQ30" s="221"/>
      <c r="BR30" s="221"/>
      <c r="BS30" s="221"/>
      <c r="BT30" s="221"/>
      <c r="BU30" s="221"/>
      <c r="BV30" s="221"/>
      <c r="BW30" s="221"/>
      <c r="BX30" s="221"/>
      <c r="BY30" s="221"/>
      <c r="BZ30" s="221"/>
      <c r="CA30" s="221"/>
      <c r="CB30" s="221"/>
      <c r="CC30" s="221"/>
      <c r="CD30" s="221"/>
      <c r="CE30" s="221"/>
      <c r="CF30" s="221"/>
      <c r="CG30" s="221"/>
      <c r="CH30" s="221"/>
      <c r="CI30" s="221"/>
      <c r="CJ30" s="221"/>
      <c r="CK30" s="221"/>
      <c r="CL30" s="221"/>
      <c r="CM30" s="221"/>
      <c r="CN30" s="221"/>
      <c r="CO30" s="221"/>
      <c r="CP30" s="221"/>
      <c r="CQ30" s="221"/>
    </row>
    <row r="31" spans="1:99" ht="22.95" customHeight="1" x14ac:dyDescent="0.3">
      <c r="A31" s="221"/>
      <c r="B31" s="217" t="s">
        <v>99</v>
      </c>
      <c r="C31" s="211"/>
      <c r="D31" s="330">
        <f>+AD12</f>
        <v>-400.5</v>
      </c>
      <c r="E31" s="331"/>
      <c r="F31" s="332"/>
      <c r="G31" s="212"/>
      <c r="H31" s="325">
        <f>+AD19</f>
        <v>-402.5</v>
      </c>
      <c r="I31" s="326"/>
      <c r="J31" s="326"/>
      <c r="K31" s="327"/>
      <c r="L31" s="325">
        <f>IF(AD19&lt;0,IF(V19&gt;0,H31-1.61,H31),0)</f>
        <v>-404.11</v>
      </c>
      <c r="M31" s="326"/>
      <c r="N31" s="326"/>
      <c r="O31" s="327"/>
      <c r="P31" s="325">
        <f>IF(AD19&lt;0,IF(V19&gt;0,L31-1.65,L31),0)</f>
        <v>-405.76</v>
      </c>
      <c r="Q31" s="326"/>
      <c r="R31" s="326"/>
      <c r="S31" s="327"/>
      <c r="T31" s="322">
        <f t="shared" si="0"/>
        <v>4.3778610070744827E-3</v>
      </c>
      <c r="U31" s="323"/>
      <c r="V31" s="323"/>
      <c r="W31" s="324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1"/>
      <c r="CF31" s="221"/>
      <c r="CG31" s="221"/>
      <c r="CH31" s="221"/>
      <c r="CI31" s="221"/>
      <c r="CJ31" s="221"/>
      <c r="CK31" s="221"/>
      <c r="CL31" s="221"/>
      <c r="CM31" s="221"/>
      <c r="CN31" s="221"/>
      <c r="CO31" s="221"/>
      <c r="CP31" s="221"/>
      <c r="CQ31" s="221"/>
    </row>
    <row r="32" spans="1:99" ht="22.95" customHeight="1" thickBot="1" x14ac:dyDescent="0.35">
      <c r="A32" s="221"/>
      <c r="B32" s="218" t="s">
        <v>100</v>
      </c>
      <c r="C32" s="219"/>
      <c r="D32" s="333">
        <f>+SUM(D26:F31)</f>
        <v>2330.1802605402995</v>
      </c>
      <c r="E32" s="334"/>
      <c r="F32" s="335"/>
      <c r="G32" s="220"/>
      <c r="H32" s="343">
        <f>SUM(H26:H31)</f>
        <v>2440.9070761727176</v>
      </c>
      <c r="I32" s="344"/>
      <c r="J32" s="344"/>
      <c r="K32" s="346"/>
      <c r="L32" s="343">
        <f>SUM(L26:L31)</f>
        <v>2547.6415007430805</v>
      </c>
      <c r="M32" s="344"/>
      <c r="N32" s="344"/>
      <c r="O32" s="346"/>
      <c r="P32" s="343">
        <f>SUM(P26:P31)</f>
        <v>2659.1965907876656</v>
      </c>
      <c r="Q32" s="344"/>
      <c r="R32" s="344"/>
      <c r="S32" s="345"/>
      <c r="T32" s="297">
        <f t="shared" ref="T32" si="3">IFERROR(((P32-D32)/D32)/3,0)</f>
        <v>4.7065933884885662E-2</v>
      </c>
      <c r="U32" s="298"/>
      <c r="V32" s="298"/>
      <c r="W32" s="299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K32" s="221"/>
      <c r="AL32" s="286">
        <f>+T32</f>
        <v>4.7065933884885662E-2</v>
      </c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1"/>
      <c r="BC32" s="221"/>
      <c r="BD32" s="221"/>
      <c r="BE32" s="221"/>
      <c r="BF32" s="221"/>
      <c r="BG32" s="221"/>
      <c r="BH32" s="221"/>
      <c r="BI32" s="221"/>
      <c r="BJ32" s="221"/>
      <c r="BK32" s="221"/>
      <c r="BL32" s="221"/>
      <c r="BM32" s="221"/>
      <c r="BN32" s="221"/>
      <c r="BO32" s="221"/>
      <c r="BP32" s="221"/>
      <c r="BQ32" s="221"/>
      <c r="BR32" s="221"/>
      <c r="BS32" s="221"/>
      <c r="BT32" s="221"/>
      <c r="BU32" s="221"/>
      <c r="BV32" s="221"/>
      <c r="BW32" s="221"/>
      <c r="BX32" s="221"/>
      <c r="BY32" s="221"/>
      <c r="BZ32" s="221"/>
      <c r="CA32" s="221"/>
      <c r="CB32" s="221"/>
      <c r="CC32" s="221"/>
      <c r="CD32" s="221"/>
      <c r="CE32" s="221"/>
      <c r="CF32" s="221"/>
      <c r="CG32" s="221"/>
      <c r="CH32" s="221"/>
      <c r="CI32" s="221"/>
      <c r="CJ32" s="221"/>
      <c r="CK32" s="221"/>
      <c r="CL32" s="221"/>
      <c r="CM32" s="221"/>
      <c r="CN32" s="221"/>
      <c r="CO32" s="221"/>
      <c r="CP32" s="221"/>
      <c r="CQ32" s="221"/>
    </row>
    <row r="33" spans="1:95" ht="20.25" customHeight="1" x14ac:dyDescent="0.3">
      <c r="A33" s="221"/>
      <c r="B33" s="221"/>
      <c r="C33" s="221"/>
      <c r="D33" s="221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1"/>
      <c r="R33" s="221"/>
      <c r="S33" s="288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1"/>
      <c r="BC33" s="221"/>
      <c r="BD33" s="221"/>
      <c r="BE33" s="221"/>
      <c r="BF33" s="221"/>
      <c r="BG33" s="221"/>
      <c r="BH33" s="221"/>
      <c r="BI33" s="221"/>
      <c r="BJ33" s="221"/>
      <c r="BK33" s="221"/>
      <c r="BL33" s="221"/>
      <c r="BM33" s="221"/>
      <c r="BN33" s="221"/>
      <c r="BO33" s="221"/>
      <c r="BP33" s="221"/>
      <c r="BQ33" s="221"/>
      <c r="BR33" s="221"/>
      <c r="BS33" s="221"/>
      <c r="BT33" s="221"/>
      <c r="BU33" s="221"/>
      <c r="BV33" s="221"/>
      <c r="BW33" s="221"/>
      <c r="BX33" s="221"/>
      <c r="BY33" s="221"/>
      <c r="BZ33" s="221"/>
      <c r="CA33" s="221"/>
      <c r="CB33" s="221"/>
      <c r="CC33" s="221"/>
      <c r="CD33" s="221"/>
      <c r="CE33" s="221"/>
      <c r="CF33" s="221"/>
      <c r="CG33" s="221"/>
      <c r="CH33" s="221"/>
      <c r="CI33" s="221"/>
      <c r="CJ33" s="221"/>
      <c r="CK33" s="221"/>
      <c r="CL33" s="221"/>
      <c r="CM33" s="221"/>
      <c r="CN33" s="221"/>
      <c r="CO33" s="221"/>
      <c r="CP33" s="221"/>
      <c r="CQ33" s="221"/>
    </row>
    <row r="34" spans="1:95" ht="20.25" customHeight="1" x14ac:dyDescent="0.25">
      <c r="A34" s="221"/>
      <c r="B34" s="221"/>
      <c r="C34" s="221"/>
      <c r="D34" s="221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1"/>
      <c r="R34" s="221"/>
      <c r="S34" s="221"/>
      <c r="T34" s="221"/>
      <c r="U34" s="221"/>
      <c r="V34" s="221"/>
      <c r="W34" s="221"/>
      <c r="X34" s="221"/>
      <c r="Y34" s="221"/>
      <c r="Z34" s="221"/>
      <c r="AA34" s="221"/>
      <c r="AB34" s="221"/>
      <c r="AC34" s="221"/>
      <c r="AD34" s="221"/>
      <c r="AE34" s="221"/>
      <c r="AF34" s="221"/>
      <c r="AG34" s="221"/>
      <c r="AK34" s="221"/>
      <c r="AL34" s="221"/>
      <c r="AM34" s="221"/>
      <c r="AN34" s="221"/>
      <c r="AO34" s="221"/>
      <c r="AP34" s="221"/>
      <c r="AQ34" s="221"/>
      <c r="AR34" s="221"/>
      <c r="AS34" s="221"/>
      <c r="AT34" s="221"/>
      <c r="AU34" s="221"/>
      <c r="AV34" s="221"/>
      <c r="AW34" s="221"/>
      <c r="AX34" s="221"/>
      <c r="AY34" s="221"/>
      <c r="AZ34" s="221"/>
      <c r="BA34" s="221"/>
      <c r="BB34" s="221"/>
      <c r="BC34" s="221"/>
      <c r="BD34" s="221"/>
      <c r="BE34" s="221"/>
      <c r="BF34" s="221"/>
      <c r="BG34" s="221"/>
      <c r="BH34" s="221"/>
      <c r="BI34" s="221"/>
      <c r="BJ34" s="221"/>
      <c r="BK34" s="221"/>
      <c r="BL34" s="221"/>
      <c r="BM34" s="221"/>
      <c r="BN34" s="221"/>
      <c r="BO34" s="221"/>
      <c r="BP34" s="221"/>
      <c r="BQ34" s="221"/>
      <c r="BR34" s="221"/>
      <c r="BS34" s="221"/>
      <c r="BT34" s="221"/>
      <c r="BU34" s="221"/>
      <c r="BV34" s="221"/>
      <c r="BW34" s="221"/>
      <c r="BX34" s="221"/>
      <c r="BY34" s="221"/>
      <c r="BZ34" s="221"/>
      <c r="CA34" s="221"/>
      <c r="CB34" s="221"/>
      <c r="CC34" s="221"/>
      <c r="CD34" s="221"/>
      <c r="CE34" s="221"/>
      <c r="CF34" s="221"/>
      <c r="CG34" s="221"/>
      <c r="CH34" s="221"/>
      <c r="CI34" s="221"/>
      <c r="CJ34" s="221"/>
      <c r="CK34" s="221"/>
      <c r="CL34" s="221"/>
      <c r="CM34" s="221"/>
      <c r="CN34" s="221"/>
      <c r="CO34" s="221"/>
      <c r="CP34" s="221"/>
      <c r="CQ34" s="221"/>
    </row>
    <row r="35" spans="1:95" ht="20.25" customHeight="1" x14ac:dyDescent="0.25">
      <c r="A35" s="221"/>
      <c r="B35" s="221"/>
      <c r="C35" s="221"/>
      <c r="D35" s="221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1"/>
      <c r="BR35" s="221"/>
      <c r="BS35" s="221"/>
      <c r="BT35" s="221"/>
      <c r="BU35" s="221"/>
      <c r="BV35" s="221"/>
      <c r="BW35" s="221"/>
      <c r="BX35" s="221"/>
      <c r="BY35" s="221"/>
      <c r="BZ35" s="221"/>
      <c r="CA35" s="221"/>
      <c r="CB35" s="221"/>
      <c r="CC35" s="221"/>
      <c r="CD35" s="221"/>
      <c r="CE35" s="221"/>
      <c r="CF35" s="221"/>
      <c r="CG35" s="221"/>
      <c r="CH35" s="221"/>
      <c r="CI35" s="221"/>
      <c r="CJ35" s="221"/>
      <c r="CK35" s="221"/>
      <c r="CL35" s="221"/>
      <c r="CM35" s="221"/>
      <c r="CN35" s="221"/>
      <c r="CO35" s="221"/>
      <c r="CP35" s="221"/>
      <c r="CQ35" s="221"/>
    </row>
    <row r="36" spans="1:95" ht="20.25" customHeight="1" x14ac:dyDescent="0.25">
      <c r="A36" s="221"/>
      <c r="B36" s="221"/>
      <c r="C36" s="221"/>
      <c r="D36" s="221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1"/>
      <c r="BC36" s="221"/>
      <c r="BD36" s="221"/>
      <c r="BE36" s="221"/>
      <c r="BF36" s="221"/>
      <c r="BG36" s="221"/>
      <c r="BH36" s="221"/>
      <c r="BI36" s="221"/>
      <c r="BJ36" s="221"/>
      <c r="BK36" s="221"/>
      <c r="BL36" s="221"/>
      <c r="BM36" s="221"/>
      <c r="BN36" s="221"/>
      <c r="BO36" s="221"/>
      <c r="BP36" s="221"/>
      <c r="BQ36" s="221"/>
      <c r="BR36" s="221"/>
      <c r="BS36" s="221"/>
      <c r="BT36" s="221"/>
      <c r="BU36" s="221"/>
      <c r="BV36" s="221"/>
      <c r="BW36" s="221"/>
      <c r="BX36" s="221"/>
      <c r="BY36" s="221"/>
      <c r="BZ36" s="221"/>
      <c r="CA36" s="221"/>
      <c r="CB36" s="221"/>
      <c r="CC36" s="221"/>
      <c r="CD36" s="221"/>
      <c r="CE36" s="221"/>
      <c r="CF36" s="221"/>
      <c r="CG36" s="221"/>
      <c r="CH36" s="221"/>
      <c r="CI36" s="221"/>
      <c r="CJ36" s="221"/>
      <c r="CK36" s="221"/>
      <c r="CL36" s="221"/>
      <c r="CM36" s="221"/>
      <c r="CN36" s="221"/>
      <c r="CO36" s="221"/>
      <c r="CP36" s="221"/>
      <c r="CQ36" s="221"/>
    </row>
    <row r="37" spans="1:95" ht="20.25" customHeight="1" x14ac:dyDescent="0.25">
      <c r="A37" s="221"/>
      <c r="B37" s="221"/>
      <c r="C37" s="221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1"/>
      <c r="R37" s="221"/>
      <c r="S37" s="221"/>
      <c r="T37" s="221"/>
      <c r="U37" s="221"/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K37" s="221"/>
      <c r="AL37" s="221"/>
      <c r="AM37" s="221"/>
      <c r="AN37" s="221"/>
      <c r="AO37" s="221"/>
      <c r="AP37" s="221"/>
      <c r="AQ37" s="221"/>
      <c r="AR37" s="221"/>
      <c r="AS37" s="221"/>
      <c r="AT37" s="221"/>
      <c r="AU37" s="221"/>
      <c r="AV37" s="221"/>
      <c r="AW37" s="221"/>
      <c r="AX37" s="221"/>
      <c r="AY37" s="221"/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BX37" s="221"/>
      <c r="BY37" s="221"/>
      <c r="BZ37" s="221"/>
      <c r="CA37" s="221"/>
      <c r="CB37" s="221"/>
      <c r="CC37" s="221"/>
      <c r="CD37" s="221"/>
      <c r="CE37" s="221"/>
      <c r="CF37" s="221"/>
      <c r="CG37" s="221"/>
      <c r="CH37" s="221"/>
      <c r="CI37" s="221"/>
      <c r="CJ37" s="221"/>
      <c r="CK37" s="221"/>
      <c r="CL37" s="221"/>
      <c r="CM37" s="221"/>
      <c r="CN37" s="221"/>
      <c r="CO37" s="221"/>
      <c r="CP37" s="221"/>
      <c r="CQ37" s="221"/>
    </row>
    <row r="38" spans="1:95" ht="20.25" customHeight="1" x14ac:dyDescent="0.25">
      <c r="A38" s="221"/>
      <c r="B38" s="221"/>
      <c r="C38" s="221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K38" s="221"/>
      <c r="AL38" s="221"/>
      <c r="AM38" s="221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</row>
    <row r="39" spans="1:95" ht="20.25" customHeight="1" x14ac:dyDescent="0.25">
      <c r="A39" s="221"/>
      <c r="B39" s="221"/>
      <c r="C39" s="221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1"/>
      <c r="R39" s="221"/>
      <c r="S39" s="221"/>
      <c r="T39" s="221"/>
      <c r="U39" s="221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K39" s="221"/>
      <c r="AL39" s="221"/>
      <c r="AM39" s="221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  <c r="CC39" s="221"/>
      <c r="CD39" s="221"/>
      <c r="CE39" s="221"/>
      <c r="CF39" s="221"/>
      <c r="CG39" s="221"/>
      <c r="CH39" s="221"/>
      <c r="CI39" s="221"/>
      <c r="CJ39" s="221"/>
      <c r="CK39" s="221"/>
      <c r="CL39" s="221"/>
      <c r="CM39" s="221"/>
      <c r="CN39" s="221"/>
      <c r="CO39" s="221"/>
      <c r="CP39" s="221"/>
      <c r="CQ39" s="221"/>
    </row>
    <row r="40" spans="1:95" ht="20.25" customHeight="1" x14ac:dyDescent="0.25">
      <c r="A40" s="221"/>
      <c r="B40" s="221"/>
      <c r="C40" s="221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1"/>
      <c r="BX40" s="221"/>
      <c r="BY40" s="221"/>
      <c r="BZ40" s="221"/>
      <c r="CA40" s="221"/>
      <c r="CB40" s="221"/>
      <c r="CC40" s="221"/>
      <c r="CD40" s="221"/>
      <c r="CE40" s="221"/>
      <c r="CF40" s="221"/>
      <c r="CG40" s="221"/>
      <c r="CH40" s="221"/>
      <c r="CI40" s="221"/>
      <c r="CJ40" s="221"/>
      <c r="CK40" s="221"/>
      <c r="CL40" s="221"/>
      <c r="CM40" s="221"/>
      <c r="CN40" s="221"/>
      <c r="CO40" s="221"/>
      <c r="CP40" s="221"/>
      <c r="CQ40" s="221"/>
    </row>
    <row r="41" spans="1:95" ht="20.25" customHeight="1" x14ac:dyDescent="0.25">
      <c r="A41" s="221"/>
      <c r="B41" s="221"/>
      <c r="C41" s="221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K41" s="221"/>
      <c r="AL41" s="221"/>
      <c r="AM41" s="221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221"/>
      <c r="BJ41" s="221"/>
      <c r="BK41" s="221"/>
      <c r="BL41" s="221"/>
      <c r="BM41" s="221"/>
      <c r="BN41" s="221"/>
      <c r="BO41" s="221"/>
      <c r="BP41" s="221"/>
      <c r="BQ41" s="221"/>
      <c r="BR41" s="221"/>
      <c r="BS41" s="221"/>
      <c r="BT41" s="221"/>
      <c r="BU41" s="221"/>
      <c r="BV41" s="221"/>
      <c r="BW41" s="221"/>
      <c r="BX41" s="221"/>
      <c r="BY41" s="221"/>
      <c r="BZ41" s="221"/>
      <c r="CA41" s="221"/>
      <c r="CB41" s="221"/>
      <c r="CC41" s="221"/>
      <c r="CD41" s="221"/>
      <c r="CE41" s="221"/>
      <c r="CF41" s="221"/>
      <c r="CG41" s="221"/>
      <c r="CH41" s="221"/>
      <c r="CI41" s="221"/>
      <c r="CJ41" s="221"/>
      <c r="CK41" s="221"/>
      <c r="CL41" s="221"/>
      <c r="CM41" s="221"/>
      <c r="CN41" s="221"/>
      <c r="CO41" s="221"/>
      <c r="CP41" s="221"/>
      <c r="CQ41" s="221"/>
    </row>
    <row r="42" spans="1:95" ht="20.25" customHeight="1" x14ac:dyDescent="0.25">
      <c r="A42" s="221"/>
      <c r="B42" s="221"/>
      <c r="C42" s="221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  <c r="BD42" s="221"/>
      <c r="BE42" s="221"/>
      <c r="BF42" s="221"/>
      <c r="BG42" s="221"/>
      <c r="BH42" s="221"/>
      <c r="BI42" s="221"/>
      <c r="BJ42" s="221"/>
      <c r="BK42" s="221"/>
      <c r="BL42" s="221"/>
      <c r="BM42" s="221"/>
      <c r="BN42" s="221"/>
      <c r="BO42" s="221"/>
      <c r="BP42" s="221"/>
      <c r="BQ42" s="221"/>
      <c r="BR42" s="221"/>
      <c r="BS42" s="221"/>
      <c r="BT42" s="221"/>
      <c r="BU42" s="221"/>
      <c r="BV42" s="221"/>
      <c r="BW42" s="221"/>
      <c r="BX42" s="221"/>
      <c r="BY42" s="221"/>
      <c r="BZ42" s="221"/>
      <c r="CA42" s="221"/>
      <c r="CB42" s="221"/>
      <c r="CC42" s="221"/>
      <c r="CD42" s="221"/>
      <c r="CE42" s="221"/>
      <c r="CF42" s="221"/>
      <c r="CG42" s="221"/>
      <c r="CH42" s="221"/>
      <c r="CI42" s="221"/>
      <c r="CJ42" s="221"/>
      <c r="CK42" s="221"/>
      <c r="CL42" s="221"/>
      <c r="CM42" s="221"/>
      <c r="CN42" s="221"/>
      <c r="CO42" s="221"/>
      <c r="CP42" s="221"/>
      <c r="CQ42" s="221"/>
    </row>
    <row r="43" spans="1:95" ht="20.25" customHeight="1" x14ac:dyDescent="0.25">
      <c r="A43" s="221"/>
      <c r="B43" s="221"/>
      <c r="C43" s="221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1"/>
      <c r="R43" s="221"/>
      <c r="S43" s="221"/>
      <c r="T43" s="221"/>
      <c r="U43" s="221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1"/>
      <c r="BE43" s="221"/>
      <c r="BF43" s="221"/>
      <c r="BG43" s="221"/>
      <c r="BH43" s="221"/>
      <c r="BI43" s="221"/>
      <c r="BJ43" s="221"/>
      <c r="BK43" s="221"/>
      <c r="BL43" s="221"/>
      <c r="BM43" s="221"/>
      <c r="BN43" s="221"/>
      <c r="BO43" s="221"/>
      <c r="BP43" s="221"/>
      <c r="BQ43" s="221"/>
      <c r="BR43" s="221"/>
      <c r="BS43" s="221"/>
      <c r="BT43" s="221"/>
      <c r="BU43" s="221"/>
      <c r="BV43" s="221"/>
      <c r="BW43" s="221"/>
      <c r="BX43" s="221"/>
      <c r="BY43" s="221"/>
      <c r="BZ43" s="221"/>
      <c r="CA43" s="221"/>
      <c r="CB43" s="221"/>
      <c r="CC43" s="221"/>
      <c r="CD43" s="221"/>
      <c r="CE43" s="221"/>
      <c r="CF43" s="221"/>
      <c r="CG43" s="221"/>
      <c r="CH43" s="221"/>
      <c r="CI43" s="221"/>
      <c r="CJ43" s="221"/>
      <c r="CK43" s="221"/>
      <c r="CL43" s="221"/>
      <c r="CM43" s="221"/>
      <c r="CN43" s="221"/>
      <c r="CO43" s="221"/>
      <c r="CP43" s="221"/>
      <c r="CQ43" s="221"/>
    </row>
    <row r="44" spans="1:95" x14ac:dyDescent="0.25">
      <c r="A44" s="221"/>
      <c r="B44" s="221"/>
      <c r="C44" s="221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</row>
    <row r="45" spans="1:95" x14ac:dyDescent="0.25">
      <c r="A45" s="221"/>
      <c r="B45" s="221"/>
      <c r="C45" s="221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1"/>
      <c r="R45" s="221"/>
      <c r="S45" s="221"/>
      <c r="T45" s="221"/>
      <c r="U45" s="221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K45" s="221"/>
      <c r="AL45" s="221"/>
      <c r="AM45" s="221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</row>
    <row r="46" spans="1:95" x14ac:dyDescent="0.25">
      <c r="A46" s="221"/>
      <c r="B46" s="221"/>
      <c r="C46" s="221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1"/>
      <c r="R46" s="221"/>
      <c r="S46" s="221"/>
      <c r="T46" s="221"/>
      <c r="U46" s="221"/>
      <c r="V46" s="221"/>
      <c r="W46" s="221"/>
      <c r="X46" s="221"/>
      <c r="Y46" s="221"/>
      <c r="Z46" s="221"/>
      <c r="AA46" s="221"/>
      <c r="AB46" s="221"/>
      <c r="AC46" s="221"/>
      <c r="AD46" s="221"/>
      <c r="AE46" s="221"/>
      <c r="AF46" s="221"/>
      <c r="AG46" s="221"/>
      <c r="AK46" s="221"/>
      <c r="AL46" s="221"/>
      <c r="AM46" s="221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1"/>
      <c r="BC46" s="221"/>
      <c r="BD46" s="221"/>
      <c r="BE46" s="221"/>
      <c r="BF46" s="221"/>
      <c r="BG46" s="221"/>
      <c r="BH46" s="221"/>
      <c r="BI46" s="221"/>
      <c r="BJ46" s="221"/>
      <c r="BK46" s="221"/>
      <c r="BL46" s="221"/>
      <c r="BM46" s="221"/>
      <c r="BN46" s="221"/>
      <c r="BO46" s="221"/>
      <c r="BP46" s="221"/>
      <c r="BQ46" s="221"/>
      <c r="BR46" s="221"/>
      <c r="BS46" s="221"/>
      <c r="BT46" s="221"/>
      <c r="BU46" s="221"/>
      <c r="BV46" s="221"/>
      <c r="BW46" s="221"/>
      <c r="BX46" s="221"/>
      <c r="BY46" s="221"/>
      <c r="BZ46" s="221"/>
      <c r="CA46" s="221"/>
      <c r="CB46" s="221"/>
      <c r="CC46" s="221"/>
      <c r="CD46" s="221"/>
      <c r="CE46" s="221"/>
      <c r="CF46" s="221"/>
      <c r="CG46" s="221"/>
      <c r="CH46" s="221"/>
      <c r="CI46" s="221"/>
      <c r="CJ46" s="221"/>
      <c r="CK46" s="221"/>
      <c r="CL46" s="221"/>
      <c r="CM46" s="221"/>
      <c r="CN46" s="221"/>
      <c r="CO46" s="221"/>
      <c r="CP46" s="221"/>
      <c r="CQ46" s="221"/>
    </row>
    <row r="47" spans="1:95" x14ac:dyDescent="0.25">
      <c r="A47" s="221"/>
      <c r="B47" s="221"/>
      <c r="C47" s="221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221"/>
      <c r="BG47" s="221"/>
      <c r="BH47" s="221"/>
      <c r="BI47" s="221"/>
      <c r="BJ47" s="221"/>
      <c r="BK47" s="221"/>
      <c r="BL47" s="221"/>
      <c r="BM47" s="221"/>
      <c r="BN47" s="221"/>
      <c r="BO47" s="221"/>
      <c r="BP47" s="221"/>
      <c r="BQ47" s="221"/>
      <c r="BR47" s="221"/>
      <c r="BS47" s="221"/>
      <c r="BT47" s="221"/>
      <c r="BU47" s="221"/>
      <c r="BV47" s="221"/>
      <c r="BW47" s="221"/>
      <c r="BX47" s="221"/>
      <c r="BY47" s="221"/>
      <c r="BZ47" s="221"/>
      <c r="CA47" s="221"/>
      <c r="CB47" s="221"/>
      <c r="CC47" s="221"/>
      <c r="CD47" s="221"/>
      <c r="CE47" s="221"/>
      <c r="CF47" s="221"/>
      <c r="CG47" s="221"/>
      <c r="CH47" s="221"/>
      <c r="CI47" s="221"/>
      <c r="CJ47" s="221"/>
      <c r="CK47" s="221"/>
      <c r="CL47" s="221"/>
      <c r="CM47" s="221"/>
      <c r="CN47" s="221"/>
      <c r="CO47" s="221"/>
      <c r="CP47" s="221"/>
      <c r="CQ47" s="221"/>
    </row>
    <row r="48" spans="1:95" x14ac:dyDescent="0.25">
      <c r="A48" s="221"/>
      <c r="B48" s="221"/>
      <c r="C48" s="221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221"/>
      <c r="AF48" s="221"/>
      <c r="AG48" s="221"/>
      <c r="AK48" s="221"/>
      <c r="AL48" s="221"/>
      <c r="AM48" s="221"/>
      <c r="AN48" s="221"/>
      <c r="AO48" s="221"/>
      <c r="AP48" s="221"/>
      <c r="AQ48" s="221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1"/>
      <c r="BD48" s="221"/>
      <c r="BE48" s="221"/>
      <c r="BF48" s="221"/>
      <c r="BG48" s="221"/>
      <c r="BH48" s="221"/>
      <c r="BI48" s="221"/>
      <c r="BJ48" s="221"/>
      <c r="BK48" s="221"/>
      <c r="BL48" s="221"/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1"/>
      <c r="BX48" s="221"/>
      <c r="BY48" s="221"/>
      <c r="BZ48" s="221"/>
      <c r="CA48" s="221"/>
      <c r="CB48" s="221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1"/>
    </row>
    <row r="49" spans="1:95" x14ac:dyDescent="0.25">
      <c r="A49" s="221"/>
      <c r="B49" s="221"/>
      <c r="C49" s="221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1"/>
      <c r="R49" s="221"/>
      <c r="S49" s="221"/>
      <c r="T49" s="221"/>
      <c r="U49" s="221"/>
      <c r="V49" s="221"/>
      <c r="W49" s="221"/>
      <c r="X49" s="221"/>
      <c r="Y49" s="221"/>
      <c r="Z49" s="221"/>
      <c r="AA49" s="221"/>
      <c r="AB49" s="221"/>
      <c r="AC49" s="221"/>
      <c r="AD49" s="221"/>
      <c r="AE49" s="221"/>
      <c r="AF49" s="221"/>
      <c r="AG49" s="221"/>
      <c r="AK49" s="221"/>
      <c r="AL49" s="221"/>
      <c r="AM49" s="221"/>
      <c r="AN49" s="221"/>
      <c r="AO49" s="221"/>
      <c r="AP49" s="221"/>
      <c r="AQ49" s="221"/>
      <c r="AR49" s="221"/>
      <c r="AS49" s="221"/>
      <c r="AT49" s="221"/>
      <c r="AU49" s="221"/>
      <c r="AV49" s="221"/>
      <c r="AW49" s="221"/>
      <c r="AX49" s="221"/>
      <c r="AY49" s="221"/>
      <c r="AZ49" s="221"/>
      <c r="BA49" s="221"/>
      <c r="BB49" s="221"/>
      <c r="BC49" s="221"/>
      <c r="BD49" s="221"/>
      <c r="BE49" s="221"/>
      <c r="BF49" s="221"/>
      <c r="BG49" s="221"/>
      <c r="BH49" s="221"/>
      <c r="BI49" s="221"/>
      <c r="BJ49" s="221"/>
      <c r="BK49" s="221"/>
      <c r="BL49" s="221"/>
      <c r="BM49" s="221"/>
      <c r="BN49" s="221"/>
      <c r="BO49" s="221"/>
      <c r="BP49" s="221"/>
      <c r="BQ49" s="221"/>
      <c r="BR49" s="221"/>
      <c r="BS49" s="221"/>
      <c r="BT49" s="221"/>
      <c r="BU49" s="221"/>
      <c r="BV49" s="221"/>
      <c r="BW49" s="221"/>
      <c r="BX49" s="221"/>
      <c r="BY49" s="221"/>
      <c r="BZ49" s="221"/>
      <c r="CA49" s="221"/>
      <c r="CB49" s="221"/>
      <c r="CC49" s="221"/>
      <c r="CD49" s="221"/>
      <c r="CE49" s="221"/>
      <c r="CF49" s="221"/>
      <c r="CG49" s="221"/>
      <c r="CH49" s="221"/>
      <c r="CI49" s="221"/>
      <c r="CJ49" s="221"/>
      <c r="CK49" s="221"/>
      <c r="CL49" s="221"/>
      <c r="CM49" s="221"/>
      <c r="CN49" s="221"/>
      <c r="CO49" s="221"/>
      <c r="CP49" s="221"/>
      <c r="CQ49" s="221"/>
    </row>
    <row r="50" spans="1:95" x14ac:dyDescent="0.25">
      <c r="A50" s="221"/>
      <c r="B50" s="221"/>
      <c r="C50" s="221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  <c r="CO50" s="221"/>
      <c r="CP50" s="221"/>
      <c r="CQ50" s="221"/>
    </row>
    <row r="51" spans="1:95" x14ac:dyDescent="0.25">
      <c r="A51" s="221"/>
      <c r="B51" s="221"/>
      <c r="C51" s="221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1"/>
      <c r="R51" s="221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K51" s="221"/>
      <c r="AL51" s="221"/>
      <c r="AM51" s="221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1"/>
      <c r="BQ51" s="221"/>
      <c r="BR51" s="221"/>
      <c r="BS51" s="221"/>
      <c r="BT51" s="221"/>
      <c r="BU51" s="221"/>
      <c r="BV51" s="221"/>
      <c r="BW51" s="221"/>
      <c r="BX51" s="221"/>
      <c r="BY51" s="221"/>
      <c r="BZ51" s="221"/>
      <c r="CA51" s="221"/>
      <c r="CB51" s="221"/>
      <c r="CC51" s="221"/>
      <c r="CD51" s="221"/>
      <c r="CE51" s="221"/>
      <c r="CF51" s="221"/>
      <c r="CG51" s="221"/>
      <c r="CH51" s="221"/>
      <c r="CI51" s="221"/>
      <c r="CJ51" s="221"/>
      <c r="CK51" s="221"/>
      <c r="CL51" s="221"/>
      <c r="CM51" s="221"/>
      <c r="CN51" s="221"/>
      <c r="CO51" s="221"/>
      <c r="CP51" s="221"/>
      <c r="CQ51" s="221"/>
    </row>
    <row r="52" spans="1:95" x14ac:dyDescent="0.25">
      <c r="A52" s="221"/>
      <c r="B52" s="221"/>
      <c r="C52" s="221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1"/>
      <c r="AE52" s="221"/>
      <c r="AF52" s="221"/>
      <c r="AG52" s="221"/>
      <c r="AK52" s="221"/>
      <c r="AL52" s="221"/>
      <c r="AM52" s="221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1"/>
      <c r="BQ52" s="221"/>
      <c r="BR52" s="221"/>
      <c r="BS52" s="221"/>
      <c r="BT52" s="221"/>
      <c r="BU52" s="221"/>
      <c r="BV52" s="221"/>
      <c r="BW52" s="221"/>
      <c r="BX52" s="221"/>
      <c r="BY52" s="221"/>
      <c r="BZ52" s="221"/>
      <c r="CA52" s="221"/>
      <c r="CB52" s="221"/>
      <c r="CC52" s="221"/>
      <c r="CD52" s="221"/>
      <c r="CE52" s="221"/>
      <c r="CF52" s="221"/>
      <c r="CG52" s="221"/>
      <c r="CH52" s="221"/>
      <c r="CI52" s="221"/>
      <c r="CJ52" s="221"/>
      <c r="CK52" s="221"/>
      <c r="CL52" s="221"/>
      <c r="CM52" s="221"/>
      <c r="CN52" s="221"/>
      <c r="CO52" s="221"/>
      <c r="CP52" s="221"/>
      <c r="CQ52" s="221"/>
    </row>
    <row r="53" spans="1:95" x14ac:dyDescent="0.25">
      <c r="A53" s="221"/>
      <c r="B53" s="221"/>
      <c r="C53" s="221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1"/>
      <c r="CF53" s="221"/>
      <c r="CG53" s="221"/>
      <c r="CH53" s="221"/>
      <c r="CI53" s="221"/>
      <c r="CJ53" s="221"/>
      <c r="CK53" s="221"/>
      <c r="CL53" s="221"/>
      <c r="CM53" s="221"/>
      <c r="CN53" s="221"/>
      <c r="CO53" s="221"/>
      <c r="CP53" s="221"/>
      <c r="CQ53" s="221"/>
    </row>
    <row r="54" spans="1:95" x14ac:dyDescent="0.25">
      <c r="A54" s="221"/>
      <c r="B54" s="221"/>
      <c r="C54" s="221"/>
      <c r="D54" s="221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1"/>
      <c r="R54" s="221"/>
      <c r="S54" s="221"/>
      <c r="T54" s="221"/>
      <c r="U54" s="221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K54" s="221"/>
      <c r="AL54" s="221"/>
      <c r="AM54" s="221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1"/>
      <c r="BQ54" s="221"/>
      <c r="BR54" s="221"/>
      <c r="BS54" s="221"/>
      <c r="BT54" s="221"/>
      <c r="BU54" s="221"/>
      <c r="BV54" s="221"/>
      <c r="BW54" s="221"/>
      <c r="BX54" s="221"/>
      <c r="BY54" s="221"/>
      <c r="BZ54" s="221"/>
      <c r="CA54" s="221"/>
      <c r="CB54" s="221"/>
      <c r="CC54" s="221"/>
      <c r="CD54" s="221"/>
      <c r="CE54" s="221"/>
      <c r="CF54" s="221"/>
      <c r="CG54" s="221"/>
      <c r="CH54" s="221"/>
      <c r="CI54" s="221"/>
      <c r="CJ54" s="221"/>
      <c r="CK54" s="221"/>
      <c r="CL54" s="221"/>
      <c r="CM54" s="221"/>
      <c r="CN54" s="221"/>
      <c r="CO54" s="221"/>
      <c r="CP54" s="221"/>
      <c r="CQ54" s="221"/>
    </row>
    <row r="55" spans="1:95" x14ac:dyDescent="0.25">
      <c r="A55" s="221"/>
      <c r="B55" s="221"/>
      <c r="C55" s="221"/>
      <c r="D55" s="221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21"/>
      <c r="AK55" s="221"/>
      <c r="AL55" s="221"/>
      <c r="AM55" s="221"/>
      <c r="AN55" s="221"/>
      <c r="AO55" s="221"/>
      <c r="AP55" s="221"/>
      <c r="AQ55" s="221"/>
      <c r="AR55" s="221"/>
      <c r="AS55" s="221"/>
      <c r="AT55" s="221"/>
      <c r="AU55" s="221"/>
      <c r="AV55" s="221"/>
      <c r="AW55" s="221"/>
      <c r="AX55" s="221"/>
      <c r="AY55" s="221"/>
      <c r="AZ55" s="221"/>
      <c r="BA55" s="221"/>
      <c r="BB55" s="221"/>
      <c r="BC55" s="221"/>
      <c r="BD55" s="221"/>
      <c r="BE55" s="221"/>
      <c r="BF55" s="221"/>
      <c r="BG55" s="221"/>
      <c r="BH55" s="221"/>
      <c r="BI55" s="221"/>
      <c r="BJ55" s="221"/>
      <c r="BK55" s="221"/>
      <c r="BL55" s="221"/>
      <c r="BM55" s="221"/>
      <c r="BN55" s="221"/>
      <c r="BO55" s="221"/>
      <c r="BP55" s="221"/>
      <c r="BQ55" s="221"/>
      <c r="BR55" s="221"/>
      <c r="BS55" s="221"/>
      <c r="BT55" s="221"/>
      <c r="BU55" s="221"/>
      <c r="BV55" s="221"/>
      <c r="BW55" s="221"/>
      <c r="BX55" s="221"/>
      <c r="BY55" s="221"/>
      <c r="BZ55" s="221"/>
      <c r="CA55" s="221"/>
      <c r="CB55" s="221"/>
      <c r="CC55" s="221"/>
      <c r="CD55" s="221"/>
      <c r="CE55" s="221"/>
      <c r="CF55" s="221"/>
      <c r="CG55" s="221"/>
      <c r="CH55" s="221"/>
      <c r="CI55" s="221"/>
      <c r="CJ55" s="221"/>
      <c r="CK55" s="221"/>
      <c r="CL55" s="221"/>
      <c r="CM55" s="221"/>
      <c r="CN55" s="221"/>
      <c r="CO55" s="221"/>
      <c r="CP55" s="221"/>
      <c r="CQ55" s="221"/>
    </row>
    <row r="56" spans="1:95" x14ac:dyDescent="0.25">
      <c r="A56" s="221"/>
      <c r="B56" s="221"/>
      <c r="C56" s="221"/>
      <c r="D56" s="221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K56" s="221"/>
      <c r="AL56" s="221"/>
      <c r="AM56" s="221"/>
      <c r="AN56" s="221"/>
      <c r="AO56" s="221"/>
      <c r="AP56" s="221"/>
      <c r="AQ56" s="221"/>
      <c r="AR56" s="221"/>
      <c r="AS56" s="221"/>
      <c r="AT56" s="221"/>
      <c r="AU56" s="221"/>
      <c r="AV56" s="221"/>
      <c r="AW56" s="221"/>
      <c r="AX56" s="221"/>
      <c r="AY56" s="221"/>
      <c r="AZ56" s="221"/>
      <c r="BA56" s="221"/>
      <c r="BB56" s="221"/>
      <c r="BC56" s="221"/>
      <c r="BD56" s="221"/>
      <c r="BE56" s="221"/>
      <c r="BF56" s="221"/>
      <c r="BG56" s="221"/>
      <c r="BH56" s="221"/>
      <c r="BI56" s="221"/>
      <c r="BJ56" s="221"/>
      <c r="BK56" s="221"/>
      <c r="BL56" s="221"/>
      <c r="BM56" s="221"/>
      <c r="BN56" s="221"/>
      <c r="BO56" s="221"/>
      <c r="BP56" s="221"/>
      <c r="BQ56" s="221"/>
      <c r="BR56" s="221"/>
      <c r="BS56" s="221"/>
      <c r="BT56" s="221"/>
      <c r="BU56" s="221"/>
      <c r="BV56" s="221"/>
      <c r="BW56" s="221"/>
      <c r="BX56" s="221"/>
      <c r="BY56" s="221"/>
      <c r="BZ56" s="221"/>
      <c r="CA56" s="221"/>
      <c r="CB56" s="221"/>
      <c r="CC56" s="221"/>
      <c r="CD56" s="221"/>
      <c r="CE56" s="221"/>
      <c r="CF56" s="221"/>
      <c r="CG56" s="221"/>
      <c r="CH56" s="221"/>
      <c r="CI56" s="221"/>
      <c r="CJ56" s="221"/>
      <c r="CK56" s="221"/>
      <c r="CL56" s="221"/>
      <c r="CM56" s="221"/>
      <c r="CN56" s="221"/>
      <c r="CO56" s="221"/>
      <c r="CP56" s="221"/>
      <c r="CQ56" s="221"/>
    </row>
    <row r="57" spans="1:95" x14ac:dyDescent="0.25">
      <c r="A57" s="221"/>
      <c r="B57" s="221"/>
      <c r="C57" s="221"/>
      <c r="D57" s="221"/>
      <c r="E57" s="222"/>
      <c r="F57" s="222"/>
      <c r="G57" s="222"/>
      <c r="H57" s="222"/>
      <c r="I57" s="222"/>
      <c r="J57" s="222"/>
      <c r="K57" s="222"/>
      <c r="L57" s="222"/>
      <c r="M57" s="222"/>
      <c r="N57" s="222"/>
      <c r="O57" s="222"/>
      <c r="P57" s="222"/>
      <c r="Q57" s="221"/>
      <c r="R57" s="221"/>
      <c r="S57" s="221"/>
      <c r="T57" s="221"/>
      <c r="U57" s="221"/>
      <c r="V57" s="221"/>
      <c r="W57" s="221"/>
      <c r="X57" s="221"/>
      <c r="Y57" s="221"/>
      <c r="Z57" s="221"/>
      <c r="AA57" s="221"/>
      <c r="AB57" s="221"/>
      <c r="AC57" s="221"/>
      <c r="AD57" s="221"/>
      <c r="AE57" s="221"/>
      <c r="AF57" s="221"/>
      <c r="AG57" s="221"/>
      <c r="AK57" s="221"/>
      <c r="AL57" s="221"/>
      <c r="AM57" s="221"/>
      <c r="AN57" s="221"/>
      <c r="AO57" s="221"/>
      <c r="AP57" s="221"/>
      <c r="AQ57" s="221"/>
      <c r="AR57" s="221"/>
      <c r="AS57" s="221"/>
      <c r="AT57" s="221"/>
      <c r="AU57" s="221"/>
      <c r="AV57" s="221"/>
      <c r="AW57" s="221"/>
      <c r="AX57" s="221"/>
      <c r="AY57" s="221"/>
      <c r="AZ57" s="221"/>
      <c r="BA57" s="221"/>
      <c r="BB57" s="221"/>
      <c r="BC57" s="221"/>
      <c r="BD57" s="221"/>
      <c r="BE57" s="221"/>
      <c r="BF57" s="221"/>
      <c r="BG57" s="221"/>
      <c r="BH57" s="221"/>
      <c r="BI57" s="221"/>
      <c r="BJ57" s="221"/>
      <c r="BK57" s="221"/>
      <c r="BL57" s="221"/>
      <c r="BM57" s="221"/>
      <c r="BN57" s="221"/>
      <c r="BO57" s="221"/>
      <c r="BP57" s="221"/>
      <c r="BQ57" s="221"/>
      <c r="BR57" s="221"/>
      <c r="BS57" s="221"/>
      <c r="BT57" s="221"/>
      <c r="BU57" s="221"/>
      <c r="BV57" s="221"/>
      <c r="BW57" s="221"/>
      <c r="BX57" s="221"/>
      <c r="BY57" s="221"/>
      <c r="BZ57" s="221"/>
      <c r="CA57" s="221"/>
      <c r="CB57" s="221"/>
      <c r="CC57" s="221"/>
      <c r="CD57" s="221"/>
      <c r="CE57" s="221"/>
      <c r="CF57" s="221"/>
      <c r="CG57" s="221"/>
      <c r="CH57" s="221"/>
      <c r="CI57" s="221"/>
      <c r="CJ57" s="221"/>
      <c r="CK57" s="221"/>
      <c r="CL57" s="221"/>
      <c r="CM57" s="221"/>
      <c r="CN57" s="221"/>
      <c r="CO57" s="221"/>
      <c r="CP57" s="221"/>
      <c r="CQ57" s="221"/>
    </row>
    <row r="58" spans="1:95" x14ac:dyDescent="0.25">
      <c r="A58" s="221"/>
      <c r="B58" s="221"/>
      <c r="C58" s="221"/>
      <c r="D58" s="221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1"/>
      <c r="R58" s="221"/>
      <c r="S58" s="221"/>
      <c r="T58" s="221"/>
      <c r="U58" s="221"/>
      <c r="V58" s="221"/>
      <c r="W58" s="221"/>
      <c r="X58" s="221"/>
      <c r="Y58" s="221"/>
      <c r="Z58" s="221"/>
      <c r="AA58" s="221"/>
      <c r="AB58" s="221"/>
      <c r="AC58" s="221"/>
      <c r="AD58" s="221"/>
      <c r="AE58" s="221"/>
      <c r="AF58" s="221"/>
      <c r="AG58" s="221"/>
      <c r="AK58" s="221"/>
      <c r="AL58" s="221"/>
      <c r="AM58" s="221"/>
      <c r="AN58" s="221"/>
      <c r="AO58" s="221"/>
      <c r="AP58" s="221"/>
      <c r="AQ58" s="221"/>
      <c r="AR58" s="221"/>
      <c r="AS58" s="221"/>
      <c r="AT58" s="221"/>
      <c r="AU58" s="221"/>
      <c r="AV58" s="221"/>
      <c r="AW58" s="221"/>
      <c r="AX58" s="221"/>
      <c r="AY58" s="221"/>
      <c r="AZ58" s="221"/>
      <c r="BA58" s="221"/>
      <c r="BB58" s="221"/>
      <c r="BC58" s="221"/>
      <c r="BD58" s="221"/>
      <c r="BE58" s="221"/>
      <c r="BF58" s="221"/>
      <c r="BG58" s="221"/>
      <c r="BH58" s="221"/>
      <c r="BI58" s="221"/>
      <c r="BJ58" s="221"/>
      <c r="BK58" s="221"/>
      <c r="BL58" s="221"/>
      <c r="BM58" s="221"/>
      <c r="BN58" s="221"/>
      <c r="BO58" s="221"/>
      <c r="BP58" s="221"/>
      <c r="BQ58" s="221"/>
      <c r="BR58" s="221"/>
      <c r="BS58" s="221"/>
      <c r="BT58" s="221"/>
      <c r="BU58" s="221"/>
      <c r="BV58" s="221"/>
      <c r="BW58" s="221"/>
      <c r="BX58" s="221"/>
      <c r="BY58" s="221"/>
      <c r="BZ58" s="221"/>
      <c r="CA58" s="221"/>
      <c r="CB58" s="221"/>
      <c r="CC58" s="221"/>
      <c r="CD58" s="221"/>
      <c r="CE58" s="221"/>
      <c r="CF58" s="221"/>
      <c r="CG58" s="221"/>
      <c r="CH58" s="221"/>
      <c r="CI58" s="221"/>
      <c r="CJ58" s="221"/>
      <c r="CK58" s="221"/>
      <c r="CL58" s="221"/>
      <c r="CM58" s="221"/>
      <c r="CN58" s="221"/>
      <c r="CO58" s="221"/>
      <c r="CP58" s="221"/>
      <c r="CQ58" s="221"/>
    </row>
    <row r="59" spans="1:95" x14ac:dyDescent="0.25">
      <c r="A59" s="221"/>
      <c r="B59" s="221"/>
      <c r="C59" s="221"/>
      <c r="D59" s="221"/>
      <c r="E59" s="222"/>
      <c r="F59" s="222"/>
      <c r="G59" s="222"/>
      <c r="H59" s="222"/>
      <c r="I59" s="222"/>
      <c r="J59" s="222"/>
      <c r="K59" s="222"/>
      <c r="L59" s="222"/>
      <c r="M59" s="222"/>
      <c r="N59" s="222"/>
      <c r="O59" s="222"/>
      <c r="P59" s="222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  <c r="AK59" s="221"/>
      <c r="AL59" s="221"/>
      <c r="AM59" s="221"/>
      <c r="AN59" s="221"/>
      <c r="AO59" s="221"/>
      <c r="AP59" s="221"/>
      <c r="AQ59" s="221"/>
      <c r="AR59" s="221"/>
      <c r="AS59" s="221"/>
      <c r="AT59" s="221"/>
      <c r="AU59" s="221"/>
      <c r="AV59" s="221"/>
      <c r="AW59" s="221"/>
      <c r="AX59" s="221"/>
      <c r="AY59" s="221"/>
      <c r="AZ59" s="221"/>
      <c r="BA59" s="221"/>
      <c r="BB59" s="221"/>
      <c r="BC59" s="221"/>
      <c r="BD59" s="221"/>
      <c r="BE59" s="221"/>
      <c r="BF59" s="221"/>
      <c r="BG59" s="221"/>
      <c r="BH59" s="221"/>
      <c r="BI59" s="221"/>
      <c r="BJ59" s="221"/>
      <c r="BK59" s="221"/>
      <c r="BL59" s="221"/>
      <c r="BM59" s="221"/>
      <c r="BN59" s="221"/>
      <c r="BO59" s="221"/>
      <c r="BP59" s="221"/>
      <c r="BQ59" s="221"/>
      <c r="BR59" s="221"/>
      <c r="BS59" s="221"/>
      <c r="BT59" s="221"/>
      <c r="BU59" s="221"/>
      <c r="BV59" s="221"/>
      <c r="BW59" s="221"/>
      <c r="BX59" s="221"/>
      <c r="BY59" s="221"/>
      <c r="BZ59" s="221"/>
      <c r="CA59" s="221"/>
      <c r="CB59" s="221"/>
      <c r="CC59" s="221"/>
      <c r="CD59" s="221"/>
      <c r="CE59" s="221"/>
      <c r="CF59" s="221"/>
      <c r="CG59" s="221"/>
      <c r="CH59" s="221"/>
      <c r="CI59" s="221"/>
      <c r="CJ59" s="221"/>
      <c r="CK59" s="221"/>
      <c r="CL59" s="221"/>
      <c r="CM59" s="221"/>
      <c r="CN59" s="221"/>
      <c r="CO59" s="221"/>
      <c r="CP59" s="221"/>
      <c r="CQ59" s="221"/>
    </row>
    <row r="60" spans="1:95" x14ac:dyDescent="0.25">
      <c r="A60" s="221"/>
      <c r="B60" s="221"/>
      <c r="C60" s="221"/>
      <c r="D60" s="221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21"/>
      <c r="CE60" s="221"/>
      <c r="CF60" s="221"/>
      <c r="CG60" s="221"/>
      <c r="CH60" s="221"/>
      <c r="CI60" s="221"/>
      <c r="CJ60" s="221"/>
      <c r="CK60" s="221"/>
      <c r="CL60" s="221"/>
      <c r="CM60" s="221"/>
      <c r="CN60" s="221"/>
      <c r="CO60" s="221"/>
      <c r="CP60" s="221"/>
      <c r="CQ60" s="221"/>
    </row>
    <row r="61" spans="1:95" x14ac:dyDescent="0.25">
      <c r="A61" s="221"/>
      <c r="B61" s="221"/>
      <c r="C61" s="221"/>
      <c r="D61" s="221"/>
      <c r="E61" s="222"/>
      <c r="F61" s="222"/>
      <c r="G61" s="222"/>
      <c r="H61" s="222"/>
      <c r="I61" s="222"/>
      <c r="J61" s="222"/>
      <c r="K61" s="222"/>
      <c r="L61" s="222"/>
      <c r="M61" s="222"/>
      <c r="N61" s="222"/>
      <c r="O61" s="222"/>
      <c r="P61" s="222"/>
      <c r="Q61" s="221"/>
      <c r="R61" s="221"/>
      <c r="S61" s="221"/>
      <c r="T61" s="221"/>
      <c r="U61" s="221"/>
      <c r="V61" s="221"/>
      <c r="W61" s="221"/>
      <c r="X61" s="221"/>
      <c r="Y61" s="221"/>
      <c r="Z61" s="221"/>
      <c r="AA61" s="221"/>
      <c r="AB61" s="221"/>
      <c r="AC61" s="221"/>
      <c r="AD61" s="221"/>
      <c r="AE61" s="221"/>
      <c r="AF61" s="221"/>
      <c r="AG61" s="221"/>
      <c r="AK61" s="221"/>
      <c r="AL61" s="221"/>
      <c r="AM61" s="221"/>
      <c r="AN61" s="221"/>
      <c r="AO61" s="221"/>
      <c r="AP61" s="221"/>
      <c r="AQ61" s="221"/>
      <c r="AR61" s="221"/>
      <c r="AS61" s="221"/>
      <c r="AT61" s="221"/>
      <c r="AU61" s="221"/>
      <c r="AV61" s="221"/>
      <c r="AW61" s="221"/>
      <c r="AX61" s="221"/>
      <c r="AY61" s="221"/>
      <c r="AZ61" s="221"/>
      <c r="BA61" s="221"/>
      <c r="BB61" s="221"/>
      <c r="BC61" s="221"/>
      <c r="BD61" s="221"/>
      <c r="BE61" s="221"/>
      <c r="BF61" s="221"/>
      <c r="BG61" s="221"/>
      <c r="BH61" s="221"/>
      <c r="BI61" s="221"/>
      <c r="BJ61" s="221"/>
      <c r="BK61" s="221"/>
      <c r="BL61" s="221"/>
      <c r="BM61" s="221"/>
      <c r="BN61" s="221"/>
      <c r="BO61" s="221"/>
      <c r="BP61" s="221"/>
      <c r="BQ61" s="221"/>
      <c r="BR61" s="221"/>
      <c r="BS61" s="221"/>
      <c r="BT61" s="221"/>
      <c r="BU61" s="221"/>
      <c r="BV61" s="221"/>
      <c r="BW61" s="221"/>
      <c r="BX61" s="221"/>
      <c r="BY61" s="221"/>
      <c r="BZ61" s="221"/>
      <c r="CA61" s="221"/>
      <c r="CB61" s="221"/>
      <c r="CC61" s="221"/>
      <c r="CD61" s="221"/>
      <c r="CE61" s="221"/>
      <c r="CF61" s="221"/>
      <c r="CG61" s="221"/>
      <c r="CH61" s="221"/>
      <c r="CI61" s="221"/>
      <c r="CJ61" s="221"/>
      <c r="CK61" s="221"/>
      <c r="CL61" s="221"/>
      <c r="CM61" s="221"/>
      <c r="CN61" s="221"/>
      <c r="CO61" s="221"/>
      <c r="CP61" s="221"/>
      <c r="CQ61" s="221"/>
    </row>
    <row r="62" spans="1:95" x14ac:dyDescent="0.25">
      <c r="A62" s="221"/>
      <c r="B62" s="221"/>
      <c r="C62" s="221"/>
      <c r="D62" s="221"/>
      <c r="E62" s="222"/>
      <c r="F62" s="222"/>
      <c r="G62" s="222"/>
      <c r="H62" s="222"/>
      <c r="I62" s="222"/>
      <c r="J62" s="222"/>
      <c r="K62" s="222"/>
      <c r="L62" s="222"/>
      <c r="M62" s="222"/>
      <c r="N62" s="222"/>
      <c r="O62" s="222"/>
      <c r="P62" s="222"/>
      <c r="Q62" s="221"/>
      <c r="R62" s="221"/>
      <c r="S62" s="221"/>
      <c r="T62" s="221"/>
      <c r="U62" s="221"/>
      <c r="V62" s="221"/>
      <c r="W62" s="221"/>
      <c r="X62" s="221"/>
      <c r="Y62" s="221"/>
      <c r="Z62" s="221"/>
      <c r="AA62" s="221"/>
      <c r="AB62" s="221"/>
      <c r="AC62" s="221"/>
      <c r="AD62" s="221"/>
      <c r="AE62" s="221"/>
      <c r="AF62" s="221"/>
      <c r="AG62" s="221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  <c r="CB62" s="221"/>
      <c r="CC62" s="221"/>
      <c r="CD62" s="221"/>
      <c r="CE62" s="221"/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</row>
    <row r="63" spans="1:95" x14ac:dyDescent="0.25">
      <c r="A63" s="221"/>
      <c r="B63" s="221"/>
      <c r="C63" s="221"/>
      <c r="D63" s="221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22"/>
      <c r="P63" s="222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K63" s="221"/>
      <c r="AL63" s="221"/>
      <c r="AM63" s="221"/>
      <c r="AN63" s="221"/>
      <c r="AO63" s="221"/>
      <c r="AP63" s="221"/>
      <c r="AQ63" s="221"/>
      <c r="AR63" s="221"/>
      <c r="AS63" s="221"/>
      <c r="AT63" s="221"/>
      <c r="AU63" s="221"/>
      <c r="AV63" s="221"/>
      <c r="AW63" s="221"/>
      <c r="AX63" s="221"/>
      <c r="AY63" s="221"/>
      <c r="AZ63" s="221"/>
      <c r="BA63" s="221"/>
      <c r="BB63" s="221"/>
      <c r="BC63" s="221"/>
      <c r="BD63" s="221"/>
      <c r="BE63" s="221"/>
      <c r="BF63" s="221"/>
      <c r="BG63" s="221"/>
      <c r="BH63" s="221"/>
      <c r="BI63" s="221"/>
      <c r="BJ63" s="221"/>
      <c r="BK63" s="221"/>
      <c r="BL63" s="221"/>
      <c r="BM63" s="221"/>
      <c r="BN63" s="221"/>
      <c r="BO63" s="221"/>
      <c r="BP63" s="221"/>
      <c r="BQ63" s="221"/>
      <c r="BR63" s="221"/>
      <c r="BS63" s="221"/>
      <c r="BT63" s="221"/>
      <c r="BU63" s="221"/>
      <c r="BV63" s="221"/>
      <c r="BW63" s="221"/>
      <c r="BX63" s="221"/>
      <c r="BY63" s="221"/>
      <c r="BZ63" s="221"/>
      <c r="CA63" s="221"/>
      <c r="CB63" s="221"/>
      <c r="CC63" s="221"/>
      <c r="CD63" s="221"/>
      <c r="CE63" s="221"/>
      <c r="CF63" s="221"/>
      <c r="CG63" s="221"/>
      <c r="CH63" s="221"/>
      <c r="CI63" s="221"/>
      <c r="CJ63" s="221"/>
      <c r="CK63" s="221"/>
      <c r="CL63" s="221"/>
      <c r="CM63" s="221"/>
      <c r="CN63" s="221"/>
      <c r="CO63" s="221"/>
      <c r="CP63" s="221"/>
      <c r="CQ63" s="221"/>
    </row>
    <row r="64" spans="1:95" x14ac:dyDescent="0.25">
      <c r="A64" s="221"/>
      <c r="B64" s="221"/>
      <c r="C64" s="221"/>
      <c r="D64" s="221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22"/>
      <c r="P64" s="222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K64" s="221"/>
      <c r="AL64" s="221"/>
      <c r="AM64" s="221"/>
      <c r="AN64" s="221"/>
      <c r="AO64" s="221"/>
      <c r="AP64" s="221"/>
      <c r="AQ64" s="221"/>
      <c r="AR64" s="221"/>
      <c r="AS64" s="221"/>
      <c r="AT64" s="221"/>
      <c r="AU64" s="221"/>
      <c r="AV64" s="221"/>
      <c r="AW64" s="221"/>
      <c r="AX64" s="221"/>
      <c r="AY64" s="221"/>
      <c r="AZ64" s="221"/>
      <c r="BA64" s="221"/>
      <c r="BB64" s="221"/>
      <c r="BC64" s="221"/>
      <c r="BD64" s="221"/>
      <c r="BE64" s="221"/>
      <c r="BF64" s="221"/>
      <c r="BG64" s="221"/>
      <c r="BH64" s="221"/>
      <c r="BI64" s="221"/>
      <c r="BJ64" s="221"/>
      <c r="BK64" s="221"/>
      <c r="BL64" s="221"/>
      <c r="BM64" s="221"/>
      <c r="BN64" s="221"/>
      <c r="BO64" s="221"/>
      <c r="BP64" s="221"/>
      <c r="BQ64" s="221"/>
      <c r="BR64" s="221"/>
      <c r="BS64" s="221"/>
      <c r="BT64" s="221"/>
      <c r="BU64" s="221"/>
      <c r="BV64" s="221"/>
      <c r="BW64" s="221"/>
      <c r="BX64" s="221"/>
      <c r="BY64" s="221"/>
      <c r="BZ64" s="221"/>
      <c r="CA64" s="221"/>
      <c r="CB64" s="221"/>
      <c r="CC64" s="221"/>
      <c r="CD64" s="221"/>
      <c r="CE64" s="221"/>
      <c r="CF64" s="221"/>
      <c r="CG64" s="221"/>
      <c r="CH64" s="221"/>
      <c r="CI64" s="221"/>
      <c r="CJ64" s="221"/>
      <c r="CK64" s="221"/>
      <c r="CL64" s="221"/>
      <c r="CM64" s="221"/>
      <c r="CN64" s="221"/>
      <c r="CO64" s="221"/>
      <c r="CP64" s="221"/>
      <c r="CQ64" s="221"/>
    </row>
    <row r="65" spans="1:95" x14ac:dyDescent="0.25">
      <c r="A65" s="221"/>
      <c r="B65" s="221"/>
      <c r="C65" s="221"/>
      <c r="D65" s="221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22"/>
      <c r="P65" s="222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K65" s="221"/>
      <c r="AL65" s="221"/>
      <c r="AM65" s="221"/>
      <c r="AN65" s="221"/>
      <c r="AO65" s="221"/>
      <c r="AP65" s="221"/>
      <c r="AQ65" s="221"/>
      <c r="AR65" s="221"/>
      <c r="AS65" s="221"/>
      <c r="AT65" s="221"/>
      <c r="AU65" s="221"/>
      <c r="AV65" s="221"/>
      <c r="AW65" s="221"/>
      <c r="AX65" s="221"/>
      <c r="AY65" s="221"/>
      <c r="AZ65" s="221"/>
      <c r="BA65" s="221"/>
      <c r="BB65" s="221"/>
      <c r="BC65" s="221"/>
      <c r="BD65" s="221"/>
      <c r="BE65" s="221"/>
      <c r="BF65" s="221"/>
      <c r="BG65" s="221"/>
      <c r="BH65" s="221"/>
      <c r="BI65" s="221"/>
      <c r="BJ65" s="221"/>
      <c r="BK65" s="221"/>
      <c r="BL65" s="221"/>
      <c r="BM65" s="221"/>
      <c r="BN65" s="221"/>
      <c r="BO65" s="221"/>
      <c r="BP65" s="221"/>
      <c r="BQ65" s="221"/>
      <c r="BR65" s="221"/>
      <c r="BS65" s="221"/>
      <c r="BT65" s="221"/>
      <c r="BU65" s="221"/>
      <c r="BV65" s="221"/>
      <c r="BW65" s="221"/>
      <c r="BX65" s="221"/>
      <c r="BY65" s="221"/>
      <c r="BZ65" s="221"/>
      <c r="CA65" s="221"/>
      <c r="CB65" s="221"/>
      <c r="CC65" s="221"/>
      <c r="CD65" s="221"/>
      <c r="CE65" s="221"/>
      <c r="CF65" s="221"/>
      <c r="CG65" s="221"/>
      <c r="CH65" s="221"/>
      <c r="CI65" s="221"/>
      <c r="CJ65" s="221"/>
      <c r="CK65" s="221"/>
      <c r="CL65" s="221"/>
      <c r="CM65" s="221"/>
      <c r="CN65" s="221"/>
      <c r="CO65" s="221"/>
      <c r="CP65" s="221"/>
      <c r="CQ65" s="221"/>
    </row>
    <row r="66" spans="1:95" x14ac:dyDescent="0.25">
      <c r="A66" s="221"/>
      <c r="B66" s="221"/>
      <c r="C66" s="221"/>
      <c r="D66" s="221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22"/>
      <c r="P66" s="222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K66" s="221"/>
      <c r="AL66" s="221"/>
      <c r="AM66" s="221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1"/>
      <c r="BR66" s="221"/>
      <c r="BS66" s="221"/>
      <c r="BT66" s="221"/>
      <c r="BU66" s="221"/>
      <c r="BV66" s="221"/>
      <c r="BW66" s="221"/>
      <c r="BX66" s="221"/>
      <c r="BY66" s="221"/>
      <c r="BZ66" s="221"/>
      <c r="CA66" s="221"/>
      <c r="CB66" s="221"/>
      <c r="CC66" s="221"/>
      <c r="CD66" s="221"/>
      <c r="CE66" s="221"/>
      <c r="CF66" s="221"/>
      <c r="CG66" s="221"/>
      <c r="CH66" s="221"/>
      <c r="CI66" s="221"/>
      <c r="CJ66" s="221"/>
      <c r="CK66" s="221"/>
      <c r="CL66" s="221"/>
      <c r="CM66" s="221"/>
      <c r="CN66" s="221"/>
      <c r="CO66" s="221"/>
      <c r="CP66" s="221"/>
      <c r="CQ66" s="221"/>
    </row>
    <row r="67" spans="1:95" x14ac:dyDescent="0.25">
      <c r="A67" s="221"/>
      <c r="B67" s="221"/>
      <c r="C67" s="221"/>
      <c r="D67" s="221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22"/>
      <c r="P67" s="222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K67" s="221"/>
      <c r="AL67" s="221"/>
      <c r="AM67" s="221"/>
      <c r="AN67" s="221"/>
      <c r="AO67" s="221"/>
      <c r="AP67" s="221"/>
      <c r="AQ67" s="221"/>
      <c r="AR67" s="221"/>
      <c r="AS67" s="221"/>
      <c r="AT67" s="221"/>
      <c r="AU67" s="221"/>
      <c r="AV67" s="221"/>
      <c r="AW67" s="221"/>
      <c r="AX67" s="221"/>
      <c r="AY67" s="221"/>
      <c r="AZ67" s="221"/>
      <c r="BA67" s="221"/>
      <c r="BB67" s="221"/>
      <c r="BC67" s="221"/>
      <c r="BD67" s="221"/>
      <c r="BE67" s="221"/>
      <c r="BF67" s="221"/>
      <c r="BG67" s="221"/>
      <c r="BH67" s="221"/>
      <c r="BI67" s="221"/>
      <c r="BJ67" s="221"/>
      <c r="BK67" s="221"/>
      <c r="BL67" s="221"/>
      <c r="BM67" s="221"/>
      <c r="BN67" s="221"/>
      <c r="BO67" s="221"/>
      <c r="BP67" s="221"/>
      <c r="BQ67" s="221"/>
      <c r="BR67" s="221"/>
      <c r="BS67" s="221"/>
      <c r="BT67" s="221"/>
      <c r="BU67" s="221"/>
      <c r="BV67" s="221"/>
      <c r="BW67" s="221"/>
      <c r="BX67" s="221"/>
      <c r="BY67" s="221"/>
      <c r="BZ67" s="221"/>
      <c r="CA67" s="221"/>
      <c r="CB67" s="221"/>
      <c r="CC67" s="221"/>
      <c r="CD67" s="221"/>
      <c r="CE67" s="221"/>
      <c r="CF67" s="221"/>
      <c r="CG67" s="221"/>
      <c r="CH67" s="221"/>
      <c r="CI67" s="221"/>
      <c r="CJ67" s="221"/>
      <c r="CK67" s="221"/>
      <c r="CL67" s="221"/>
      <c r="CM67" s="221"/>
      <c r="CN67" s="221"/>
      <c r="CO67" s="221"/>
      <c r="CP67" s="221"/>
      <c r="CQ67" s="221"/>
    </row>
  </sheetData>
  <sheetProtection algorithmName="SHA-512" hashValue="aGc9VNXP1yUbP6CqpdwUXCJyzqSoJH7jmBPS1WVNEBOFFcXx+2W+w+5l1+gbmAMJf+dkvJBh1dcggRoW5GqonA==" saltValue="inys39gZfvtFRaJYMbm4zw==" spinCount="100000" sheet="1" objects="1" scenarios="1"/>
  <protectedRanges>
    <protectedRange algorithmName="SHA-512" hashValue="gi9/tDHkNOGEwBhYJayirKanbgqsSgJXQaHRTOAEmqGl7gq+GX5iMO6LnbQvWNAiNnoIOi5wJ/hGjL5alxY9Sg==" saltValue="lQ0kl+RyvArKdwmkGqR4wg==" spinCount="100000" sqref="B17" name="Range1"/>
  </protectedRanges>
  <mergeCells count="116">
    <mergeCell ref="Z9:AB9"/>
    <mergeCell ref="D8:E8"/>
    <mergeCell ref="AD7:AF8"/>
    <mergeCell ref="V7:X8"/>
    <mergeCell ref="J21:N21"/>
    <mergeCell ref="D15:H16"/>
    <mergeCell ref="AD12:AF12"/>
    <mergeCell ref="AD13:AF13"/>
    <mergeCell ref="V12:X12"/>
    <mergeCell ref="Z12:AB12"/>
    <mergeCell ref="AD19:AF19"/>
    <mergeCell ref="D19:E19"/>
    <mergeCell ref="F19:H19"/>
    <mergeCell ref="J19:N19"/>
    <mergeCell ref="P19:T19"/>
    <mergeCell ref="V19:X19"/>
    <mergeCell ref="Z19:AB19"/>
    <mergeCell ref="Z17:AB17"/>
    <mergeCell ref="AD17:AF17"/>
    <mergeCell ref="V17:X17"/>
    <mergeCell ref="V15:X16"/>
    <mergeCell ref="Z7:AB8"/>
    <mergeCell ref="AD11:AF11"/>
    <mergeCell ref="J12:N12"/>
    <mergeCell ref="A2:X2"/>
    <mergeCell ref="B3:X3"/>
    <mergeCell ref="AD15:AF16"/>
    <mergeCell ref="D10:H10"/>
    <mergeCell ref="V11:X11"/>
    <mergeCell ref="Z11:AB11"/>
    <mergeCell ref="D12:E12"/>
    <mergeCell ref="F12:H12"/>
    <mergeCell ref="B7:B8"/>
    <mergeCell ref="J7:N8"/>
    <mergeCell ref="P7:T8"/>
    <mergeCell ref="J11:N11"/>
    <mergeCell ref="P11:T11"/>
    <mergeCell ref="F8:H8"/>
    <mergeCell ref="AD9:AF9"/>
    <mergeCell ref="D7:H7"/>
    <mergeCell ref="D9:H9"/>
    <mergeCell ref="J9:N9"/>
    <mergeCell ref="P9:T9"/>
    <mergeCell ref="V9:X9"/>
    <mergeCell ref="B4:AB4"/>
    <mergeCell ref="B15:B16"/>
    <mergeCell ref="J15:N16"/>
    <mergeCell ref="P15:T16"/>
    <mergeCell ref="P12:T12"/>
    <mergeCell ref="H13:K13"/>
    <mergeCell ref="M13:P13"/>
    <mergeCell ref="R13:T13"/>
    <mergeCell ref="V13:X13"/>
    <mergeCell ref="P24:S24"/>
    <mergeCell ref="D17:H17"/>
    <mergeCell ref="J17:N17"/>
    <mergeCell ref="P17:T17"/>
    <mergeCell ref="Z15:AB16"/>
    <mergeCell ref="D13:F13"/>
    <mergeCell ref="D26:F26"/>
    <mergeCell ref="H26:K26"/>
    <mergeCell ref="Z13:AB13"/>
    <mergeCell ref="D25:F25"/>
    <mergeCell ref="D27:F27"/>
    <mergeCell ref="D28:F28"/>
    <mergeCell ref="D29:F29"/>
    <mergeCell ref="D21:H21"/>
    <mergeCell ref="T24:W25"/>
    <mergeCell ref="D32:F32"/>
    <mergeCell ref="D24:F24"/>
    <mergeCell ref="H24:K24"/>
    <mergeCell ref="L24:O24"/>
    <mergeCell ref="D30:F30"/>
    <mergeCell ref="H27:K27"/>
    <mergeCell ref="H28:K28"/>
    <mergeCell ref="P32:S32"/>
    <mergeCell ref="H31:K31"/>
    <mergeCell ref="H32:K32"/>
    <mergeCell ref="L26:O26"/>
    <mergeCell ref="L27:O27"/>
    <mergeCell ref="L28:O28"/>
    <mergeCell ref="L29:O29"/>
    <mergeCell ref="L30:O30"/>
    <mergeCell ref="L31:O31"/>
    <mergeCell ref="L32:O32"/>
    <mergeCell ref="H25:K25"/>
    <mergeCell ref="L25:O25"/>
    <mergeCell ref="P25:S25"/>
    <mergeCell ref="H29:K29"/>
    <mergeCell ref="H30:K30"/>
    <mergeCell ref="P26:S26"/>
    <mergeCell ref="P27:S27"/>
    <mergeCell ref="P28:S28"/>
    <mergeCell ref="P29:S29"/>
    <mergeCell ref="P30:S30"/>
    <mergeCell ref="P31:S31"/>
    <mergeCell ref="D31:F31"/>
    <mergeCell ref="T32:W32"/>
    <mergeCell ref="CG26:CI26"/>
    <mergeCell ref="CJ26:CM26"/>
    <mergeCell ref="CN26:CQ26"/>
    <mergeCell ref="CR26:CU26"/>
    <mergeCell ref="CG27:CI27"/>
    <mergeCell ref="CJ27:CM27"/>
    <mergeCell ref="CN27:CQ27"/>
    <mergeCell ref="CR27:CU27"/>
    <mergeCell ref="CG28:CI28"/>
    <mergeCell ref="CJ28:CM28"/>
    <mergeCell ref="CN28:CQ28"/>
    <mergeCell ref="CR28:CU28"/>
    <mergeCell ref="T26:W26"/>
    <mergeCell ref="T27:W27"/>
    <mergeCell ref="T28:W28"/>
    <mergeCell ref="T29:W29"/>
    <mergeCell ref="T31:W31"/>
    <mergeCell ref="T30:W30"/>
  </mergeCells>
  <pageMargins left="0.31496062992125984" right="0.31496062992125984" top="0.74803149606299213" bottom="0.74803149606299213" header="0.31496062992125984" footer="0.31496062992125984"/>
  <pageSetup paperSize="9" scale="1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6" r:id="rId4" name="Drop Down 26">
              <controlPr locked="0" defaultSize="0" autoLine="0" autoPict="0">
                <anchor moveWithCells="1">
                  <from>
                    <xdr:col>17</xdr:col>
                    <xdr:colOff>76200</xdr:colOff>
                    <xdr:row>16</xdr:row>
                    <xdr:rowOff>68580</xdr:rowOff>
                  </from>
                  <to>
                    <xdr:col>19</xdr:col>
                    <xdr:colOff>45720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5" name="Drop Down 28">
              <controlPr locked="0" defaultSize="0" autoLine="0" autoPict="0">
                <anchor moveWithCells="1">
                  <from>
                    <xdr:col>9</xdr:col>
                    <xdr:colOff>228600</xdr:colOff>
                    <xdr:row>16</xdr:row>
                    <xdr:rowOff>60960</xdr:rowOff>
                  </from>
                  <to>
                    <xdr:col>13</xdr:col>
                    <xdr:colOff>495300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6" name="Drop Down 29">
              <controlPr locked="0" defaultSize="0" autoLine="0" autoPict="0">
                <anchor moveWithCells="1">
                  <from>
                    <xdr:col>29</xdr:col>
                    <xdr:colOff>487680</xdr:colOff>
                    <xdr:row>16</xdr:row>
                    <xdr:rowOff>68580</xdr:rowOff>
                  </from>
                  <to>
                    <xdr:col>31</xdr:col>
                    <xdr:colOff>137160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7" name="Drop Down 30">
              <controlPr locked="0" defaultSize="0" autoLine="0" autoPict="0">
                <anchor moveWithCells="1">
                  <from>
                    <xdr:col>25</xdr:col>
                    <xdr:colOff>76200</xdr:colOff>
                    <xdr:row>16</xdr:row>
                    <xdr:rowOff>76200</xdr:rowOff>
                  </from>
                  <to>
                    <xdr:col>27</xdr:col>
                    <xdr:colOff>441960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8" name="Drop Down 31">
              <controlPr locked="0" defaultSize="0" autoLine="0" autoPict="0">
                <anchor moveWithCells="1">
                  <from>
                    <xdr:col>21</xdr:col>
                    <xdr:colOff>304800</xdr:colOff>
                    <xdr:row>16</xdr:row>
                    <xdr:rowOff>76200</xdr:rowOff>
                  </from>
                  <to>
                    <xdr:col>23</xdr:col>
                    <xdr:colOff>7620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9" name="Drop Down 32">
              <controlPr locked="0" defaultSize="0" autoLine="0" autoPict="0">
                <anchor moveWithCells="1">
                  <from>
                    <xdr:col>17</xdr:col>
                    <xdr:colOff>76200</xdr:colOff>
                    <xdr:row>16</xdr:row>
                    <xdr:rowOff>68580</xdr:rowOff>
                  </from>
                  <to>
                    <xdr:col>19</xdr:col>
                    <xdr:colOff>45720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10" name="Drop Down 34">
              <controlPr locked="0" defaultSize="0" autoLine="0" autoPict="0">
                <anchor moveWithCells="1">
                  <from>
                    <xdr:col>25</xdr:col>
                    <xdr:colOff>76200</xdr:colOff>
                    <xdr:row>16</xdr:row>
                    <xdr:rowOff>76200</xdr:rowOff>
                  </from>
                  <to>
                    <xdr:col>27</xdr:col>
                    <xdr:colOff>441960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11" name="Drop Down 35">
              <controlPr locked="0" defaultSize="0" autoLine="0" autoPict="0">
                <anchor moveWithCells="1">
                  <from>
                    <xdr:col>21</xdr:col>
                    <xdr:colOff>304800</xdr:colOff>
                    <xdr:row>16</xdr:row>
                    <xdr:rowOff>76200</xdr:rowOff>
                  </from>
                  <to>
                    <xdr:col>23</xdr:col>
                    <xdr:colOff>7620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2" name="Drop Down 36">
              <controlPr locked="0" defaultSize="0" autoLine="0" autoPict="0">
                <anchor moveWithCells="1">
                  <from>
                    <xdr:col>15</xdr:col>
                    <xdr:colOff>68580</xdr:colOff>
                    <xdr:row>16</xdr:row>
                    <xdr:rowOff>76200</xdr:rowOff>
                  </from>
                  <to>
                    <xdr:col>19</xdr:col>
                    <xdr:colOff>480060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13" name="Drop Down 38">
              <controlPr locked="0" defaultSize="0" autoLine="0" autoPict="0">
                <anchor moveWithCells="1">
                  <from>
                    <xdr:col>9</xdr:col>
                    <xdr:colOff>60960</xdr:colOff>
                    <xdr:row>16</xdr:row>
                    <xdr:rowOff>68580</xdr:rowOff>
                  </from>
                  <to>
                    <xdr:col>13</xdr:col>
                    <xdr:colOff>502920</xdr:colOff>
                    <xdr:row>16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14" name="Drop Down 39">
              <controlPr locked="0" defaultSize="0" autoLine="0" autoPict="0">
                <anchor moveWithCells="1">
                  <from>
                    <xdr:col>29</xdr:col>
                    <xdr:colOff>45720</xdr:colOff>
                    <xdr:row>16</xdr:row>
                    <xdr:rowOff>68580</xdr:rowOff>
                  </from>
                  <to>
                    <xdr:col>31</xdr:col>
                    <xdr:colOff>708660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5" name="Drop Down 40">
              <controlPr locked="0" defaultSize="0" autoLine="0" autoPict="0">
                <anchor moveWithCells="1">
                  <from>
                    <xdr:col>25</xdr:col>
                    <xdr:colOff>45720</xdr:colOff>
                    <xdr:row>16</xdr:row>
                    <xdr:rowOff>60960</xdr:rowOff>
                  </from>
                  <to>
                    <xdr:col>27</xdr:col>
                    <xdr:colOff>487680</xdr:colOff>
                    <xdr:row>16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16" name="Drop Down 41">
              <controlPr locked="0" defaultSize="0" autoLine="0" autoPict="0">
                <anchor moveWithCells="1">
                  <from>
                    <xdr:col>21</xdr:col>
                    <xdr:colOff>60960</xdr:colOff>
                    <xdr:row>16</xdr:row>
                    <xdr:rowOff>76200</xdr:rowOff>
                  </from>
                  <to>
                    <xdr:col>23</xdr:col>
                    <xdr:colOff>495300</xdr:colOff>
                    <xdr:row>16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7" name="Drop Down 42">
              <controlPr locked="0" defaultSize="0" autoLine="0" autoPict="0">
                <anchor moveWithCells="1">
                  <from>
                    <xdr:col>3</xdr:col>
                    <xdr:colOff>30480</xdr:colOff>
                    <xdr:row>16</xdr:row>
                    <xdr:rowOff>60960</xdr:rowOff>
                  </from>
                  <to>
                    <xdr:col>7</xdr:col>
                    <xdr:colOff>518160</xdr:colOff>
                    <xdr:row>16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8"/>
  <sheetViews>
    <sheetView workbookViewId="0">
      <pane xSplit="3" ySplit="1" topLeftCell="D2" activePane="bottomRight" state="frozen"/>
      <selection activeCell="L23" sqref="L23:O23"/>
      <selection pane="topRight" activeCell="L23" sqref="L23:O23"/>
      <selection pane="bottomLeft" activeCell="L23" sqref="L23:O23"/>
      <selection pane="bottomRight" activeCell="M16" sqref="M16"/>
    </sheetView>
  </sheetViews>
  <sheetFormatPr defaultColWidth="9.109375" defaultRowHeight="13.2" x14ac:dyDescent="0.25"/>
  <cols>
    <col min="1" max="1" width="3" style="3" bestFit="1" customWidth="1"/>
    <col min="2" max="2" width="35.33203125" style="3" customWidth="1"/>
    <col min="3" max="3" width="1" style="3" customWidth="1"/>
    <col min="4" max="6" width="14.109375" style="3" customWidth="1"/>
    <col min="7" max="7" width="1" style="3" customWidth="1"/>
    <col min="8" max="10" width="14" style="3" customWidth="1"/>
    <col min="11" max="11" width="1" style="3" customWidth="1"/>
    <col min="12" max="14" width="14.88671875" style="3" customWidth="1"/>
    <col min="15" max="15" width="1" style="3" customWidth="1"/>
    <col min="16" max="17" width="10.33203125" style="3" customWidth="1"/>
    <col min="18" max="18" width="0.88671875" style="3" customWidth="1"/>
    <col min="19" max="20" width="10.33203125" style="3" customWidth="1"/>
    <col min="21" max="21" width="0.88671875" style="3" customWidth="1"/>
    <col min="22" max="23" width="10.33203125" style="3" customWidth="1"/>
    <col min="24" max="24" width="0.88671875" style="3" customWidth="1"/>
    <col min="25" max="26" width="10.33203125" style="3" customWidth="1"/>
    <col min="27" max="16384" width="9.109375" style="3"/>
  </cols>
  <sheetData>
    <row r="1" spans="1:26" s="14" customFormat="1" ht="39.75" customHeight="1" x14ac:dyDescent="0.25">
      <c r="A1" s="407" t="s">
        <v>41</v>
      </c>
      <c r="B1" s="407"/>
      <c r="C1" s="15"/>
      <c r="D1" s="410" t="s">
        <v>65</v>
      </c>
      <c r="E1" s="410"/>
      <c r="F1" s="411"/>
      <c r="G1" s="15"/>
      <c r="H1" s="412" t="s">
        <v>91</v>
      </c>
      <c r="I1" s="412"/>
      <c r="J1" s="413"/>
      <c r="K1" s="15"/>
      <c r="L1" s="412" t="s">
        <v>92</v>
      </c>
      <c r="M1" s="412"/>
      <c r="N1" s="412"/>
      <c r="P1" s="408"/>
      <c r="Q1" s="409"/>
      <c r="S1" s="408"/>
      <c r="T1" s="409"/>
      <c r="V1" s="408"/>
      <c r="W1" s="409"/>
      <c r="Y1" s="408"/>
      <c r="Z1" s="409"/>
    </row>
    <row r="2" spans="1:26" s="18" customFormat="1" ht="28.5" customHeight="1" x14ac:dyDescent="0.25">
      <c r="D2" s="19" t="s">
        <v>49</v>
      </c>
      <c r="E2" s="19"/>
      <c r="F2" s="20" t="s">
        <v>50</v>
      </c>
      <c r="H2" s="19"/>
      <c r="I2" s="208"/>
      <c r="J2" s="20"/>
      <c r="L2" s="19"/>
      <c r="M2" s="208"/>
      <c r="N2" s="20"/>
    </row>
    <row r="3" spans="1:26" x14ac:dyDescent="0.25"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26" x14ac:dyDescent="0.25">
      <c r="A4" s="192">
        <v>1</v>
      </c>
      <c r="B4" s="193" t="s">
        <v>66</v>
      </c>
      <c r="C4" s="194"/>
      <c r="D4" s="195">
        <v>462.9</v>
      </c>
      <c r="E4" s="195"/>
      <c r="F4" s="196">
        <v>0.2561887871304282</v>
      </c>
      <c r="G4" s="7"/>
      <c r="H4" s="8">
        <f t="shared" ref="H4:H14" si="0">+D4*1.023</f>
        <v>473.54669999999993</v>
      </c>
      <c r="I4" s="8"/>
      <c r="J4" s="9">
        <f>+F4*1.025</f>
        <v>0.26259350680868887</v>
      </c>
      <c r="K4" s="7"/>
      <c r="L4" s="8">
        <v>490.7</v>
      </c>
      <c r="M4" s="8"/>
      <c r="N4" s="9">
        <v>0.27156011435825389</v>
      </c>
      <c r="P4" s="8"/>
      <c r="Q4" s="9"/>
      <c r="R4" s="7"/>
      <c r="S4" s="8"/>
      <c r="T4" s="9"/>
      <c r="U4" s="7"/>
      <c r="V4" s="8"/>
      <c r="W4" s="9"/>
      <c r="Y4" s="8"/>
      <c r="Z4" s="9"/>
    </row>
    <row r="5" spans="1:26" x14ac:dyDescent="0.25">
      <c r="A5" s="192">
        <v>2</v>
      </c>
      <c r="B5" s="193" t="s">
        <v>67</v>
      </c>
      <c r="C5" s="194"/>
      <c r="D5" s="195">
        <v>462.9</v>
      </c>
      <c r="E5" s="195"/>
      <c r="F5" s="196">
        <v>0.25289412928124405</v>
      </c>
      <c r="G5" s="7"/>
      <c r="H5" s="8">
        <f t="shared" si="0"/>
        <v>473.54669999999993</v>
      </c>
      <c r="I5" s="8"/>
      <c r="J5" s="9">
        <f t="shared" ref="J5:J14" si="1">+F5*1.025</f>
        <v>0.25921648251327511</v>
      </c>
      <c r="K5" s="7"/>
      <c r="L5" s="8">
        <v>490.7</v>
      </c>
      <c r="M5" s="8"/>
      <c r="N5" s="9">
        <v>0.26806777703811868</v>
      </c>
      <c r="P5" s="8"/>
      <c r="Q5" s="9"/>
      <c r="R5" s="7"/>
      <c r="S5" s="8"/>
      <c r="T5" s="9"/>
      <c r="U5" s="7"/>
      <c r="V5" s="8"/>
      <c r="W5" s="9"/>
      <c r="Y5" s="8"/>
      <c r="Z5" s="9"/>
    </row>
    <row r="6" spans="1:26" x14ac:dyDescent="0.25">
      <c r="A6" s="192">
        <v>3</v>
      </c>
      <c r="B6" s="193" t="s">
        <v>69</v>
      </c>
      <c r="C6" s="194"/>
      <c r="D6" s="195">
        <v>409.15</v>
      </c>
      <c r="E6" s="195"/>
      <c r="F6" s="196">
        <v>0.37787895510614378</v>
      </c>
      <c r="G6" s="7"/>
      <c r="H6" s="8">
        <f t="shared" si="0"/>
        <v>418.56044999999995</v>
      </c>
      <c r="I6" s="8"/>
      <c r="J6" s="9">
        <f t="shared" si="1"/>
        <v>0.38732592898379736</v>
      </c>
      <c r="K6" s="7"/>
      <c r="L6" s="8">
        <v>433.7</v>
      </c>
      <c r="M6" s="8"/>
      <c r="N6" s="9">
        <v>0.40055169241251243</v>
      </c>
      <c r="P6" s="8"/>
      <c r="Q6" s="9"/>
      <c r="R6" s="7"/>
      <c r="S6" s="8"/>
      <c r="T6" s="9"/>
      <c r="U6" s="7"/>
      <c r="V6" s="8"/>
      <c r="W6" s="9"/>
      <c r="Y6" s="8"/>
      <c r="Z6" s="9"/>
    </row>
    <row r="7" spans="1:26" x14ac:dyDescent="0.25">
      <c r="A7" s="192">
        <v>4</v>
      </c>
      <c r="B7" s="193" t="s">
        <v>70</v>
      </c>
      <c r="C7" s="194"/>
      <c r="D7" s="195">
        <v>462.9</v>
      </c>
      <c r="E7" s="195"/>
      <c r="F7" s="196">
        <v>0.23385870607486722</v>
      </c>
      <c r="G7" s="7"/>
      <c r="H7" s="8">
        <f t="shared" si="0"/>
        <v>473.54669999999993</v>
      </c>
      <c r="I7" s="8"/>
      <c r="J7" s="9">
        <f t="shared" si="1"/>
        <v>0.23970517372673888</v>
      </c>
      <c r="K7" s="7"/>
      <c r="L7" s="8">
        <v>490.7</v>
      </c>
      <c r="M7" s="8"/>
      <c r="N7" s="9">
        <v>0.24789022843935926</v>
      </c>
      <c r="P7" s="8"/>
      <c r="Q7" s="9"/>
      <c r="R7" s="7"/>
      <c r="S7" s="8"/>
      <c r="T7" s="9"/>
      <c r="U7" s="7"/>
      <c r="V7" s="8"/>
      <c r="W7" s="9"/>
      <c r="Y7" s="8"/>
      <c r="Z7" s="9"/>
    </row>
    <row r="8" spans="1:26" x14ac:dyDescent="0.25">
      <c r="A8" s="192">
        <v>5</v>
      </c>
      <c r="B8" s="193" t="s">
        <v>68</v>
      </c>
      <c r="C8" s="194"/>
      <c r="D8" s="195">
        <v>462.9</v>
      </c>
      <c r="E8" s="195"/>
      <c r="F8" s="196">
        <v>0.28917060355873919</v>
      </c>
      <c r="G8" s="7"/>
      <c r="H8" s="8">
        <f t="shared" si="0"/>
        <v>473.54669999999993</v>
      </c>
      <c r="I8" s="8"/>
      <c r="J8" s="9">
        <f t="shared" si="1"/>
        <v>0.29639986864770762</v>
      </c>
      <c r="K8" s="7"/>
      <c r="L8" s="8">
        <v>490.7</v>
      </c>
      <c r="M8" s="8"/>
      <c r="N8" s="9">
        <v>0.30652083977226358</v>
      </c>
      <c r="P8" s="8"/>
      <c r="Q8" s="9"/>
      <c r="R8" s="7"/>
      <c r="S8" s="8"/>
      <c r="T8" s="9"/>
      <c r="U8" s="7"/>
      <c r="V8" s="8"/>
      <c r="W8" s="9"/>
      <c r="Y8" s="8"/>
      <c r="Z8" s="9"/>
    </row>
    <row r="9" spans="1:26" x14ac:dyDescent="0.25">
      <c r="A9" s="192">
        <v>6</v>
      </c>
      <c r="B9" s="193" t="s">
        <v>71</v>
      </c>
      <c r="C9" s="194"/>
      <c r="D9" s="195">
        <v>462.9</v>
      </c>
      <c r="E9" s="195"/>
      <c r="F9" s="196">
        <v>0.27975246268128656</v>
      </c>
      <c r="G9" s="7"/>
      <c r="H9" s="8">
        <f t="shared" si="0"/>
        <v>473.54669999999993</v>
      </c>
      <c r="I9" s="8"/>
      <c r="J9" s="9">
        <f t="shared" si="1"/>
        <v>0.28674627424831872</v>
      </c>
      <c r="K9" s="7"/>
      <c r="L9" s="8">
        <v>490.7</v>
      </c>
      <c r="M9" s="8"/>
      <c r="N9" s="9">
        <v>0.29653761044216376</v>
      </c>
      <c r="P9" s="8"/>
      <c r="Q9" s="9"/>
      <c r="R9" s="7"/>
      <c r="S9" s="8"/>
      <c r="T9" s="9"/>
      <c r="U9" s="7"/>
      <c r="V9" s="8"/>
      <c r="W9" s="9"/>
      <c r="Y9" s="8"/>
      <c r="Z9" s="9"/>
    </row>
    <row r="10" spans="1:26" x14ac:dyDescent="0.25">
      <c r="A10" s="192">
        <v>7</v>
      </c>
      <c r="B10" s="193" t="s">
        <v>76</v>
      </c>
      <c r="C10" s="194"/>
      <c r="D10" s="195">
        <v>462.9</v>
      </c>
      <c r="E10" s="195"/>
      <c r="F10" s="197">
        <v>0.27674120238744587</v>
      </c>
      <c r="G10" s="7"/>
      <c r="H10" s="8">
        <f t="shared" si="0"/>
        <v>473.54669999999993</v>
      </c>
      <c r="I10" s="8"/>
      <c r="J10" s="9">
        <f t="shared" si="1"/>
        <v>0.283659732447132</v>
      </c>
      <c r="K10" s="7"/>
      <c r="L10" s="8">
        <v>490.7</v>
      </c>
      <c r="M10" s="8"/>
      <c r="N10" s="9">
        <v>0.29334567453069266</v>
      </c>
      <c r="P10" s="8"/>
      <c r="Q10" s="9"/>
      <c r="R10" s="7"/>
      <c r="S10" s="8"/>
      <c r="T10" s="9"/>
      <c r="U10" s="7"/>
      <c r="V10" s="8"/>
      <c r="W10" s="9"/>
      <c r="Y10" s="8"/>
      <c r="Z10" s="9"/>
    </row>
    <row r="11" spans="1:26" x14ac:dyDescent="0.25">
      <c r="A11" s="192">
        <v>8</v>
      </c>
      <c r="B11" s="193" t="s">
        <v>72</v>
      </c>
      <c r="C11" s="194"/>
      <c r="D11" s="195">
        <v>462.9</v>
      </c>
      <c r="E11" s="195"/>
      <c r="F11" s="196">
        <v>0.27945417056229288</v>
      </c>
      <c r="G11" s="7"/>
      <c r="H11" s="8">
        <f t="shared" si="0"/>
        <v>473.54669999999993</v>
      </c>
      <c r="I11" s="8"/>
      <c r="J11" s="9">
        <f t="shared" si="1"/>
        <v>0.28644052482635018</v>
      </c>
      <c r="K11" s="7"/>
      <c r="L11" s="8">
        <v>490.7</v>
      </c>
      <c r="M11" s="8"/>
      <c r="N11" s="9">
        <v>0.29622142079603048</v>
      </c>
      <c r="P11" s="8"/>
      <c r="Q11" s="9"/>
      <c r="R11" s="7"/>
      <c r="S11" s="8"/>
      <c r="T11" s="9"/>
      <c r="U11" s="7"/>
      <c r="V11" s="8"/>
      <c r="W11" s="9"/>
      <c r="Y11" s="8"/>
      <c r="Z11" s="9"/>
    </row>
    <row r="12" spans="1:26" x14ac:dyDescent="0.25">
      <c r="A12" s="192">
        <v>9</v>
      </c>
      <c r="B12" s="193" t="s">
        <v>73</v>
      </c>
      <c r="C12" s="194"/>
      <c r="D12" s="195">
        <v>462.9</v>
      </c>
      <c r="E12" s="195"/>
      <c r="F12" s="196">
        <v>0.3708512895059114</v>
      </c>
      <c r="G12" s="7"/>
      <c r="H12" s="8">
        <f t="shared" si="0"/>
        <v>473.54669999999993</v>
      </c>
      <c r="I12" s="8"/>
      <c r="J12" s="9">
        <f t="shared" si="1"/>
        <v>0.38012257174355912</v>
      </c>
      <c r="K12" s="7"/>
      <c r="L12" s="8">
        <v>490.7</v>
      </c>
      <c r="M12" s="8"/>
      <c r="N12" s="9">
        <v>0.3931023668762661</v>
      </c>
      <c r="P12" s="8"/>
      <c r="Q12" s="9"/>
      <c r="R12" s="7"/>
      <c r="S12" s="8"/>
      <c r="T12" s="9"/>
      <c r="U12" s="7"/>
      <c r="V12" s="8"/>
      <c r="W12" s="9"/>
      <c r="Y12" s="8"/>
      <c r="Z12" s="9"/>
    </row>
    <row r="13" spans="1:26" x14ac:dyDescent="0.25">
      <c r="A13" s="192">
        <v>10</v>
      </c>
      <c r="B13" s="193" t="s">
        <v>74</v>
      </c>
      <c r="C13" s="194"/>
      <c r="D13" s="195">
        <v>422.95</v>
      </c>
      <c r="E13" s="195"/>
      <c r="F13" s="197">
        <v>0.51095150009982915</v>
      </c>
      <c r="G13" s="7"/>
      <c r="H13" s="8">
        <f t="shared" si="0"/>
        <v>432.67784999999998</v>
      </c>
      <c r="I13" s="8"/>
      <c r="J13" s="9">
        <f t="shared" si="1"/>
        <v>0.52372528760232484</v>
      </c>
      <c r="K13" s="7"/>
      <c r="L13" s="8">
        <v>448.3</v>
      </c>
      <c r="M13" s="8"/>
      <c r="N13" s="9">
        <v>0.54160859010581897</v>
      </c>
      <c r="P13" s="8"/>
      <c r="Q13" s="9"/>
      <c r="R13" s="7"/>
      <c r="S13" s="8"/>
      <c r="T13" s="9"/>
      <c r="U13" s="7"/>
      <c r="V13" s="8"/>
      <c r="W13" s="9"/>
      <c r="Y13" s="8"/>
      <c r="Z13" s="9"/>
    </row>
    <row r="14" spans="1:26" x14ac:dyDescent="0.25">
      <c r="A14" s="192">
        <v>11</v>
      </c>
      <c r="B14" s="193" t="s">
        <v>75</v>
      </c>
      <c r="C14" s="194"/>
      <c r="D14" s="195">
        <v>462.9</v>
      </c>
      <c r="E14" s="195"/>
      <c r="F14" s="197">
        <v>0.39960829078904153</v>
      </c>
      <c r="G14" s="7"/>
      <c r="H14" s="8">
        <f t="shared" si="0"/>
        <v>473.54669999999993</v>
      </c>
      <c r="I14" s="8"/>
      <c r="J14" s="9">
        <f t="shared" si="1"/>
        <v>0.40959849805876752</v>
      </c>
      <c r="K14" s="7"/>
      <c r="L14" s="8">
        <v>490.7</v>
      </c>
      <c r="M14" s="8"/>
      <c r="N14" s="9">
        <v>0.42358478823638407</v>
      </c>
      <c r="P14" s="8"/>
      <c r="Q14" s="9"/>
      <c r="R14" s="7"/>
      <c r="S14" s="8"/>
      <c r="T14" s="9"/>
      <c r="U14" s="7"/>
      <c r="V14" s="8"/>
      <c r="W14" s="9"/>
      <c r="Y14" s="8"/>
      <c r="Z14" s="9"/>
    </row>
    <row r="15" spans="1:26" ht="19.5" customHeight="1" x14ac:dyDescent="0.25">
      <c r="A15" s="192"/>
      <c r="B15" s="198" t="s">
        <v>1</v>
      </c>
      <c r="C15" s="198"/>
      <c r="D15" s="199"/>
      <c r="E15" s="199"/>
      <c r="F15" s="200"/>
      <c r="G15" s="6"/>
      <c r="H15" s="8"/>
      <c r="I15" s="8"/>
      <c r="K15" s="6"/>
      <c r="L15" s="8"/>
      <c r="M15" s="8"/>
    </row>
    <row r="16" spans="1:26" x14ac:dyDescent="0.25">
      <c r="A16" s="192">
        <v>1</v>
      </c>
      <c r="B16" s="194" t="s">
        <v>2</v>
      </c>
      <c r="C16" s="194"/>
      <c r="D16" s="195">
        <v>659</v>
      </c>
      <c r="E16" s="195"/>
      <c r="F16" s="197"/>
      <c r="G16" s="7"/>
      <c r="H16" s="8">
        <f>ROUND(D16*1.03,-0.1)</f>
        <v>679</v>
      </c>
      <c r="I16" s="8"/>
      <c r="K16" s="6"/>
      <c r="L16" s="8"/>
      <c r="M16" s="8"/>
      <c r="P16" s="8"/>
      <c r="S16" s="8"/>
      <c r="V16" s="8"/>
      <c r="Y16" s="8"/>
    </row>
    <row r="17" spans="1:25" x14ac:dyDescent="0.25">
      <c r="A17" s="192">
        <v>2</v>
      </c>
      <c r="B17" s="194" t="s">
        <v>11</v>
      </c>
      <c r="C17" s="194"/>
      <c r="D17" s="195">
        <v>174</v>
      </c>
      <c r="E17" s="195"/>
      <c r="F17" s="192"/>
      <c r="G17" s="7"/>
      <c r="H17" s="8">
        <f t="shared" ref="H17:H19" si="2">ROUND(D17*1.03,-0.1)</f>
        <v>179</v>
      </c>
      <c r="I17" s="8"/>
      <c r="J17" s="9"/>
      <c r="K17" s="7"/>
      <c r="L17" s="8"/>
      <c r="M17" s="8"/>
    </row>
    <row r="18" spans="1:25" x14ac:dyDescent="0.25">
      <c r="A18" s="192">
        <v>3</v>
      </c>
      <c r="B18" s="193" t="s">
        <v>77</v>
      </c>
      <c r="C18" s="194"/>
      <c r="D18" s="195">
        <v>174</v>
      </c>
      <c r="E18" s="195"/>
      <c r="F18" s="192"/>
      <c r="G18" s="7"/>
      <c r="H18" s="8">
        <f t="shared" si="2"/>
        <v>179</v>
      </c>
      <c r="I18" s="8"/>
      <c r="K18" s="7"/>
      <c r="L18" s="8"/>
      <c r="M18" s="8"/>
    </row>
    <row r="19" spans="1:25" x14ac:dyDescent="0.25">
      <c r="A19" s="192">
        <v>4</v>
      </c>
      <c r="B19" s="193" t="s">
        <v>78</v>
      </c>
      <c r="C19" s="194"/>
      <c r="D19" s="195">
        <v>659</v>
      </c>
      <c r="E19" s="195"/>
      <c r="F19" s="192"/>
      <c r="G19" s="7"/>
      <c r="H19" s="8">
        <f t="shared" si="2"/>
        <v>679</v>
      </c>
      <c r="I19" s="8"/>
      <c r="K19" s="7"/>
      <c r="L19" s="8"/>
      <c r="M19" s="8"/>
    </row>
    <row r="20" spans="1:25" x14ac:dyDescent="0.25">
      <c r="A20" s="192">
        <v>5</v>
      </c>
      <c r="B20" s="193" t="s">
        <v>79</v>
      </c>
      <c r="C20" s="194"/>
      <c r="D20" s="195">
        <v>174</v>
      </c>
      <c r="E20" s="195"/>
      <c r="F20" s="192"/>
      <c r="G20" s="7"/>
      <c r="H20" s="8">
        <f>ROUND(D20*1.03,-0.1)</f>
        <v>179</v>
      </c>
      <c r="I20" s="8"/>
      <c r="K20" s="7"/>
      <c r="L20" s="8"/>
      <c r="M20" s="8"/>
    </row>
    <row r="21" spans="1:25" x14ac:dyDescent="0.25">
      <c r="A21" s="192">
        <v>6</v>
      </c>
      <c r="B21" s="193" t="s">
        <v>12</v>
      </c>
      <c r="C21" s="194"/>
      <c r="D21" s="195">
        <v>0</v>
      </c>
      <c r="E21" s="195"/>
      <c r="F21" s="192"/>
      <c r="G21" s="7"/>
      <c r="H21" s="8">
        <f t="shared" ref="H21" si="3">ROUND(D21*1.03,-1)</f>
        <v>0</v>
      </c>
      <c r="I21" s="8"/>
      <c r="K21" s="7"/>
      <c r="L21" s="8"/>
      <c r="M21" s="8"/>
    </row>
    <row r="22" spans="1:25" x14ac:dyDescent="0.25">
      <c r="A22" s="192"/>
      <c r="B22" s="193"/>
      <c r="C22" s="194"/>
      <c r="D22" s="195"/>
      <c r="E22" s="195"/>
      <c r="F22" s="192"/>
      <c r="G22" s="7"/>
      <c r="H22" s="8"/>
      <c r="I22" s="8"/>
      <c r="K22" s="7"/>
      <c r="L22" s="8"/>
      <c r="M22" s="8"/>
    </row>
    <row r="23" spans="1:25" ht="19.5" customHeight="1" x14ac:dyDescent="0.25">
      <c r="A23" s="192"/>
      <c r="B23" s="205" t="s">
        <v>13</v>
      </c>
      <c r="C23" s="194"/>
      <c r="D23" s="195"/>
      <c r="E23" s="8"/>
      <c r="G23" s="7"/>
      <c r="H23" s="8"/>
      <c r="I23" s="8"/>
      <c r="K23" s="7"/>
      <c r="L23" s="8"/>
      <c r="M23" s="8"/>
    </row>
    <row r="24" spans="1:25" x14ac:dyDescent="0.25">
      <c r="A24" s="192">
        <v>1</v>
      </c>
      <c r="B24" s="201" t="s">
        <v>12</v>
      </c>
      <c r="C24" s="194"/>
      <c r="D24" s="195">
        <v>0</v>
      </c>
      <c r="E24" s="8"/>
      <c r="G24" s="7"/>
      <c r="H24" s="8">
        <f t="shared" ref="H24:H27" si="4">ROUND(D24*1.03,-0.1)</f>
        <v>0</v>
      </c>
      <c r="I24" s="8"/>
      <c r="K24" s="7"/>
      <c r="L24" s="8"/>
      <c r="M24" s="8"/>
      <c r="P24" s="8"/>
      <c r="S24" s="8"/>
      <c r="V24" s="8"/>
      <c r="Y24" s="8"/>
    </row>
    <row r="25" spans="1:25" x14ac:dyDescent="0.25">
      <c r="A25" s="192">
        <v>2</v>
      </c>
      <c r="B25" s="193" t="s">
        <v>82</v>
      </c>
      <c r="C25" s="194"/>
      <c r="D25" s="195">
        <v>164</v>
      </c>
      <c r="E25" s="8"/>
      <c r="G25" s="7"/>
      <c r="H25" s="8">
        <f t="shared" si="4"/>
        <v>169</v>
      </c>
      <c r="I25" s="8"/>
      <c r="K25" s="7"/>
      <c r="L25" s="8"/>
      <c r="M25" s="8"/>
    </row>
    <row r="26" spans="1:25" x14ac:dyDescent="0.25">
      <c r="A26" s="192">
        <v>3</v>
      </c>
      <c r="B26" s="193" t="s">
        <v>83</v>
      </c>
      <c r="C26" s="194"/>
      <c r="D26" s="195">
        <v>66</v>
      </c>
      <c r="E26" s="8"/>
      <c r="G26" s="7"/>
      <c r="H26" s="8">
        <f t="shared" si="4"/>
        <v>68</v>
      </c>
      <c r="I26" s="8"/>
      <c r="K26" s="7"/>
      <c r="L26" s="8"/>
      <c r="M26" s="8"/>
    </row>
    <row r="27" spans="1:25" x14ac:dyDescent="0.25">
      <c r="A27" s="192">
        <v>4</v>
      </c>
      <c r="B27" s="193" t="s">
        <v>84</v>
      </c>
      <c r="C27" s="194"/>
      <c r="D27" s="195">
        <v>206</v>
      </c>
      <c r="E27" s="8"/>
      <c r="G27" s="7"/>
      <c r="H27" s="8">
        <f t="shared" si="4"/>
        <v>212</v>
      </c>
      <c r="I27" s="8"/>
      <c r="K27" s="7"/>
      <c r="L27" s="8"/>
      <c r="M27" s="8"/>
    </row>
    <row r="28" spans="1:25" x14ac:dyDescent="0.25">
      <c r="A28" s="192">
        <v>5</v>
      </c>
      <c r="B28" s="193" t="s">
        <v>57</v>
      </c>
      <c r="C28" s="194"/>
      <c r="D28" s="195" t="s">
        <v>108</v>
      </c>
      <c r="E28" s="8"/>
      <c r="G28" s="7"/>
      <c r="H28" s="195" t="s">
        <v>108</v>
      </c>
      <c r="I28" s="8"/>
      <c r="K28" s="7"/>
      <c r="L28" s="8"/>
      <c r="M28" s="8"/>
    </row>
    <row r="29" spans="1:25" ht="19.5" customHeight="1" x14ac:dyDescent="0.25">
      <c r="B29" s="10" t="s">
        <v>81</v>
      </c>
      <c r="C29" s="11"/>
      <c r="G29" s="11"/>
      <c r="H29" s="8"/>
      <c r="K29" s="11"/>
    </row>
    <row r="30" spans="1:25" x14ac:dyDescent="0.25">
      <c r="A30" s="192">
        <v>1</v>
      </c>
      <c r="B30" s="201" t="s">
        <v>40</v>
      </c>
      <c r="C30" s="194"/>
      <c r="D30" s="195">
        <v>0</v>
      </c>
      <c r="E30" s="8"/>
      <c r="G30" s="7"/>
      <c r="H30" s="8">
        <f t="shared" ref="H30:H32" si="5">ROUND(D30*1.03,-0.1)</f>
        <v>0</v>
      </c>
      <c r="I30" s="8"/>
      <c r="K30" s="7"/>
      <c r="L30" s="8"/>
      <c r="M30" s="8"/>
    </row>
    <row r="31" spans="1:25" x14ac:dyDescent="0.25">
      <c r="A31" s="192">
        <v>2</v>
      </c>
      <c r="B31" s="193" t="s">
        <v>89</v>
      </c>
      <c r="C31" s="194"/>
      <c r="D31" s="195">
        <v>126</v>
      </c>
      <c r="E31" s="8"/>
      <c r="G31" s="7"/>
      <c r="H31" s="8">
        <f t="shared" si="5"/>
        <v>130</v>
      </c>
      <c r="I31" s="8"/>
      <c r="K31" s="7"/>
      <c r="L31" s="8"/>
      <c r="M31" s="8"/>
    </row>
    <row r="32" spans="1:25" x14ac:dyDescent="0.25">
      <c r="A32" s="192">
        <v>3</v>
      </c>
      <c r="B32" s="193" t="s">
        <v>90</v>
      </c>
      <c r="C32" s="194"/>
      <c r="D32" s="195">
        <v>113</v>
      </c>
      <c r="E32" s="8"/>
      <c r="G32" s="7"/>
      <c r="H32" s="8">
        <f t="shared" si="5"/>
        <v>116</v>
      </c>
      <c r="I32" s="8"/>
      <c r="K32" s="7"/>
      <c r="L32" s="8"/>
      <c r="M32" s="8"/>
    </row>
    <row r="33" spans="1:34" x14ac:dyDescent="0.25">
      <c r="A33" s="192">
        <v>4</v>
      </c>
      <c r="B33" s="193" t="s">
        <v>57</v>
      </c>
      <c r="C33" s="7"/>
      <c r="D33" s="195" t="s">
        <v>108</v>
      </c>
      <c r="E33" s="8"/>
      <c r="G33" s="7"/>
      <c r="H33" s="195" t="s">
        <v>108</v>
      </c>
      <c r="I33" s="8"/>
      <c r="K33" s="7"/>
      <c r="L33" s="8"/>
      <c r="M33" s="8"/>
    </row>
    <row r="34" spans="1:34" ht="20.25" customHeight="1" x14ac:dyDescent="0.25">
      <c r="B34" s="29" t="s">
        <v>31</v>
      </c>
      <c r="C34" s="11"/>
      <c r="D34" s="30"/>
      <c r="E34" s="30"/>
      <c r="F34" s="30"/>
      <c r="G34" s="11"/>
      <c r="K34" s="11"/>
    </row>
    <row r="35" spans="1:34" s="43" customFormat="1" x14ac:dyDescent="0.25">
      <c r="A35" s="202">
        <v>1</v>
      </c>
      <c r="B35" s="201" t="s">
        <v>40</v>
      </c>
      <c r="C35" s="201"/>
      <c r="D35" s="195">
        <v>0</v>
      </c>
      <c r="E35" s="8"/>
      <c r="F35" s="8"/>
      <c r="G35" s="12"/>
      <c r="H35" s="8">
        <f t="shared" ref="H35:H39" si="6">ROUND(D35*1.03,-0.1)</f>
        <v>0</v>
      </c>
      <c r="K35" s="12"/>
    </row>
    <row r="36" spans="1:34" x14ac:dyDescent="0.25">
      <c r="A36" s="192">
        <v>2</v>
      </c>
      <c r="B36" s="193" t="s">
        <v>118</v>
      </c>
      <c r="C36" s="194"/>
      <c r="D36" s="195">
        <v>934</v>
      </c>
      <c r="E36" s="8"/>
      <c r="F36" s="8"/>
      <c r="G36" s="7"/>
      <c r="H36" s="8">
        <f t="shared" si="6"/>
        <v>962</v>
      </c>
      <c r="I36" s="8"/>
      <c r="K36" s="7"/>
      <c r="L36" s="8"/>
      <c r="M36" s="8"/>
    </row>
    <row r="37" spans="1:34" x14ac:dyDescent="0.25">
      <c r="A37" s="192">
        <v>3</v>
      </c>
      <c r="B37" s="201" t="s">
        <v>19</v>
      </c>
      <c r="C37" s="194"/>
      <c r="D37" s="195">
        <v>840</v>
      </c>
      <c r="E37" s="8"/>
      <c r="F37" s="8"/>
      <c r="G37" s="7"/>
      <c r="H37" s="8">
        <f t="shared" si="6"/>
        <v>865</v>
      </c>
      <c r="I37" s="8"/>
      <c r="K37" s="7"/>
      <c r="L37" s="8"/>
      <c r="M37" s="8"/>
    </row>
    <row r="38" spans="1:34" x14ac:dyDescent="0.25">
      <c r="A38" s="192">
        <v>4</v>
      </c>
      <c r="B38" s="193" t="s">
        <v>119</v>
      </c>
      <c r="C38" s="194"/>
      <c r="D38" s="195">
        <v>934</v>
      </c>
      <c r="E38" s="8"/>
      <c r="F38" s="8"/>
      <c r="G38" s="7"/>
      <c r="H38" s="8">
        <f t="shared" si="6"/>
        <v>962</v>
      </c>
      <c r="I38" s="8"/>
      <c r="K38" s="7"/>
      <c r="L38" s="8"/>
      <c r="M38" s="8"/>
    </row>
    <row r="39" spans="1:34" x14ac:dyDescent="0.25">
      <c r="A39" s="192">
        <v>5</v>
      </c>
      <c r="B39" s="201" t="s">
        <v>20</v>
      </c>
      <c r="C39" s="194"/>
      <c r="D39" s="203">
        <v>840</v>
      </c>
      <c r="E39" s="189"/>
      <c r="F39" s="189"/>
      <c r="G39" s="7"/>
      <c r="H39" s="8">
        <f t="shared" si="6"/>
        <v>865</v>
      </c>
      <c r="I39" s="8"/>
      <c r="K39" s="7"/>
      <c r="L39" s="8"/>
      <c r="M39" s="8"/>
    </row>
    <row r="40" spans="1:34" x14ac:dyDescent="0.25">
      <c r="A40" s="192">
        <v>6</v>
      </c>
      <c r="B40" s="193" t="s">
        <v>57</v>
      </c>
      <c r="C40" s="194"/>
      <c r="D40" s="195" t="s">
        <v>108</v>
      </c>
      <c r="E40" s="191"/>
      <c r="F40" s="191"/>
      <c r="G40" s="7"/>
      <c r="H40" s="195" t="s">
        <v>108</v>
      </c>
      <c r="I40" s="8"/>
      <c r="K40" s="7"/>
      <c r="L40" s="8"/>
      <c r="M40" s="8"/>
    </row>
    <row r="41" spans="1:34" s="30" customFormat="1" ht="26.25" customHeight="1" x14ac:dyDescent="0.25">
      <c r="A41" s="204"/>
      <c r="B41" s="205" t="s">
        <v>60</v>
      </c>
      <c r="C41" s="204"/>
      <c r="D41" s="206" t="s">
        <v>61</v>
      </c>
      <c r="E41" s="206" t="s">
        <v>80</v>
      </c>
      <c r="F41" s="204" t="s">
        <v>62</v>
      </c>
      <c r="H41" s="190" t="s">
        <v>117</v>
      </c>
      <c r="I41" s="190"/>
    </row>
    <row r="42" spans="1:34" x14ac:dyDescent="0.25">
      <c r="A42" s="192">
        <v>1</v>
      </c>
      <c r="B42" s="193" t="s">
        <v>58</v>
      </c>
      <c r="C42" s="192"/>
      <c r="D42" s="207">
        <v>0</v>
      </c>
      <c r="E42" s="207">
        <v>0</v>
      </c>
      <c r="F42" s="207">
        <v>0</v>
      </c>
    </row>
    <row r="43" spans="1:34" x14ac:dyDescent="0.25">
      <c r="A43" s="192">
        <v>2</v>
      </c>
      <c r="B43" s="193" t="s">
        <v>59</v>
      </c>
      <c r="C43" s="192"/>
      <c r="D43" s="207">
        <v>250</v>
      </c>
      <c r="E43" s="207">
        <f>(SUM('Rates Calculator'!V19:X19))/2</f>
        <v>65</v>
      </c>
      <c r="F43" s="207">
        <v>87.5</v>
      </c>
      <c r="H43" s="207">
        <f>(SUM('Rates Calculator'!V12:X12))/2</f>
        <v>63</v>
      </c>
    </row>
    <row r="46" spans="1:34" s="17" customFormat="1" ht="20.25" customHeight="1" x14ac:dyDescent="0.25">
      <c r="B46" s="22"/>
      <c r="C46" s="22"/>
      <c r="D46" s="23"/>
      <c r="E46" s="23"/>
      <c r="F46" s="23"/>
      <c r="G46" s="13"/>
      <c r="H46" s="23"/>
      <c r="I46" s="23"/>
      <c r="J46" s="13"/>
      <c r="K46" s="23"/>
      <c r="L46" s="13"/>
      <c r="M46" s="13"/>
      <c r="N46" s="13"/>
      <c r="O46" s="13"/>
      <c r="P46" s="13"/>
      <c r="Q46" s="13"/>
      <c r="R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</row>
    <row r="47" spans="1:34" s="1" customFormat="1" ht="15" customHeight="1" x14ac:dyDescent="0.25">
      <c r="B47" s="24"/>
      <c r="C47" s="24"/>
      <c r="D47" s="21"/>
      <c r="E47" s="21"/>
      <c r="F47" s="21"/>
      <c r="G47" s="5"/>
      <c r="H47" s="21"/>
      <c r="I47" s="21"/>
      <c r="J47" s="5"/>
      <c r="K47" s="21"/>
      <c r="L47" s="5"/>
      <c r="M47" s="5"/>
      <c r="N47" s="5"/>
      <c r="O47" s="5"/>
      <c r="P47" s="5"/>
      <c r="Q47" s="5"/>
      <c r="R47" s="2"/>
      <c r="S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1" customFormat="1" ht="15" customHeight="1" x14ac:dyDescent="0.25">
      <c r="B48" s="24"/>
      <c r="C48" s="24"/>
      <c r="D48" s="21"/>
      <c r="E48" s="21"/>
      <c r="F48" s="21"/>
      <c r="G48" s="5"/>
      <c r="H48" s="21"/>
      <c r="I48" s="21"/>
      <c r="J48" s="5"/>
      <c r="K48" s="21"/>
      <c r="L48" s="5"/>
      <c r="M48" s="5"/>
      <c r="N48" s="5"/>
      <c r="O48" s="5"/>
      <c r="P48" s="5"/>
      <c r="Q48" s="5"/>
      <c r="R48" s="2"/>
      <c r="S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</sheetData>
  <mergeCells count="8">
    <mergeCell ref="A1:B1"/>
    <mergeCell ref="V1:W1"/>
    <mergeCell ref="Y1:Z1"/>
    <mergeCell ref="D1:F1"/>
    <mergeCell ref="L1:N1"/>
    <mergeCell ref="H1:J1"/>
    <mergeCell ref="P1:Q1"/>
    <mergeCell ref="S1:T1"/>
  </mergeCells>
  <phoneticPr fontId="0" type="noConversion"/>
  <printOptions gridLines="1"/>
  <pageMargins left="0.55118110236220474" right="0.55118110236220474" top="0.39370078740157483" bottom="0.59055118110236227" header="0.51181102362204722" footer="0.51181102362204722"/>
  <pageSetup paperSize="9" scale="7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95"/>
  <sheetViews>
    <sheetView zoomScaleNormal="100" workbookViewId="0">
      <pane ySplit="6" topLeftCell="A28" activePane="bottomLeft" state="frozen"/>
      <selection pane="bottomLeft" activeCell="AF14" sqref="AF14"/>
    </sheetView>
  </sheetViews>
  <sheetFormatPr defaultColWidth="9.109375" defaultRowHeight="13.2" x14ac:dyDescent="0.25"/>
  <cols>
    <col min="1" max="1" width="28.5546875" style="1" customWidth="1"/>
    <col min="2" max="2" width="0.88671875" style="2" customWidth="1"/>
    <col min="3" max="3" width="6.5546875" style="1" customWidth="1"/>
    <col min="4" max="5" width="7.44140625" style="21" customWidth="1"/>
    <col min="6" max="6" width="0.6640625" style="5" customWidth="1"/>
    <col min="7" max="7" width="7.33203125" style="21" customWidth="1"/>
    <col min="8" max="8" width="1" style="5" customWidth="1"/>
    <col min="9" max="9" width="6.5546875" style="21" customWidth="1"/>
    <col min="10" max="10" width="7.44140625" style="5" customWidth="1"/>
    <col min="11" max="11" width="0.6640625" style="5" customWidth="1"/>
    <col min="12" max="12" width="7.44140625" style="5" customWidth="1"/>
    <col min="13" max="13" width="9.44140625" style="5" customWidth="1"/>
    <col min="14" max="14" width="1" style="5" customWidth="1"/>
    <col min="15" max="15" width="3.88671875" style="5" customWidth="1"/>
    <col min="16" max="16" width="1" style="2" customWidth="1"/>
    <col min="17" max="17" width="6.88671875" style="1" customWidth="1"/>
    <col min="18" max="18" width="7" style="1" customWidth="1"/>
    <col min="19" max="19" width="7.44140625" style="2" customWidth="1"/>
    <col min="20" max="20" width="0.88671875" style="2" customWidth="1"/>
    <col min="21" max="21" width="7.44140625" style="2" customWidth="1"/>
    <col min="22" max="22" width="7.44140625" style="1" customWidth="1"/>
    <col min="23" max="23" width="7.44140625" style="2" customWidth="1"/>
    <col min="24" max="24" width="0.88671875" style="2" customWidth="1"/>
    <col min="25" max="25" width="7.44140625" style="2" customWidth="1"/>
    <col min="26" max="27" width="7.44140625" style="1" customWidth="1"/>
    <col min="28" max="28" width="0.88671875" style="2" customWidth="1"/>
    <col min="29" max="31" width="7.44140625" style="1" customWidth="1"/>
    <col min="32" max="16384" width="9.109375" style="1"/>
  </cols>
  <sheetData>
    <row r="1" spans="1:31" s="17" customFormat="1" ht="38.25" customHeight="1" x14ac:dyDescent="0.25">
      <c r="A1" s="509" t="s">
        <v>3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</row>
    <row r="2" spans="1:31" s="25" customFormat="1" ht="48" customHeight="1" x14ac:dyDescent="0.25">
      <c r="A2" s="70" t="s">
        <v>39</v>
      </c>
      <c r="B2" s="46"/>
      <c r="C2" s="488" t="s">
        <v>14</v>
      </c>
      <c r="D2" s="488"/>
      <c r="E2" s="488"/>
      <c r="F2" s="488"/>
      <c r="G2" s="488"/>
      <c r="H2" s="34"/>
      <c r="I2" s="488" t="s">
        <v>15</v>
      </c>
      <c r="J2" s="488"/>
      <c r="K2" s="488"/>
      <c r="L2" s="488"/>
      <c r="M2" s="488"/>
      <c r="N2" s="34"/>
      <c r="O2" s="488" t="s">
        <v>16</v>
      </c>
      <c r="P2" s="488"/>
      <c r="Q2" s="488"/>
      <c r="R2" s="488"/>
      <c r="S2" s="488"/>
      <c r="T2" s="53"/>
      <c r="U2" s="488" t="s">
        <v>17</v>
      </c>
      <c r="V2" s="488"/>
      <c r="W2" s="488"/>
      <c r="X2" s="27"/>
      <c r="Y2" s="488" t="s">
        <v>30</v>
      </c>
      <c r="Z2" s="505"/>
      <c r="AA2" s="505"/>
      <c r="AB2" s="53"/>
      <c r="AC2" s="488" t="s">
        <v>18</v>
      </c>
      <c r="AD2" s="488"/>
      <c r="AE2" s="488"/>
    </row>
    <row r="3" spans="1:31" s="26" customFormat="1" ht="25.5" customHeight="1" x14ac:dyDescent="0.25">
      <c r="A3" s="71">
        <v>200000</v>
      </c>
      <c r="B3" s="38"/>
      <c r="C3" s="508">
        <v>3</v>
      </c>
      <c r="D3" s="508"/>
      <c r="E3" s="508"/>
      <c r="F3" s="508"/>
      <c r="G3" s="508"/>
      <c r="H3" s="39"/>
      <c r="I3" s="506">
        <v>2</v>
      </c>
      <c r="J3" s="506"/>
      <c r="K3" s="506"/>
      <c r="L3" s="506"/>
      <c r="M3" s="506"/>
      <c r="N3" s="39"/>
      <c r="O3" s="508"/>
      <c r="P3" s="508"/>
      <c r="Q3" s="508"/>
      <c r="R3" s="508">
        <v>2</v>
      </c>
      <c r="S3" s="508"/>
      <c r="T3" s="40">
        <v>5</v>
      </c>
      <c r="U3" s="506">
        <v>2</v>
      </c>
      <c r="V3" s="506"/>
      <c r="W3" s="506"/>
      <c r="X3" s="40"/>
      <c r="Y3" s="507">
        <v>1</v>
      </c>
      <c r="Z3" s="507"/>
      <c r="AA3" s="507"/>
      <c r="AB3" s="28"/>
      <c r="AC3" s="507"/>
      <c r="AD3" s="507">
        <v>2</v>
      </c>
      <c r="AE3" s="507"/>
    </row>
    <row r="4" spans="1:31" ht="6" customHeight="1" x14ac:dyDescent="0.25"/>
    <row r="5" spans="1:31" x14ac:dyDescent="0.25">
      <c r="A5" s="445" t="s">
        <v>44</v>
      </c>
      <c r="C5" s="522" t="s">
        <v>4</v>
      </c>
      <c r="D5" s="523"/>
      <c r="E5" s="524"/>
      <c r="F5" s="27"/>
      <c r="G5" s="464" t="s">
        <v>5</v>
      </c>
      <c r="H5" s="465"/>
      <c r="I5" s="465"/>
      <c r="J5" s="466"/>
      <c r="L5" s="499" t="s">
        <v>6</v>
      </c>
      <c r="M5" s="500"/>
      <c r="N5" s="500"/>
      <c r="O5" s="501"/>
      <c r="Q5" s="513" t="s">
        <v>7</v>
      </c>
      <c r="R5" s="514"/>
      <c r="S5" s="515"/>
      <c r="U5" s="468" t="s">
        <v>8</v>
      </c>
      <c r="V5" s="469"/>
      <c r="W5" s="470"/>
      <c r="X5" s="27"/>
      <c r="Y5" s="496" t="s">
        <v>9</v>
      </c>
      <c r="Z5" s="497"/>
      <c r="AA5" s="498"/>
      <c r="AC5" s="490" t="s">
        <v>10</v>
      </c>
      <c r="AD5" s="491"/>
      <c r="AE5" s="492"/>
    </row>
    <row r="6" spans="1:31" s="2" customFormat="1" ht="13.5" customHeight="1" x14ac:dyDescent="0.25">
      <c r="A6" s="445"/>
      <c r="C6" s="458" t="s">
        <v>25</v>
      </c>
      <c r="D6" s="459"/>
      <c r="E6" s="460"/>
      <c r="F6" s="27"/>
      <c r="G6" s="461" t="s">
        <v>21</v>
      </c>
      <c r="H6" s="462"/>
      <c r="I6" s="462"/>
      <c r="J6" s="463"/>
      <c r="K6" s="27"/>
      <c r="L6" s="471" t="s">
        <v>22</v>
      </c>
      <c r="M6" s="472"/>
      <c r="N6" s="472"/>
      <c r="O6" s="473"/>
      <c r="P6" s="27"/>
      <c r="Q6" s="482" t="s">
        <v>23</v>
      </c>
      <c r="R6" s="483"/>
      <c r="S6" s="484"/>
      <c r="T6" s="27"/>
      <c r="U6" s="479" t="s">
        <v>24</v>
      </c>
      <c r="V6" s="480"/>
      <c r="W6" s="481"/>
      <c r="X6" s="27"/>
      <c r="Y6" s="519"/>
      <c r="Z6" s="520"/>
      <c r="AA6" s="521"/>
      <c r="AC6" s="493"/>
      <c r="AD6" s="494"/>
      <c r="AE6" s="495"/>
    </row>
    <row r="7" spans="1:31" s="2" customFormat="1" ht="6" customHeight="1" x14ac:dyDescent="0.25">
      <c r="C7" s="33"/>
      <c r="D7" s="33"/>
      <c r="E7" s="33"/>
      <c r="F7" s="27"/>
      <c r="G7" s="59"/>
      <c r="H7" s="59"/>
      <c r="I7" s="59"/>
      <c r="J7" s="59"/>
      <c r="K7" s="27"/>
      <c r="L7" s="84"/>
      <c r="M7" s="84"/>
      <c r="N7" s="84"/>
      <c r="O7" s="84"/>
      <c r="P7" s="27"/>
      <c r="Q7" s="61"/>
      <c r="R7" s="61"/>
      <c r="S7" s="61"/>
      <c r="T7" s="27"/>
      <c r="U7" s="65"/>
      <c r="V7" s="65"/>
      <c r="W7" s="65"/>
      <c r="X7" s="27"/>
      <c r="Y7" s="63"/>
      <c r="Z7" s="63"/>
      <c r="AA7" s="63"/>
      <c r="AC7" s="32"/>
      <c r="AD7" s="32"/>
      <c r="AE7" s="32"/>
    </row>
    <row r="8" spans="1:31" s="2" customFormat="1" ht="13.5" customHeight="1" x14ac:dyDescent="0.25">
      <c r="A8" s="132" t="s">
        <v>26</v>
      </c>
      <c r="B8" s="133"/>
      <c r="C8" s="476">
        <f>VLOOKUP($C$3,Ordinary_Rates,4)</f>
        <v>409.15</v>
      </c>
      <c r="D8" s="476"/>
      <c r="E8" s="476"/>
      <c r="F8" s="134"/>
      <c r="G8" s="485">
        <f>C8*1.033</f>
        <v>422.65194999999994</v>
      </c>
      <c r="H8" s="485"/>
      <c r="I8" s="485"/>
      <c r="J8" s="485"/>
      <c r="K8" s="134"/>
      <c r="L8" s="474">
        <f>G8*1.033</f>
        <v>436.59946434999989</v>
      </c>
      <c r="M8" s="474"/>
      <c r="N8" s="474"/>
      <c r="O8" s="474"/>
      <c r="P8" s="134"/>
      <c r="Q8" s="475">
        <f>L8*1.033</f>
        <v>451.00724667354984</v>
      </c>
      <c r="R8" s="475"/>
      <c r="S8" s="475"/>
      <c r="T8" s="134"/>
      <c r="U8" s="502">
        <f>Q8*1.033</f>
        <v>465.89048581377693</v>
      </c>
      <c r="V8" s="502"/>
      <c r="W8" s="502"/>
      <c r="X8" s="134"/>
      <c r="Y8" s="486">
        <f>(U8-75)*1.033</f>
        <v>403.78987184563152</v>
      </c>
      <c r="Z8" s="486"/>
      <c r="AA8" s="486"/>
      <c r="AB8" s="135"/>
      <c r="AC8" s="503">
        <f>Y8*1.033</f>
        <v>417.1149376165373</v>
      </c>
      <c r="AD8" s="503"/>
      <c r="AE8" s="504"/>
    </row>
    <row r="9" spans="1:31" s="2" customFormat="1" ht="13.5" customHeight="1" x14ac:dyDescent="0.25">
      <c r="A9" s="136" t="s">
        <v>34</v>
      </c>
      <c r="C9" s="440">
        <f>$A$3*VLOOKUP($C$3,Ordinary_Rates,5)/100</f>
        <v>0</v>
      </c>
      <c r="D9" s="440"/>
      <c r="E9" s="440"/>
      <c r="F9" s="41"/>
      <c r="G9" s="454">
        <f>C9*1.033</f>
        <v>0</v>
      </c>
      <c r="H9" s="454"/>
      <c r="I9" s="454"/>
      <c r="J9" s="454"/>
      <c r="K9" s="41"/>
      <c r="L9" s="444">
        <f>G9*1.033</f>
        <v>0</v>
      </c>
      <c r="M9" s="444"/>
      <c r="N9" s="444"/>
      <c r="O9" s="444"/>
      <c r="P9" s="41"/>
      <c r="Q9" s="455">
        <f>L9*1.033</f>
        <v>0</v>
      </c>
      <c r="R9" s="455"/>
      <c r="S9" s="455"/>
      <c r="T9" s="41"/>
      <c r="U9" s="489">
        <f>Q9*1.033</f>
        <v>0</v>
      </c>
      <c r="V9" s="489"/>
      <c r="W9" s="489"/>
      <c r="X9" s="41"/>
      <c r="Y9" s="441">
        <f>U9*1.033</f>
        <v>0</v>
      </c>
      <c r="Z9" s="441"/>
      <c r="AA9" s="441"/>
      <c r="AB9" s="35"/>
      <c r="AC9" s="442">
        <f>Y9*1.033</f>
        <v>0</v>
      </c>
      <c r="AD9" s="442"/>
      <c r="AE9" s="487"/>
    </row>
    <row r="10" spans="1:31" x14ac:dyDescent="0.25">
      <c r="A10" s="136" t="s">
        <v>27</v>
      </c>
      <c r="C10" s="440">
        <f>VLOOKUP($I$3,Waste_Mgmt,4)</f>
        <v>174</v>
      </c>
      <c r="D10" s="440"/>
      <c r="E10" s="440"/>
      <c r="F10" s="31"/>
      <c r="G10" s="456">
        <f>C10*1.0291</f>
        <v>179.06339999999997</v>
      </c>
      <c r="H10" s="456"/>
      <c r="I10" s="456"/>
      <c r="J10" s="456"/>
      <c r="K10" s="31"/>
      <c r="L10" s="477">
        <f>G10*1.5</f>
        <v>268.59509999999995</v>
      </c>
      <c r="M10" s="477"/>
      <c r="N10" s="477"/>
      <c r="O10" s="477"/>
      <c r="P10" s="31"/>
      <c r="Q10" s="452">
        <f>L10*1.0213</f>
        <v>274.31617562999998</v>
      </c>
      <c r="R10" s="452"/>
      <c r="S10" s="452"/>
      <c r="T10" s="31"/>
      <c r="U10" s="453">
        <f>Q10*1.029</f>
        <v>282.27134472326998</v>
      </c>
      <c r="V10" s="453"/>
      <c r="W10" s="453"/>
      <c r="X10" s="31"/>
      <c r="Y10" s="478">
        <f>U10*1.0296</f>
        <v>290.62657652707878</v>
      </c>
      <c r="Z10" s="478"/>
      <c r="AA10" s="478"/>
      <c r="AB10" s="31"/>
      <c r="AC10" s="517">
        <f>Y10*1.0287</f>
        <v>298.96755927340593</v>
      </c>
      <c r="AD10" s="517"/>
      <c r="AE10" s="518"/>
    </row>
    <row r="11" spans="1:31" s="2" customFormat="1" ht="13.5" customHeight="1" x14ac:dyDescent="0.25">
      <c r="A11" s="136" t="s">
        <v>52</v>
      </c>
      <c r="C11" s="451">
        <f>VLOOKUP($R$3,Add_Garbage,4)</f>
        <v>164</v>
      </c>
      <c r="D11" s="451"/>
      <c r="E11" s="451"/>
      <c r="F11" s="42"/>
      <c r="G11" s="457">
        <f>C11*1.0291</f>
        <v>168.77239999999998</v>
      </c>
      <c r="H11" s="457"/>
      <c r="I11" s="457"/>
      <c r="J11" s="457"/>
      <c r="K11" s="42"/>
      <c r="L11" s="477">
        <f>G11*1.5</f>
        <v>253.15859999999998</v>
      </c>
      <c r="M11" s="477"/>
      <c r="N11" s="477"/>
      <c r="O11" s="477"/>
      <c r="P11" s="42"/>
      <c r="Q11" s="452">
        <f>L11*1.0213</f>
        <v>258.55087817999998</v>
      </c>
      <c r="R11" s="452"/>
      <c r="S11" s="452"/>
      <c r="T11" s="42"/>
      <c r="U11" s="453">
        <f>Q11*1.029</f>
        <v>266.04885364721997</v>
      </c>
      <c r="V11" s="453"/>
      <c r="W11" s="453"/>
      <c r="X11" s="42"/>
      <c r="Y11" s="478">
        <f>U11*1.0296</f>
        <v>273.9238997151777</v>
      </c>
      <c r="Z11" s="478"/>
      <c r="AA11" s="478"/>
      <c r="AB11" s="31"/>
      <c r="AC11" s="517">
        <f>Y11*1.0287</f>
        <v>281.7855156370033</v>
      </c>
      <c r="AD11" s="517"/>
      <c r="AE11" s="518"/>
    </row>
    <row r="12" spans="1:31" s="2" customFormat="1" ht="13.5" customHeight="1" x14ac:dyDescent="0.25">
      <c r="A12" s="136" t="s">
        <v>53</v>
      </c>
      <c r="C12" s="451">
        <f>VLOOKUP($U$3,Water,4)</f>
        <v>126</v>
      </c>
      <c r="D12" s="451"/>
      <c r="E12" s="451"/>
      <c r="F12" s="42"/>
      <c r="G12" s="457">
        <f>C12*1.0291</f>
        <v>129.66659999999999</v>
      </c>
      <c r="H12" s="457"/>
      <c r="I12" s="457"/>
      <c r="J12" s="457"/>
      <c r="K12" s="42"/>
      <c r="L12" s="477">
        <f>G12*1.5</f>
        <v>194.49989999999997</v>
      </c>
      <c r="M12" s="477"/>
      <c r="N12" s="477"/>
      <c r="O12" s="477"/>
      <c r="P12" s="42"/>
      <c r="Q12" s="452">
        <f>L12*1.0213</f>
        <v>198.64274786999999</v>
      </c>
      <c r="R12" s="452"/>
      <c r="S12" s="452"/>
      <c r="T12" s="42"/>
      <c r="U12" s="453">
        <f>Q12*1.029</f>
        <v>204.40338755822998</v>
      </c>
      <c r="V12" s="453"/>
      <c r="W12" s="453"/>
      <c r="X12" s="42"/>
      <c r="Y12" s="478">
        <f>U12*1.0296</f>
        <v>210.45372782995361</v>
      </c>
      <c r="Z12" s="478"/>
      <c r="AA12" s="478"/>
      <c r="AB12" s="31"/>
      <c r="AC12" s="517">
        <f>Y12*1.0287</f>
        <v>216.49374981867325</v>
      </c>
      <c r="AD12" s="517"/>
      <c r="AE12" s="518"/>
    </row>
    <row r="13" spans="1:31" s="2" customFormat="1" ht="13.5" customHeight="1" x14ac:dyDescent="0.25">
      <c r="A13" s="136" t="s">
        <v>32</v>
      </c>
      <c r="C13" s="440">
        <f>IF($C$3&lt;3, VLOOKUP($Y$3,Sewer,4),IF($C$3=10, VLOOKUP($Y$3,Sewer,4), IF($C$3=3, VLOOKUP($Y$3,Sewer,5), IF($C$3=4, VLOOKUP($Y$3,Sewer,5), IF($C$3=11, VLOOKUP($Y$3,Sewer,5), 0)))))</f>
        <v>0</v>
      </c>
      <c r="D13" s="440"/>
      <c r="E13" s="440"/>
      <c r="F13" s="42"/>
      <c r="G13" s="457">
        <f>C13*1.0284</f>
        <v>0</v>
      </c>
      <c r="H13" s="457"/>
      <c r="I13" s="457"/>
      <c r="J13" s="457"/>
      <c r="K13" s="42"/>
      <c r="L13" s="525">
        <f>G13*1.0296</f>
        <v>0</v>
      </c>
      <c r="M13" s="525"/>
      <c r="N13" s="525"/>
      <c r="O13" s="525"/>
      <c r="P13" s="42"/>
      <c r="Q13" s="526">
        <f>L13*1.0287</f>
        <v>0</v>
      </c>
      <c r="R13" s="526"/>
      <c r="S13" s="526"/>
      <c r="T13" s="42"/>
      <c r="U13" s="527">
        <f>Q13*1.0298</f>
        <v>0</v>
      </c>
      <c r="V13" s="527"/>
      <c r="W13" s="527"/>
      <c r="X13" s="42"/>
      <c r="Y13" s="516">
        <f>U13*1.0289</f>
        <v>0</v>
      </c>
      <c r="Z13" s="516"/>
      <c r="AA13" s="516"/>
      <c r="AB13" s="31"/>
      <c r="AC13" s="517">
        <f>Y13*1.0299</f>
        <v>0</v>
      </c>
      <c r="AD13" s="517"/>
      <c r="AE13" s="518"/>
    </row>
    <row r="14" spans="1:31" s="2" customFormat="1" ht="13.5" customHeight="1" x14ac:dyDescent="0.25">
      <c r="A14" s="136" t="s">
        <v>33</v>
      </c>
      <c r="C14" s="440">
        <f>-IF($C$3&lt;5,VLOOKUP($AD$3,Pensioner,4),IF($C$3&gt;8,0,VLOOKUP($AD$3,Pensioner,5)))</f>
        <v>-250</v>
      </c>
      <c r="D14" s="440"/>
      <c r="E14" s="440"/>
      <c r="F14" s="42"/>
      <c r="G14" s="457">
        <f>C14*1.033</f>
        <v>-258.25</v>
      </c>
      <c r="H14" s="457"/>
      <c r="I14" s="457"/>
      <c r="J14" s="457"/>
      <c r="K14" s="42"/>
      <c r="L14" s="525">
        <f>G14*1.033</f>
        <v>-266.77224999999999</v>
      </c>
      <c r="M14" s="525"/>
      <c r="N14" s="525"/>
      <c r="O14" s="525"/>
      <c r="P14" s="42"/>
      <c r="Q14" s="526">
        <f>L14*1.033</f>
        <v>-275.57573424999998</v>
      </c>
      <c r="R14" s="526"/>
      <c r="S14" s="526"/>
      <c r="T14" s="42"/>
      <c r="U14" s="527">
        <f>Q14*1.033</f>
        <v>-284.66973348024993</v>
      </c>
      <c r="V14" s="527"/>
      <c r="W14" s="527"/>
      <c r="X14" s="42"/>
      <c r="Y14" s="516">
        <f>U14*1.033</f>
        <v>-294.06383468509813</v>
      </c>
      <c r="Z14" s="516"/>
      <c r="AA14" s="516"/>
      <c r="AB14" s="31"/>
      <c r="AC14" s="517">
        <f>Y14*1.033</f>
        <v>-303.76794122970637</v>
      </c>
      <c r="AD14" s="517"/>
      <c r="AE14" s="518"/>
    </row>
    <row r="15" spans="1:31" s="2" customFormat="1" ht="5.25" customHeight="1" x14ac:dyDescent="0.25">
      <c r="A15" s="137"/>
      <c r="C15" s="116"/>
      <c r="D15" s="116"/>
      <c r="E15" s="116"/>
      <c r="F15" s="42"/>
      <c r="G15" s="104"/>
      <c r="H15" s="104"/>
      <c r="I15" s="104"/>
      <c r="J15" s="104"/>
      <c r="K15" s="42"/>
      <c r="L15" s="105"/>
      <c r="M15" s="105"/>
      <c r="N15" s="105"/>
      <c r="O15" s="105"/>
      <c r="P15" s="42"/>
      <c r="Q15" s="106"/>
      <c r="R15" s="106"/>
      <c r="S15" s="106"/>
      <c r="T15" s="42"/>
      <c r="U15" s="107"/>
      <c r="V15" s="107"/>
      <c r="W15" s="107"/>
      <c r="X15" s="42"/>
      <c r="Y15" s="108"/>
      <c r="Z15" s="108"/>
      <c r="AA15" s="67"/>
      <c r="AB15" s="31"/>
      <c r="AC15" s="68"/>
      <c r="AD15" s="68"/>
      <c r="AE15" s="138"/>
    </row>
    <row r="16" spans="1:31" s="47" customFormat="1" ht="44.25" customHeight="1" x14ac:dyDescent="0.25">
      <c r="A16" s="139" t="s">
        <v>51</v>
      </c>
      <c r="B16" s="50"/>
      <c r="C16" s="446">
        <f>SUM(C8:E9)</f>
        <v>409.15</v>
      </c>
      <c r="D16" s="446"/>
      <c r="E16" s="446"/>
      <c r="F16" s="51"/>
      <c r="G16" s="447">
        <f>SUM(G8:J9)</f>
        <v>422.65194999999994</v>
      </c>
      <c r="H16" s="447"/>
      <c r="I16" s="447"/>
      <c r="J16" s="447"/>
      <c r="K16" s="51"/>
      <c r="L16" s="448">
        <f>SUM(L8:O9)</f>
        <v>436.59946434999989</v>
      </c>
      <c r="M16" s="448"/>
      <c r="N16" s="448"/>
      <c r="O16" s="448"/>
      <c r="P16" s="51"/>
      <c r="Q16" s="449">
        <f>SUM(Q8:S9)</f>
        <v>451.00724667354984</v>
      </c>
      <c r="R16" s="449"/>
      <c r="S16" s="449"/>
      <c r="T16" s="51"/>
      <c r="U16" s="450">
        <f>SUM(U8:W9)</f>
        <v>465.89048581377693</v>
      </c>
      <c r="V16" s="450"/>
      <c r="W16" s="450"/>
      <c r="X16" s="51"/>
      <c r="Y16" s="510">
        <f>SUM(Y8:AA9)</f>
        <v>403.78987184563152</v>
      </c>
      <c r="Z16" s="510"/>
      <c r="AA16" s="510"/>
      <c r="AB16" s="51"/>
      <c r="AC16" s="511">
        <f>SUM(AC8:AE9)</f>
        <v>417.1149376165373</v>
      </c>
      <c r="AD16" s="511"/>
      <c r="AE16" s="512"/>
    </row>
    <row r="17" spans="1:31" s="47" customFormat="1" ht="4.5" customHeight="1" x14ac:dyDescent="0.25">
      <c r="A17" s="140"/>
      <c r="C17" s="110"/>
      <c r="D17" s="110"/>
      <c r="E17" s="110"/>
      <c r="F17" s="36"/>
      <c r="G17" s="111"/>
      <c r="H17" s="111"/>
      <c r="I17" s="111"/>
      <c r="J17" s="111"/>
      <c r="K17" s="36"/>
      <c r="L17" s="112"/>
      <c r="M17" s="112"/>
      <c r="N17" s="112"/>
      <c r="O17" s="112"/>
      <c r="P17" s="36"/>
      <c r="Q17" s="113"/>
      <c r="R17" s="113"/>
      <c r="S17" s="113"/>
      <c r="T17" s="36"/>
      <c r="U17" s="114"/>
      <c r="V17" s="114"/>
      <c r="W17" s="114"/>
      <c r="X17" s="36"/>
      <c r="Y17" s="115"/>
      <c r="Z17" s="115"/>
      <c r="AA17" s="115"/>
      <c r="AB17" s="36"/>
      <c r="AC17" s="109"/>
      <c r="AD17" s="109"/>
      <c r="AE17" s="141"/>
    </row>
    <row r="18" spans="1:31" s="73" customFormat="1" ht="20.25" customHeight="1" x14ac:dyDescent="0.25">
      <c r="A18" s="142" t="s">
        <v>42</v>
      </c>
      <c r="B18" s="143"/>
      <c r="C18" s="467">
        <f>SUM(C8:E14)</f>
        <v>623.15</v>
      </c>
      <c r="D18" s="467"/>
      <c r="E18" s="467"/>
      <c r="F18" s="144"/>
      <c r="G18" s="533">
        <f>SUM(G8:J14)</f>
        <v>641.90434999999991</v>
      </c>
      <c r="H18" s="533"/>
      <c r="I18" s="533"/>
      <c r="J18" s="533"/>
      <c r="K18" s="144"/>
      <c r="L18" s="534">
        <f>SUM(L8:O14)</f>
        <v>886.08081434999986</v>
      </c>
      <c r="M18" s="534"/>
      <c r="N18" s="534"/>
      <c r="O18" s="534"/>
      <c r="P18" s="144"/>
      <c r="Q18" s="535">
        <f>SUM(Q8:S14)</f>
        <v>906.94131410354987</v>
      </c>
      <c r="R18" s="535"/>
      <c r="S18" s="535"/>
      <c r="T18" s="144"/>
      <c r="U18" s="536">
        <f>SUM(U8:W14)</f>
        <v>933.9443382622469</v>
      </c>
      <c r="V18" s="536"/>
      <c r="W18" s="536"/>
      <c r="X18" s="144"/>
      <c r="Y18" s="537">
        <f>SUM(Y8:AA14)</f>
        <v>884.73024123274354</v>
      </c>
      <c r="Z18" s="537"/>
      <c r="AA18" s="537"/>
      <c r="AB18" s="144"/>
      <c r="AC18" s="529">
        <f>SUM(AC8:AE14)</f>
        <v>910.59382111591344</v>
      </c>
      <c r="AD18" s="529"/>
      <c r="AE18" s="530"/>
    </row>
    <row r="19" spans="1:31" s="48" customFormat="1" ht="6" customHeight="1" x14ac:dyDescent="0.25">
      <c r="A19" s="49"/>
      <c r="C19" s="57"/>
      <c r="D19" s="57"/>
      <c r="E19" s="57"/>
      <c r="F19" s="37"/>
      <c r="G19" s="60"/>
      <c r="H19" s="60"/>
      <c r="I19" s="60"/>
      <c r="J19" s="60"/>
      <c r="K19" s="37"/>
      <c r="L19" s="85"/>
      <c r="M19" s="85"/>
      <c r="N19" s="85"/>
      <c r="O19" s="85"/>
      <c r="P19" s="37"/>
      <c r="Q19" s="62"/>
      <c r="R19" s="62"/>
      <c r="S19" s="62"/>
      <c r="T19" s="37"/>
      <c r="U19" s="66"/>
      <c r="V19" s="66"/>
      <c r="W19" s="66"/>
      <c r="X19" s="37"/>
      <c r="Y19" s="64"/>
      <c r="Z19" s="64"/>
      <c r="AA19" s="64"/>
      <c r="AB19" s="37"/>
      <c r="AC19" s="69"/>
      <c r="AD19" s="69"/>
      <c r="AE19" s="69"/>
    </row>
    <row r="20" spans="1:31" s="2" customFormat="1" ht="13.5" customHeight="1" x14ac:dyDescent="0.25">
      <c r="A20" s="145" t="s">
        <v>38</v>
      </c>
      <c r="B20" s="146"/>
      <c r="C20" s="414">
        <f>IF($C$3=8,VLOOKUP($C$3,Ordinary_Rates,4),0)</f>
        <v>0</v>
      </c>
      <c r="D20" s="414"/>
      <c r="E20" s="414"/>
      <c r="F20" s="147"/>
      <c r="G20" s="415">
        <f>C20*1.1</f>
        <v>0</v>
      </c>
      <c r="H20" s="415"/>
      <c r="I20" s="415"/>
      <c r="J20" s="415"/>
      <c r="K20" s="147"/>
      <c r="L20" s="416">
        <f>G20*1.1</f>
        <v>0</v>
      </c>
      <c r="M20" s="416"/>
      <c r="N20" s="416"/>
      <c r="O20" s="416"/>
      <c r="P20" s="147"/>
      <c r="Q20" s="417">
        <f>L20*1.1</f>
        <v>0</v>
      </c>
      <c r="R20" s="417"/>
      <c r="S20" s="417"/>
      <c r="T20" s="147"/>
      <c r="U20" s="418">
        <f>Q20*1.1</f>
        <v>0</v>
      </c>
      <c r="V20" s="418"/>
      <c r="W20" s="418"/>
      <c r="X20" s="147"/>
      <c r="Y20" s="528">
        <f>U20*1.033</f>
        <v>0</v>
      </c>
      <c r="Z20" s="528"/>
      <c r="AA20" s="528"/>
      <c r="AB20" s="148"/>
      <c r="AC20" s="531">
        <f>Y20*1.033</f>
        <v>0</v>
      </c>
      <c r="AD20" s="531"/>
      <c r="AE20" s="532"/>
    </row>
    <row r="21" spans="1:31" s="2" customFormat="1" ht="13.5" customHeight="1" x14ac:dyDescent="0.25">
      <c r="A21" s="149" t="s">
        <v>37</v>
      </c>
      <c r="C21" s="440">
        <f>IF($C$3&lt;&gt;8,VLOOKUP($C$3,Ordinary_Rates,4),0)</f>
        <v>409.15</v>
      </c>
      <c r="D21" s="440"/>
      <c r="E21" s="440"/>
      <c r="F21" s="41"/>
      <c r="G21" s="454">
        <f>C21*1.1</f>
        <v>450.065</v>
      </c>
      <c r="H21" s="454"/>
      <c r="I21" s="454"/>
      <c r="J21" s="454"/>
      <c r="K21" s="41"/>
      <c r="L21" s="444">
        <f>G21*1.1</f>
        <v>495.07150000000001</v>
      </c>
      <c r="M21" s="444"/>
      <c r="N21" s="444"/>
      <c r="O21" s="444"/>
      <c r="P21" s="41"/>
      <c r="Q21" s="455">
        <f>L21*1.1</f>
        <v>544.57865000000004</v>
      </c>
      <c r="R21" s="455"/>
      <c r="S21" s="455"/>
      <c r="T21" s="41"/>
      <c r="U21" s="489">
        <f>Q21*1.1</f>
        <v>599.03651500000012</v>
      </c>
      <c r="V21" s="489"/>
      <c r="W21" s="489"/>
      <c r="X21" s="41"/>
      <c r="Y21" s="441">
        <f>U21*1.033</f>
        <v>618.80471999500003</v>
      </c>
      <c r="Z21" s="441"/>
      <c r="AA21" s="441"/>
      <c r="AB21" s="35"/>
      <c r="AC21" s="442">
        <f>Y21*1.033</f>
        <v>639.22527575483502</v>
      </c>
      <c r="AD21" s="442"/>
      <c r="AE21" s="443"/>
    </row>
    <row r="22" spans="1:31" s="2" customFormat="1" ht="13.5" customHeight="1" x14ac:dyDescent="0.25">
      <c r="A22" s="149" t="s">
        <v>35</v>
      </c>
      <c r="C22" s="440">
        <f>IF($C$3=8,$A$3*VLOOKUP($C$3,Ordinary_Rates,5)/100,0)</f>
        <v>0</v>
      </c>
      <c r="D22" s="440"/>
      <c r="E22" s="440"/>
      <c r="F22" s="41"/>
      <c r="G22" s="454">
        <f>C22*1.1</f>
        <v>0</v>
      </c>
      <c r="H22" s="454"/>
      <c r="I22" s="454"/>
      <c r="J22" s="454"/>
      <c r="K22" s="41"/>
      <c r="L22" s="444">
        <f>G22*1.1</f>
        <v>0</v>
      </c>
      <c r="M22" s="444"/>
      <c r="N22" s="444"/>
      <c r="O22" s="444"/>
      <c r="P22" s="41"/>
      <c r="Q22" s="455">
        <f>L22*1.1</f>
        <v>0</v>
      </c>
      <c r="R22" s="455"/>
      <c r="S22" s="455"/>
      <c r="T22" s="41"/>
      <c r="U22" s="489">
        <f>Q22*1.1</f>
        <v>0</v>
      </c>
      <c r="V22" s="489"/>
      <c r="W22" s="489"/>
      <c r="X22" s="41"/>
      <c r="Y22" s="441">
        <f>U22*1.033</f>
        <v>0</v>
      </c>
      <c r="Z22" s="441"/>
      <c r="AA22" s="441"/>
      <c r="AB22" s="35"/>
      <c r="AC22" s="442">
        <f>Y22*1.033</f>
        <v>0</v>
      </c>
      <c r="AD22" s="442"/>
      <c r="AE22" s="443"/>
    </row>
    <row r="23" spans="1:31" s="2" customFormat="1" ht="13.5" customHeight="1" x14ac:dyDescent="0.25">
      <c r="A23" s="149" t="s">
        <v>36</v>
      </c>
      <c r="C23" s="440">
        <f>IF($C$3&lt;&gt;8,$A$3*VLOOKUP($C$3,Ordinary_Rates,5)/100,0)</f>
        <v>0</v>
      </c>
      <c r="D23" s="440"/>
      <c r="E23" s="440"/>
      <c r="F23" s="41"/>
      <c r="G23" s="457">
        <f>C23*1.1</f>
        <v>0</v>
      </c>
      <c r="H23" s="457"/>
      <c r="I23" s="457"/>
      <c r="J23" s="457"/>
      <c r="K23" s="41"/>
      <c r="L23" s="525">
        <f>G23*1.1</f>
        <v>0</v>
      </c>
      <c r="M23" s="525"/>
      <c r="N23" s="525"/>
      <c r="O23" s="525"/>
      <c r="P23" s="41"/>
      <c r="Q23" s="526">
        <f>L23*1.1</f>
        <v>0</v>
      </c>
      <c r="R23" s="526"/>
      <c r="S23" s="526"/>
      <c r="T23" s="41"/>
      <c r="U23" s="527">
        <f>Q23*1.1</f>
        <v>0</v>
      </c>
      <c r="V23" s="527"/>
      <c r="W23" s="527"/>
      <c r="X23" s="41"/>
      <c r="Y23" s="516">
        <f>U23*1.033</f>
        <v>0</v>
      </c>
      <c r="Z23" s="516"/>
      <c r="AA23" s="516"/>
      <c r="AB23" s="35"/>
      <c r="AC23" s="539">
        <f>Y23*1.033</f>
        <v>0</v>
      </c>
      <c r="AD23" s="539"/>
      <c r="AE23" s="540"/>
    </row>
    <row r="24" spans="1:31" s="2" customFormat="1" x14ac:dyDescent="0.25">
      <c r="A24" s="149" t="s">
        <v>27</v>
      </c>
      <c r="C24" s="440">
        <f>VLOOKUP($I$3,Waste_Mgmt,4)</f>
        <v>174</v>
      </c>
      <c r="D24" s="440"/>
      <c r="E24" s="440"/>
      <c r="F24" s="31"/>
      <c r="G24" s="456">
        <f>C24*1.0291</f>
        <v>179.06339999999997</v>
      </c>
      <c r="H24" s="456"/>
      <c r="I24" s="456"/>
      <c r="J24" s="456"/>
      <c r="K24" s="31"/>
      <c r="L24" s="477">
        <f>G24*1.5</f>
        <v>268.59509999999995</v>
      </c>
      <c r="M24" s="477"/>
      <c r="N24" s="477"/>
      <c r="O24" s="477"/>
      <c r="P24" s="31"/>
      <c r="Q24" s="452">
        <f>L24*1.0213</f>
        <v>274.31617562999998</v>
      </c>
      <c r="R24" s="452"/>
      <c r="S24" s="452"/>
      <c r="T24" s="31"/>
      <c r="U24" s="453">
        <f>Q24*1.029</f>
        <v>282.27134472326998</v>
      </c>
      <c r="V24" s="453"/>
      <c r="W24" s="453"/>
      <c r="X24" s="31"/>
      <c r="Y24" s="478">
        <f>U24*1.0296</f>
        <v>290.62657652707878</v>
      </c>
      <c r="Z24" s="478"/>
      <c r="AA24" s="478"/>
      <c r="AB24" s="31"/>
      <c r="AC24" s="517">
        <f>Y24*1.0287</f>
        <v>298.96755927340593</v>
      </c>
      <c r="AD24" s="517"/>
      <c r="AE24" s="538"/>
    </row>
    <row r="25" spans="1:31" s="2" customFormat="1" ht="13.5" customHeight="1" x14ac:dyDescent="0.25">
      <c r="A25" s="149" t="s">
        <v>28</v>
      </c>
      <c r="C25" s="451">
        <f>VLOOKUP($R$3,Add_Garbage,4)</f>
        <v>164</v>
      </c>
      <c r="D25" s="451"/>
      <c r="E25" s="451"/>
      <c r="F25" s="42"/>
      <c r="G25" s="457">
        <f>C25*1.0291</f>
        <v>168.77239999999998</v>
      </c>
      <c r="H25" s="457"/>
      <c r="I25" s="457"/>
      <c r="J25" s="457"/>
      <c r="K25" s="42"/>
      <c r="L25" s="477">
        <f>G25*1.5</f>
        <v>253.15859999999998</v>
      </c>
      <c r="M25" s="477"/>
      <c r="N25" s="477"/>
      <c r="O25" s="477"/>
      <c r="P25" s="42"/>
      <c r="Q25" s="452">
        <f>L25*1.0213</f>
        <v>258.55087817999998</v>
      </c>
      <c r="R25" s="452"/>
      <c r="S25" s="452"/>
      <c r="T25" s="42"/>
      <c r="U25" s="453">
        <f>Q25*1.029</f>
        <v>266.04885364721997</v>
      </c>
      <c r="V25" s="453"/>
      <c r="W25" s="453"/>
      <c r="X25" s="42"/>
      <c r="Y25" s="478">
        <f>U25*1.0296</f>
        <v>273.9238997151777</v>
      </c>
      <c r="Z25" s="478"/>
      <c r="AA25" s="478"/>
      <c r="AB25" s="31"/>
      <c r="AC25" s="517">
        <f>Y25*1.0287</f>
        <v>281.7855156370033</v>
      </c>
      <c r="AD25" s="517"/>
      <c r="AE25" s="538"/>
    </row>
    <row r="26" spans="1:31" s="2" customFormat="1" ht="13.5" customHeight="1" x14ac:dyDescent="0.25">
      <c r="A26" s="149" t="s">
        <v>29</v>
      </c>
      <c r="C26" s="451">
        <f>VLOOKUP($U$3,Water,4)</f>
        <v>126</v>
      </c>
      <c r="D26" s="451"/>
      <c r="E26" s="451"/>
      <c r="F26" s="42"/>
      <c r="G26" s="457">
        <f>C26*1.0291</f>
        <v>129.66659999999999</v>
      </c>
      <c r="H26" s="457"/>
      <c r="I26" s="457"/>
      <c r="J26" s="457"/>
      <c r="K26" s="42"/>
      <c r="L26" s="477">
        <f>G26*1.5</f>
        <v>194.49989999999997</v>
      </c>
      <c r="M26" s="477"/>
      <c r="N26" s="477"/>
      <c r="O26" s="477"/>
      <c r="P26" s="42"/>
      <c r="Q26" s="452">
        <f>L26*1.0213</f>
        <v>198.64274786999999</v>
      </c>
      <c r="R26" s="452"/>
      <c r="S26" s="452"/>
      <c r="T26" s="42"/>
      <c r="U26" s="453">
        <f>Q26*1.029</f>
        <v>204.40338755822998</v>
      </c>
      <c r="V26" s="453"/>
      <c r="W26" s="453"/>
      <c r="X26" s="42"/>
      <c r="Y26" s="478">
        <f>U26*1.0296</f>
        <v>210.45372782995361</v>
      </c>
      <c r="Z26" s="478"/>
      <c r="AA26" s="478"/>
      <c r="AB26" s="31"/>
      <c r="AC26" s="517">
        <f>Y26*1.0287</f>
        <v>216.49374981867325</v>
      </c>
      <c r="AD26" s="517"/>
      <c r="AE26" s="538"/>
    </row>
    <row r="27" spans="1:31" s="2" customFormat="1" ht="13.5" customHeight="1" x14ac:dyDescent="0.25">
      <c r="A27" s="149" t="s">
        <v>32</v>
      </c>
      <c r="C27" s="440">
        <f>IF($C$3&lt;3, VLOOKUP($Y$3,Sewer,4),IF($C$3=10, VLOOKUP($Y$3,Sewer,4), IF($C$3=3, VLOOKUP($Y$3,Sewer,5), IF($C$3=4, VLOOKUP($Y$3,Sewer,5), IF($C$3=11, VLOOKUP($Y$3,Sewer,5), 0)))))</f>
        <v>0</v>
      </c>
      <c r="D27" s="440"/>
      <c r="E27" s="440"/>
      <c r="F27" s="42"/>
      <c r="G27" s="457">
        <f>C27*1.0284</f>
        <v>0</v>
      </c>
      <c r="H27" s="457"/>
      <c r="I27" s="457"/>
      <c r="J27" s="457"/>
      <c r="K27" s="42"/>
      <c r="L27" s="525">
        <f>G27*1.0296</f>
        <v>0</v>
      </c>
      <c r="M27" s="525"/>
      <c r="N27" s="525"/>
      <c r="O27" s="525"/>
      <c r="P27" s="42"/>
      <c r="Q27" s="526">
        <f>L27*1.0287</f>
        <v>0</v>
      </c>
      <c r="R27" s="526"/>
      <c r="S27" s="526"/>
      <c r="T27" s="42"/>
      <c r="U27" s="527">
        <f>Q27*1.0298</f>
        <v>0</v>
      </c>
      <c r="V27" s="527"/>
      <c r="W27" s="527"/>
      <c r="X27" s="42"/>
      <c r="Y27" s="516">
        <f>U27*1.0289</f>
        <v>0</v>
      </c>
      <c r="Z27" s="516"/>
      <c r="AA27" s="516"/>
      <c r="AB27" s="31"/>
      <c r="AC27" s="517">
        <f>Y27*1.0299</f>
        <v>0</v>
      </c>
      <c r="AD27" s="517"/>
      <c r="AE27" s="538"/>
    </row>
    <row r="28" spans="1:31" s="2" customFormat="1" ht="13.5" customHeight="1" x14ac:dyDescent="0.25">
      <c r="A28" s="149" t="s">
        <v>33</v>
      </c>
      <c r="C28" s="440">
        <f>-IF($C$3&lt;5,VLOOKUP($AD$3,Pensioner,4),IF($C$3&gt;8,0,VLOOKUP($AD$3,Pensioner,5)))</f>
        <v>-250</v>
      </c>
      <c r="D28" s="440"/>
      <c r="E28" s="440"/>
      <c r="F28" s="42"/>
      <c r="G28" s="457">
        <f>C28*1.1</f>
        <v>-275</v>
      </c>
      <c r="H28" s="457"/>
      <c r="I28" s="457"/>
      <c r="J28" s="457"/>
      <c r="K28" s="42"/>
      <c r="L28" s="525">
        <f>G28*1.11</f>
        <v>-305.25</v>
      </c>
      <c r="M28" s="525"/>
      <c r="N28" s="525"/>
      <c r="O28" s="525"/>
      <c r="P28" s="42"/>
      <c r="Q28" s="526">
        <f>L28*1.1</f>
        <v>-335.77500000000003</v>
      </c>
      <c r="R28" s="526"/>
      <c r="S28" s="526"/>
      <c r="T28" s="42"/>
      <c r="U28" s="527">
        <f>Q28*1.1</f>
        <v>-369.35250000000008</v>
      </c>
      <c r="V28" s="527"/>
      <c r="W28" s="527"/>
      <c r="X28" s="42"/>
      <c r="Y28" s="516">
        <f>U28*1.033</f>
        <v>-381.54113250000006</v>
      </c>
      <c r="Z28" s="516"/>
      <c r="AA28" s="516"/>
      <c r="AB28" s="31"/>
      <c r="AC28" s="517">
        <f>Y28*1.033</f>
        <v>-394.13198987250001</v>
      </c>
      <c r="AD28" s="517"/>
      <c r="AE28" s="538"/>
    </row>
    <row r="29" spans="1:31" s="47" customFormat="1" ht="43.5" customHeight="1" x14ac:dyDescent="0.25">
      <c r="A29" s="52" t="s">
        <v>54</v>
      </c>
      <c r="B29" s="44"/>
      <c r="C29" s="446">
        <f>SUM(C20:E23)</f>
        <v>409.15</v>
      </c>
      <c r="D29" s="446"/>
      <c r="E29" s="446"/>
      <c r="F29" s="44"/>
      <c r="G29" s="447">
        <f>SUM(G20:J23)</f>
        <v>450.065</v>
      </c>
      <c r="H29" s="447"/>
      <c r="I29" s="447"/>
      <c r="J29" s="447"/>
      <c r="K29" s="45"/>
      <c r="L29" s="448">
        <f>SUM(L20:O23)</f>
        <v>495.07150000000001</v>
      </c>
      <c r="M29" s="448"/>
      <c r="N29" s="448"/>
      <c r="O29" s="448"/>
      <c r="P29" s="45"/>
      <c r="Q29" s="449">
        <f>SUM(Q20:S23)</f>
        <v>544.57865000000004</v>
      </c>
      <c r="R29" s="449"/>
      <c r="S29" s="449"/>
      <c r="T29" s="45"/>
      <c r="U29" s="450">
        <f>SUM(U20:W23)</f>
        <v>599.03651500000012</v>
      </c>
      <c r="V29" s="450"/>
      <c r="W29" s="450"/>
      <c r="X29" s="45"/>
      <c r="Y29" s="510">
        <f>SUM(Y20:AA23)</f>
        <v>618.80471999500003</v>
      </c>
      <c r="Z29" s="510"/>
      <c r="AA29" s="510"/>
      <c r="AB29" s="45"/>
      <c r="AC29" s="541">
        <f>SUM(AC20:AE23)</f>
        <v>639.22527575483502</v>
      </c>
      <c r="AD29" s="541"/>
      <c r="AE29" s="542"/>
    </row>
    <row r="30" spans="1:31" s="47" customFormat="1" ht="4.5" customHeight="1" x14ac:dyDescent="0.25">
      <c r="A30" s="150"/>
      <c r="C30" s="110"/>
      <c r="D30" s="110"/>
      <c r="E30" s="110"/>
      <c r="F30" s="36"/>
      <c r="G30" s="111"/>
      <c r="H30" s="111"/>
      <c r="I30" s="111"/>
      <c r="J30" s="111"/>
      <c r="K30" s="36"/>
      <c r="L30" s="112"/>
      <c r="M30" s="112"/>
      <c r="N30" s="112"/>
      <c r="O30" s="112"/>
      <c r="P30" s="36"/>
      <c r="Q30" s="113"/>
      <c r="R30" s="113"/>
      <c r="S30" s="113"/>
      <c r="T30" s="36"/>
      <c r="U30" s="114"/>
      <c r="V30" s="114"/>
      <c r="W30" s="114"/>
      <c r="X30" s="36"/>
      <c r="Y30" s="115"/>
      <c r="Z30" s="115"/>
      <c r="AA30" s="115"/>
      <c r="AB30" s="36"/>
      <c r="AC30" s="117"/>
      <c r="AD30" s="117"/>
      <c r="AE30" s="151"/>
    </row>
    <row r="31" spans="1:31" s="73" customFormat="1" ht="15.75" customHeight="1" x14ac:dyDescent="0.25">
      <c r="A31" s="152" t="s">
        <v>43</v>
      </c>
      <c r="B31" s="74"/>
      <c r="C31" s="543">
        <f>C16-C29</f>
        <v>0</v>
      </c>
      <c r="D31" s="543"/>
      <c r="E31" s="543"/>
      <c r="F31" s="45"/>
      <c r="G31" s="544">
        <f>G29-G16</f>
        <v>27.413050000000055</v>
      </c>
      <c r="H31" s="544"/>
      <c r="I31" s="544"/>
      <c r="J31" s="544"/>
      <c r="K31" s="45"/>
      <c r="L31" s="545">
        <f>L29-L16</f>
        <v>58.472035650000123</v>
      </c>
      <c r="M31" s="545"/>
      <c r="N31" s="545"/>
      <c r="O31" s="545"/>
      <c r="P31" s="45"/>
      <c r="Q31" s="546">
        <f>Q29-Q16</f>
        <v>93.571403326450195</v>
      </c>
      <c r="R31" s="546"/>
      <c r="S31" s="546"/>
      <c r="T31" s="45"/>
      <c r="U31" s="547">
        <f>U29-U16</f>
        <v>133.14602918622319</v>
      </c>
      <c r="V31" s="547"/>
      <c r="W31" s="547"/>
      <c r="X31" s="45"/>
      <c r="Y31" s="548">
        <f>Y29-Y16</f>
        <v>215.0148481493685</v>
      </c>
      <c r="Z31" s="548"/>
      <c r="AA31" s="548"/>
      <c r="AB31" s="45"/>
      <c r="AC31" s="549">
        <f>AC29-AC16</f>
        <v>222.11033813829772</v>
      </c>
      <c r="AD31" s="549"/>
      <c r="AE31" s="550"/>
    </row>
    <row r="32" spans="1:31" s="48" customFormat="1" ht="4.5" customHeight="1" x14ac:dyDescent="0.25">
      <c r="A32" s="153"/>
      <c r="C32" s="72"/>
      <c r="D32" s="72"/>
      <c r="E32" s="72"/>
      <c r="F32" s="37"/>
      <c r="G32" s="75"/>
      <c r="H32" s="75"/>
      <c r="I32" s="75"/>
      <c r="J32" s="75"/>
      <c r="K32" s="37"/>
      <c r="L32" s="86"/>
      <c r="M32" s="86"/>
      <c r="N32" s="86"/>
      <c r="O32" s="86"/>
      <c r="P32" s="37"/>
      <c r="Q32" s="76"/>
      <c r="R32" s="76"/>
      <c r="S32" s="76"/>
      <c r="T32" s="37"/>
      <c r="U32" s="77"/>
      <c r="V32" s="77"/>
      <c r="W32" s="77"/>
      <c r="X32" s="37"/>
      <c r="Y32" s="78"/>
      <c r="Z32" s="78"/>
      <c r="AA32" s="78"/>
      <c r="AB32" s="37"/>
      <c r="AC32" s="79"/>
      <c r="AD32" s="79"/>
      <c r="AE32" s="154"/>
    </row>
    <row r="33" spans="1:31" s="73" customFormat="1" ht="15.75" customHeight="1" x14ac:dyDescent="0.25">
      <c r="A33" s="152" t="s">
        <v>45</v>
      </c>
      <c r="B33" s="74"/>
      <c r="C33" s="543">
        <v>0</v>
      </c>
      <c r="D33" s="543"/>
      <c r="E33" s="543"/>
      <c r="F33" s="45"/>
      <c r="G33" s="544">
        <f>G31</f>
        <v>27.413050000000055</v>
      </c>
      <c r="H33" s="544"/>
      <c r="I33" s="544"/>
      <c r="J33" s="544"/>
      <c r="K33" s="45"/>
      <c r="L33" s="545">
        <f>G33+L31</f>
        <v>85.885085650000178</v>
      </c>
      <c r="M33" s="545"/>
      <c r="N33" s="545"/>
      <c r="O33" s="545"/>
      <c r="P33" s="45"/>
      <c r="Q33" s="546">
        <f>L33+Q31</f>
        <v>179.45648897645037</v>
      </c>
      <c r="R33" s="546"/>
      <c r="S33" s="546"/>
      <c r="T33" s="45"/>
      <c r="U33" s="547">
        <f>Q33+U31</f>
        <v>312.60251816267356</v>
      </c>
      <c r="V33" s="547"/>
      <c r="W33" s="547"/>
      <c r="X33" s="45"/>
      <c r="Y33" s="548">
        <f>U33+Y31</f>
        <v>527.61736631204212</v>
      </c>
      <c r="Z33" s="548"/>
      <c r="AA33" s="548"/>
      <c r="AB33" s="45"/>
      <c r="AC33" s="549">
        <f>Y33+AC31</f>
        <v>749.72770445033984</v>
      </c>
      <c r="AD33" s="549"/>
      <c r="AE33" s="550"/>
    </row>
    <row r="34" spans="1:31" s="73" customFormat="1" ht="5.25" customHeight="1" x14ac:dyDescent="0.25">
      <c r="A34" s="155"/>
      <c r="C34" s="124"/>
      <c r="D34" s="124"/>
      <c r="E34" s="124"/>
      <c r="F34" s="36"/>
      <c r="G34" s="125"/>
      <c r="H34" s="125"/>
      <c r="I34" s="125"/>
      <c r="J34" s="125"/>
      <c r="K34" s="36"/>
      <c r="L34" s="126"/>
      <c r="M34" s="126"/>
      <c r="N34" s="126"/>
      <c r="O34" s="126"/>
      <c r="P34" s="36"/>
      <c r="Q34" s="127"/>
      <c r="R34" s="127"/>
      <c r="S34" s="127"/>
      <c r="T34" s="36"/>
      <c r="U34" s="128"/>
      <c r="V34" s="128"/>
      <c r="W34" s="128"/>
      <c r="X34" s="36"/>
      <c r="Y34" s="129"/>
      <c r="Z34" s="129"/>
      <c r="AA34" s="129"/>
      <c r="AB34" s="36"/>
      <c r="AC34" s="130"/>
      <c r="AD34" s="130"/>
      <c r="AE34" s="156"/>
    </row>
    <row r="35" spans="1:31" s="73" customFormat="1" ht="15.75" customHeight="1" x14ac:dyDescent="0.25">
      <c r="A35" s="152" t="s">
        <v>42</v>
      </c>
      <c r="B35" s="74"/>
      <c r="C35" s="446">
        <f>SUM(C20:E28)</f>
        <v>623.15</v>
      </c>
      <c r="D35" s="446"/>
      <c r="E35" s="446"/>
      <c r="F35" s="45"/>
      <c r="G35" s="447">
        <f>SUM(G20:J28)</f>
        <v>652.56739999999991</v>
      </c>
      <c r="H35" s="447"/>
      <c r="I35" s="447"/>
      <c r="J35" s="447"/>
      <c r="K35" s="45"/>
      <c r="L35" s="448">
        <f>SUM(L20:O28)</f>
        <v>906.07510000000002</v>
      </c>
      <c r="M35" s="448"/>
      <c r="N35" s="448"/>
      <c r="O35" s="448"/>
      <c r="P35" s="45"/>
      <c r="Q35" s="449">
        <f>SUM(Q20:S28)</f>
        <v>940.31345167999984</v>
      </c>
      <c r="R35" s="449"/>
      <c r="S35" s="449"/>
      <c r="T35" s="45"/>
      <c r="U35" s="450">
        <f>SUM(U20:W28)</f>
        <v>982.40760092871994</v>
      </c>
      <c r="V35" s="450"/>
      <c r="W35" s="450"/>
      <c r="X35" s="45"/>
      <c r="Y35" s="510">
        <f>SUM(Y20:AA28)</f>
        <v>1012.26779156721</v>
      </c>
      <c r="Z35" s="510"/>
      <c r="AA35" s="510"/>
      <c r="AB35" s="45"/>
      <c r="AC35" s="511">
        <f>SUM(AC20:AE28)</f>
        <v>1042.3401106114175</v>
      </c>
      <c r="AD35" s="511"/>
      <c r="AE35" s="559"/>
    </row>
    <row r="36" spans="1:31" s="73" customFormat="1" ht="6" customHeight="1" x14ac:dyDescent="0.25">
      <c r="A36" s="155"/>
      <c r="C36" s="110"/>
      <c r="D36" s="110"/>
      <c r="E36" s="110"/>
      <c r="F36" s="36"/>
      <c r="G36" s="111"/>
      <c r="H36" s="111"/>
      <c r="I36" s="111"/>
      <c r="J36" s="111"/>
      <c r="K36" s="36"/>
      <c r="L36" s="112"/>
      <c r="M36" s="112"/>
      <c r="N36" s="112"/>
      <c r="O36" s="112"/>
      <c r="P36" s="36"/>
      <c r="Q36" s="113"/>
      <c r="R36" s="113"/>
      <c r="S36" s="113"/>
      <c r="T36" s="36"/>
      <c r="U36" s="114"/>
      <c r="V36" s="114"/>
      <c r="W36" s="114"/>
      <c r="X36" s="36"/>
      <c r="Y36" s="115"/>
      <c r="Z36" s="115"/>
      <c r="AA36" s="115"/>
      <c r="AB36" s="36"/>
      <c r="AC36" s="109"/>
      <c r="AD36" s="109"/>
      <c r="AE36" s="157"/>
    </row>
    <row r="37" spans="1:31" s="48" customFormat="1" ht="15.75" customHeight="1" x14ac:dyDescent="0.25">
      <c r="A37" s="158" t="s">
        <v>46</v>
      </c>
      <c r="B37" s="159"/>
      <c r="C37" s="551">
        <f>(C35-C18)/C35</f>
        <v>0</v>
      </c>
      <c r="D37" s="551"/>
      <c r="E37" s="551"/>
      <c r="F37" s="160"/>
      <c r="G37" s="552">
        <f>(G35-G18)/G35</f>
        <v>1.6340151224226034E-2</v>
      </c>
      <c r="H37" s="552"/>
      <c r="I37" s="552"/>
      <c r="J37" s="552"/>
      <c r="K37" s="160"/>
      <c r="L37" s="553">
        <f>(L35-L18)/L35</f>
        <v>2.2066918790727353E-2</v>
      </c>
      <c r="M37" s="553"/>
      <c r="N37" s="553"/>
      <c r="O37" s="553"/>
      <c r="P37" s="160"/>
      <c r="Q37" s="554">
        <f>(Q35-Q18)/Q35</f>
        <v>3.54904394027609E-2</v>
      </c>
      <c r="R37" s="554"/>
      <c r="S37" s="554"/>
      <c r="T37" s="160"/>
      <c r="U37" s="555">
        <f>(U35-U18)/U35</f>
        <v>4.933111533406119E-2</v>
      </c>
      <c r="V37" s="555"/>
      <c r="W37" s="555"/>
      <c r="X37" s="160"/>
      <c r="Y37" s="556">
        <f>(Y35-Y18)/Y35</f>
        <v>0.12599190786956749</v>
      </c>
      <c r="Z37" s="556"/>
      <c r="AA37" s="556"/>
      <c r="AB37" s="160"/>
      <c r="AC37" s="560">
        <f>(AC35-AC18)/AC35</f>
        <v>0.12639472294530052</v>
      </c>
      <c r="AD37" s="560"/>
      <c r="AE37" s="561"/>
    </row>
    <row r="38" spans="1:31" s="48" customFormat="1" ht="6" customHeight="1" x14ac:dyDescent="0.25">
      <c r="A38" s="49"/>
      <c r="C38" s="58"/>
      <c r="D38" s="58"/>
      <c r="E38" s="58"/>
      <c r="F38" s="37"/>
      <c r="G38" s="60"/>
      <c r="H38" s="60"/>
      <c r="I38" s="60"/>
      <c r="J38" s="60"/>
      <c r="K38" s="37"/>
      <c r="L38" s="85"/>
      <c r="M38" s="85"/>
      <c r="N38" s="85"/>
      <c r="O38" s="85"/>
      <c r="P38" s="37"/>
      <c r="Q38" s="62"/>
      <c r="R38" s="62"/>
      <c r="S38" s="62"/>
      <c r="T38" s="37"/>
      <c r="U38" s="66"/>
      <c r="V38" s="66"/>
      <c r="W38" s="66"/>
      <c r="X38" s="37"/>
      <c r="Y38" s="64"/>
      <c r="Z38" s="64"/>
      <c r="AA38" s="64"/>
      <c r="AB38" s="37"/>
      <c r="AC38" s="69"/>
      <c r="AD38" s="69"/>
      <c r="AE38" s="69"/>
    </row>
    <row r="39" spans="1:31" s="2" customFormat="1" ht="13.5" customHeight="1" x14ac:dyDescent="0.25">
      <c r="A39" s="161" t="s">
        <v>38</v>
      </c>
      <c r="B39" s="162"/>
      <c r="C39" s="562">
        <f>IF($C$3=8,VLOOKUP($C$3,Ordinary_Rates,4),0)</f>
        <v>0</v>
      </c>
      <c r="D39" s="562"/>
      <c r="E39" s="562"/>
      <c r="F39" s="163"/>
      <c r="G39" s="563">
        <f>C39*1.15</f>
        <v>0</v>
      </c>
      <c r="H39" s="563"/>
      <c r="I39" s="563"/>
      <c r="J39" s="563"/>
      <c r="K39" s="163"/>
      <c r="L39" s="564">
        <f>G39*1.15</f>
        <v>0</v>
      </c>
      <c r="M39" s="564"/>
      <c r="N39" s="564"/>
      <c r="O39" s="564"/>
      <c r="P39" s="163"/>
      <c r="Q39" s="565">
        <f>L39*1.15</f>
        <v>0</v>
      </c>
      <c r="R39" s="565"/>
      <c r="S39" s="565"/>
      <c r="T39" s="163"/>
      <c r="U39" s="566">
        <f>Q39*1.15</f>
        <v>0</v>
      </c>
      <c r="V39" s="566"/>
      <c r="W39" s="566"/>
      <c r="X39" s="163"/>
      <c r="Y39" s="567">
        <f>U39*1.033</f>
        <v>0</v>
      </c>
      <c r="Z39" s="567"/>
      <c r="AA39" s="567"/>
      <c r="AB39" s="164"/>
      <c r="AC39" s="557">
        <f>Y39*1.033</f>
        <v>0</v>
      </c>
      <c r="AD39" s="557"/>
      <c r="AE39" s="558"/>
    </row>
    <row r="40" spans="1:31" s="2" customFormat="1" ht="13.5" customHeight="1" x14ac:dyDescent="0.25">
      <c r="A40" s="165" t="s">
        <v>37</v>
      </c>
      <c r="C40" s="440">
        <f>IF($C$3&lt;&gt;8,VLOOKUP($C$3,Ordinary_Rates,4),0)</f>
        <v>409.15</v>
      </c>
      <c r="D40" s="440"/>
      <c r="E40" s="440"/>
      <c r="F40" s="41"/>
      <c r="G40" s="454">
        <f>C40*1.15</f>
        <v>470.52249999999992</v>
      </c>
      <c r="H40" s="454"/>
      <c r="I40" s="454"/>
      <c r="J40" s="454"/>
      <c r="K40" s="41"/>
      <c r="L40" s="444">
        <f>G40*1.15</f>
        <v>541.10087499999986</v>
      </c>
      <c r="M40" s="444"/>
      <c r="N40" s="444"/>
      <c r="O40" s="444"/>
      <c r="P40" s="41"/>
      <c r="Q40" s="455">
        <f>L40*1.15</f>
        <v>622.2660062499998</v>
      </c>
      <c r="R40" s="455"/>
      <c r="S40" s="455"/>
      <c r="T40" s="41"/>
      <c r="U40" s="489">
        <f>Q40*1.15</f>
        <v>715.60590718749972</v>
      </c>
      <c r="V40" s="489"/>
      <c r="W40" s="489"/>
      <c r="X40" s="41"/>
      <c r="Y40" s="441">
        <f>U40*1.033</f>
        <v>739.2209021246872</v>
      </c>
      <c r="Z40" s="441"/>
      <c r="AA40" s="441"/>
      <c r="AB40" s="35"/>
      <c r="AC40" s="442">
        <f>Y40*1.033</f>
        <v>763.6151918948018</v>
      </c>
      <c r="AD40" s="442"/>
      <c r="AE40" s="568"/>
    </row>
    <row r="41" spans="1:31" s="2" customFormat="1" ht="13.5" customHeight="1" x14ac:dyDescent="0.25">
      <c r="A41" s="165" t="s">
        <v>35</v>
      </c>
      <c r="C41" s="440">
        <f>IF($C$3=8,$A$3*VLOOKUP($C$3,Ordinary_Rates,5)/100,0)</f>
        <v>0</v>
      </c>
      <c r="D41" s="440"/>
      <c r="E41" s="440"/>
      <c r="F41" s="41"/>
      <c r="G41" s="454">
        <f>C41*1.15</f>
        <v>0</v>
      </c>
      <c r="H41" s="454"/>
      <c r="I41" s="454"/>
      <c r="J41" s="454"/>
      <c r="K41" s="41"/>
      <c r="L41" s="444">
        <f>G41*1.15</f>
        <v>0</v>
      </c>
      <c r="M41" s="444"/>
      <c r="N41" s="444"/>
      <c r="O41" s="444"/>
      <c r="P41" s="41"/>
      <c r="Q41" s="455">
        <f>L41*1.15</f>
        <v>0</v>
      </c>
      <c r="R41" s="455"/>
      <c r="S41" s="455"/>
      <c r="T41" s="41"/>
      <c r="U41" s="489">
        <f>Q41*1.15</f>
        <v>0</v>
      </c>
      <c r="V41" s="489"/>
      <c r="W41" s="489"/>
      <c r="X41" s="41"/>
      <c r="Y41" s="441">
        <f>U41*1.033</f>
        <v>0</v>
      </c>
      <c r="Z41" s="441"/>
      <c r="AA41" s="441"/>
      <c r="AB41" s="35"/>
      <c r="AC41" s="442">
        <f>Y41*1.033</f>
        <v>0</v>
      </c>
      <c r="AD41" s="442"/>
      <c r="AE41" s="568"/>
    </row>
    <row r="42" spans="1:31" s="2" customFormat="1" ht="13.5" customHeight="1" x14ac:dyDescent="0.25">
      <c r="A42" s="165" t="s">
        <v>36</v>
      </c>
      <c r="C42" s="440">
        <f>IF($C$3&lt;&gt;8,$A$3*VLOOKUP($C$3,Ordinary_Rates,5)/100,0)</f>
        <v>0</v>
      </c>
      <c r="D42" s="440"/>
      <c r="E42" s="440"/>
      <c r="F42" s="41"/>
      <c r="G42" s="457">
        <f>C42*1.15</f>
        <v>0</v>
      </c>
      <c r="H42" s="457"/>
      <c r="I42" s="457"/>
      <c r="J42" s="457"/>
      <c r="K42" s="41"/>
      <c r="L42" s="525">
        <f>G42*1.15</f>
        <v>0</v>
      </c>
      <c r="M42" s="525"/>
      <c r="N42" s="525"/>
      <c r="O42" s="525"/>
      <c r="P42" s="41"/>
      <c r="Q42" s="526">
        <f>L42*1.15</f>
        <v>0</v>
      </c>
      <c r="R42" s="526"/>
      <c r="S42" s="526"/>
      <c r="T42" s="41"/>
      <c r="U42" s="527">
        <f>Q42*1.15</f>
        <v>0</v>
      </c>
      <c r="V42" s="527"/>
      <c r="W42" s="527"/>
      <c r="X42" s="41"/>
      <c r="Y42" s="516">
        <f>U42*1.033</f>
        <v>0</v>
      </c>
      <c r="Z42" s="516"/>
      <c r="AA42" s="516"/>
      <c r="AB42" s="35"/>
      <c r="AC42" s="539">
        <f>Y42*1.033</f>
        <v>0</v>
      </c>
      <c r="AD42" s="539"/>
      <c r="AE42" s="569"/>
    </row>
    <row r="43" spans="1:31" s="2" customFormat="1" x14ac:dyDescent="0.25">
      <c r="A43" s="165" t="s">
        <v>27</v>
      </c>
      <c r="C43" s="440">
        <f>VLOOKUP($I$3,Waste_Mgmt,4)</f>
        <v>174</v>
      </c>
      <c r="D43" s="440"/>
      <c r="E43" s="440"/>
      <c r="F43" s="31"/>
      <c r="G43" s="456">
        <f>C43*1.0291</f>
        <v>179.06339999999997</v>
      </c>
      <c r="H43" s="456"/>
      <c r="I43" s="456"/>
      <c r="J43" s="456"/>
      <c r="K43" s="31"/>
      <c r="L43" s="477">
        <f>G43*1.5</f>
        <v>268.59509999999995</v>
      </c>
      <c r="M43" s="477"/>
      <c r="N43" s="477"/>
      <c r="O43" s="477"/>
      <c r="P43" s="31"/>
      <c r="Q43" s="452">
        <f>L43*1.0213</f>
        <v>274.31617562999998</v>
      </c>
      <c r="R43" s="452"/>
      <c r="S43" s="452"/>
      <c r="T43" s="31"/>
      <c r="U43" s="453">
        <f>Q43*1.029</f>
        <v>282.27134472326998</v>
      </c>
      <c r="V43" s="453"/>
      <c r="W43" s="453"/>
      <c r="X43" s="31"/>
      <c r="Y43" s="478">
        <f>U43*1.0296</f>
        <v>290.62657652707878</v>
      </c>
      <c r="Z43" s="478"/>
      <c r="AA43" s="478"/>
      <c r="AB43" s="31"/>
      <c r="AC43" s="517">
        <f>Y43*1.0287</f>
        <v>298.96755927340593</v>
      </c>
      <c r="AD43" s="517"/>
      <c r="AE43" s="570"/>
    </row>
    <row r="44" spans="1:31" s="2" customFormat="1" ht="13.5" customHeight="1" x14ac:dyDescent="0.25">
      <c r="A44" s="165" t="s">
        <v>28</v>
      </c>
      <c r="C44" s="451">
        <f>VLOOKUP($R$3,Add_Garbage,4)</f>
        <v>164</v>
      </c>
      <c r="D44" s="451"/>
      <c r="E44" s="451"/>
      <c r="F44" s="42"/>
      <c r="G44" s="457">
        <f>C44*1.0291</f>
        <v>168.77239999999998</v>
      </c>
      <c r="H44" s="457"/>
      <c r="I44" s="457"/>
      <c r="J44" s="457"/>
      <c r="K44" s="42"/>
      <c r="L44" s="477">
        <f>G44*1.5</f>
        <v>253.15859999999998</v>
      </c>
      <c r="M44" s="477"/>
      <c r="N44" s="477"/>
      <c r="O44" s="477"/>
      <c r="P44" s="42"/>
      <c r="Q44" s="452">
        <f>L44*1.0213</f>
        <v>258.55087817999998</v>
      </c>
      <c r="R44" s="452"/>
      <c r="S44" s="452"/>
      <c r="T44" s="42"/>
      <c r="U44" s="453">
        <f>Q44*1.029</f>
        <v>266.04885364721997</v>
      </c>
      <c r="V44" s="453"/>
      <c r="W44" s="453"/>
      <c r="X44" s="42"/>
      <c r="Y44" s="478">
        <f>U44*1.0296</f>
        <v>273.9238997151777</v>
      </c>
      <c r="Z44" s="478"/>
      <c r="AA44" s="478"/>
      <c r="AB44" s="31"/>
      <c r="AC44" s="517">
        <f>Y44*1.0287</f>
        <v>281.7855156370033</v>
      </c>
      <c r="AD44" s="517"/>
      <c r="AE44" s="570"/>
    </row>
    <row r="45" spans="1:31" s="2" customFormat="1" ht="13.5" customHeight="1" x14ac:dyDescent="0.25">
      <c r="A45" s="165" t="s">
        <v>29</v>
      </c>
      <c r="C45" s="451">
        <f>VLOOKUP($U$3,Water,4)</f>
        <v>126</v>
      </c>
      <c r="D45" s="451"/>
      <c r="E45" s="451"/>
      <c r="F45" s="42"/>
      <c r="G45" s="457">
        <f>C45*1.0291</f>
        <v>129.66659999999999</v>
      </c>
      <c r="H45" s="457"/>
      <c r="I45" s="457"/>
      <c r="J45" s="457"/>
      <c r="K45" s="42"/>
      <c r="L45" s="477">
        <f>G45*1.5</f>
        <v>194.49989999999997</v>
      </c>
      <c r="M45" s="477"/>
      <c r="N45" s="477"/>
      <c r="O45" s="477"/>
      <c r="P45" s="42"/>
      <c r="Q45" s="452">
        <f>L45*1.0213</f>
        <v>198.64274786999999</v>
      </c>
      <c r="R45" s="452"/>
      <c r="S45" s="452"/>
      <c r="T45" s="42"/>
      <c r="U45" s="453">
        <f>Q45*1.029</f>
        <v>204.40338755822998</v>
      </c>
      <c r="V45" s="453"/>
      <c r="W45" s="453"/>
      <c r="X45" s="42"/>
      <c r="Y45" s="478">
        <f>U45*1.0296</f>
        <v>210.45372782995361</v>
      </c>
      <c r="Z45" s="478"/>
      <c r="AA45" s="478"/>
      <c r="AB45" s="31"/>
      <c r="AC45" s="517">
        <f>Y45*1.0287</f>
        <v>216.49374981867325</v>
      </c>
      <c r="AD45" s="517"/>
      <c r="AE45" s="570"/>
    </row>
    <row r="46" spans="1:31" s="2" customFormat="1" ht="13.5" customHeight="1" x14ac:dyDescent="0.25">
      <c r="A46" s="165" t="s">
        <v>32</v>
      </c>
      <c r="C46" s="440">
        <f>IF($C$3&lt;3, VLOOKUP($Y$3,Sewer,4),IF($C$3=10, VLOOKUP($Y$3,Sewer,4), IF($C$3=3, VLOOKUP($Y$3,Sewer,5), IF($C$3=4, VLOOKUP($Y$3,Sewer,5), IF($C$3=11, VLOOKUP($Y$3,Sewer,5), 0)))))</f>
        <v>0</v>
      </c>
      <c r="D46" s="440"/>
      <c r="E46" s="440"/>
      <c r="F46" s="42"/>
      <c r="G46" s="457">
        <f>C46*1.0284</f>
        <v>0</v>
      </c>
      <c r="H46" s="457"/>
      <c r="I46" s="457"/>
      <c r="J46" s="457"/>
      <c r="K46" s="42"/>
      <c r="L46" s="525">
        <f>G46*1.0296</f>
        <v>0</v>
      </c>
      <c r="M46" s="525"/>
      <c r="N46" s="525"/>
      <c r="O46" s="525"/>
      <c r="P46" s="42"/>
      <c r="Q46" s="526">
        <f>L46*1.0287</f>
        <v>0</v>
      </c>
      <c r="R46" s="526"/>
      <c r="S46" s="526"/>
      <c r="T46" s="42"/>
      <c r="U46" s="527">
        <f>Q46*1.0298</f>
        <v>0</v>
      </c>
      <c r="V46" s="527"/>
      <c r="W46" s="527"/>
      <c r="X46" s="42"/>
      <c r="Y46" s="516">
        <f>U46*1.0289</f>
        <v>0</v>
      </c>
      <c r="Z46" s="516"/>
      <c r="AA46" s="516"/>
      <c r="AB46" s="31"/>
      <c r="AC46" s="517">
        <f>Y46*1.0299</f>
        <v>0</v>
      </c>
      <c r="AD46" s="517"/>
      <c r="AE46" s="570"/>
    </row>
    <row r="47" spans="1:31" s="2" customFormat="1" ht="13.5" customHeight="1" x14ac:dyDescent="0.25">
      <c r="A47" s="165" t="s">
        <v>33</v>
      </c>
      <c r="C47" s="440">
        <f>-IF($C$3&lt;5,VLOOKUP($AD$3,Pensioner,4),IF($C$3&gt;8,0,VLOOKUP($AD$3,Pensioner,5)))</f>
        <v>-250</v>
      </c>
      <c r="D47" s="440"/>
      <c r="E47" s="440"/>
      <c r="F47" s="42"/>
      <c r="G47" s="457">
        <f>C47*1.15</f>
        <v>-287.5</v>
      </c>
      <c r="H47" s="457"/>
      <c r="I47" s="457"/>
      <c r="J47" s="457"/>
      <c r="K47" s="42"/>
      <c r="L47" s="525">
        <f>G47*1.15</f>
        <v>-330.625</v>
      </c>
      <c r="M47" s="525"/>
      <c r="N47" s="525"/>
      <c r="O47" s="525"/>
      <c r="P47" s="42"/>
      <c r="Q47" s="526">
        <f>L47*1.15</f>
        <v>-380.21874999999994</v>
      </c>
      <c r="R47" s="526"/>
      <c r="S47" s="526"/>
      <c r="T47" s="42"/>
      <c r="U47" s="527">
        <f>Q47*1.15</f>
        <v>-437.25156249999992</v>
      </c>
      <c r="V47" s="527"/>
      <c r="W47" s="527"/>
      <c r="X47" s="42"/>
      <c r="Y47" s="516">
        <f>U47*1.033</f>
        <v>-451.68086406249989</v>
      </c>
      <c r="Z47" s="516"/>
      <c r="AA47" s="516"/>
      <c r="AB47" s="31"/>
      <c r="AC47" s="573">
        <f>Y47*1.033</f>
        <v>-466.58633257656237</v>
      </c>
      <c r="AD47" s="573"/>
      <c r="AE47" s="574"/>
    </row>
    <row r="48" spans="1:31" s="16" customFormat="1" ht="48" customHeight="1" x14ac:dyDescent="0.25">
      <c r="A48" s="54" t="s">
        <v>55</v>
      </c>
      <c r="B48" s="56"/>
      <c r="C48" s="446">
        <f>SUM(C39:E42)</f>
        <v>409.15</v>
      </c>
      <c r="D48" s="446"/>
      <c r="E48" s="446"/>
      <c r="F48" s="55"/>
      <c r="G48" s="447">
        <f>SUM(G39:J42)</f>
        <v>470.52249999999992</v>
      </c>
      <c r="H48" s="447"/>
      <c r="I48" s="447"/>
      <c r="J48" s="447"/>
      <c r="K48" s="55"/>
      <c r="L48" s="448">
        <f>SUM(L39:O42)</f>
        <v>541.10087499999986</v>
      </c>
      <c r="M48" s="448"/>
      <c r="N48" s="448"/>
      <c r="O48" s="448"/>
      <c r="P48" s="55"/>
      <c r="Q48" s="449">
        <f>SUM(Q39:S42)</f>
        <v>622.2660062499998</v>
      </c>
      <c r="R48" s="449"/>
      <c r="S48" s="449"/>
      <c r="T48" s="55"/>
      <c r="U48" s="450">
        <f>SUM(U39:W42)</f>
        <v>715.60590718749972</v>
      </c>
      <c r="V48" s="450"/>
      <c r="W48" s="450"/>
      <c r="X48" s="55"/>
      <c r="Y48" s="510">
        <f>SUM(Y39:AA42)</f>
        <v>739.2209021246872</v>
      </c>
      <c r="Z48" s="510"/>
      <c r="AA48" s="510"/>
      <c r="AB48" s="55"/>
      <c r="AC48" s="571">
        <f>SUM(AC39:AE42)</f>
        <v>763.6151918948018</v>
      </c>
      <c r="AD48" s="571"/>
      <c r="AE48" s="572"/>
    </row>
    <row r="49" spans="1:31" s="47" customFormat="1" ht="4.5" customHeight="1" x14ac:dyDescent="0.25">
      <c r="A49" s="166"/>
      <c r="C49" s="110"/>
      <c r="D49" s="110"/>
      <c r="E49" s="110"/>
      <c r="F49" s="36"/>
      <c r="G49" s="111"/>
      <c r="H49" s="111"/>
      <c r="I49" s="111"/>
      <c r="J49" s="111"/>
      <c r="K49" s="36"/>
      <c r="L49" s="112"/>
      <c r="M49" s="112"/>
      <c r="N49" s="112"/>
      <c r="O49" s="112"/>
      <c r="P49" s="36"/>
      <c r="Q49" s="113"/>
      <c r="R49" s="113"/>
      <c r="S49" s="113"/>
      <c r="T49" s="36"/>
      <c r="U49" s="114"/>
      <c r="V49" s="114"/>
      <c r="W49" s="114"/>
      <c r="X49" s="36"/>
      <c r="Y49" s="115"/>
      <c r="Z49" s="115"/>
      <c r="AA49" s="115"/>
      <c r="AB49" s="36"/>
      <c r="AC49" s="131"/>
      <c r="AD49" s="131"/>
      <c r="AE49" s="167"/>
    </row>
    <row r="50" spans="1:31" s="73" customFormat="1" ht="15.75" customHeight="1" x14ac:dyDescent="0.25">
      <c r="A50" s="168" t="s">
        <v>47</v>
      </c>
      <c r="B50" s="80"/>
      <c r="C50" s="543">
        <f>C48-C16</f>
        <v>0</v>
      </c>
      <c r="D50" s="543"/>
      <c r="E50" s="543"/>
      <c r="F50" s="55"/>
      <c r="G50" s="544">
        <f>G48-G16</f>
        <v>47.87054999999998</v>
      </c>
      <c r="H50" s="544"/>
      <c r="I50" s="544"/>
      <c r="J50" s="544"/>
      <c r="K50" s="55"/>
      <c r="L50" s="545">
        <f>L48-L16</f>
        <v>104.50141064999997</v>
      </c>
      <c r="M50" s="545"/>
      <c r="N50" s="545"/>
      <c r="O50" s="545"/>
      <c r="P50" s="55"/>
      <c r="Q50" s="546">
        <f>Q48-Q16</f>
        <v>171.25875957644996</v>
      </c>
      <c r="R50" s="546"/>
      <c r="S50" s="546"/>
      <c r="T50" s="55"/>
      <c r="U50" s="547">
        <f>U48-U16</f>
        <v>249.71542137372279</v>
      </c>
      <c r="V50" s="547"/>
      <c r="W50" s="547"/>
      <c r="X50" s="55"/>
      <c r="Y50" s="548">
        <f>Y48-Y16</f>
        <v>335.43103027905568</v>
      </c>
      <c r="Z50" s="548"/>
      <c r="AA50" s="548"/>
      <c r="AB50" s="55"/>
      <c r="AC50" s="577">
        <f>AC48-AC16</f>
        <v>346.50025427826449</v>
      </c>
      <c r="AD50" s="577"/>
      <c r="AE50" s="578"/>
    </row>
    <row r="51" spans="1:31" s="48" customFormat="1" ht="4.5" customHeight="1" x14ac:dyDescent="0.25">
      <c r="A51" s="169"/>
      <c r="C51" s="87"/>
      <c r="D51" s="87"/>
      <c r="E51" s="87"/>
      <c r="F51" s="88"/>
      <c r="G51" s="120"/>
      <c r="H51" s="120"/>
      <c r="I51" s="120"/>
      <c r="J51" s="120"/>
      <c r="K51" s="88"/>
      <c r="L51" s="121"/>
      <c r="M51" s="121"/>
      <c r="N51" s="121"/>
      <c r="O51" s="121"/>
      <c r="P51" s="88"/>
      <c r="Q51" s="122"/>
      <c r="R51" s="122"/>
      <c r="S51" s="122"/>
      <c r="T51" s="88"/>
      <c r="U51" s="123"/>
      <c r="V51" s="123"/>
      <c r="W51" s="123"/>
      <c r="X51" s="88"/>
      <c r="Y51" s="118"/>
      <c r="Z51" s="118"/>
      <c r="AA51" s="118"/>
      <c r="AB51" s="88"/>
      <c r="AC51" s="89"/>
      <c r="AD51" s="89"/>
      <c r="AE51" s="170"/>
    </row>
    <row r="52" spans="1:31" s="73" customFormat="1" ht="15.75" customHeight="1" x14ac:dyDescent="0.25">
      <c r="A52" s="168" t="s">
        <v>45</v>
      </c>
      <c r="B52" s="80"/>
      <c r="C52" s="543">
        <v>0</v>
      </c>
      <c r="D52" s="543"/>
      <c r="E52" s="543"/>
      <c r="F52" s="55"/>
      <c r="G52" s="544">
        <f>G50</f>
        <v>47.87054999999998</v>
      </c>
      <c r="H52" s="544"/>
      <c r="I52" s="544"/>
      <c r="J52" s="544"/>
      <c r="K52" s="55"/>
      <c r="L52" s="545">
        <f>L50+G52</f>
        <v>152.37196064999995</v>
      </c>
      <c r="M52" s="545"/>
      <c r="N52" s="545"/>
      <c r="O52" s="545"/>
      <c r="P52" s="55"/>
      <c r="Q52" s="546">
        <f>Q50+L52</f>
        <v>323.63072022644991</v>
      </c>
      <c r="R52" s="546"/>
      <c r="S52" s="546"/>
      <c r="T52" s="55"/>
      <c r="U52" s="547">
        <f>U50+Q52</f>
        <v>573.3461416001727</v>
      </c>
      <c r="V52" s="547"/>
      <c r="W52" s="547"/>
      <c r="X52" s="55"/>
      <c r="Y52" s="548">
        <f>Y50+U52</f>
        <v>908.77717187922838</v>
      </c>
      <c r="Z52" s="548"/>
      <c r="AA52" s="548"/>
      <c r="AB52" s="55"/>
      <c r="AC52" s="575">
        <f>AC50+Y52</f>
        <v>1255.2774261574928</v>
      </c>
      <c r="AD52" s="575"/>
      <c r="AE52" s="576"/>
    </row>
    <row r="53" spans="1:31" s="48" customFormat="1" ht="6" customHeight="1" x14ac:dyDescent="0.25">
      <c r="A53" s="169"/>
      <c r="C53" s="119"/>
      <c r="D53" s="119"/>
      <c r="E53" s="119"/>
      <c r="F53" s="88"/>
      <c r="G53" s="120"/>
      <c r="H53" s="120"/>
      <c r="I53" s="120"/>
      <c r="J53" s="120"/>
      <c r="K53" s="88"/>
      <c r="L53" s="121"/>
      <c r="M53" s="121"/>
      <c r="N53" s="121"/>
      <c r="O53" s="121"/>
      <c r="P53" s="88"/>
      <c r="Q53" s="122"/>
      <c r="R53" s="122"/>
      <c r="S53" s="122"/>
      <c r="T53" s="88"/>
      <c r="U53" s="123"/>
      <c r="V53" s="123"/>
      <c r="W53" s="123"/>
      <c r="X53" s="88"/>
      <c r="Y53" s="118"/>
      <c r="Z53" s="118"/>
      <c r="AA53" s="118"/>
      <c r="AB53" s="88"/>
      <c r="AC53" s="89"/>
      <c r="AD53" s="89"/>
      <c r="AE53" s="170"/>
    </row>
    <row r="54" spans="1:31" ht="17.25" customHeight="1" x14ac:dyDescent="0.25">
      <c r="A54" s="171" t="s">
        <v>42</v>
      </c>
      <c r="B54" s="82"/>
      <c r="C54" s="431">
        <f>SUM(C39:E47)</f>
        <v>623.15</v>
      </c>
      <c r="D54" s="432"/>
      <c r="E54" s="432"/>
      <c r="F54" s="90"/>
      <c r="G54" s="434">
        <f>SUM(G39:G47)</f>
        <v>660.52489999999989</v>
      </c>
      <c r="H54" s="434"/>
      <c r="I54" s="434"/>
      <c r="J54" s="434"/>
      <c r="K54" s="90"/>
      <c r="L54" s="435">
        <f>SUM(L39:O47)</f>
        <v>926.72947499999987</v>
      </c>
      <c r="M54" s="435"/>
      <c r="N54" s="435"/>
      <c r="O54" s="435"/>
      <c r="P54" s="91"/>
      <c r="Q54" s="436">
        <f>SUM(Q39:S47)</f>
        <v>973.5570579299997</v>
      </c>
      <c r="R54" s="437"/>
      <c r="S54" s="437"/>
      <c r="T54" s="91"/>
      <c r="U54" s="438">
        <f>SUM(U39:W47)</f>
        <v>1031.0779306162196</v>
      </c>
      <c r="V54" s="439"/>
      <c r="W54" s="439"/>
      <c r="X54" s="4"/>
      <c r="Y54" s="419">
        <f>SUM(Y39:AA47)</f>
        <v>1062.5442421343971</v>
      </c>
      <c r="Z54" s="420"/>
      <c r="AA54" s="420"/>
      <c r="AB54" s="4"/>
      <c r="AC54" s="421">
        <f>SUM(AC39:AE47)</f>
        <v>1094.2756840473219</v>
      </c>
      <c r="AD54" s="422"/>
      <c r="AE54" s="423"/>
    </row>
    <row r="55" spans="1:31" ht="4.5" customHeight="1" x14ac:dyDescent="0.25">
      <c r="A55" s="172"/>
      <c r="C55" s="92"/>
      <c r="D55" s="93"/>
      <c r="E55" s="93"/>
      <c r="F55" s="94"/>
      <c r="G55" s="95"/>
      <c r="H55" s="95"/>
      <c r="I55" s="95"/>
      <c r="J55" s="95"/>
      <c r="K55" s="94"/>
      <c r="L55" s="96"/>
      <c r="M55" s="96"/>
      <c r="N55" s="96"/>
      <c r="O55" s="96"/>
      <c r="P55" s="4"/>
      <c r="Q55" s="97"/>
      <c r="R55" s="97"/>
      <c r="S55" s="97"/>
      <c r="T55" s="4"/>
      <c r="U55" s="98"/>
      <c r="V55" s="98"/>
      <c r="W55" s="98"/>
      <c r="X55" s="4"/>
      <c r="Y55" s="99"/>
      <c r="Z55" s="99"/>
      <c r="AA55" s="99"/>
      <c r="AB55" s="4"/>
      <c r="AC55" s="100"/>
      <c r="AD55" s="100"/>
      <c r="AE55" s="173"/>
    </row>
    <row r="56" spans="1:31" s="81" customFormat="1" ht="16.5" customHeight="1" x14ac:dyDescent="0.25">
      <c r="A56" s="174" t="s">
        <v>48</v>
      </c>
      <c r="B56" s="83"/>
      <c r="C56" s="433">
        <f>(C54-C18)/C54</f>
        <v>0</v>
      </c>
      <c r="D56" s="433"/>
      <c r="E56" s="433"/>
      <c r="F56" s="101"/>
      <c r="G56" s="424">
        <f>(G54-G18)/G54</f>
        <v>2.8190534527918604E-2</v>
      </c>
      <c r="H56" s="424"/>
      <c r="I56" s="424"/>
      <c r="J56" s="424"/>
      <c r="K56" s="101"/>
      <c r="L56" s="425">
        <f>(L54-L18)/L54</f>
        <v>4.3862488187288981E-2</v>
      </c>
      <c r="M56" s="425"/>
      <c r="N56" s="425"/>
      <c r="O56" s="425"/>
      <c r="P56" s="102"/>
      <c r="Q56" s="426">
        <f>(Q54-Q18)/Q54</f>
        <v>6.842510491176533E-2</v>
      </c>
      <c r="R56" s="426"/>
      <c r="S56" s="426"/>
      <c r="T56" s="102"/>
      <c r="U56" s="427">
        <f>(U54-U18)/U54</f>
        <v>9.4205868896758596E-2</v>
      </c>
      <c r="V56" s="427"/>
      <c r="W56" s="427"/>
      <c r="X56" s="103"/>
      <c r="Y56" s="428">
        <f>(Y54-Y18)/Y54</f>
        <v>0.16734738550224298</v>
      </c>
      <c r="Z56" s="428"/>
      <c r="AA56" s="428"/>
      <c r="AB56" s="103"/>
      <c r="AC56" s="429">
        <f>(AC54-AC18)/AC54</f>
        <v>0.16785702689841103</v>
      </c>
      <c r="AD56" s="429"/>
      <c r="AE56" s="430"/>
    </row>
    <row r="57" spans="1:31" ht="6" customHeight="1" x14ac:dyDescent="0.25">
      <c r="A57" s="175"/>
      <c r="B57" s="176"/>
      <c r="C57" s="177"/>
      <c r="D57" s="178"/>
      <c r="E57" s="178"/>
      <c r="F57" s="179"/>
      <c r="G57" s="180"/>
      <c r="H57" s="180"/>
      <c r="I57" s="180"/>
      <c r="J57" s="180"/>
      <c r="K57" s="179"/>
      <c r="L57" s="181"/>
      <c r="M57" s="181"/>
      <c r="N57" s="181"/>
      <c r="O57" s="181"/>
      <c r="P57" s="176"/>
      <c r="Q57" s="182"/>
      <c r="R57" s="182"/>
      <c r="S57" s="182"/>
      <c r="T57" s="176"/>
      <c r="U57" s="183"/>
      <c r="V57" s="183"/>
      <c r="W57" s="183"/>
      <c r="X57" s="176"/>
      <c r="Y57" s="184"/>
      <c r="Z57" s="184"/>
      <c r="AA57" s="184"/>
      <c r="AB57" s="176"/>
      <c r="AC57" s="185"/>
      <c r="AD57" s="185"/>
      <c r="AE57" s="186"/>
    </row>
    <row r="61" spans="1:31" ht="20.25" customHeight="1" x14ac:dyDescent="0.25">
      <c r="O61" s="2"/>
      <c r="V61" s="2"/>
      <c r="Z61" s="2"/>
      <c r="AA61" s="2"/>
      <c r="AC61" s="2"/>
      <c r="AD61" s="2"/>
      <c r="AE61" s="2"/>
    </row>
    <row r="62" spans="1:31" ht="20.25" customHeight="1" x14ac:dyDescent="0.25">
      <c r="V62" s="2"/>
      <c r="Z62" s="2"/>
      <c r="AA62" s="2"/>
      <c r="AC62" s="2"/>
      <c r="AD62" s="2"/>
      <c r="AE62" s="2"/>
    </row>
    <row r="63" spans="1:31" ht="20.25" customHeight="1" x14ac:dyDescent="0.25">
      <c r="V63" s="2"/>
      <c r="Z63" s="2"/>
      <c r="AA63" s="2"/>
      <c r="AC63" s="2"/>
      <c r="AD63" s="2"/>
      <c r="AE63" s="2"/>
    </row>
    <row r="64" spans="1:31" ht="20.25" customHeight="1" x14ac:dyDescent="0.25">
      <c r="V64" s="2"/>
      <c r="Z64" s="2"/>
      <c r="AA64" s="2"/>
      <c r="AC64" s="2"/>
      <c r="AD64" s="2"/>
      <c r="AE64" s="2"/>
    </row>
    <row r="65" ht="20.25" customHeight="1" x14ac:dyDescent="0.25"/>
    <row r="66" ht="20.25" customHeight="1" x14ac:dyDescent="0.25"/>
    <row r="67" ht="20.25" customHeight="1" x14ac:dyDescent="0.25"/>
    <row r="68" ht="20.25" customHeight="1" x14ac:dyDescent="0.25"/>
    <row r="69" ht="20.25" customHeight="1" x14ac:dyDescent="0.25"/>
    <row r="70" ht="20.25" customHeight="1" x14ac:dyDescent="0.25"/>
    <row r="71" ht="20.25" customHeight="1" x14ac:dyDescent="0.25"/>
    <row r="72" ht="20.25" customHeight="1" x14ac:dyDescent="0.25"/>
    <row r="73" ht="20.25" customHeight="1" x14ac:dyDescent="0.25"/>
    <row r="74" ht="20.25" customHeight="1" x14ac:dyDescent="0.25"/>
    <row r="75" ht="20.25" customHeight="1" x14ac:dyDescent="0.25"/>
    <row r="76" ht="20.25" customHeight="1" x14ac:dyDescent="0.25"/>
    <row r="77" ht="20.25" customHeight="1" x14ac:dyDescent="0.25"/>
    <row r="78" ht="20.25" customHeight="1" x14ac:dyDescent="0.25"/>
    <row r="79" ht="20.25" customHeight="1" x14ac:dyDescent="0.25"/>
    <row r="80" ht="20.25" customHeight="1" x14ac:dyDescent="0.25"/>
    <row r="81" ht="20.25" customHeight="1" x14ac:dyDescent="0.25"/>
    <row r="82" ht="20.25" customHeight="1" x14ac:dyDescent="0.25"/>
    <row r="83" ht="20.25" customHeight="1" x14ac:dyDescent="0.25"/>
    <row r="84" ht="20.25" customHeight="1" x14ac:dyDescent="0.25"/>
    <row r="85" ht="20.25" customHeight="1" x14ac:dyDescent="0.25"/>
    <row r="86" ht="20.25" customHeight="1" x14ac:dyDescent="0.25"/>
    <row r="87" ht="20.25" customHeight="1" x14ac:dyDescent="0.25"/>
    <row r="88" ht="20.25" customHeight="1" x14ac:dyDescent="0.25"/>
    <row r="89" ht="20.25" customHeight="1" x14ac:dyDescent="0.25"/>
    <row r="90" ht="20.25" customHeight="1" x14ac:dyDescent="0.25"/>
    <row r="91" ht="20.25" customHeight="1" x14ac:dyDescent="0.25"/>
    <row r="92" ht="20.25" customHeight="1" x14ac:dyDescent="0.25"/>
    <row r="93" ht="20.25" customHeight="1" x14ac:dyDescent="0.25"/>
    <row r="94" ht="20.25" customHeight="1" x14ac:dyDescent="0.25"/>
    <row r="95" ht="20.25" customHeight="1" x14ac:dyDescent="0.25"/>
  </sheetData>
  <sheetProtection selectLockedCells="1"/>
  <dataConsolidate/>
  <mergeCells count="287">
    <mergeCell ref="U50:W50"/>
    <mergeCell ref="U48:W48"/>
    <mergeCell ref="AC52:AE52"/>
    <mergeCell ref="Y46:AA46"/>
    <mergeCell ref="AC46:AE46"/>
    <mergeCell ref="C47:E47"/>
    <mergeCell ref="G47:J47"/>
    <mergeCell ref="L47:O47"/>
    <mergeCell ref="Q47:S47"/>
    <mergeCell ref="U47:W47"/>
    <mergeCell ref="Y47:AA47"/>
    <mergeCell ref="Q48:S48"/>
    <mergeCell ref="C52:E52"/>
    <mergeCell ref="G52:J52"/>
    <mergeCell ref="L52:O52"/>
    <mergeCell ref="Q52:S52"/>
    <mergeCell ref="U52:W52"/>
    <mergeCell ref="Y52:AA52"/>
    <mergeCell ref="Y50:AA50"/>
    <mergeCell ref="AC50:AE50"/>
    <mergeCell ref="G48:J48"/>
    <mergeCell ref="L48:O48"/>
    <mergeCell ref="C50:E50"/>
    <mergeCell ref="G50:J50"/>
    <mergeCell ref="L50:O50"/>
    <mergeCell ref="Q50:S50"/>
    <mergeCell ref="Q46:S46"/>
    <mergeCell ref="U46:W46"/>
    <mergeCell ref="C48:E48"/>
    <mergeCell ref="Y44:AA44"/>
    <mergeCell ref="AC44:AE44"/>
    <mergeCell ref="C45:E45"/>
    <mergeCell ref="G45:J45"/>
    <mergeCell ref="L45:O45"/>
    <mergeCell ref="Q45:S45"/>
    <mergeCell ref="U45:W45"/>
    <mergeCell ref="Y48:AA48"/>
    <mergeCell ref="AC48:AE48"/>
    <mergeCell ref="C44:E44"/>
    <mergeCell ref="G44:J44"/>
    <mergeCell ref="L44:O44"/>
    <mergeCell ref="Q44:S44"/>
    <mergeCell ref="AC47:AE47"/>
    <mergeCell ref="C46:E46"/>
    <mergeCell ref="G46:J46"/>
    <mergeCell ref="L46:O46"/>
    <mergeCell ref="Y45:AA45"/>
    <mergeCell ref="AC45:AE45"/>
    <mergeCell ref="C43:E43"/>
    <mergeCell ref="G43:J43"/>
    <mergeCell ref="L43:O43"/>
    <mergeCell ref="Q43:S43"/>
    <mergeCell ref="U43:W43"/>
    <mergeCell ref="Y43:AA43"/>
    <mergeCell ref="AC43:AE43"/>
    <mergeCell ref="U44:W44"/>
    <mergeCell ref="Y42:AA42"/>
    <mergeCell ref="L42:O42"/>
    <mergeCell ref="Q42:S42"/>
    <mergeCell ref="U42:W42"/>
    <mergeCell ref="Y40:AA40"/>
    <mergeCell ref="C42:E42"/>
    <mergeCell ref="G42:J42"/>
    <mergeCell ref="U39:W39"/>
    <mergeCell ref="Y39:AA39"/>
    <mergeCell ref="G40:J40"/>
    <mergeCell ref="L40:O40"/>
    <mergeCell ref="Q40:S40"/>
    <mergeCell ref="AC40:AE40"/>
    <mergeCell ref="C41:E41"/>
    <mergeCell ref="G41:J41"/>
    <mergeCell ref="L41:O41"/>
    <mergeCell ref="Q41:S41"/>
    <mergeCell ref="U41:W41"/>
    <mergeCell ref="Y41:AA41"/>
    <mergeCell ref="AC41:AE41"/>
    <mergeCell ref="C40:E40"/>
    <mergeCell ref="U40:W40"/>
    <mergeCell ref="AC42:AE42"/>
    <mergeCell ref="Y33:AA33"/>
    <mergeCell ref="C37:E37"/>
    <mergeCell ref="G37:J37"/>
    <mergeCell ref="L37:O37"/>
    <mergeCell ref="Q37:S37"/>
    <mergeCell ref="U37:W37"/>
    <mergeCell ref="Y37:AA37"/>
    <mergeCell ref="AC33:AE33"/>
    <mergeCell ref="AC39:AE39"/>
    <mergeCell ref="Y35:AA35"/>
    <mergeCell ref="AC35:AE35"/>
    <mergeCell ref="AC37:AE37"/>
    <mergeCell ref="C33:E33"/>
    <mergeCell ref="G33:J33"/>
    <mergeCell ref="L33:O33"/>
    <mergeCell ref="Q33:S33"/>
    <mergeCell ref="U33:W33"/>
    <mergeCell ref="C39:E39"/>
    <mergeCell ref="G39:J39"/>
    <mergeCell ref="L39:O39"/>
    <mergeCell ref="Q39:S39"/>
    <mergeCell ref="AC29:AE29"/>
    <mergeCell ref="C31:E31"/>
    <mergeCell ref="G31:J31"/>
    <mergeCell ref="L31:O31"/>
    <mergeCell ref="Q31:S31"/>
    <mergeCell ref="U31:W31"/>
    <mergeCell ref="Y31:AA31"/>
    <mergeCell ref="AC31:AE31"/>
    <mergeCell ref="C29:E29"/>
    <mergeCell ref="G29:J29"/>
    <mergeCell ref="Y29:AA29"/>
    <mergeCell ref="L29:O29"/>
    <mergeCell ref="Q29:S29"/>
    <mergeCell ref="U29:W29"/>
    <mergeCell ref="AC27:AE27"/>
    <mergeCell ref="Y28:AA28"/>
    <mergeCell ref="AC28:AE28"/>
    <mergeCell ref="C23:E23"/>
    <mergeCell ref="G23:J23"/>
    <mergeCell ref="L23:O23"/>
    <mergeCell ref="Q23:S23"/>
    <mergeCell ref="U23:W23"/>
    <mergeCell ref="Y23:AA23"/>
    <mergeCell ref="AC23:AE23"/>
    <mergeCell ref="C28:E28"/>
    <mergeCell ref="C27:E27"/>
    <mergeCell ref="G27:J27"/>
    <mergeCell ref="L27:O27"/>
    <mergeCell ref="Q27:S27"/>
    <mergeCell ref="U27:W27"/>
    <mergeCell ref="Y27:AA27"/>
    <mergeCell ref="G28:J28"/>
    <mergeCell ref="L28:O28"/>
    <mergeCell ref="Q28:S28"/>
    <mergeCell ref="U28:W28"/>
    <mergeCell ref="C26:E26"/>
    <mergeCell ref="G26:J26"/>
    <mergeCell ref="L26:O26"/>
    <mergeCell ref="Q26:S26"/>
    <mergeCell ref="U26:W26"/>
    <mergeCell ref="Y24:AA24"/>
    <mergeCell ref="L24:O24"/>
    <mergeCell ref="Q24:S24"/>
    <mergeCell ref="U24:W24"/>
    <mergeCell ref="Y26:AA26"/>
    <mergeCell ref="AC24:AE24"/>
    <mergeCell ref="AC26:AE26"/>
    <mergeCell ref="C25:E25"/>
    <mergeCell ref="G25:J25"/>
    <mergeCell ref="L25:O25"/>
    <mergeCell ref="Q25:S25"/>
    <mergeCell ref="U25:W25"/>
    <mergeCell ref="Y25:AA25"/>
    <mergeCell ref="AC25:AE25"/>
    <mergeCell ref="C24:E24"/>
    <mergeCell ref="G24:J24"/>
    <mergeCell ref="L14:O14"/>
    <mergeCell ref="Q14:S14"/>
    <mergeCell ref="U14:W14"/>
    <mergeCell ref="G22:J22"/>
    <mergeCell ref="L22:O22"/>
    <mergeCell ref="Q22:S22"/>
    <mergeCell ref="U22:W22"/>
    <mergeCell ref="L16:O16"/>
    <mergeCell ref="AC14:AE14"/>
    <mergeCell ref="Y20:AA20"/>
    <mergeCell ref="AC18:AE18"/>
    <mergeCell ref="Y14:AA14"/>
    <mergeCell ref="G16:J16"/>
    <mergeCell ref="Y22:AA22"/>
    <mergeCell ref="AC22:AE22"/>
    <mergeCell ref="AC20:AE20"/>
    <mergeCell ref="G18:J18"/>
    <mergeCell ref="L18:O18"/>
    <mergeCell ref="Q18:S18"/>
    <mergeCell ref="U18:W18"/>
    <mergeCell ref="Y18:AA18"/>
    <mergeCell ref="G21:J21"/>
    <mergeCell ref="Q21:S21"/>
    <mergeCell ref="U21:W21"/>
    <mergeCell ref="A1:AE1"/>
    <mergeCell ref="C2:G2"/>
    <mergeCell ref="AC3:AE3"/>
    <mergeCell ref="C3:G3"/>
    <mergeCell ref="Q16:S16"/>
    <mergeCell ref="U16:W16"/>
    <mergeCell ref="Y16:AA16"/>
    <mergeCell ref="AC16:AE16"/>
    <mergeCell ref="Q5:S5"/>
    <mergeCell ref="Y13:AA13"/>
    <mergeCell ref="Y11:AA11"/>
    <mergeCell ref="AC10:AE10"/>
    <mergeCell ref="AC11:AE11"/>
    <mergeCell ref="Y6:AA6"/>
    <mergeCell ref="C5:E5"/>
    <mergeCell ref="C16:E16"/>
    <mergeCell ref="C14:E14"/>
    <mergeCell ref="Y12:AA12"/>
    <mergeCell ref="AC12:AE12"/>
    <mergeCell ref="AC13:AE13"/>
    <mergeCell ref="L13:O13"/>
    <mergeCell ref="Q13:S13"/>
    <mergeCell ref="U13:W13"/>
    <mergeCell ref="G14:J14"/>
    <mergeCell ref="Y10:AA10"/>
    <mergeCell ref="U6:W6"/>
    <mergeCell ref="Q6:S6"/>
    <mergeCell ref="L10:O10"/>
    <mergeCell ref="G8:J8"/>
    <mergeCell ref="Y8:AA8"/>
    <mergeCell ref="AC9:AE9"/>
    <mergeCell ref="O2:S2"/>
    <mergeCell ref="U9:W9"/>
    <mergeCell ref="Y9:AA9"/>
    <mergeCell ref="AC5:AE5"/>
    <mergeCell ref="AC6:AE6"/>
    <mergeCell ref="Y5:AA5"/>
    <mergeCell ref="L5:O5"/>
    <mergeCell ref="U8:W8"/>
    <mergeCell ref="AC8:AE8"/>
    <mergeCell ref="I2:M2"/>
    <mergeCell ref="U2:W2"/>
    <mergeCell ref="Y2:AA2"/>
    <mergeCell ref="AC2:AE2"/>
    <mergeCell ref="U3:W3"/>
    <mergeCell ref="Y3:AA3"/>
    <mergeCell ref="O3:S3"/>
    <mergeCell ref="I3:M3"/>
    <mergeCell ref="U5:W5"/>
    <mergeCell ref="L6:O6"/>
    <mergeCell ref="L8:O8"/>
    <mergeCell ref="Q8:S8"/>
    <mergeCell ref="C8:E8"/>
    <mergeCell ref="L11:O11"/>
    <mergeCell ref="Q11:S11"/>
    <mergeCell ref="G12:J12"/>
    <mergeCell ref="L12:O12"/>
    <mergeCell ref="Q12:S12"/>
    <mergeCell ref="U12:W12"/>
    <mergeCell ref="A5:A6"/>
    <mergeCell ref="C35:E35"/>
    <mergeCell ref="G35:J35"/>
    <mergeCell ref="L35:O35"/>
    <mergeCell ref="Q35:S35"/>
    <mergeCell ref="U35:W35"/>
    <mergeCell ref="C12:E12"/>
    <mergeCell ref="Q10:S10"/>
    <mergeCell ref="U10:W10"/>
    <mergeCell ref="U11:W11"/>
    <mergeCell ref="C11:E11"/>
    <mergeCell ref="C13:E13"/>
    <mergeCell ref="C9:E9"/>
    <mergeCell ref="G9:J9"/>
    <mergeCell ref="L9:O9"/>
    <mergeCell ref="Q9:S9"/>
    <mergeCell ref="G10:J10"/>
    <mergeCell ref="C10:E10"/>
    <mergeCell ref="G13:J13"/>
    <mergeCell ref="G11:J11"/>
    <mergeCell ref="C6:E6"/>
    <mergeCell ref="G6:J6"/>
    <mergeCell ref="G5:J5"/>
    <mergeCell ref="C18:E18"/>
    <mergeCell ref="C20:E20"/>
    <mergeCell ref="G20:J20"/>
    <mergeCell ref="L20:O20"/>
    <mergeCell ref="Q20:S20"/>
    <mergeCell ref="U20:W20"/>
    <mergeCell ref="Y54:AA54"/>
    <mergeCell ref="AC54:AE54"/>
    <mergeCell ref="G56:J56"/>
    <mergeCell ref="L56:O56"/>
    <mergeCell ref="Q56:S56"/>
    <mergeCell ref="U56:W56"/>
    <mergeCell ref="Y56:AA56"/>
    <mergeCell ref="AC56:AE56"/>
    <mergeCell ref="C54:E54"/>
    <mergeCell ref="C56:E56"/>
    <mergeCell ref="G54:J54"/>
    <mergeCell ref="L54:O54"/>
    <mergeCell ref="Q54:S54"/>
    <mergeCell ref="U54:W54"/>
    <mergeCell ref="C21:E21"/>
    <mergeCell ref="Y21:AA21"/>
    <mergeCell ref="AC21:AE21"/>
    <mergeCell ref="L21:O21"/>
    <mergeCell ref="C22:E22"/>
  </mergeCells>
  <phoneticPr fontId="0" type="noConversion"/>
  <printOptions horizontalCentered="1"/>
  <pageMargins left="0.37" right="0.33" top="0.45" bottom="0.42" header="0.36" footer="0.37"/>
  <pageSetup paperSize="9" scale="72" orientation="landscape" horizontalDpi="4294967292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2" r:id="rId4" name="Drop Down 10">
              <controlPr locked="0" defaultSize="0" autoLine="0" autoPict="0">
                <anchor moveWithCells="1">
                  <from>
                    <xdr:col>16</xdr:col>
                    <xdr:colOff>76200</xdr:colOff>
                    <xdr:row>2</xdr:row>
                    <xdr:rowOff>68580</xdr:rowOff>
                  </from>
                  <to>
                    <xdr:col>18</xdr:col>
                    <xdr:colOff>45720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Drop Down 12">
              <controlPr locked="0" defaultSize="0" autoLine="0" autoPict="0">
                <anchor moveWithCells="1">
                  <from>
                    <xdr:col>2</xdr:col>
                    <xdr:colOff>30480</xdr:colOff>
                    <xdr:row>2</xdr:row>
                    <xdr:rowOff>60960</xdr:rowOff>
                  </from>
                  <to>
                    <xdr:col>6</xdr:col>
                    <xdr:colOff>495300</xdr:colOff>
                    <xdr:row>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Drop Down 14">
              <controlPr locked="0" defaultSize="0" autoLine="0" autoPict="0">
                <anchor moveWithCells="1">
                  <from>
                    <xdr:col>8</xdr:col>
                    <xdr:colOff>228600</xdr:colOff>
                    <xdr:row>2</xdr:row>
                    <xdr:rowOff>68580</xdr:rowOff>
                  </from>
                  <to>
                    <xdr:col>12</xdr:col>
                    <xdr:colOff>464820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Drop Down 15">
              <controlPr locked="0" defaultSize="0" autoLine="0" autoPict="0">
                <anchor moveWithCells="1">
                  <from>
                    <xdr:col>28</xdr:col>
                    <xdr:colOff>487680</xdr:colOff>
                    <xdr:row>2</xdr:row>
                    <xdr:rowOff>68580</xdr:rowOff>
                  </from>
                  <to>
                    <xdr:col>30</xdr:col>
                    <xdr:colOff>30480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Drop Down 16">
              <controlPr locked="0" defaultSize="0" autoLine="0" autoPict="0">
                <anchor moveWithCells="1">
                  <from>
                    <xdr:col>24</xdr:col>
                    <xdr:colOff>76200</xdr:colOff>
                    <xdr:row>2</xdr:row>
                    <xdr:rowOff>76200</xdr:rowOff>
                  </from>
                  <to>
                    <xdr:col>26</xdr:col>
                    <xdr:colOff>441960</xdr:colOff>
                    <xdr:row>2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Drop Down 17">
              <controlPr locked="0" defaultSize="0" autoLine="0" autoPict="0">
                <anchor moveWithCells="1">
                  <from>
                    <xdr:col>20</xdr:col>
                    <xdr:colOff>304800</xdr:colOff>
                    <xdr:row>2</xdr:row>
                    <xdr:rowOff>76200</xdr:rowOff>
                  </from>
                  <to>
                    <xdr:col>22</xdr:col>
                    <xdr:colOff>213360</xdr:colOff>
                    <xdr:row>2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Sample Rates Notice</vt:lpstr>
      <vt:lpstr>Rates Calculator</vt:lpstr>
      <vt:lpstr>Tables</vt:lpstr>
      <vt:lpstr>Calculator - Audit-View</vt:lpstr>
      <vt:lpstr>Add_Garbage</vt:lpstr>
      <vt:lpstr>Ordinary_Rates</vt:lpstr>
      <vt:lpstr>Pensioner</vt:lpstr>
      <vt:lpstr>Sewer</vt:lpstr>
      <vt:lpstr>Waste_Mgmt</vt:lpstr>
      <vt:lpstr>Water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SRV Rate Increase Calculator</dc:title>
  <dc:subject>SRV</dc:subject>
  <dc:creator>Tim Weeks</dc:creator>
  <cp:keywords>Special Rate Variation</cp:keywords>
  <cp:lastModifiedBy>Chris Hodge</cp:lastModifiedBy>
  <cp:lastPrinted>2017-12-05T03:38:31Z</cp:lastPrinted>
  <dcterms:created xsi:type="dcterms:W3CDTF">2001-06-27T05:11:45Z</dcterms:created>
  <dcterms:modified xsi:type="dcterms:W3CDTF">2018-01-05T05:51:30Z</dcterms:modified>
</cp:coreProperties>
</file>