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M:\SRV 2024\"/>
    </mc:Choice>
  </mc:AlternateContent>
  <xr:revisionPtr revIDLastSave="0" documentId="13_ncr:1_{4B0592F3-5FE7-4F6C-9967-AEDE34C4E8E9}" xr6:coauthVersionLast="47" xr6:coauthVersionMax="47" xr10:uidLastSave="{00000000-0000-0000-0000-000000000000}"/>
  <workbookProtection workbookAlgorithmName="SHA-512" workbookHashValue="+Cn7lKHsYjbOqmyKJLeWRtbMbgmJdN2N5PTxWBnP+HBMEzH+97uXP1DtKItSbBsUWRZhICNdKbPJXfVl48rPjQ==" workbookSaltValue="bMIZftuMQQ+/6LFGtyZLFA==" workbookSpinCount="100000" lockStructure="1"/>
  <bookViews>
    <workbookView xWindow="-110" yWindow="-110" windowWidth="19420" windowHeight="10420" xr2:uid="{00000000-000D-0000-FFFF-FFFF00000000}"/>
  </bookViews>
  <sheets>
    <sheet name="Rates Calculator - Simplified" sheetId="8" r:id="rId1"/>
    <sheet name="Tables" sheetId="4" state="hidden" r:id="rId2"/>
    <sheet name="Calculator - Audit-View" sheetId="5" state="hidden" r:id="rId3"/>
  </sheets>
  <definedNames>
    <definedName name="Add_Garbage">Tables!$A$25:$AD$29</definedName>
    <definedName name="Ordinary_Rates">Tables!$A$4:$N$15</definedName>
    <definedName name="Pensioner">Tables!$A$43:$AD$44</definedName>
    <definedName name="Sewer">Tables!$A$36:$AD$41</definedName>
    <definedName name="Waste_Mgmt">Tables!$A$17:$AC$22</definedName>
    <definedName name="Water">Tables!$A$31:$AD$34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" i="4" l="1"/>
  <c r="U5" i="4"/>
  <c r="U6" i="4"/>
  <c r="U7" i="4"/>
  <c r="U8" i="4"/>
  <c r="U9" i="4"/>
  <c r="U10" i="4"/>
  <c r="U11" i="4"/>
  <c r="U12" i="4"/>
  <c r="U13" i="4"/>
  <c r="U14" i="4"/>
  <c r="U15" i="4"/>
  <c r="T5" i="4"/>
  <c r="T6" i="4"/>
  <c r="T7" i="4"/>
  <c r="T8" i="4"/>
  <c r="T9" i="4"/>
  <c r="T10" i="4"/>
  <c r="T11" i="4"/>
  <c r="T12" i="4"/>
  <c r="T13" i="4"/>
  <c r="T14" i="4"/>
  <c r="T15" i="4"/>
  <c r="T4" i="4"/>
  <c r="S4" i="4"/>
  <c r="S5" i="4"/>
  <c r="S6" i="4"/>
  <c r="S7" i="4"/>
  <c r="S8" i="4"/>
  <c r="S9" i="4"/>
  <c r="S10" i="4"/>
  <c r="S11" i="4"/>
  <c r="S12" i="4"/>
  <c r="S13" i="4"/>
  <c r="S14" i="4"/>
  <c r="S15" i="4"/>
  <c r="D12" i="8"/>
  <c r="Q5" i="4"/>
  <c r="R5" i="4" s="1"/>
  <c r="Q6" i="4"/>
  <c r="R6" i="4" s="1"/>
  <c r="Q7" i="4"/>
  <c r="R7" i="4" s="1"/>
  <c r="Q8" i="4"/>
  <c r="R8" i="4" s="1"/>
  <c r="Q9" i="4"/>
  <c r="R9" i="4" s="1"/>
  <c r="Q10" i="4"/>
  <c r="R10" i="4" s="1"/>
  <c r="Q11" i="4"/>
  <c r="R11" i="4" s="1"/>
  <c r="Q12" i="4"/>
  <c r="R12" i="4" s="1"/>
  <c r="Q13" i="4"/>
  <c r="R13" i="4" s="1"/>
  <c r="Q14" i="4"/>
  <c r="R14" i="4" s="1"/>
  <c r="Q15" i="4"/>
  <c r="R15" i="4" s="1"/>
  <c r="Q4" i="4"/>
  <c r="R4" i="4" s="1"/>
  <c r="CO34" i="8" l="1"/>
  <c r="CN34" i="8"/>
  <c r="CM34" i="8"/>
  <c r="CL34" i="8"/>
  <c r="CK34" i="8"/>
  <c r="AJ21" i="8"/>
  <c r="AD19" i="8" s="1"/>
  <c r="H31" i="8" s="1"/>
  <c r="L31" i="8" s="1"/>
  <c r="P31" i="8" s="1"/>
  <c r="T31" i="8" s="1"/>
  <c r="AH21" i="8"/>
  <c r="AJ12" i="8"/>
  <c r="AH12" i="8"/>
  <c r="V12" i="8"/>
  <c r="P12" i="8"/>
  <c r="B9" i="8"/>
  <c r="F12" i="8" s="1"/>
  <c r="AC8" i="4"/>
  <c r="X9" i="4"/>
  <c r="X10" i="4"/>
  <c r="Y10" i="4" s="1"/>
  <c r="N5" i="4"/>
  <c r="L5" i="4"/>
  <c r="X2" i="4"/>
  <c r="Y2" i="4" s="1"/>
  <c r="N12" i="4"/>
  <c r="L12" i="4"/>
  <c r="Z10" i="4" l="1"/>
  <c r="Y9" i="4"/>
  <c r="J12" i="8"/>
  <c r="B12" i="8" s="1"/>
  <c r="J19" i="8"/>
  <c r="AD12" i="8"/>
  <c r="X3" i="4"/>
  <c r="Y3" i="4"/>
  <c r="H28" i="4"/>
  <c r="H27" i="4"/>
  <c r="H26" i="4"/>
  <c r="H25" i="4"/>
  <c r="P19" i="8" s="1"/>
  <c r="H22" i="4"/>
  <c r="H21" i="4"/>
  <c r="H20" i="4"/>
  <c r="H19" i="4"/>
  <c r="H18" i="4"/>
  <c r="H17" i="4"/>
  <c r="N6" i="4"/>
  <c r="N7" i="4"/>
  <c r="N8" i="4"/>
  <c r="N9" i="4"/>
  <c r="N10" i="4"/>
  <c r="N11" i="4"/>
  <c r="N13" i="4"/>
  <c r="N14" i="4"/>
  <c r="N15" i="4"/>
  <c r="F19" i="8" s="1"/>
  <c r="N4" i="4"/>
  <c r="L15" i="4"/>
  <c r="D19" i="8" s="1"/>
  <c r="L14" i="4"/>
  <c r="L13" i="4"/>
  <c r="L11" i="4"/>
  <c r="L10" i="4"/>
  <c r="L9" i="4"/>
  <c r="L8" i="4"/>
  <c r="L7" i="4"/>
  <c r="L6" i="4"/>
  <c r="L4" i="4"/>
  <c r="J15" i="4"/>
  <c r="J14" i="4"/>
  <c r="J13" i="4"/>
  <c r="J12" i="4"/>
  <c r="J11" i="4"/>
  <c r="J10" i="4"/>
  <c r="J9" i="4"/>
  <c r="J8" i="4"/>
  <c r="J7" i="4"/>
  <c r="J6" i="4"/>
  <c r="J5" i="4"/>
  <c r="J4" i="4"/>
  <c r="H15" i="4"/>
  <c r="H14" i="4"/>
  <c r="H13" i="4"/>
  <c r="H12" i="4"/>
  <c r="H11" i="4"/>
  <c r="H10" i="4"/>
  <c r="H9" i="4"/>
  <c r="H8" i="4"/>
  <c r="H7" i="4"/>
  <c r="H6" i="4"/>
  <c r="H5" i="4"/>
  <c r="H4" i="4"/>
  <c r="H26" i="8" l="1"/>
  <c r="B21" i="8"/>
  <c r="Y5" i="4"/>
  <c r="Y12" i="4"/>
  <c r="Y13" i="4"/>
  <c r="AA10" i="4"/>
  <c r="AA9" i="4" s="1"/>
  <c r="Z9" i="4"/>
  <c r="X5" i="4"/>
  <c r="X13" i="4"/>
  <c r="X12" i="4"/>
  <c r="D26" i="8"/>
  <c r="Z2" i="4"/>
  <c r="L26" i="8" l="1"/>
  <c r="AC9" i="4"/>
  <c r="H32" i="8"/>
  <c r="CL35" i="8" s="1"/>
  <c r="Z3" i="4"/>
  <c r="AA2" i="4"/>
  <c r="AA3" i="4" s="1"/>
  <c r="H39" i="4"/>
  <c r="H37" i="4"/>
  <c r="H36" i="4"/>
  <c r="H33" i="4"/>
  <c r="H32" i="4"/>
  <c r="V19" i="8" s="1"/>
  <c r="AI21" i="8" s="1"/>
  <c r="H31" i="4"/>
  <c r="P26" i="8" l="1"/>
  <c r="L32" i="8"/>
  <c r="CM35" i="8" s="1"/>
  <c r="AA13" i="4"/>
  <c r="AA12" i="4"/>
  <c r="Z12" i="4"/>
  <c r="Z13" i="4"/>
  <c r="AC3" i="4"/>
  <c r="T26" i="8" l="1"/>
  <c r="P32" i="8"/>
  <c r="CN35" i="8" s="1"/>
  <c r="AC12" i="4"/>
  <c r="AC13" i="4"/>
  <c r="T32" i="8" l="1"/>
  <c r="CO35" i="8" s="1"/>
  <c r="X26" i="8"/>
  <c r="C47" i="5"/>
  <c r="G47" i="5" s="1"/>
  <c r="L47" i="5" s="1"/>
  <c r="Q47" i="5" s="1"/>
  <c r="U47" i="5" s="1"/>
  <c r="Y47" i="5" s="1"/>
  <c r="AC47" i="5" s="1"/>
  <c r="C46" i="5"/>
  <c r="G46" i="5" s="1"/>
  <c r="L46" i="5" s="1"/>
  <c r="Q46" i="5" s="1"/>
  <c r="U46" i="5" s="1"/>
  <c r="Y46" i="5" s="1"/>
  <c r="AC46" i="5" s="1"/>
  <c r="C45" i="5"/>
  <c r="G45" i="5" s="1"/>
  <c r="L45" i="5" s="1"/>
  <c r="Q45" i="5" s="1"/>
  <c r="U45" i="5" s="1"/>
  <c r="Y45" i="5" s="1"/>
  <c r="AC45" i="5" s="1"/>
  <c r="C44" i="5"/>
  <c r="G44" i="5" s="1"/>
  <c r="L44" i="5" s="1"/>
  <c r="Q44" i="5" s="1"/>
  <c r="U44" i="5" s="1"/>
  <c r="Y44" i="5" s="1"/>
  <c r="AC44" i="5" s="1"/>
  <c r="C43" i="5"/>
  <c r="G43" i="5" s="1"/>
  <c r="L43" i="5" s="1"/>
  <c r="Q43" i="5" s="1"/>
  <c r="U43" i="5" s="1"/>
  <c r="Y43" i="5" s="1"/>
  <c r="AC43" i="5" s="1"/>
  <c r="C42" i="5"/>
  <c r="G42" i="5" s="1"/>
  <c r="L42" i="5" s="1"/>
  <c r="Q42" i="5" s="1"/>
  <c r="U42" i="5" s="1"/>
  <c r="Y42" i="5" s="1"/>
  <c r="AC42" i="5" s="1"/>
  <c r="C41" i="5"/>
  <c r="G41" i="5" s="1"/>
  <c r="L41" i="5" s="1"/>
  <c r="Q41" i="5" s="1"/>
  <c r="U41" i="5" s="1"/>
  <c r="Y41" i="5" s="1"/>
  <c r="AC41" i="5" s="1"/>
  <c r="C40" i="5"/>
  <c r="G40" i="5" s="1"/>
  <c r="L40" i="5" s="1"/>
  <c r="Q40" i="5" s="1"/>
  <c r="U40" i="5" s="1"/>
  <c r="Y40" i="5" s="1"/>
  <c r="AC40" i="5" s="1"/>
  <c r="C39" i="5"/>
  <c r="G39" i="5" s="1"/>
  <c r="L39" i="5" s="1"/>
  <c r="C28" i="5"/>
  <c r="G28" i="5" s="1"/>
  <c r="L28" i="5" s="1"/>
  <c r="Q28" i="5" s="1"/>
  <c r="U28" i="5" s="1"/>
  <c r="Y28" i="5" s="1"/>
  <c r="AC28" i="5" s="1"/>
  <c r="C14" i="5"/>
  <c r="G14" i="5" s="1"/>
  <c r="L14" i="5" s="1"/>
  <c r="Q14" i="5" s="1"/>
  <c r="U14" i="5" s="1"/>
  <c r="Y14" i="5" s="1"/>
  <c r="AC14" i="5" s="1"/>
  <c r="C21" i="5"/>
  <c r="G21" i="5" s="1"/>
  <c r="C20" i="5"/>
  <c r="G20" i="5" s="1"/>
  <c r="C23" i="5"/>
  <c r="G23" i="5" s="1"/>
  <c r="L23" i="5" s="1"/>
  <c r="Q23" i="5" s="1"/>
  <c r="U23" i="5" s="1"/>
  <c r="Y23" i="5" s="1"/>
  <c r="AC23" i="5" s="1"/>
  <c r="C22" i="5"/>
  <c r="G22" i="5" s="1"/>
  <c r="L22" i="5" s="1"/>
  <c r="Q22" i="5" s="1"/>
  <c r="U22" i="5" s="1"/>
  <c r="Y22" i="5" s="1"/>
  <c r="AC22" i="5" s="1"/>
  <c r="C27" i="5"/>
  <c r="G27" i="5" s="1"/>
  <c r="L27" i="5" s="1"/>
  <c r="Q27" i="5" s="1"/>
  <c r="U27" i="5" s="1"/>
  <c r="Y27" i="5" s="1"/>
  <c r="AC27" i="5" s="1"/>
  <c r="C26" i="5"/>
  <c r="G26" i="5" s="1"/>
  <c r="L26" i="5" s="1"/>
  <c r="Q26" i="5" s="1"/>
  <c r="U26" i="5" s="1"/>
  <c r="Y26" i="5" s="1"/>
  <c r="AC26" i="5" s="1"/>
  <c r="C25" i="5"/>
  <c r="G25" i="5" s="1"/>
  <c r="L25" i="5" s="1"/>
  <c r="Q25" i="5" s="1"/>
  <c r="U25" i="5" s="1"/>
  <c r="Y25" i="5" s="1"/>
  <c r="AC25" i="5" s="1"/>
  <c r="C24" i="5"/>
  <c r="G24" i="5" s="1"/>
  <c r="L24" i="5" s="1"/>
  <c r="Q24" i="5" s="1"/>
  <c r="U24" i="5" s="1"/>
  <c r="Y24" i="5" s="1"/>
  <c r="AC24" i="5" s="1"/>
  <c r="C13" i="5"/>
  <c r="G13" i="5" s="1"/>
  <c r="L13" i="5" s="1"/>
  <c r="Q13" i="5" s="1"/>
  <c r="U13" i="5" s="1"/>
  <c r="Y13" i="5" s="1"/>
  <c r="AC13" i="5" s="1"/>
  <c r="C9" i="5"/>
  <c r="G9" i="5" s="1"/>
  <c r="L9" i="5" s="1"/>
  <c r="Q9" i="5" s="1"/>
  <c r="U9" i="5" s="1"/>
  <c r="Y9" i="5" s="1"/>
  <c r="AC9" i="5" s="1"/>
  <c r="C12" i="5"/>
  <c r="G12" i="5" s="1"/>
  <c r="L12" i="5" s="1"/>
  <c r="Q12" i="5" s="1"/>
  <c r="U12" i="5" s="1"/>
  <c r="Y12" i="5" s="1"/>
  <c r="AC12" i="5" s="1"/>
  <c r="C11" i="5"/>
  <c r="G11" i="5" s="1"/>
  <c r="L11" i="5" s="1"/>
  <c r="Q11" i="5" s="1"/>
  <c r="U11" i="5" s="1"/>
  <c r="Y11" i="5" s="1"/>
  <c r="AC11" i="5" s="1"/>
  <c r="C10" i="5"/>
  <c r="G10" i="5" s="1"/>
  <c r="L10" i="5" s="1"/>
  <c r="Q10" i="5" s="1"/>
  <c r="U10" i="5" s="1"/>
  <c r="Y10" i="5" s="1"/>
  <c r="AC10" i="5" s="1"/>
  <c r="C8" i="5"/>
  <c r="G8" i="5" s="1"/>
  <c r="L8" i="5" s="1"/>
  <c r="H44" i="4" l="1"/>
  <c r="C16" i="5"/>
  <c r="C48" i="5"/>
  <c r="G16" i="5"/>
  <c r="L16" i="5"/>
  <c r="Q8" i="5"/>
  <c r="L18" i="5"/>
  <c r="G29" i="5"/>
  <c r="L21" i="5"/>
  <c r="Q21" i="5" s="1"/>
  <c r="U21" i="5" s="1"/>
  <c r="Y21" i="5" s="1"/>
  <c r="AC21" i="5" s="1"/>
  <c r="L48" i="5"/>
  <c r="Q39" i="5"/>
  <c r="L54" i="5"/>
  <c r="G35" i="5"/>
  <c r="C35" i="5"/>
  <c r="C18" i="5"/>
  <c r="L20" i="5"/>
  <c r="C54" i="5"/>
  <c r="C29" i="5"/>
  <c r="C31" i="5" s="1"/>
  <c r="G18" i="5"/>
  <c r="G54" i="5"/>
  <c r="G48" i="5"/>
  <c r="AI12" i="8" l="1"/>
  <c r="G31" i="5"/>
  <c r="G33" i="5" s="1"/>
  <c r="G50" i="5"/>
  <c r="G52" i="5" s="1"/>
  <c r="C50" i="5"/>
  <c r="L50" i="5"/>
  <c r="C37" i="5"/>
  <c r="U8" i="5"/>
  <c r="Q18" i="5"/>
  <c r="Q16" i="5"/>
  <c r="U39" i="5"/>
  <c r="Q54" i="5"/>
  <c r="Q48" i="5"/>
  <c r="C56" i="5"/>
  <c r="G37" i="5"/>
  <c r="G56" i="5"/>
  <c r="Q20" i="5"/>
  <c r="L35" i="5"/>
  <c r="L37" i="5" s="1"/>
  <c r="L29" i="5"/>
  <c r="L31" i="5" s="1"/>
  <c r="L33" i="5" s="1"/>
  <c r="L56" i="5"/>
  <c r="D31" i="8" l="1"/>
  <c r="D21" i="8"/>
  <c r="J21" i="8" s="1"/>
  <c r="L52" i="5"/>
  <c r="Q50" i="5"/>
  <c r="Q35" i="5"/>
  <c r="Q37" i="5" s="1"/>
  <c r="Q29" i="5"/>
  <c r="Q31" i="5" s="1"/>
  <c r="Q33" i="5" s="1"/>
  <c r="U20" i="5"/>
  <c r="Q56" i="5"/>
  <c r="U18" i="5"/>
  <c r="U16" i="5"/>
  <c r="Y8" i="5"/>
  <c r="Y39" i="5"/>
  <c r="U48" i="5"/>
  <c r="U54" i="5"/>
  <c r="X31" i="8" l="1"/>
  <c r="D32" i="8"/>
  <c r="CK35" i="8" s="1"/>
  <c r="CK36" i="8" s="1"/>
  <c r="CL36" i="8" s="1"/>
  <c r="CM36" i="8" s="1"/>
  <c r="CN36" i="8" s="1"/>
  <c r="CO36" i="8" s="1"/>
  <c r="Q52" i="5"/>
  <c r="U50" i="5"/>
  <c r="AC8" i="5"/>
  <c r="Y18" i="5"/>
  <c r="Y16" i="5"/>
  <c r="U56" i="5"/>
  <c r="U35" i="5"/>
  <c r="U37" i="5" s="1"/>
  <c r="Y20" i="5"/>
  <c r="U29" i="5"/>
  <c r="U31" i="5" s="1"/>
  <c r="U33" i="5" s="1"/>
  <c r="AC39" i="5"/>
  <c r="Y54" i="5"/>
  <c r="Y48" i="5"/>
  <c r="X32" i="8" l="1"/>
  <c r="CP26" i="8" s="1"/>
  <c r="U52" i="5"/>
  <c r="Y56" i="5"/>
  <c r="Y50" i="5"/>
  <c r="AC54" i="5"/>
  <c r="AC48" i="5"/>
  <c r="AC20" i="5"/>
  <c r="Y35" i="5"/>
  <c r="Y37" i="5" s="1"/>
  <c r="Y29" i="5"/>
  <c r="Y31" i="5" s="1"/>
  <c r="Y33" i="5" s="1"/>
  <c r="AC16" i="5"/>
  <c r="AC18" i="5"/>
  <c r="Y52" i="5" l="1"/>
  <c r="AC35" i="5"/>
  <c r="AC37" i="5" s="1"/>
  <c r="AC29" i="5"/>
  <c r="AC31" i="5" s="1"/>
  <c r="AC33" i="5" s="1"/>
  <c r="AC50" i="5"/>
  <c r="AC56" i="5"/>
  <c r="AC52" i="5" l="1"/>
</calcChain>
</file>

<file path=xl/sharedStrings.xml><?xml version="1.0" encoding="utf-8"?>
<sst xmlns="http://schemas.openxmlformats.org/spreadsheetml/2006/main" count="168" uniqueCount="135">
  <si>
    <t>Ordinary Rates</t>
  </si>
  <si>
    <t>Waste Management Charges</t>
  </si>
  <si>
    <t>Domestic Waste</t>
  </si>
  <si>
    <t>Special Rate Variation - Indicative Rates Comparison Calculator</t>
  </si>
  <si>
    <t>2013-14</t>
  </si>
  <si>
    <t>2014-15</t>
  </si>
  <si>
    <t>2015-16</t>
  </si>
  <si>
    <t>2016-17</t>
  </si>
  <si>
    <t>2017-18</t>
  </si>
  <si>
    <t>2018-19</t>
  </si>
  <si>
    <t>2019-20</t>
  </si>
  <si>
    <t>Domestic Waste - Vacant Land</t>
  </si>
  <si>
    <t>None</t>
  </si>
  <si>
    <t>Additional Garbage Charge</t>
  </si>
  <si>
    <t>Ordinary Rates
Classification</t>
  </si>
  <si>
    <t>Waste Management
Charges</t>
  </si>
  <si>
    <t>Additional Garbage
Charge</t>
  </si>
  <si>
    <t>Additional Recycling
Charge</t>
  </si>
  <si>
    <t>Statutory
Pension
 Rebate</t>
  </si>
  <si>
    <t>Residential - Vacant</t>
  </si>
  <si>
    <t>Non-Residential - Vacant</t>
  </si>
  <si>
    <t>Year 1</t>
  </si>
  <si>
    <t>Year 2</t>
  </si>
  <si>
    <t>Year 3</t>
  </si>
  <si>
    <t>Year 4</t>
  </si>
  <si>
    <t>Current Year</t>
  </si>
  <si>
    <t>Base Rate</t>
  </si>
  <si>
    <t>Waste Charge</t>
  </si>
  <si>
    <t>Garbage Charge</t>
  </si>
  <si>
    <t>Recycling Charge</t>
  </si>
  <si>
    <t>Sewerage Service</t>
  </si>
  <si>
    <t>Sewer Charges</t>
  </si>
  <si>
    <t>Sewerage Charge</t>
  </si>
  <si>
    <t>Pensioner Rebate</t>
  </si>
  <si>
    <t>General Rates</t>
  </si>
  <si>
    <t>General Rates - Farmland</t>
  </si>
  <si>
    <t>General Rates - Other</t>
  </si>
  <si>
    <t>Base Rate - Other</t>
  </si>
  <si>
    <t>Base Rate - Farmland</t>
  </si>
  <si>
    <r>
      <t xml:space="preserve">Land Valuation
</t>
    </r>
    <r>
      <rPr>
        <b/>
        <sz val="8"/>
        <color indexed="9"/>
        <rFont val="Arial"/>
        <family val="2"/>
      </rPr>
      <t>(per 2013/14 Rates Notice)</t>
    </r>
  </si>
  <si>
    <t>Not Applicable</t>
  </si>
  <si>
    <t>Rates and Services</t>
  </si>
  <si>
    <t>Total (All) Rates and Services</t>
  </si>
  <si>
    <t>Impact of SRV</t>
  </si>
  <si>
    <t>All figures $'s</t>
  </si>
  <si>
    <t>Cumulative Impact of SRV</t>
  </si>
  <si>
    <t>% Increase for Opt. 2 vs Opt. 1</t>
  </si>
  <si>
    <t>Impact of SRV (Compared Opt. 1)</t>
  </si>
  <si>
    <t>% Increase for Opt. 3 vs Opt. 1</t>
  </si>
  <si>
    <t>Base Rate
($)</t>
  </si>
  <si>
    <t>Ad-valorem
(cents in $)</t>
  </si>
  <si>
    <r>
      <t xml:space="preserve">Option 1
</t>
    </r>
    <r>
      <rPr>
        <sz val="10"/>
        <rFont val="Arial"/>
        <family val="2"/>
      </rPr>
      <t>Reduced Services Model
(Current Rate-Peg Only)</t>
    </r>
  </si>
  <si>
    <t>Extra Garbage Charge</t>
  </si>
  <si>
    <t>Extra Recycling Charge</t>
  </si>
  <si>
    <r>
      <t xml:space="preserve">Option 2
</t>
    </r>
    <r>
      <rPr>
        <sz val="10"/>
        <rFont val="Arial"/>
        <family val="2"/>
      </rPr>
      <t>WRI Model
(10% Special Rate Variation)</t>
    </r>
  </si>
  <si>
    <r>
      <t xml:space="preserve">Option 3
</t>
    </r>
    <r>
      <rPr>
        <sz val="10"/>
        <rFont val="Arial"/>
        <family val="2"/>
      </rPr>
      <t>Maintained Services Model
(15% Special Rate Variation)</t>
    </r>
  </si>
  <si>
    <t>Ad-valorem Rate</t>
  </si>
  <si>
    <t>All Other - Contact Council</t>
  </si>
  <si>
    <t>No Rebate</t>
  </si>
  <si>
    <t>Yes - Pensioner</t>
  </si>
  <si>
    <t>Statutory Pensioner Rebate</t>
  </si>
  <si>
    <t>Rates</t>
  </si>
  <si>
    <t>Sewer</t>
  </si>
  <si>
    <t>Statutory Pension         Rebate</t>
  </si>
  <si>
    <r>
      <t xml:space="preserve">Your Land Valuation
</t>
    </r>
    <r>
      <rPr>
        <b/>
        <sz val="8"/>
        <color indexed="9"/>
        <rFont val="Arial"/>
        <family val="2"/>
      </rPr>
      <t xml:space="preserve">(Please use your new valuation notice)
</t>
    </r>
  </si>
  <si>
    <t>Residential</t>
  </si>
  <si>
    <t>Residential - Bellingen</t>
  </si>
  <si>
    <t>Residential - Rural</t>
  </si>
  <si>
    <t>Residential - Dorrigo</t>
  </si>
  <si>
    <t>Residential - Mylestom</t>
  </si>
  <si>
    <t>Residential - Urunga</t>
  </si>
  <si>
    <t>Business</t>
  </si>
  <si>
    <t>Business - Bellingen</t>
  </si>
  <si>
    <t>Business - Dorrigo</t>
  </si>
  <si>
    <t>Business - Urunga</t>
  </si>
  <si>
    <t>Farmland</t>
  </si>
  <si>
    <t>Waste Facility Access Charge</t>
  </si>
  <si>
    <t>Commercial Waste</t>
  </si>
  <si>
    <t>Commercial Waste - Access Charge</t>
  </si>
  <si>
    <t>Water</t>
  </si>
  <si>
    <t>Water Charges</t>
  </si>
  <si>
    <t>Fortnightly 240L - Mixed Waste</t>
  </si>
  <si>
    <t>Fortnightly 240L - Recycling</t>
  </si>
  <si>
    <t>Weekly 240L - Organics</t>
  </si>
  <si>
    <r>
      <rPr>
        <b/>
        <u/>
        <sz val="9"/>
        <color theme="3"/>
        <rFont val="Arial"/>
        <family val="2"/>
      </rPr>
      <t>Water</t>
    </r>
    <r>
      <rPr>
        <b/>
        <sz val="9"/>
        <color theme="0"/>
        <rFont val="Arial"/>
        <family val="2"/>
      </rPr>
      <t xml:space="preserve"> Service
Connection Type</t>
    </r>
  </si>
  <si>
    <r>
      <rPr>
        <b/>
        <u/>
        <sz val="9"/>
        <color theme="0"/>
        <rFont val="Arial"/>
        <family val="2"/>
      </rPr>
      <t>Additional</t>
    </r>
    <r>
      <rPr>
        <b/>
        <sz val="9"/>
        <color theme="0"/>
        <rFont val="Arial"/>
        <family val="2"/>
      </rPr>
      <t xml:space="preserve"> </t>
    </r>
    <r>
      <rPr>
        <b/>
        <u/>
        <sz val="9"/>
        <color rgb="FF92D050"/>
        <rFont val="Arial"/>
        <family val="2"/>
      </rPr>
      <t>Waste</t>
    </r>
    <r>
      <rPr>
        <b/>
        <sz val="9"/>
        <color theme="0"/>
        <rFont val="Arial"/>
        <family val="2"/>
      </rPr>
      <t xml:space="preserve">
Charge</t>
    </r>
  </si>
  <si>
    <t>Water Charge - Connected (20mm)</t>
  </si>
  <si>
    <t>Water Charge - Not Connected</t>
  </si>
  <si>
    <t xml:space="preserve">Total
Rates and Services (Rate Peg)
</t>
  </si>
  <si>
    <t>Estimated Rates 2018/19</t>
  </si>
  <si>
    <t>Charges</t>
  </si>
  <si>
    <t>Less: Pensioner Rebate</t>
  </si>
  <si>
    <t>Total</t>
  </si>
  <si>
    <t>Actuals</t>
  </si>
  <si>
    <t>Estimate</t>
  </si>
  <si>
    <t>Contact Council</t>
  </si>
  <si>
    <r>
      <t xml:space="preserve">Your Land Valuation
</t>
    </r>
    <r>
      <rPr>
        <b/>
        <sz val="12"/>
        <color indexed="9"/>
        <rFont val="Arial"/>
        <family val="2"/>
      </rPr>
      <t xml:space="preserve">(from your rates notice)
</t>
    </r>
  </si>
  <si>
    <t>Water 2018</t>
  </si>
  <si>
    <t>Residential - 20mm</t>
  </si>
  <si>
    <t>Non-Residential - 20mm</t>
  </si>
  <si>
    <t>Special Variation Impact Calculator</t>
  </si>
  <si>
    <t>General Rates - Rate Peg Only</t>
  </si>
  <si>
    <t>Please refer to sample Rates Notice to right of screen for further information required to input into rates calculator.</t>
  </si>
  <si>
    <t>Ordinary Rates Category</t>
  </si>
  <si>
    <t>Average Annual % Increase over 4 year Period</t>
  </si>
  <si>
    <t>2022/23</t>
  </si>
  <si>
    <t>2023/24</t>
  </si>
  <si>
    <t>2024/25</t>
  </si>
  <si>
    <t>2025/26</t>
  </si>
  <si>
    <t>2026/27</t>
  </si>
  <si>
    <t>Rates Payable - Senario 1
2022/23</t>
  </si>
  <si>
    <t>Business - Industrial</t>
  </si>
  <si>
    <t>2023/24 Rate Peg Only</t>
  </si>
  <si>
    <t>2023/24 8% Increase</t>
  </si>
  <si>
    <t>Estimated Rates 2023/24 to 2026/27</t>
  </si>
  <si>
    <t>Just 6%</t>
  </si>
  <si>
    <t>Just Rate Peg</t>
  </si>
  <si>
    <t>Forecast SRV</t>
  </si>
  <si>
    <t>Diff. Rate Peg</t>
  </si>
  <si>
    <t>Diff. 6%</t>
  </si>
  <si>
    <t>Average Land Value</t>
  </si>
  <si>
    <t xml:space="preserve"> Residential</t>
  </si>
  <si>
    <t xml:space="preserve"> Residential - Bellingen</t>
  </si>
  <si>
    <t xml:space="preserve"> Residential - Dorrigo</t>
  </si>
  <si>
    <t xml:space="preserve"> Residential - Mylestom</t>
  </si>
  <si>
    <t xml:space="preserve"> Residential - Rural</t>
  </si>
  <si>
    <t xml:space="preserve"> Residential - Urunga</t>
  </si>
  <si>
    <t xml:space="preserve"> Farmland</t>
  </si>
  <si>
    <t xml:space="preserve"> Business</t>
  </si>
  <si>
    <t xml:space="preserve"> Business - Bellingen</t>
  </si>
  <si>
    <t xml:space="preserve"> Business - Dorrigo</t>
  </si>
  <si>
    <t xml:space="preserve"> Business - Urunga</t>
  </si>
  <si>
    <t xml:space="preserve"> Business - Industrial</t>
  </si>
  <si>
    <t xml:space="preserve"> Average Land Values 2022/23:</t>
  </si>
  <si>
    <t>General Rates - SRV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</si>
</sst>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$&quot;#,##0;[Red]\-&quot;$&quot;#,##0"/>
    <numFmt numFmtId="165" formatCode="_-&quot;$&quot;* #,##0.00_-;\-&quot;$&quot;* #,##0.00_-;_-&quot;$&quot;* &quot;-&quot;??_-;_-@_-"/>
    <numFmt numFmtId="166" formatCode="_-* #,##0_-;\-* #,##0_-;_-* &quot;-&quot;??_-;_-@_-"/>
    <numFmt numFmtId="167" formatCode="0.0%"/>
    <numFmt numFmtId="168" formatCode="_-* #,##0.000000_-;\-* #,##0.000000_-;_-* &quot;-&quot;??_-;_-@_-"/>
    <numFmt numFmtId="169" formatCode="#,##0.00;[Red]\(#,##0.00\)"/>
    <numFmt numFmtId="170" formatCode="&quot;$&quot;#,##0.00"/>
    <numFmt numFmtId="171" formatCode="&quot;$&quot;#,##0"/>
    <numFmt numFmtId="172" formatCode="_-&quot;$&quot;* #,##0_-;\-&quot;$&quot;* #,##0_-;_-&quot;$&quot;* &quot;-&quot;??_-;_-@_-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color indexed="9"/>
      <name val="Arial"/>
      <family val="2"/>
    </font>
    <font>
      <b/>
      <i/>
      <sz val="10"/>
      <name val="Arial"/>
      <family val="2"/>
    </font>
    <font>
      <sz val="10"/>
      <color rgb="FFCCFFCC"/>
      <name val="Arial"/>
      <family val="2"/>
    </font>
    <font>
      <b/>
      <sz val="10"/>
      <color rgb="FFCCFFCC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1"/>
      <color rgb="FFFF0000"/>
      <name val="Arial"/>
      <family val="2"/>
    </font>
    <font>
      <b/>
      <sz val="14"/>
      <color rgb="FF0070C0"/>
      <name val="Arial"/>
      <family val="2"/>
    </font>
    <font>
      <b/>
      <u/>
      <sz val="9"/>
      <color theme="3"/>
      <name val="Arial"/>
      <family val="2"/>
    </font>
    <font>
      <b/>
      <u/>
      <sz val="9"/>
      <color rgb="FF92D050"/>
      <name val="Arial"/>
      <family val="2"/>
    </font>
    <font>
      <b/>
      <u/>
      <sz val="9"/>
      <color theme="0"/>
      <name val="Arial"/>
      <family val="2"/>
    </font>
    <font>
      <b/>
      <u/>
      <sz val="9"/>
      <color theme="8" tint="0.3999755851924192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3"/>
      <name val="Arial"/>
      <family val="2"/>
    </font>
    <font>
      <b/>
      <sz val="18"/>
      <color rgb="FF002060"/>
      <name val="Arial"/>
      <family val="2"/>
    </font>
    <font>
      <b/>
      <sz val="14"/>
      <color theme="0"/>
      <name val="Arial"/>
      <family val="2"/>
    </font>
    <font>
      <b/>
      <u/>
      <sz val="12"/>
      <color theme="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u/>
      <sz val="12"/>
      <color theme="0"/>
      <name val="Arial"/>
      <family val="2"/>
    </font>
    <font>
      <b/>
      <sz val="12"/>
      <color rgb="FFCCFFCC"/>
      <name val="Arial"/>
      <family val="2"/>
    </font>
    <font>
      <sz val="12"/>
      <color rgb="FFCCFFCC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14999847407452621"/>
      <name val="Arial"/>
      <family val="2"/>
    </font>
    <font>
      <b/>
      <u/>
      <sz val="14"/>
      <color rgb="FF243229"/>
      <name val="Arial"/>
      <family val="2"/>
    </font>
    <font>
      <b/>
      <sz val="12"/>
      <color rgb="FF243229"/>
      <name val="Arial"/>
      <family val="2"/>
    </font>
    <font>
      <b/>
      <u/>
      <sz val="10"/>
      <name val="Arial"/>
      <family val="2"/>
    </font>
    <font>
      <b/>
      <sz val="22"/>
      <color rgb="FF24322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243229"/>
        <bgColor indexed="64"/>
      </patternFill>
    </fill>
    <fill>
      <patternFill patternType="solid">
        <fgColor rgb="FFCCDB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indexed="64"/>
      </left>
      <right/>
      <top style="thick">
        <color theme="1" tint="0.499984740745262"/>
      </top>
      <bottom/>
      <diagonal/>
    </border>
    <border>
      <left style="medium">
        <color indexed="64"/>
      </left>
      <right style="medium">
        <color theme="2" tint="-0.24994659260841701"/>
      </right>
      <top style="medium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medium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/>
      <right style="thin">
        <color theme="0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ck">
        <color theme="1" tint="0.499984740745262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166" fontId="1" fillId="0" borderId="0" xfId="1" applyNumberFormat="1" applyFill="1" applyBorder="1" applyProtection="1"/>
    <xf numFmtId="0" fontId="0" fillId="0" borderId="0" xfId="0" applyAlignment="1">
      <alignment horizontal="left" indent="1"/>
    </xf>
    <xf numFmtId="43" fontId="1" fillId="0" borderId="0" xfId="1" applyProtection="1"/>
    <xf numFmtId="168" fontId="0" fillId="0" borderId="0" xfId="1" applyNumberFormat="1" applyFont="1" applyProtection="1"/>
    <xf numFmtId="166" fontId="1" fillId="0" borderId="0" xfId="1" applyNumberForma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5" fontId="2" fillId="0" borderId="0" xfId="2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1" fillId="0" borderId="0" xfId="1" applyNumberFormat="1" applyBorder="1" applyProtection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Fill="1" applyBorder="1" applyProtection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Fill="1" applyBorder="1" applyAlignment="1" applyProtection="1">
      <alignment horizontal="right"/>
    </xf>
    <xf numFmtId="43" fontId="2" fillId="0" borderId="0" xfId="1" applyFont="1" applyFill="1" applyBorder="1" applyAlignment="1" applyProtection="1">
      <alignment vertical="center"/>
    </xf>
    <xf numFmtId="43" fontId="7" fillId="0" borderId="0" xfId="1" applyFont="1" applyFill="1" applyBorder="1" applyAlignment="1" applyProtection="1">
      <alignment vertical="center"/>
    </xf>
    <xf numFmtId="164" fontId="11" fillId="0" borderId="0" xfId="2" applyNumberFormat="1" applyFont="1" applyFill="1" applyBorder="1" applyAlignment="1" applyProtection="1">
      <alignment vertical="center"/>
    </xf>
    <xf numFmtId="166" fontId="10" fillId="0" borderId="0" xfId="1" applyNumberFormat="1" applyFont="1" applyFill="1" applyBorder="1" applyAlignment="1" applyProtection="1">
      <alignment horizontal="center" vertical="center"/>
    </xf>
    <xf numFmtId="166" fontId="10" fillId="0" borderId="0" xfId="1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horizontal="right" vertical="center"/>
    </xf>
    <xf numFmtId="43" fontId="5" fillId="0" borderId="0" xfId="1" applyFont="1" applyFill="1" applyBorder="1" applyAlignment="1" applyProtection="1">
      <alignment horizontal="center" vertical="center"/>
    </xf>
    <xf numFmtId="0" fontId="2" fillId="4" borderId="0" xfId="0" applyFont="1" applyFill="1" applyAlignment="1">
      <alignment vertical="center"/>
    </xf>
    <xf numFmtId="43" fontId="2" fillId="4" borderId="0" xfId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5" borderId="0" xfId="0" applyFont="1" applyFill="1" applyAlignment="1">
      <alignment vertical="center"/>
    </xf>
    <xf numFmtId="43" fontId="2" fillId="5" borderId="0" xfId="1" applyFont="1" applyFill="1" applyBorder="1" applyAlignment="1" applyProtection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 wrapText="1"/>
    </xf>
    <xf numFmtId="43" fontId="2" fillId="6" borderId="0" xfId="1" applyFont="1" applyFill="1" applyBorder="1" applyAlignment="1" applyProtection="1">
      <alignment vertical="center"/>
    </xf>
    <xf numFmtId="0" fontId="0" fillId="6" borderId="0" xfId="0" applyFill="1" applyAlignment="1">
      <alignment vertical="center"/>
    </xf>
    <xf numFmtId="43" fontId="7" fillId="3" borderId="0" xfId="1" applyFont="1" applyFill="1" applyBorder="1" applyAlignment="1" applyProtection="1">
      <alignment horizontal="right" vertical="center"/>
    </xf>
    <xf numFmtId="167" fontId="7" fillId="3" borderId="0" xfId="3" applyNumberFormat="1" applyFont="1" applyFill="1" applyBorder="1" applyAlignment="1" applyProtection="1">
      <alignment horizontal="right" vertical="center"/>
    </xf>
    <xf numFmtId="0" fontId="6" fillId="7" borderId="0" xfId="0" applyFont="1" applyFill="1" applyAlignment="1">
      <alignment horizontal="center" vertical="center"/>
    </xf>
    <xf numFmtId="167" fontId="7" fillId="7" borderId="0" xfId="3" applyNumberFormat="1" applyFont="1" applyFill="1" applyBorder="1" applyAlignment="1" applyProtection="1">
      <alignment horizontal="right" vertical="center"/>
    </xf>
    <xf numFmtId="0" fontId="6" fillId="8" borderId="0" xfId="0" applyFont="1" applyFill="1" applyAlignment="1">
      <alignment horizontal="center" vertical="center"/>
    </xf>
    <xf numFmtId="167" fontId="7" fillId="8" borderId="0" xfId="3" applyNumberFormat="1" applyFont="1" applyFill="1" applyBorder="1" applyAlignment="1" applyProtection="1">
      <alignment horizontal="right" vertical="center"/>
    </xf>
    <xf numFmtId="0" fontId="6" fillId="9" borderId="0" xfId="0" applyFont="1" applyFill="1" applyAlignment="1">
      <alignment horizontal="center" vertical="center"/>
    </xf>
    <xf numFmtId="167" fontId="7" fillId="9" borderId="0" xfId="3" applyNumberFormat="1" applyFont="1" applyFill="1" applyBorder="1" applyAlignment="1" applyProtection="1">
      <alignment horizontal="right" vertical="center"/>
    </xf>
    <xf numFmtId="0" fontId="6" fillId="10" borderId="0" xfId="0" applyFont="1" applyFill="1" applyAlignment="1">
      <alignment horizontal="center" vertical="center"/>
    </xf>
    <xf numFmtId="167" fontId="7" fillId="10" borderId="0" xfId="3" applyNumberFormat="1" applyFont="1" applyFill="1" applyBorder="1" applyAlignment="1" applyProtection="1">
      <alignment horizontal="right" vertical="center"/>
    </xf>
    <xf numFmtId="43" fontId="4" fillId="9" borderId="0" xfId="1" applyFont="1" applyFill="1" applyBorder="1" applyProtection="1"/>
    <xf numFmtId="43" fontId="4" fillId="2" borderId="0" xfId="1" applyFont="1" applyFill="1" applyBorder="1" applyProtection="1"/>
    <xf numFmtId="167" fontId="7" fillId="2" borderId="0" xfId="3" applyNumberFormat="1" applyFont="1" applyFill="1" applyBorder="1" applyAlignment="1" applyProtection="1">
      <alignment horizontal="center" vertical="center" wrapText="1"/>
    </xf>
    <xf numFmtId="0" fontId="12" fillId="11" borderId="0" xfId="1" applyNumberFormat="1" applyFont="1" applyFill="1" applyBorder="1" applyAlignment="1" applyProtection="1">
      <alignment horizontal="center" vertical="center" wrapText="1"/>
    </xf>
    <xf numFmtId="164" fontId="13" fillId="12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43" fontId="7" fillId="7" borderId="0" xfId="1" applyFont="1" applyFill="1" applyBorder="1" applyAlignment="1" applyProtection="1">
      <alignment horizontal="right" vertical="center"/>
    </xf>
    <xf numFmtId="43" fontId="7" fillId="8" borderId="0" xfId="1" applyFont="1" applyFill="1" applyBorder="1" applyAlignment="1" applyProtection="1">
      <alignment horizontal="right" vertical="center"/>
    </xf>
    <xf numFmtId="43" fontId="7" fillId="10" borderId="0" xfId="1" applyFont="1" applyFill="1" applyBorder="1" applyAlignment="1" applyProtection="1">
      <alignment horizontal="right" vertical="center"/>
    </xf>
    <xf numFmtId="43" fontId="7" fillId="9" borderId="0" xfId="1" applyFont="1" applyFill="1" applyBorder="1" applyAlignment="1" applyProtection="1">
      <alignment horizontal="right" vertical="center"/>
    </xf>
    <xf numFmtId="43" fontId="7" fillId="2" borderId="0" xfId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vertical="center"/>
    </xf>
    <xf numFmtId="0" fontId="7" fillId="0" borderId="0" xfId="0" applyFont="1"/>
    <xf numFmtId="0" fontId="0" fillId="6" borderId="0" xfId="0" applyFill="1"/>
    <xf numFmtId="0" fontId="7" fillId="6" borderId="0" xfId="0" applyFont="1" applyFill="1"/>
    <xf numFmtId="0" fontId="6" fillId="13" borderId="0" xfId="0" applyFont="1" applyFill="1" applyAlignment="1">
      <alignment horizontal="center" vertical="center"/>
    </xf>
    <xf numFmtId="167" fontId="7" fillId="13" borderId="0" xfId="3" applyNumberFormat="1" applyFont="1" applyFill="1" applyBorder="1" applyAlignment="1" applyProtection="1">
      <alignment horizontal="right" vertical="center"/>
    </xf>
    <xf numFmtId="43" fontId="7" fillId="13" borderId="0" xfId="1" applyFont="1" applyFill="1" applyBorder="1" applyAlignment="1" applyProtection="1">
      <alignment horizontal="right" vertical="center"/>
    </xf>
    <xf numFmtId="43" fontId="9" fillId="3" borderId="0" xfId="1" applyFont="1" applyFill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vertical="center"/>
    </xf>
    <xf numFmtId="167" fontId="9" fillId="14" borderId="0" xfId="3" applyNumberFormat="1" applyFont="1" applyFill="1" applyBorder="1" applyAlignment="1" applyProtection="1">
      <alignment horizontal="center" vertical="center" wrapText="1"/>
    </xf>
    <xf numFmtId="166" fontId="2" fillId="6" borderId="0" xfId="1" applyNumberFormat="1" applyFont="1" applyFill="1" applyBorder="1" applyProtection="1"/>
    <xf numFmtId="0" fontId="2" fillId="6" borderId="0" xfId="0" applyFont="1" applyFill="1"/>
    <xf numFmtId="0" fontId="2" fillId="3" borderId="0" xfId="0" applyFont="1" applyFill="1"/>
    <xf numFmtId="166" fontId="2" fillId="3" borderId="0" xfId="1" applyNumberFormat="1" applyFont="1" applyFill="1" applyBorder="1" applyProtection="1"/>
    <xf numFmtId="166" fontId="2" fillId="0" borderId="0" xfId="1" applyNumberFormat="1" applyFont="1" applyFill="1" applyBorder="1" applyProtection="1"/>
    <xf numFmtId="166" fontId="2" fillId="15" borderId="0" xfId="1" applyNumberFormat="1" applyFont="1" applyFill="1" applyBorder="1" applyProtection="1"/>
    <xf numFmtId="166" fontId="2" fillId="13" borderId="0" xfId="1" applyNumberFormat="1" applyFont="1" applyFill="1" applyBorder="1" applyProtection="1"/>
    <xf numFmtId="0" fontId="2" fillId="8" borderId="0" xfId="0" applyFont="1" applyFill="1"/>
    <xf numFmtId="0" fontId="2" fillId="10" borderId="0" xfId="0" applyFont="1" applyFill="1"/>
    <xf numFmtId="0" fontId="2" fillId="9" borderId="0" xfId="0" applyFont="1" applyFill="1"/>
    <xf numFmtId="0" fontId="2" fillId="14" borderId="0" xfId="0" applyFont="1" applyFill="1"/>
    <xf numFmtId="166" fontId="9" fillId="6" borderId="0" xfId="1" applyNumberFormat="1" applyFont="1" applyFill="1" applyBorder="1" applyProtection="1"/>
    <xf numFmtId="0" fontId="9" fillId="6" borderId="0" xfId="0" applyFont="1" applyFill="1"/>
    <xf numFmtId="0" fontId="9" fillId="0" borderId="0" xfId="0" applyFont="1"/>
    <xf numFmtId="43" fontId="5" fillId="7" borderId="0" xfId="1" applyFont="1" applyFill="1" applyBorder="1" applyAlignment="1" applyProtection="1">
      <alignment horizontal="center" vertical="center"/>
    </xf>
    <xf numFmtId="43" fontId="5" fillId="13" borderId="0" xfId="1" applyFont="1" applyFill="1" applyBorder="1" applyAlignment="1" applyProtection="1">
      <alignment horizontal="center" vertical="center"/>
    </xf>
    <xf numFmtId="43" fontId="5" fillId="8" borderId="0" xfId="1" applyFont="1" applyFill="1" applyBorder="1" applyAlignment="1" applyProtection="1">
      <alignment horizontal="center" vertical="center"/>
    </xf>
    <xf numFmtId="43" fontId="5" fillId="10" borderId="0" xfId="1" applyFont="1" applyFill="1" applyBorder="1" applyAlignment="1" applyProtection="1">
      <alignment horizontal="center" vertical="center"/>
    </xf>
    <xf numFmtId="43" fontId="5" fillId="9" borderId="0" xfId="1" applyFont="1" applyFill="1" applyBorder="1" applyAlignment="1" applyProtection="1">
      <alignment horizontal="center" vertical="center"/>
    </xf>
    <xf numFmtId="43" fontId="2" fillId="2" borderId="0" xfId="1" applyFont="1" applyFill="1" applyBorder="1" applyAlignment="1" applyProtection="1">
      <alignment horizontal="center" vertical="center" wrapText="1"/>
    </xf>
    <xf numFmtId="43" fontId="2" fillId="3" borderId="0" xfId="1" applyFont="1" applyFill="1" applyBorder="1" applyAlignment="1" applyProtection="1">
      <alignment horizontal="center" vertical="center"/>
    </xf>
    <xf numFmtId="43" fontId="2" fillId="7" borderId="0" xfId="1" applyFont="1" applyFill="1" applyBorder="1" applyAlignment="1" applyProtection="1">
      <alignment horizontal="center" vertical="center"/>
    </xf>
    <xf numFmtId="43" fontId="2" fillId="13" borderId="0" xfId="1" applyFont="1" applyFill="1" applyBorder="1" applyAlignment="1" applyProtection="1">
      <alignment horizontal="center" vertical="center"/>
    </xf>
    <xf numFmtId="43" fontId="2" fillId="8" borderId="0" xfId="1" applyFont="1" applyFill="1" applyBorder="1" applyAlignment="1" applyProtection="1">
      <alignment horizontal="center" vertical="center"/>
    </xf>
    <xf numFmtId="43" fontId="2" fillId="10" borderId="0" xfId="1" applyFont="1" applyFill="1" applyBorder="1" applyAlignment="1" applyProtection="1">
      <alignment horizontal="center" vertical="center"/>
    </xf>
    <xf numFmtId="43" fontId="2" fillId="9" borderId="0" xfId="1" applyFont="1" applyFill="1" applyBorder="1" applyAlignment="1" applyProtection="1">
      <alignment horizontal="center" vertical="center"/>
    </xf>
    <xf numFmtId="43" fontId="4" fillId="3" borderId="0" xfId="1" applyFont="1" applyFill="1" applyBorder="1" applyAlignment="1" applyProtection="1">
      <alignment horizontal="center"/>
    </xf>
    <xf numFmtId="43" fontId="2" fillId="2" borderId="0" xfId="1" applyFont="1" applyFill="1" applyBorder="1" applyAlignment="1" applyProtection="1">
      <alignment horizontal="center" vertical="center"/>
    </xf>
    <xf numFmtId="167" fontId="9" fillId="9" borderId="0" xfId="3" applyNumberFormat="1" applyFont="1" applyFill="1" applyBorder="1" applyAlignment="1" applyProtection="1">
      <alignment horizontal="right" vertical="center"/>
    </xf>
    <xf numFmtId="167" fontId="9" fillId="3" borderId="0" xfId="3" applyNumberFormat="1" applyFont="1" applyFill="1" applyBorder="1" applyAlignment="1" applyProtection="1">
      <alignment horizontal="right" vertical="center"/>
    </xf>
    <xf numFmtId="167" fontId="9" fillId="7" borderId="0" xfId="3" applyNumberFormat="1" applyFont="1" applyFill="1" applyBorder="1" applyAlignment="1" applyProtection="1">
      <alignment horizontal="right" vertical="center"/>
    </xf>
    <xf numFmtId="167" fontId="9" fillId="13" borderId="0" xfId="3" applyNumberFormat="1" applyFont="1" applyFill="1" applyBorder="1" applyAlignment="1" applyProtection="1">
      <alignment horizontal="right" vertical="center"/>
    </xf>
    <xf numFmtId="167" fontId="9" fillId="8" borderId="0" xfId="3" applyNumberFormat="1" applyFont="1" applyFill="1" applyBorder="1" applyAlignment="1" applyProtection="1">
      <alignment horizontal="right" vertical="center"/>
    </xf>
    <xf numFmtId="167" fontId="9" fillId="10" borderId="0" xfId="3" applyNumberFormat="1" applyFont="1" applyFill="1" applyBorder="1" applyAlignment="1" applyProtection="1">
      <alignment horizontal="right" vertical="center"/>
    </xf>
    <xf numFmtId="43" fontId="2" fillId="3" borderId="0" xfId="1" applyFont="1" applyFill="1" applyBorder="1" applyAlignment="1" applyProtection="1">
      <alignment horizontal="right" vertical="center"/>
    </xf>
    <xf numFmtId="43" fontId="2" fillId="7" borderId="0" xfId="1" applyFont="1" applyFill="1" applyBorder="1" applyAlignment="1" applyProtection="1">
      <alignment horizontal="right" vertical="center"/>
    </xf>
    <xf numFmtId="43" fontId="2" fillId="13" borderId="0" xfId="1" applyFont="1" applyFill="1" applyBorder="1" applyAlignment="1" applyProtection="1">
      <alignment horizontal="right" vertical="center"/>
    </xf>
    <xf numFmtId="43" fontId="2" fillId="8" borderId="0" xfId="1" applyFont="1" applyFill="1" applyBorder="1" applyAlignment="1" applyProtection="1">
      <alignment horizontal="right" vertical="center"/>
    </xf>
    <xf numFmtId="43" fontId="2" fillId="10" borderId="0" xfId="1" applyFont="1" applyFill="1" applyBorder="1" applyAlignment="1" applyProtection="1">
      <alignment horizontal="right" vertical="center"/>
    </xf>
    <xf numFmtId="43" fontId="2" fillId="9" borderId="0" xfId="1" applyFont="1" applyFill="1" applyBorder="1" applyAlignment="1" applyProtection="1">
      <alignment horizontal="right" vertical="center"/>
    </xf>
    <xf numFmtId="43" fontId="2" fillId="2" borderId="0" xfId="1" applyFont="1" applyFill="1" applyBorder="1" applyAlignment="1" applyProtection="1">
      <alignment horizontal="right" vertical="center" wrapText="1"/>
    </xf>
    <xf numFmtId="43" fontId="2" fillId="14" borderId="0" xfId="1" applyFont="1" applyFill="1" applyBorder="1" applyAlignment="1" applyProtection="1">
      <alignment horizontal="center" vertical="center"/>
    </xf>
    <xf numFmtId="0" fontId="4" fillId="0" borderId="1" xfId="0" applyFont="1" applyBorder="1"/>
    <xf numFmtId="0" fontId="0" fillId="0" borderId="2" xfId="0" applyBorder="1"/>
    <xf numFmtId="43" fontId="5" fillId="0" borderId="2" xfId="1" applyFont="1" applyFill="1" applyBorder="1" applyAlignment="1" applyProtection="1">
      <alignment horizontal="right" vertical="center"/>
    </xf>
    <xf numFmtId="43" fontId="4" fillId="0" borderId="2" xfId="1" applyFont="1" applyFill="1" applyBorder="1" applyAlignment="1" applyProtection="1">
      <alignment horizontal="right"/>
    </xf>
    <xf numFmtId="0" fontId="4" fillId="0" borderId="3" xfId="0" applyFont="1" applyBorder="1"/>
    <xf numFmtId="0" fontId="0" fillId="0" borderId="3" xfId="0" applyBorder="1"/>
    <xf numFmtId="43" fontId="4" fillId="2" borderId="4" xfId="1" applyFont="1" applyFill="1" applyBorder="1" applyProtection="1"/>
    <xf numFmtId="0" fontId="2" fillId="5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3" fontId="2" fillId="2" borderId="4" xfId="1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/>
    </xf>
    <xf numFmtId="43" fontId="2" fillId="5" borderId="6" xfId="1" applyFont="1" applyFill="1" applyBorder="1" applyAlignment="1" applyProtection="1">
      <alignment vertical="center"/>
    </xf>
    <xf numFmtId="0" fontId="4" fillId="0" borderId="7" xfId="0" applyFont="1" applyBorder="1"/>
    <xf numFmtId="0" fontId="0" fillId="0" borderId="8" xfId="0" applyBorder="1"/>
    <xf numFmtId="43" fontId="5" fillId="0" borderId="8" xfId="1" applyFont="1" applyFill="1" applyBorder="1" applyAlignment="1" applyProtection="1">
      <alignment horizontal="right" vertical="center"/>
    </xf>
    <xf numFmtId="43" fontId="4" fillId="0" borderId="8" xfId="1" applyFont="1" applyFill="1" applyBorder="1" applyAlignment="1" applyProtection="1">
      <alignment horizontal="right"/>
    </xf>
    <xf numFmtId="0" fontId="4" fillId="0" borderId="9" xfId="0" applyFont="1" applyBorder="1"/>
    <xf numFmtId="0" fontId="2" fillId="0" borderId="9" xfId="0" applyFont="1" applyBorder="1" applyAlignment="1">
      <alignment horizontal="left" vertical="center" wrapText="1"/>
    </xf>
    <xf numFmtId="43" fontId="2" fillId="2" borderId="10" xfId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43" fontId="7" fillId="2" borderId="10" xfId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vertical="center" wrapText="1"/>
    </xf>
    <xf numFmtId="43" fontId="2" fillId="2" borderId="10" xfId="1" applyFont="1" applyFill="1" applyBorder="1" applyAlignment="1" applyProtection="1">
      <alignment horizontal="right" vertical="center" wrapText="1"/>
    </xf>
    <xf numFmtId="43" fontId="2" fillId="2" borderId="10" xfId="1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/>
    </xf>
    <xf numFmtId="43" fontId="9" fillId="4" borderId="12" xfId="1" applyFont="1" applyFill="1" applyBorder="1" applyAlignment="1" applyProtection="1">
      <alignment vertical="center"/>
    </xf>
    <xf numFmtId="0" fontId="4" fillId="0" borderId="13" xfId="0" applyFont="1" applyBorder="1"/>
    <xf numFmtId="0" fontId="0" fillId="0" borderId="14" xfId="0" applyBorder="1"/>
    <xf numFmtId="43" fontId="5" fillId="0" borderId="14" xfId="1" applyFont="1" applyFill="1" applyBorder="1" applyAlignment="1" applyProtection="1">
      <alignment horizontal="right" vertical="center"/>
    </xf>
    <xf numFmtId="43" fontId="4" fillId="0" borderId="14" xfId="1" applyFont="1" applyFill="1" applyBorder="1" applyAlignment="1" applyProtection="1">
      <alignment horizontal="right"/>
    </xf>
    <xf numFmtId="0" fontId="4" fillId="0" borderId="15" xfId="0" applyFont="1" applyBorder="1"/>
    <xf numFmtId="0" fontId="2" fillId="0" borderId="15" xfId="0" applyFont="1" applyBorder="1" applyAlignment="1">
      <alignment horizontal="left" vertical="center" wrapText="1"/>
    </xf>
    <xf numFmtId="43" fontId="2" fillId="14" borderId="16" xfId="1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67" fontId="9" fillId="14" borderId="16" xfId="3" applyNumberFormat="1" applyFont="1" applyFill="1" applyBorder="1" applyAlignment="1" applyProtection="1">
      <alignment horizontal="center" vertical="center" wrapText="1"/>
    </xf>
    <xf numFmtId="0" fontId="0" fillId="6" borderId="15" xfId="0" applyFill="1" applyBorder="1"/>
    <xf numFmtId="0" fontId="0" fillId="0" borderId="15" xfId="0" applyBorder="1"/>
    <xf numFmtId="0" fontId="2" fillId="14" borderId="16" xfId="0" applyFont="1" applyFill="1" applyBorder="1"/>
    <xf numFmtId="0" fontId="7" fillId="6" borderId="15" xfId="0" applyFont="1" applyFill="1" applyBorder="1"/>
    <xf numFmtId="0" fontId="0" fillId="0" borderId="17" xfId="0" applyBorder="1"/>
    <xf numFmtId="0" fontId="0" fillId="0" borderId="18" xfId="0" applyBorder="1"/>
    <xf numFmtId="0" fontId="0" fillId="3" borderId="18" xfId="0" applyFill="1" applyBorder="1"/>
    <xf numFmtId="166" fontId="1" fillId="3" borderId="18" xfId="1" applyNumberFormat="1" applyFill="1" applyBorder="1" applyProtection="1"/>
    <xf numFmtId="166" fontId="1" fillId="0" borderId="18" xfId="1" applyNumberFormat="1" applyFill="1" applyBorder="1" applyProtection="1"/>
    <xf numFmtId="166" fontId="1" fillId="15" borderId="18" xfId="1" applyNumberFormat="1" applyFill="1" applyBorder="1" applyProtection="1"/>
    <xf numFmtId="166" fontId="1" fillId="13" borderId="18" xfId="1" applyNumberFormat="1" applyFill="1" applyBorder="1" applyProtection="1"/>
    <xf numFmtId="0" fontId="0" fillId="8" borderId="18" xfId="0" applyFill="1" applyBorder="1"/>
    <xf numFmtId="0" fontId="0" fillId="10" borderId="18" xfId="0" applyFill="1" applyBorder="1"/>
    <xf numFmtId="0" fontId="0" fillId="9" borderId="18" xfId="0" applyFill="1" applyBorder="1"/>
    <xf numFmtId="0" fontId="0" fillId="14" borderId="18" xfId="0" applyFill="1" applyBorder="1"/>
    <xf numFmtId="0" fontId="0" fillId="14" borderId="19" xfId="0" applyFill="1" applyBorder="1"/>
    <xf numFmtId="0" fontId="0" fillId="0" borderId="0" xfId="0" applyAlignment="1">
      <alignment horizontal="right" vertic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16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6" fillId="4" borderId="73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164" fontId="14" fillId="4" borderId="79" xfId="2" applyNumberFormat="1" applyFont="1" applyFill="1" applyBorder="1" applyAlignment="1" applyProtection="1">
      <alignment horizontal="center" vertical="center"/>
      <protection locked="0"/>
    </xf>
    <xf numFmtId="166" fontId="10" fillId="4" borderId="0" xfId="1" applyNumberFormat="1" applyFont="1" applyFill="1" applyBorder="1" applyAlignment="1" applyProtection="1">
      <alignment horizontal="center" vertical="center"/>
    </xf>
    <xf numFmtId="166" fontId="10" fillId="4" borderId="0" xfId="1" applyNumberFormat="1" applyFont="1" applyFill="1" applyBorder="1" applyAlignment="1" applyProtection="1">
      <alignment vertical="center"/>
    </xf>
    <xf numFmtId="164" fontId="14" fillId="4" borderId="80" xfId="2" applyNumberFormat="1" applyFont="1" applyFill="1" applyBorder="1" applyAlignment="1" applyProtection="1">
      <alignment horizontal="center" vertical="center"/>
      <protection locked="0"/>
    </xf>
    <xf numFmtId="0" fontId="2" fillId="4" borderId="81" xfId="0" applyFont="1" applyFill="1" applyBorder="1" applyAlignment="1">
      <alignment horizontal="center" vertical="center" wrapText="1"/>
    </xf>
    <xf numFmtId="166" fontId="1" fillId="4" borderId="0" xfId="1" applyNumberFormat="1" applyFill="1" applyBorder="1" applyAlignment="1" applyProtection="1">
      <alignment vertical="center"/>
    </xf>
    <xf numFmtId="170" fontId="2" fillId="4" borderId="82" xfId="1" applyNumberFormat="1" applyFont="1" applyFill="1" applyBorder="1" applyAlignment="1" applyProtection="1">
      <alignment horizontal="center" vertical="center"/>
    </xf>
    <xf numFmtId="170" fontId="5" fillId="4" borderId="76" xfId="0" applyNumberFormat="1" applyFont="1" applyFill="1" applyBorder="1" applyAlignment="1">
      <alignment horizontal="right" vertical="center"/>
    </xf>
    <xf numFmtId="170" fontId="1" fillId="4" borderId="76" xfId="0" applyNumberFormat="1" applyFont="1" applyFill="1" applyBorder="1" applyAlignment="1">
      <alignment horizontal="right" vertical="center"/>
    </xf>
    <xf numFmtId="43" fontId="5" fillId="4" borderId="0" xfId="1" applyFont="1" applyFill="1" applyBorder="1" applyAlignment="1" applyProtection="1">
      <alignment horizontal="right" vertical="center"/>
    </xf>
    <xf numFmtId="43" fontId="4" fillId="4" borderId="0" xfId="1" applyFont="1" applyFill="1" applyBorder="1" applyAlignment="1" applyProtection="1">
      <alignment vertical="center"/>
    </xf>
    <xf numFmtId="0" fontId="30" fillId="4" borderId="0" xfId="0" applyFont="1" applyFill="1"/>
    <xf numFmtId="166" fontId="30" fillId="4" borderId="0" xfId="1" applyNumberFormat="1" applyFont="1" applyFill="1" applyBorder="1" applyAlignment="1" applyProtection="1"/>
    <xf numFmtId="43" fontId="30" fillId="4" borderId="0" xfId="1" applyFont="1" applyFill="1" applyBorder="1" applyAlignment="1" applyProtection="1"/>
    <xf numFmtId="0" fontId="26" fillId="4" borderId="0" xfId="0" applyFont="1" applyFill="1" applyAlignment="1">
      <alignment horizontal="left" vertical="top"/>
    </xf>
    <xf numFmtId="0" fontId="25" fillId="19" borderId="72" xfId="0" applyFont="1" applyFill="1" applyBorder="1" applyAlignment="1">
      <alignment vertical="center"/>
    </xf>
    <xf numFmtId="0" fontId="25" fillId="19" borderId="73" xfId="0" applyFont="1" applyFill="1" applyBorder="1" applyAlignment="1">
      <alignment vertical="center"/>
    </xf>
    <xf numFmtId="166" fontId="25" fillId="19" borderId="103" xfId="1" applyNumberFormat="1" applyFont="1" applyFill="1" applyBorder="1" applyAlignment="1" applyProtection="1">
      <alignment vertical="center"/>
    </xf>
    <xf numFmtId="0" fontId="25" fillId="19" borderId="106" xfId="0" applyFont="1" applyFill="1" applyBorder="1" applyAlignment="1">
      <alignment vertical="center"/>
    </xf>
    <xf numFmtId="0" fontId="25" fillId="19" borderId="0" xfId="0" applyFont="1" applyFill="1" applyAlignment="1">
      <alignment vertical="center"/>
    </xf>
    <xf numFmtId="166" fontId="25" fillId="19" borderId="89" xfId="1" applyNumberFormat="1" applyFont="1" applyFill="1" applyBorder="1" applyAlignment="1" applyProtection="1">
      <alignment vertical="center"/>
    </xf>
    <xf numFmtId="0" fontId="27" fillId="20" borderId="106" xfId="0" applyFont="1" applyFill="1" applyBorder="1" applyAlignment="1">
      <alignment vertical="center"/>
    </xf>
    <xf numFmtId="0" fontId="27" fillId="20" borderId="0" xfId="0" applyFont="1" applyFill="1"/>
    <xf numFmtId="0" fontId="28" fillId="20" borderId="107" xfId="0" applyFont="1" applyFill="1" applyBorder="1" applyAlignment="1">
      <alignment vertical="center"/>
    </xf>
    <xf numFmtId="0" fontId="27" fillId="20" borderId="108" xfId="0" applyFont="1" applyFill="1" applyBorder="1"/>
    <xf numFmtId="165" fontId="24" fillId="21" borderId="0" xfId="1" applyNumberFormat="1" applyFont="1" applyFill="1" applyBorder="1" applyAlignment="1" applyProtection="1">
      <alignment vertical="center"/>
    </xf>
    <xf numFmtId="0" fontId="0" fillId="21" borderId="0" xfId="0" applyFill="1" applyAlignment="1">
      <alignment vertical="center"/>
    </xf>
    <xf numFmtId="170" fontId="2" fillId="21" borderId="0" xfId="1" applyNumberFormat="1" applyFont="1" applyFill="1" applyBorder="1" applyAlignment="1" applyProtection="1">
      <alignment horizontal="center" vertical="center"/>
    </xf>
    <xf numFmtId="0" fontId="5" fillId="21" borderId="0" xfId="0" applyFont="1" applyFill="1" applyAlignment="1">
      <alignment horizontal="center" vertical="center"/>
    </xf>
    <xf numFmtId="0" fontId="10" fillId="21" borderId="0" xfId="0" applyFont="1" applyFill="1" applyAlignment="1">
      <alignment vertical="center"/>
    </xf>
    <xf numFmtId="0" fontId="0" fillId="21" borderId="0" xfId="0" applyFill="1" applyAlignment="1">
      <alignment horizontal="right" vertical="center"/>
    </xf>
    <xf numFmtId="169" fontId="1" fillId="21" borderId="20" xfId="0" applyNumberFormat="1" applyFont="1" applyFill="1" applyBorder="1" applyAlignment="1">
      <alignment horizontal="center" vertical="center"/>
    </xf>
    <xf numFmtId="2" fontId="0" fillId="21" borderId="0" xfId="0" applyNumberFormat="1" applyFill="1" applyAlignment="1">
      <alignment horizontal="right" vertical="center"/>
    </xf>
    <xf numFmtId="0" fontId="30" fillId="21" borderId="0" xfId="0" applyFont="1" applyFill="1"/>
    <xf numFmtId="0" fontId="0" fillId="21" borderId="0" xfId="0" applyFill="1"/>
    <xf numFmtId="0" fontId="5" fillId="21" borderId="0" xfId="1" applyNumberFormat="1" applyFont="1" applyFill="1" applyBorder="1" applyAlignment="1" applyProtection="1">
      <alignment vertical="center" wrapText="1"/>
    </xf>
    <xf numFmtId="0" fontId="36" fillId="21" borderId="0" xfId="0" applyFont="1" applyFill="1" applyAlignment="1" applyProtection="1">
      <alignment horizontal="center" vertical="center"/>
      <protection locked="0"/>
    </xf>
    <xf numFmtId="0" fontId="1" fillId="21" borderId="0" xfId="0" applyFont="1" applyFill="1"/>
    <xf numFmtId="167" fontId="2" fillId="21" borderId="0" xfId="3" applyNumberFormat="1" applyFont="1" applyFill="1" applyBorder="1" applyProtection="1"/>
    <xf numFmtId="166" fontId="1" fillId="21" borderId="0" xfId="1" applyNumberFormat="1" applyFill="1" applyBorder="1" applyProtection="1"/>
    <xf numFmtId="165" fontId="24" fillId="21" borderId="0" xfId="1" applyNumberFormat="1" applyFont="1" applyFill="1" applyBorder="1" applyAlignment="1" applyProtection="1">
      <alignment vertical="center" wrapText="1"/>
    </xf>
    <xf numFmtId="0" fontId="16" fillId="21" borderId="0" xfId="0" applyFont="1" applyFill="1" applyAlignment="1">
      <alignment vertical="center" wrapText="1"/>
    </xf>
    <xf numFmtId="164" fontId="35" fillId="21" borderId="0" xfId="2" applyNumberFormat="1" applyFont="1" applyFill="1" applyBorder="1" applyAlignment="1" applyProtection="1">
      <alignment vertical="center"/>
    </xf>
    <xf numFmtId="166" fontId="36" fillId="21" borderId="0" xfId="1" applyNumberFormat="1" applyFont="1" applyFill="1" applyBorder="1" applyAlignment="1" applyProtection="1">
      <alignment horizontal="center" vertical="center"/>
      <protection locked="0"/>
    </xf>
    <xf numFmtId="166" fontId="36" fillId="21" borderId="0" xfId="1" applyNumberFormat="1" applyFont="1" applyFill="1" applyBorder="1" applyAlignment="1" applyProtection="1">
      <alignment horizontal="center" vertical="center"/>
    </xf>
    <xf numFmtId="166" fontId="37" fillId="21" borderId="0" xfId="1" applyNumberFormat="1" applyFont="1" applyFill="1" applyBorder="1" applyAlignment="1" applyProtection="1">
      <alignment horizontal="center" vertical="center"/>
      <protection locked="0"/>
    </xf>
    <xf numFmtId="166" fontId="36" fillId="21" borderId="0" xfId="1" applyNumberFormat="1" applyFont="1" applyFill="1" applyBorder="1" applyAlignment="1" applyProtection="1">
      <alignment vertical="center"/>
    </xf>
    <xf numFmtId="0" fontId="36" fillId="21" borderId="0" xfId="0" applyFont="1" applyFill="1" applyAlignment="1">
      <alignment vertical="center"/>
    </xf>
    <xf numFmtId="0" fontId="30" fillId="21" borderId="0" xfId="0" applyFont="1" applyFill="1" applyAlignment="1">
      <alignment vertical="center"/>
    </xf>
    <xf numFmtId="171" fontId="38" fillId="21" borderId="0" xfId="0" applyNumberFormat="1" applyFont="1" applyFill="1" applyAlignment="1">
      <alignment horizontal="right" vertical="center"/>
    </xf>
    <xf numFmtId="0" fontId="30" fillId="21" borderId="0" xfId="0" applyFont="1" applyFill="1" applyAlignment="1">
      <alignment horizontal="right" vertical="center"/>
    </xf>
    <xf numFmtId="171" fontId="32" fillId="21" borderId="0" xfId="0" applyNumberFormat="1" applyFont="1" applyFill="1" applyAlignment="1">
      <alignment horizontal="right" vertical="center"/>
    </xf>
    <xf numFmtId="0" fontId="23" fillId="21" borderId="0" xfId="0" applyFont="1" applyFill="1" applyAlignment="1">
      <alignment horizontal="left" vertical="center" wrapText="1"/>
    </xf>
    <xf numFmtId="0" fontId="6" fillId="21" borderId="73" xfId="1" applyNumberFormat="1" applyFont="1" applyFill="1" applyBorder="1" applyAlignment="1" applyProtection="1">
      <alignment horizontal="center" vertical="center" wrapText="1"/>
    </xf>
    <xf numFmtId="0" fontId="6" fillId="21" borderId="0" xfId="1" applyNumberFormat="1" applyFont="1" applyFill="1" applyBorder="1" applyAlignment="1" applyProtection="1">
      <alignment horizontal="center" vertical="center" wrapText="1"/>
    </xf>
    <xf numFmtId="164" fontId="11" fillId="21" borderId="0" xfId="2" applyNumberFormat="1" applyFont="1" applyFill="1" applyBorder="1" applyAlignment="1" applyProtection="1">
      <alignment vertical="center"/>
    </xf>
    <xf numFmtId="0" fontId="0" fillId="21" borderId="76" xfId="0" applyFill="1" applyBorder="1" applyAlignment="1">
      <alignment horizontal="right" vertical="center"/>
    </xf>
    <xf numFmtId="0" fontId="29" fillId="21" borderId="0" xfId="1" applyNumberFormat="1" applyFont="1" applyFill="1" applyBorder="1" applyAlignment="1" applyProtection="1">
      <alignment horizontal="center" vertical="center" wrapText="1"/>
    </xf>
    <xf numFmtId="0" fontId="29" fillId="21" borderId="0" xfId="0" applyFont="1" applyFill="1" applyAlignment="1">
      <alignment horizontal="center" vertical="center" wrapText="1"/>
    </xf>
    <xf numFmtId="0" fontId="30" fillId="21" borderId="0" xfId="0" applyFont="1" applyFill="1" applyAlignment="1">
      <alignment horizontal="center" vertical="center"/>
    </xf>
    <xf numFmtId="0" fontId="39" fillId="21" borderId="0" xfId="0" applyFont="1" applyFill="1" applyAlignment="1">
      <alignment horizontal="left" vertical="center"/>
    </xf>
    <xf numFmtId="0" fontId="28" fillId="21" borderId="0" xfId="0" applyFont="1" applyFill="1" applyAlignment="1">
      <alignment horizontal="right"/>
    </xf>
    <xf numFmtId="0" fontId="1" fillId="0" borderId="0" xfId="0" applyFont="1" applyAlignment="1">
      <alignment horizontal="left" indent="1"/>
    </xf>
    <xf numFmtId="43" fontId="1" fillId="0" borderId="0" xfId="1" applyFill="1" applyProtection="1"/>
    <xf numFmtId="168" fontId="0" fillId="0" borderId="0" xfId="1" applyNumberFormat="1" applyFont="1" applyFill="1" applyProtection="1"/>
    <xf numFmtId="168" fontId="1" fillId="0" borderId="0" xfId="1" applyNumberFormat="1" applyFont="1" applyFill="1" applyProtection="1"/>
    <xf numFmtId="43" fontId="1" fillId="0" borderId="0" xfId="1" applyFill="1" applyAlignment="1" applyProtection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43" fontId="1" fillId="0" borderId="0" xfId="1" applyFill="1" applyAlignment="1" applyProtection="1">
      <alignment horizontal="left"/>
    </xf>
    <xf numFmtId="43" fontId="1" fillId="0" borderId="0" xfId="1" applyFont="1" applyFill="1" applyAlignment="1" applyProtection="1">
      <alignment horizontal="center"/>
    </xf>
    <xf numFmtId="0" fontId="2" fillId="0" borderId="0" xfId="0" applyFont="1" applyAlignment="1">
      <alignment horizontal="center" wrapText="1"/>
    </xf>
    <xf numFmtId="43" fontId="4" fillId="0" borderId="0" xfId="1" applyFont="1" applyFill="1" applyProtection="1"/>
    <xf numFmtId="166" fontId="0" fillId="0" borderId="0" xfId="1" applyNumberFormat="1" applyFont="1" applyProtection="1"/>
    <xf numFmtId="166" fontId="0" fillId="0" borderId="0" xfId="0" applyNumberFormat="1" applyAlignment="1">
      <alignment horizontal="left" indent="1"/>
    </xf>
    <xf numFmtId="166" fontId="1" fillId="0" borderId="0" xfId="1" applyNumberFormat="1" applyProtection="1"/>
    <xf numFmtId="0" fontId="10" fillId="4" borderId="0" xfId="0" applyFont="1" applyFill="1" applyAlignment="1" applyProtection="1">
      <alignment horizontal="center" vertical="center"/>
      <protection locked="0"/>
    </xf>
    <xf numFmtId="166" fontId="37" fillId="19" borderId="0" xfId="1" applyNumberFormat="1" applyFont="1" applyFill="1" applyBorder="1" applyAlignment="1" applyProtection="1">
      <alignment horizontal="center" vertical="center"/>
      <protection locked="0"/>
    </xf>
    <xf numFmtId="0" fontId="10" fillId="21" borderId="0" xfId="0" applyFont="1" applyFill="1" applyAlignment="1" applyProtection="1">
      <alignment horizontal="center" vertical="center"/>
      <protection locked="0"/>
    </xf>
    <xf numFmtId="0" fontId="10" fillId="21" borderId="75" xfId="0" applyFont="1" applyFill="1" applyBorder="1" applyAlignment="1" applyProtection="1">
      <alignment horizontal="center" vertical="center"/>
      <protection locked="0"/>
    </xf>
    <xf numFmtId="166" fontId="15" fillId="4" borderId="0" xfId="1" applyNumberFormat="1" applyFont="1" applyFill="1" applyBorder="1" applyAlignment="1" applyProtection="1">
      <alignment horizontal="center" vertical="center"/>
      <protection locked="0"/>
    </xf>
    <xf numFmtId="0" fontId="16" fillId="21" borderId="0" xfId="0" applyFont="1" applyFill="1" applyAlignment="1">
      <alignment horizontal="left" vertical="center" wrapText="1"/>
    </xf>
    <xf numFmtId="43" fontId="5" fillId="4" borderId="0" xfId="1" applyFont="1" applyFill="1" applyBorder="1" applyAlignment="1" applyProtection="1">
      <alignment horizontal="center" vertical="center"/>
    </xf>
    <xf numFmtId="171" fontId="27" fillId="20" borderId="0" xfId="1" applyNumberFormat="1" applyFont="1" applyFill="1" applyBorder="1" applyAlignment="1" applyProtection="1">
      <alignment horizontal="right" indent="2"/>
    </xf>
    <xf numFmtId="171" fontId="28" fillId="20" borderId="109" xfId="1" applyNumberFormat="1" applyFont="1" applyFill="1" applyBorder="1" applyAlignment="1" applyProtection="1">
      <alignment horizontal="right" indent="2"/>
    </xf>
    <xf numFmtId="0" fontId="1" fillId="0" borderId="0" xfId="0" applyFont="1"/>
    <xf numFmtId="166" fontId="0" fillId="0" borderId="0" xfId="0" applyNumberFormat="1"/>
    <xf numFmtId="165" fontId="2" fillId="0" borderId="0" xfId="2" quotePrefix="1" applyFont="1" applyAlignment="1" applyProtection="1">
      <alignment horizontal="center" vertical="center" wrapText="1"/>
    </xf>
    <xf numFmtId="0" fontId="29" fillId="21" borderId="116" xfId="0" applyFont="1" applyFill="1" applyBorder="1" applyAlignment="1">
      <alignment horizontal="center" vertical="center"/>
    </xf>
    <xf numFmtId="164" fontId="31" fillId="21" borderId="0" xfId="2" applyNumberFormat="1" applyFont="1" applyFill="1" applyBorder="1" applyAlignment="1" applyProtection="1">
      <alignment horizontal="center" vertical="center"/>
      <protection locked="0"/>
    </xf>
    <xf numFmtId="164" fontId="31" fillId="0" borderId="98" xfId="2" applyNumberFormat="1" applyFont="1" applyFill="1" applyBorder="1" applyAlignment="1" applyProtection="1">
      <alignment horizontal="center" vertical="center"/>
      <protection locked="0"/>
    </xf>
    <xf numFmtId="43" fontId="5" fillId="4" borderId="0" xfId="1" applyFont="1" applyFill="1" applyBorder="1" applyAlignment="1" applyProtection="1">
      <alignment vertical="center"/>
    </xf>
    <xf numFmtId="0" fontId="6" fillId="21" borderId="73" xfId="0" applyFont="1" applyFill="1" applyBorder="1" applyAlignment="1">
      <alignment horizontal="center" vertical="center" wrapText="1"/>
    </xf>
    <xf numFmtId="0" fontId="6" fillId="21" borderId="0" xfId="0" applyFont="1" applyFill="1" applyAlignment="1">
      <alignment horizontal="center" vertical="center" wrapText="1"/>
    </xf>
    <xf numFmtId="166" fontId="10" fillId="21" borderId="0" xfId="1" applyNumberFormat="1" applyFont="1" applyFill="1" applyBorder="1" applyAlignment="1" applyProtection="1">
      <alignment horizontal="center" vertical="center"/>
    </xf>
    <xf numFmtId="166" fontId="10" fillId="21" borderId="0" xfId="1" applyNumberFormat="1" applyFont="1" applyFill="1" applyBorder="1" applyAlignment="1" applyProtection="1">
      <alignment horizontal="center" vertical="center"/>
      <protection locked="0"/>
    </xf>
    <xf numFmtId="166" fontId="1" fillId="21" borderId="0" xfId="1" applyNumberFormat="1" applyFill="1" applyBorder="1" applyAlignment="1" applyProtection="1">
      <alignment vertical="center"/>
    </xf>
    <xf numFmtId="170" fontId="5" fillId="21" borderId="76" xfId="0" applyNumberFormat="1" applyFont="1" applyFill="1" applyBorder="1" applyAlignment="1">
      <alignment horizontal="right" vertical="center"/>
    </xf>
    <xf numFmtId="43" fontId="5" fillId="21" borderId="0" xfId="1" applyFont="1" applyFill="1" applyBorder="1" applyAlignment="1" applyProtection="1">
      <alignment vertical="center"/>
    </xf>
    <xf numFmtId="43" fontId="5" fillId="21" borderId="0" xfId="1" applyFont="1" applyFill="1" applyBorder="1" applyAlignment="1" applyProtection="1">
      <alignment horizontal="center" vertical="center"/>
    </xf>
    <xf numFmtId="166" fontId="30" fillId="21" borderId="0" xfId="1" applyNumberFormat="1" applyFont="1" applyFill="1" applyBorder="1" applyAlignment="1" applyProtection="1"/>
    <xf numFmtId="0" fontId="0" fillId="22" borderId="0" xfId="0" applyFill="1"/>
    <xf numFmtId="0" fontId="2" fillId="22" borderId="0" xfId="0" applyFont="1" applyFill="1"/>
    <xf numFmtId="0" fontId="1" fillId="22" borderId="0" xfId="0" applyFont="1" applyFill="1" applyAlignment="1">
      <alignment horizontal="left" indent="1"/>
    </xf>
    <xf numFmtId="0" fontId="0" fillId="22" borderId="0" xfId="0" applyFill="1" applyAlignment="1">
      <alignment horizontal="left" indent="1"/>
    </xf>
    <xf numFmtId="43" fontId="1" fillId="22" borderId="0" xfId="1" applyFill="1" applyProtection="1"/>
    <xf numFmtId="168" fontId="0" fillId="22" borderId="0" xfId="1" applyNumberFormat="1" applyFont="1" applyFill="1" applyProtection="1"/>
    <xf numFmtId="168" fontId="1" fillId="22" borderId="0" xfId="1" applyNumberFormat="1" applyFont="1" applyFill="1" applyProtection="1"/>
    <xf numFmtId="0" fontId="2" fillId="22" borderId="0" xfId="0" applyFont="1" applyFill="1" applyAlignment="1">
      <alignment horizontal="center"/>
    </xf>
    <xf numFmtId="0" fontId="2" fillId="22" borderId="0" xfId="0" applyFont="1" applyFill="1" applyAlignment="1">
      <alignment horizontal="left"/>
    </xf>
    <xf numFmtId="0" fontId="2" fillId="22" borderId="0" xfId="0" applyFont="1" applyFill="1" applyAlignment="1">
      <alignment horizontal="center" wrapText="1"/>
    </xf>
    <xf numFmtId="43" fontId="4" fillId="22" borderId="0" xfId="1" applyFont="1" applyFill="1" applyProtection="1"/>
    <xf numFmtId="0" fontId="41" fillId="0" borderId="0" xfId="0" applyFont="1"/>
    <xf numFmtId="166" fontId="1" fillId="0" borderId="0" xfId="1" applyNumberFormat="1" applyFill="1" applyProtection="1"/>
    <xf numFmtId="0" fontId="2" fillId="21" borderId="0" xfId="0" applyFont="1" applyFill="1"/>
    <xf numFmtId="0" fontId="1" fillId="21" borderId="118" xfId="0" applyFont="1" applyFill="1" applyBorder="1" applyAlignment="1">
      <alignment vertical="center"/>
    </xf>
    <xf numFmtId="0" fontId="0" fillId="21" borderId="119" xfId="0" applyFill="1" applyBorder="1"/>
    <xf numFmtId="172" fontId="1" fillId="0" borderId="120" xfId="2" applyNumberFormat="1" applyFill="1" applyBorder="1" applyAlignment="1" applyProtection="1">
      <alignment vertical="center"/>
    </xf>
    <xf numFmtId="172" fontId="1" fillId="0" borderId="97" xfId="2" applyNumberFormat="1" applyFill="1" applyBorder="1" applyAlignment="1" applyProtection="1">
      <alignment vertical="center"/>
    </xf>
    <xf numFmtId="0" fontId="0" fillId="21" borderId="117" xfId="0" applyFill="1" applyBorder="1"/>
    <xf numFmtId="172" fontId="1" fillId="0" borderId="122" xfId="2" applyNumberFormat="1" applyFill="1" applyBorder="1" applyAlignment="1" applyProtection="1">
      <alignment vertical="center"/>
    </xf>
    <xf numFmtId="0" fontId="0" fillId="21" borderId="119" xfId="0" applyFill="1" applyBorder="1" applyAlignment="1">
      <alignment vertical="center"/>
    </xf>
    <xf numFmtId="0" fontId="1" fillId="21" borderId="121" xfId="0" applyFont="1" applyFill="1" applyBorder="1" applyAlignment="1">
      <alignment vertical="center"/>
    </xf>
    <xf numFmtId="0" fontId="0" fillId="21" borderId="117" xfId="0" applyFill="1" applyBorder="1" applyAlignment="1">
      <alignment vertical="center"/>
    </xf>
    <xf numFmtId="0" fontId="1" fillId="21" borderId="94" xfId="0" applyFont="1" applyFill="1" applyBorder="1" applyAlignment="1">
      <alignment vertical="center"/>
    </xf>
    <xf numFmtId="171" fontId="29" fillId="20" borderId="98" xfId="1" applyNumberFormat="1" applyFont="1" applyFill="1" applyBorder="1" applyAlignment="1" applyProtection="1">
      <alignment horizontal="center" vertical="center"/>
    </xf>
    <xf numFmtId="0" fontId="25" fillId="21" borderId="94" xfId="0" applyFont="1" applyFill="1" applyBorder="1" applyAlignment="1">
      <alignment vertical="center"/>
    </xf>
    <xf numFmtId="166" fontId="25" fillId="21" borderId="93" xfId="0" applyNumberFormat="1" applyFont="1" applyFill="1" applyBorder="1" applyAlignment="1">
      <alignment vertical="center"/>
    </xf>
    <xf numFmtId="166" fontId="25" fillId="21" borderId="93" xfId="1" quotePrefix="1" applyNumberFormat="1" applyFont="1" applyFill="1" applyBorder="1" applyAlignment="1" applyProtection="1">
      <alignment vertical="center"/>
    </xf>
    <xf numFmtId="0" fontId="27" fillId="21" borderId="94" xfId="0" applyFont="1" applyFill="1" applyBorder="1" applyAlignment="1">
      <alignment vertical="center"/>
    </xf>
    <xf numFmtId="171" fontId="27" fillId="21" borderId="89" xfId="0" applyNumberFormat="1" applyFont="1" applyFill="1" applyBorder="1"/>
    <xf numFmtId="171" fontId="27" fillId="21" borderId="89" xfId="1" applyNumberFormat="1" applyFont="1" applyFill="1" applyBorder="1" applyAlignment="1" applyProtection="1"/>
    <xf numFmtId="171" fontId="27" fillId="21" borderId="23" xfId="0" applyNumberFormat="1" applyFont="1" applyFill="1" applyBorder="1"/>
    <xf numFmtId="171" fontId="27" fillId="21" borderId="23" xfId="1" applyNumberFormat="1" applyFont="1" applyFill="1" applyBorder="1" applyAlignment="1" applyProtection="1"/>
    <xf numFmtId="165" fontId="42" fillId="21" borderId="0" xfId="1" applyNumberFormat="1" applyFont="1" applyFill="1" applyBorder="1" applyAlignment="1" applyProtection="1">
      <alignment horizontal="left" vertical="center" wrapText="1"/>
    </xf>
    <xf numFmtId="165" fontId="40" fillId="21" borderId="0" xfId="1" applyNumberFormat="1" applyFont="1" applyFill="1" applyBorder="1" applyAlignment="1" applyProtection="1">
      <alignment horizontal="left" vertical="center" wrapText="1"/>
    </xf>
    <xf numFmtId="0" fontId="16" fillId="21" borderId="0" xfId="0" applyFont="1" applyFill="1" applyAlignment="1">
      <alignment horizontal="left" vertical="center" wrapText="1"/>
    </xf>
    <xf numFmtId="0" fontId="12" fillId="4" borderId="88" xfId="1" applyNumberFormat="1" applyFont="1" applyFill="1" applyBorder="1" applyAlignment="1" applyProtection="1">
      <alignment horizontal="center" vertical="center" wrapText="1"/>
    </xf>
    <xf numFmtId="0" fontId="12" fillId="4" borderId="78" xfId="1" applyNumberFormat="1" applyFont="1" applyFill="1" applyBorder="1" applyAlignment="1" applyProtection="1">
      <alignment horizontal="center" vertical="center" wrapText="1"/>
    </xf>
    <xf numFmtId="0" fontId="21" fillId="4" borderId="73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1" borderId="73" xfId="0" applyFont="1" applyFill="1" applyBorder="1" applyAlignment="1">
      <alignment horizontal="center" vertical="center" wrapText="1"/>
    </xf>
    <xf numFmtId="0" fontId="12" fillId="21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6" fontId="1" fillId="4" borderId="0" xfId="1" applyNumberFormat="1" applyFill="1" applyBorder="1" applyAlignment="1" applyProtection="1">
      <alignment horizontal="center" vertical="center"/>
    </xf>
    <xf numFmtId="166" fontId="1" fillId="21" borderId="0" xfId="1" applyNumberFormat="1" applyFill="1" applyBorder="1" applyAlignment="1" applyProtection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75" xfId="0" applyFill="1" applyBorder="1" applyAlignment="1">
      <alignment horizontal="center" vertical="center"/>
    </xf>
    <xf numFmtId="0" fontId="12" fillId="21" borderId="74" xfId="0" applyFont="1" applyFill="1" applyBorder="1" applyAlignment="1">
      <alignment horizontal="center" vertical="center" wrapText="1"/>
    </xf>
    <xf numFmtId="0" fontId="12" fillId="21" borderId="75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166" fontId="10" fillId="4" borderId="0" xfId="1" applyNumberFormat="1" applyFont="1" applyFill="1" applyBorder="1" applyAlignment="1" applyProtection="1">
      <alignment horizontal="center" vertical="center"/>
      <protection locked="0"/>
    </xf>
    <xf numFmtId="166" fontId="15" fillId="4" borderId="0" xfId="1" applyNumberFormat="1" applyFont="1" applyFill="1" applyBorder="1" applyAlignment="1" applyProtection="1">
      <alignment horizontal="center" vertical="center"/>
      <protection locked="0"/>
    </xf>
    <xf numFmtId="166" fontId="10" fillId="21" borderId="0" xfId="1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21" borderId="0" xfId="0" applyFont="1" applyFill="1" applyAlignment="1" applyProtection="1">
      <alignment horizontal="center" vertical="center"/>
      <protection locked="0"/>
    </xf>
    <xf numFmtId="0" fontId="10" fillId="21" borderId="75" xfId="0" applyFont="1" applyFill="1" applyBorder="1" applyAlignment="1" applyProtection="1">
      <alignment horizontal="center" vertical="center"/>
      <protection locked="0"/>
    </xf>
    <xf numFmtId="166" fontId="25" fillId="19" borderId="89" xfId="1" quotePrefix="1" applyNumberFormat="1" applyFont="1" applyFill="1" applyBorder="1" applyAlignment="1" applyProtection="1">
      <alignment horizontal="center" vertical="center"/>
    </xf>
    <xf numFmtId="166" fontId="25" fillId="19" borderId="90" xfId="1" applyNumberFormat="1" applyFont="1" applyFill="1" applyBorder="1" applyAlignment="1" applyProtection="1">
      <alignment horizontal="center" vertical="center"/>
    </xf>
    <xf numFmtId="166" fontId="25" fillId="19" borderId="91" xfId="1" applyNumberFormat="1" applyFont="1" applyFill="1" applyBorder="1" applyAlignment="1" applyProtection="1">
      <alignment horizontal="center" vertical="center"/>
    </xf>
    <xf numFmtId="166" fontId="25" fillId="19" borderId="95" xfId="1" applyNumberFormat="1" applyFont="1" applyFill="1" applyBorder="1" applyAlignment="1" applyProtection="1">
      <alignment horizontal="center" vertical="center"/>
    </xf>
    <xf numFmtId="165" fontId="36" fillId="19" borderId="0" xfId="1" applyNumberFormat="1" applyFont="1" applyFill="1" applyBorder="1" applyAlignment="1" applyProtection="1">
      <alignment horizontal="center" vertical="center"/>
      <protection locked="0"/>
    </xf>
    <xf numFmtId="0" fontId="36" fillId="19" borderId="0" xfId="0" applyFont="1" applyFill="1" applyAlignment="1" applyProtection="1">
      <alignment horizontal="center" vertical="center"/>
      <protection locked="0"/>
    </xf>
    <xf numFmtId="0" fontId="32" fillId="19" borderId="0" xfId="0" applyFont="1" applyFill="1" applyAlignment="1">
      <alignment horizontal="center" vertical="center" wrapText="1"/>
    </xf>
    <xf numFmtId="0" fontId="32" fillId="19" borderId="115" xfId="1" applyNumberFormat="1" applyFont="1" applyFill="1" applyBorder="1" applyAlignment="1" applyProtection="1">
      <alignment horizontal="center" vertical="center" wrapText="1"/>
    </xf>
    <xf numFmtId="0" fontId="34" fillId="19" borderId="0" xfId="0" applyFont="1" applyFill="1" applyAlignment="1">
      <alignment horizontal="center" vertical="center" wrapText="1"/>
    </xf>
    <xf numFmtId="170" fontId="1" fillId="21" borderId="87" xfId="0" applyNumberFormat="1" applyFont="1" applyFill="1" applyBorder="1" applyAlignment="1">
      <alignment horizontal="center" vertical="center"/>
    </xf>
    <xf numFmtId="170" fontId="1" fillId="21" borderId="77" xfId="0" applyNumberFormat="1" applyFont="1" applyFill="1" applyBorder="1" applyAlignment="1">
      <alignment horizontal="center" vertical="center"/>
    </xf>
    <xf numFmtId="43" fontId="4" fillId="4" borderId="0" xfId="1" applyFont="1" applyFill="1" applyBorder="1" applyAlignment="1" applyProtection="1">
      <alignment horizontal="left" vertical="center" indent="2"/>
    </xf>
    <xf numFmtId="43" fontId="5" fillId="4" borderId="0" xfId="1" applyFont="1" applyFill="1" applyBorder="1" applyAlignment="1" applyProtection="1">
      <alignment horizontal="center" vertical="center"/>
    </xf>
    <xf numFmtId="43" fontId="5" fillId="21" borderId="0" xfId="1" applyFont="1" applyFill="1" applyBorder="1" applyAlignment="1" applyProtection="1">
      <alignment horizontal="center" vertical="center"/>
    </xf>
    <xf numFmtId="43" fontId="4" fillId="21" borderId="0" xfId="1" applyFont="1" applyFill="1" applyBorder="1" applyAlignment="1" applyProtection="1">
      <alignment horizontal="center" vertical="center"/>
    </xf>
    <xf numFmtId="170" fontId="1" fillId="4" borderId="83" xfId="0" applyNumberFormat="1" applyFont="1" applyFill="1" applyBorder="1" applyAlignment="1">
      <alignment horizontal="center" vertical="center"/>
    </xf>
    <xf numFmtId="170" fontId="1" fillId="4" borderId="84" xfId="0" applyNumberFormat="1" applyFont="1" applyFill="1" applyBorder="1" applyAlignment="1">
      <alignment horizontal="center" vertical="center"/>
    </xf>
    <xf numFmtId="170" fontId="1" fillId="4" borderId="85" xfId="0" applyNumberFormat="1" applyFont="1" applyFill="1" applyBorder="1" applyAlignment="1">
      <alignment horizontal="center" vertical="center"/>
    </xf>
    <xf numFmtId="170" fontId="1" fillId="4" borderId="86" xfId="0" applyNumberFormat="1" applyFont="1" applyFill="1" applyBorder="1" applyAlignment="1">
      <alignment horizontal="center" vertical="center"/>
    </xf>
    <xf numFmtId="170" fontId="5" fillId="4" borderId="76" xfId="0" applyNumberFormat="1" applyFont="1" applyFill="1" applyBorder="1" applyAlignment="1">
      <alignment horizontal="center" vertical="center"/>
    </xf>
    <xf numFmtId="170" fontId="5" fillId="21" borderId="76" xfId="0" applyNumberFormat="1" applyFont="1" applyFill="1" applyBorder="1" applyAlignment="1">
      <alignment horizontal="center" vertical="center"/>
    </xf>
    <xf numFmtId="171" fontId="27" fillId="20" borderId="23" xfId="1" applyNumberFormat="1" applyFont="1" applyFill="1" applyBorder="1" applyAlignment="1" applyProtection="1">
      <alignment horizontal="right" indent="2"/>
    </xf>
    <xf numFmtId="171" fontId="27" fillId="20" borderId="92" xfId="1" applyNumberFormat="1" applyFont="1" applyFill="1" applyBorder="1" applyAlignment="1" applyProtection="1">
      <alignment horizontal="right" indent="2"/>
    </xf>
    <xf numFmtId="171" fontId="27" fillId="20" borderId="96" xfId="1" applyNumberFormat="1" applyFont="1" applyFill="1" applyBorder="1" applyAlignment="1" applyProtection="1">
      <alignment horizontal="right" indent="2"/>
    </xf>
    <xf numFmtId="171" fontId="27" fillId="20" borderId="21" xfId="0" applyNumberFormat="1" applyFont="1" applyFill="1" applyBorder="1" applyAlignment="1">
      <alignment horizontal="right" indent="2"/>
    </xf>
    <xf numFmtId="171" fontId="27" fillId="20" borderId="0" xfId="0" applyNumberFormat="1" applyFont="1" applyFill="1" applyAlignment="1">
      <alignment horizontal="right" indent="2"/>
    </xf>
    <xf numFmtId="171" fontId="27" fillId="20" borderId="20" xfId="0" applyNumberFormat="1" applyFont="1" applyFill="1" applyBorder="1" applyAlignment="1">
      <alignment horizontal="right" indent="2"/>
    </xf>
    <xf numFmtId="171" fontId="27" fillId="20" borderId="21" xfId="1" applyNumberFormat="1" applyFont="1" applyFill="1" applyBorder="1" applyAlignment="1" applyProtection="1">
      <alignment horizontal="right" indent="2"/>
    </xf>
    <xf numFmtId="171" fontId="27" fillId="20" borderId="0" xfId="1" applyNumberFormat="1" applyFont="1" applyFill="1" applyBorder="1" applyAlignment="1" applyProtection="1">
      <alignment horizontal="right" indent="2"/>
    </xf>
    <xf numFmtId="171" fontId="27" fillId="20" borderId="20" xfId="1" applyNumberFormat="1" applyFont="1" applyFill="1" applyBorder="1" applyAlignment="1" applyProtection="1">
      <alignment horizontal="right" indent="2"/>
    </xf>
    <xf numFmtId="171" fontId="27" fillId="20" borderId="97" xfId="1" applyNumberFormat="1" applyFont="1" applyFill="1" applyBorder="1" applyAlignment="1" applyProtection="1">
      <alignment horizontal="right" indent="2"/>
    </xf>
    <xf numFmtId="171" fontId="32" fillId="21" borderId="0" xfId="0" applyNumberFormat="1" applyFont="1" applyFill="1" applyAlignment="1">
      <alignment horizontal="center" vertical="center"/>
    </xf>
    <xf numFmtId="170" fontId="29" fillId="20" borderId="113" xfId="1" applyNumberFormat="1" applyFont="1" applyFill="1" applyBorder="1" applyAlignment="1" applyProtection="1">
      <alignment horizontal="center" vertical="center"/>
    </xf>
    <xf numFmtId="170" fontId="29" fillId="20" borderId="99" xfId="1" applyNumberFormat="1" applyFont="1" applyFill="1" applyBorder="1" applyAlignment="1" applyProtection="1">
      <alignment horizontal="center" vertical="center"/>
    </xf>
    <xf numFmtId="170" fontId="29" fillId="20" borderId="114" xfId="1" applyNumberFormat="1" applyFont="1" applyFill="1" applyBorder="1" applyAlignment="1" applyProtection="1">
      <alignment horizontal="center" vertical="center"/>
    </xf>
    <xf numFmtId="0" fontId="25" fillId="19" borderId="100" xfId="0" applyFont="1" applyFill="1" applyBorder="1" applyAlignment="1">
      <alignment horizontal="center" vertical="center"/>
    </xf>
    <xf numFmtId="0" fontId="25" fillId="19" borderId="101" xfId="0" applyFont="1" applyFill="1" applyBorder="1" applyAlignment="1">
      <alignment horizontal="center" vertical="center"/>
    </xf>
    <xf numFmtId="0" fontId="25" fillId="19" borderId="102" xfId="0" applyFont="1" applyFill="1" applyBorder="1" applyAlignment="1">
      <alignment horizontal="center" vertical="center"/>
    </xf>
    <xf numFmtId="166" fontId="25" fillId="19" borderId="100" xfId="1" quotePrefix="1" applyNumberFormat="1" applyFont="1" applyFill="1" applyBorder="1" applyAlignment="1" applyProtection="1">
      <alignment horizontal="center" vertical="center"/>
    </xf>
    <xf numFmtId="166" fontId="25" fillId="19" borderId="101" xfId="1" applyNumberFormat="1" applyFont="1" applyFill="1" applyBorder="1" applyAlignment="1" applyProtection="1">
      <alignment horizontal="center" vertical="center"/>
    </xf>
    <xf numFmtId="166" fontId="25" fillId="19" borderId="104" xfId="1" applyNumberFormat="1" applyFont="1" applyFill="1" applyBorder="1" applyAlignment="1" applyProtection="1">
      <alignment horizontal="center" vertical="center"/>
    </xf>
    <xf numFmtId="166" fontId="25" fillId="19" borderId="105" xfId="1" quotePrefix="1" applyNumberFormat="1" applyFont="1" applyFill="1" applyBorder="1" applyAlignment="1" applyProtection="1">
      <alignment horizontal="center" vertical="center" wrapText="1"/>
    </xf>
    <xf numFmtId="166" fontId="25" fillId="19" borderId="73" xfId="1" quotePrefix="1" applyNumberFormat="1" applyFont="1" applyFill="1" applyBorder="1" applyAlignment="1" applyProtection="1">
      <alignment horizontal="center" vertical="center" wrapText="1"/>
    </xf>
    <xf numFmtId="166" fontId="25" fillId="19" borderId="74" xfId="1" quotePrefix="1" applyNumberFormat="1" applyFont="1" applyFill="1" applyBorder="1" applyAlignment="1" applyProtection="1">
      <alignment horizontal="center" vertical="center" wrapText="1"/>
    </xf>
    <xf numFmtId="166" fontId="25" fillId="19" borderId="94" xfId="1" quotePrefix="1" applyNumberFormat="1" applyFont="1" applyFill="1" applyBorder="1" applyAlignment="1" applyProtection="1">
      <alignment horizontal="center" vertical="center" wrapText="1"/>
    </xf>
    <xf numFmtId="166" fontId="25" fillId="19" borderId="0" xfId="1" quotePrefix="1" applyNumberFormat="1" applyFont="1" applyFill="1" applyBorder="1" applyAlignment="1" applyProtection="1">
      <alignment horizontal="center" vertical="center" wrapText="1"/>
    </xf>
    <xf numFmtId="166" fontId="25" fillId="19" borderId="75" xfId="1" quotePrefix="1" applyNumberFormat="1" applyFont="1" applyFill="1" applyBorder="1" applyAlignment="1" applyProtection="1">
      <alignment horizontal="center" vertical="center" wrapText="1"/>
    </xf>
    <xf numFmtId="0" fontId="25" fillId="19" borderId="23" xfId="0" applyFont="1" applyFill="1" applyBorder="1" applyAlignment="1">
      <alignment horizontal="center" vertical="center"/>
    </xf>
    <xf numFmtId="0" fontId="25" fillId="19" borderId="92" xfId="0" applyFont="1" applyFill="1" applyBorder="1" applyAlignment="1">
      <alignment horizontal="center" vertical="center"/>
    </xf>
    <xf numFmtId="0" fontId="25" fillId="19" borderId="24" xfId="0" applyFont="1" applyFill="1" applyBorder="1" applyAlignment="1">
      <alignment horizontal="center" vertical="center"/>
    </xf>
    <xf numFmtId="171" fontId="38" fillId="21" borderId="0" xfId="0" applyNumberFormat="1" applyFont="1" applyFill="1" applyAlignment="1">
      <alignment horizontal="center" vertical="center"/>
    </xf>
    <xf numFmtId="167" fontId="27" fillId="20" borderId="94" xfId="3" applyNumberFormat="1" applyFont="1" applyFill="1" applyBorder="1" applyAlignment="1" applyProtection="1">
      <alignment horizontal="center"/>
    </xf>
    <xf numFmtId="167" fontId="27" fillId="20" borderId="0" xfId="3" applyNumberFormat="1" applyFont="1" applyFill="1" applyBorder="1" applyAlignment="1" applyProtection="1">
      <alignment horizontal="center"/>
    </xf>
    <xf numFmtId="167" fontId="27" fillId="20" borderId="75" xfId="3" applyNumberFormat="1" applyFont="1" applyFill="1" applyBorder="1" applyAlignment="1" applyProtection="1">
      <alignment horizontal="center"/>
    </xf>
    <xf numFmtId="171" fontId="27" fillId="20" borderId="23" xfId="0" applyNumberFormat="1" applyFont="1" applyFill="1" applyBorder="1" applyAlignment="1">
      <alignment horizontal="right" indent="2"/>
    </xf>
    <xf numFmtId="171" fontId="27" fillId="20" borderId="92" xfId="0" applyNumberFormat="1" applyFont="1" applyFill="1" applyBorder="1" applyAlignment="1">
      <alignment horizontal="right" indent="2"/>
    </xf>
    <xf numFmtId="171" fontId="27" fillId="20" borderId="24" xfId="0" applyNumberFormat="1" applyFont="1" applyFill="1" applyBorder="1" applyAlignment="1">
      <alignment horizontal="right" indent="2"/>
    </xf>
    <xf numFmtId="171" fontId="27" fillId="20" borderId="24" xfId="1" applyNumberFormat="1" applyFont="1" applyFill="1" applyBorder="1" applyAlignment="1" applyProtection="1">
      <alignment horizontal="right" indent="2"/>
    </xf>
    <xf numFmtId="171" fontId="28" fillId="20" borderId="109" xfId="0" applyNumberFormat="1" applyFont="1" applyFill="1" applyBorder="1" applyAlignment="1">
      <alignment horizontal="right" indent="2"/>
    </xf>
    <xf numFmtId="171" fontId="28" fillId="20" borderId="110" xfId="0" applyNumberFormat="1" applyFont="1" applyFill="1" applyBorder="1" applyAlignment="1">
      <alignment horizontal="right" indent="2"/>
    </xf>
    <xf numFmtId="171" fontId="28" fillId="20" borderId="108" xfId="0" applyNumberFormat="1" applyFont="1" applyFill="1" applyBorder="1" applyAlignment="1">
      <alignment horizontal="right" indent="2"/>
    </xf>
    <xf numFmtId="171" fontId="28" fillId="20" borderId="109" xfId="1" applyNumberFormat="1" applyFont="1" applyFill="1" applyBorder="1" applyAlignment="1" applyProtection="1">
      <alignment horizontal="right" indent="2"/>
    </xf>
    <xf numFmtId="171" fontId="28" fillId="20" borderId="110" xfId="1" applyNumberFormat="1" applyFont="1" applyFill="1" applyBorder="1" applyAlignment="1" applyProtection="1">
      <alignment horizontal="right" indent="2"/>
    </xf>
    <xf numFmtId="171" fontId="28" fillId="20" borderId="108" xfId="1" applyNumberFormat="1" applyFont="1" applyFill="1" applyBorder="1" applyAlignment="1" applyProtection="1">
      <alignment horizontal="right" indent="2"/>
    </xf>
    <xf numFmtId="171" fontId="28" fillId="20" borderId="111" xfId="1" applyNumberFormat="1" applyFont="1" applyFill="1" applyBorder="1" applyAlignment="1" applyProtection="1">
      <alignment horizontal="right" indent="2"/>
    </xf>
    <xf numFmtId="167" fontId="28" fillId="20" borderId="112" xfId="3" applyNumberFormat="1" applyFont="1" applyFill="1" applyBorder="1" applyAlignment="1" applyProtection="1">
      <alignment horizontal="center"/>
    </xf>
    <xf numFmtId="167" fontId="28" fillId="20" borderId="76" xfId="3" applyNumberFormat="1" applyFont="1" applyFill="1" applyBorder="1" applyAlignment="1" applyProtection="1">
      <alignment horizontal="center"/>
    </xf>
    <xf numFmtId="167" fontId="28" fillId="20" borderId="77" xfId="3" applyNumberFormat="1" applyFont="1" applyFill="1" applyBorder="1" applyAlignment="1" applyProtection="1">
      <alignment horizontal="center"/>
    </xf>
    <xf numFmtId="0" fontId="13" fillId="16" borderId="0" xfId="0" applyFont="1" applyFill="1" applyAlignment="1">
      <alignment horizontal="center" vertical="center"/>
    </xf>
    <xf numFmtId="165" fontId="2" fillId="0" borderId="0" xfId="2" applyFont="1" applyAlignment="1" applyProtection="1">
      <alignment horizontal="center" vertical="center" wrapText="1"/>
    </xf>
    <xf numFmtId="165" fontId="2" fillId="0" borderId="0" xfId="2" quotePrefix="1" applyFont="1" applyAlignment="1" applyProtection="1">
      <alignment horizontal="center" vertical="center" wrapText="1"/>
    </xf>
    <xf numFmtId="165" fontId="13" fillId="17" borderId="0" xfId="2" applyFont="1" applyFill="1" applyAlignment="1" applyProtection="1">
      <alignment horizontal="center" vertical="center" wrapText="1"/>
    </xf>
    <xf numFmtId="165" fontId="13" fillId="17" borderId="0" xfId="2" quotePrefix="1" applyFont="1" applyFill="1" applyAlignment="1" applyProtection="1">
      <alignment horizontal="center" vertical="center" wrapText="1"/>
    </xf>
    <xf numFmtId="13" fontId="13" fillId="18" borderId="0" xfId="2" quotePrefix="1" applyNumberFormat="1" applyFont="1" applyFill="1" applyAlignment="1" applyProtection="1">
      <alignment horizontal="center" vertical="center" wrapText="1"/>
    </xf>
    <xf numFmtId="165" fontId="13" fillId="18" borderId="0" xfId="2" quotePrefix="1" applyFont="1" applyFill="1" applyAlignment="1" applyProtection="1">
      <alignment horizontal="center" vertical="center" wrapText="1"/>
    </xf>
    <xf numFmtId="43" fontId="4" fillId="3" borderId="8" xfId="1" applyFont="1" applyFill="1" applyBorder="1" applyAlignment="1" applyProtection="1">
      <alignment horizontal="right"/>
    </xf>
    <xf numFmtId="43" fontId="5" fillId="7" borderId="8" xfId="1" applyFont="1" applyFill="1" applyBorder="1" applyAlignment="1" applyProtection="1">
      <alignment horizontal="right" vertical="center"/>
    </xf>
    <xf numFmtId="43" fontId="5" fillId="13" borderId="8" xfId="1" applyFont="1" applyFill="1" applyBorder="1" applyAlignment="1" applyProtection="1">
      <alignment horizontal="right" vertical="center"/>
    </xf>
    <xf numFmtId="43" fontId="5" fillId="8" borderId="8" xfId="1" applyFont="1" applyFill="1" applyBorder="1" applyAlignment="1" applyProtection="1">
      <alignment horizontal="right" vertical="center"/>
    </xf>
    <xf numFmtId="43" fontId="5" fillId="10" borderId="8" xfId="1" applyFont="1" applyFill="1" applyBorder="1" applyAlignment="1" applyProtection="1">
      <alignment horizontal="right" vertical="center"/>
    </xf>
    <xf numFmtId="43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43" fontId="2" fillId="14" borderId="0" xfId="0" applyNumberFormat="1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2" fillId="14" borderId="16" xfId="0" applyFont="1" applyFill="1" applyBorder="1" applyAlignment="1">
      <alignment horizontal="center"/>
    </xf>
    <xf numFmtId="167" fontId="9" fillId="15" borderId="0" xfId="3" applyNumberFormat="1" applyFont="1" applyFill="1" applyBorder="1" applyAlignment="1" applyProtection="1">
      <alignment horizontal="right"/>
    </xf>
    <xf numFmtId="167" fontId="9" fillId="13" borderId="0" xfId="3" applyNumberFormat="1" applyFont="1" applyFill="1" applyBorder="1" applyAlignment="1" applyProtection="1">
      <alignment horizontal="right"/>
    </xf>
    <xf numFmtId="167" fontId="9" fillId="8" borderId="0" xfId="3" applyNumberFormat="1" applyFont="1" applyFill="1" applyBorder="1" applyAlignment="1" applyProtection="1">
      <alignment horizontal="right"/>
    </xf>
    <xf numFmtId="167" fontId="9" fillId="10" borderId="0" xfId="3" applyNumberFormat="1" applyFont="1" applyFill="1" applyBorder="1" applyAlignment="1" applyProtection="1">
      <alignment horizontal="right"/>
    </xf>
    <xf numFmtId="9" fontId="9" fillId="9" borderId="0" xfId="3" applyFont="1" applyFill="1" applyBorder="1" applyAlignment="1" applyProtection="1">
      <alignment horizontal="right"/>
    </xf>
    <xf numFmtId="167" fontId="9" fillId="14" borderId="0" xfId="3" applyNumberFormat="1" applyFont="1" applyFill="1" applyBorder="1" applyAlignment="1" applyProtection="1">
      <alignment horizontal="right"/>
    </xf>
    <xf numFmtId="167" fontId="9" fillId="14" borderId="16" xfId="3" applyNumberFormat="1" applyFont="1" applyFill="1" applyBorder="1" applyAlignment="1" applyProtection="1">
      <alignment horizontal="right"/>
    </xf>
    <xf numFmtId="43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7" fontId="9" fillId="3" borderId="0" xfId="3" applyNumberFormat="1" applyFont="1" applyFill="1" applyBorder="1" applyAlignment="1" applyProtection="1">
      <alignment horizontal="right"/>
    </xf>
    <xf numFmtId="43" fontId="2" fillId="15" borderId="0" xfId="1" applyFont="1" applyFill="1" applyBorder="1" applyAlignment="1" applyProtection="1">
      <alignment horizontal="center"/>
    </xf>
    <xf numFmtId="43" fontId="2" fillId="13" borderId="0" xfId="1" applyFont="1" applyFill="1" applyBorder="1" applyAlignment="1" applyProtection="1">
      <alignment horizontal="center"/>
    </xf>
    <xf numFmtId="43" fontId="2" fillId="8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43" fontId="2" fillId="10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43" fontId="4" fillId="3" borderId="0" xfId="1" applyFont="1" applyFill="1" applyBorder="1" applyAlignment="1" applyProtection="1">
      <alignment horizontal="right"/>
    </xf>
    <xf numFmtId="43" fontId="5" fillId="9" borderId="0" xfId="1" applyFont="1" applyFill="1" applyBorder="1" applyAlignment="1" applyProtection="1">
      <alignment horizontal="right" vertical="center"/>
    </xf>
    <xf numFmtId="43" fontId="5" fillId="2" borderId="0" xfId="1" applyFont="1" applyFill="1" applyBorder="1" applyAlignment="1" applyProtection="1">
      <alignment horizontal="right" vertical="center"/>
    </xf>
    <xf numFmtId="43" fontId="5" fillId="2" borderId="10" xfId="1" applyFont="1" applyFill="1" applyBorder="1" applyAlignment="1" applyProtection="1">
      <alignment horizontal="right" vertical="center"/>
    </xf>
    <xf numFmtId="43" fontId="5" fillId="13" borderId="0" xfId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43" fontId="2" fillId="7" borderId="0" xfId="1" applyFont="1" applyFill="1" applyBorder="1" applyAlignment="1" applyProtection="1">
      <alignment horizontal="center" vertical="center"/>
    </xf>
    <xf numFmtId="43" fontId="2" fillId="13" borderId="0" xfId="1" applyFont="1" applyFill="1" applyBorder="1" applyAlignment="1" applyProtection="1">
      <alignment horizontal="center" vertical="center"/>
    </xf>
    <xf numFmtId="43" fontId="2" fillId="8" borderId="0" xfId="1" applyFont="1" applyFill="1" applyBorder="1" applyAlignment="1" applyProtection="1">
      <alignment horizontal="center" vertical="center"/>
    </xf>
    <xf numFmtId="43" fontId="2" fillId="10" borderId="0" xfId="1" applyFont="1" applyFill="1" applyBorder="1" applyAlignment="1" applyProtection="1">
      <alignment horizontal="center" vertical="center"/>
    </xf>
    <xf numFmtId="43" fontId="4" fillId="3" borderId="0" xfId="1" applyFont="1" applyFill="1" applyBorder="1" applyAlignment="1" applyProtection="1">
      <alignment horizontal="center"/>
    </xf>
    <xf numFmtId="43" fontId="4" fillId="8" borderId="0" xfId="1" applyFont="1" applyFill="1" applyBorder="1" applyAlignment="1" applyProtection="1">
      <alignment horizontal="center"/>
    </xf>
    <xf numFmtId="43" fontId="4" fillId="10" borderId="0" xfId="1" applyFont="1" applyFill="1" applyBorder="1" applyAlignment="1" applyProtection="1">
      <alignment horizontal="center"/>
    </xf>
    <xf numFmtId="43" fontId="5" fillId="7" borderId="0" xfId="1" applyFont="1" applyFill="1" applyBorder="1" applyAlignment="1" applyProtection="1">
      <alignment horizontal="right" vertical="center"/>
    </xf>
    <xf numFmtId="43" fontId="5" fillId="8" borderId="0" xfId="1" applyFont="1" applyFill="1" applyBorder="1" applyAlignment="1" applyProtection="1">
      <alignment horizontal="right" vertical="center"/>
    </xf>
    <xf numFmtId="43" fontId="4" fillId="7" borderId="0" xfId="1" applyFont="1" applyFill="1" applyBorder="1" applyAlignment="1" applyProtection="1">
      <alignment horizontal="center"/>
    </xf>
    <xf numFmtId="43" fontId="5" fillId="7" borderId="0" xfId="1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43" fontId="2" fillId="3" borderId="6" xfId="1" applyFont="1" applyFill="1" applyBorder="1" applyAlignment="1" applyProtection="1">
      <alignment horizontal="right" vertical="center"/>
    </xf>
    <xf numFmtId="0" fontId="6" fillId="10" borderId="35" xfId="0" applyFont="1" applyFill="1" applyBorder="1" applyAlignment="1">
      <alignment horizontal="center" vertical="center"/>
    </xf>
    <xf numFmtId="0" fontId="6" fillId="10" borderId="36" xfId="0" applyFont="1" applyFill="1" applyBorder="1" applyAlignment="1">
      <alignment horizontal="center" vertical="center"/>
    </xf>
    <xf numFmtId="0" fontId="6" fillId="10" borderId="37" xfId="0" applyFont="1" applyFill="1" applyBorder="1" applyAlignment="1">
      <alignment horizontal="center" vertical="center"/>
    </xf>
    <xf numFmtId="0" fontId="6" fillId="13" borderId="38" xfId="0" applyFont="1" applyFill="1" applyBorder="1" applyAlignment="1">
      <alignment horizontal="center" vertical="center"/>
    </xf>
    <xf numFmtId="0" fontId="6" fillId="13" borderId="39" xfId="0" applyFont="1" applyFill="1" applyBorder="1" applyAlignment="1">
      <alignment horizontal="center" vertical="center"/>
    </xf>
    <xf numFmtId="0" fontId="6" fillId="13" borderId="40" xfId="0" applyFont="1" applyFill="1" applyBorder="1" applyAlignment="1">
      <alignment horizontal="center" vertical="center"/>
    </xf>
    <xf numFmtId="43" fontId="5" fillId="13" borderId="2" xfId="1" applyFont="1" applyFill="1" applyBorder="1" applyAlignment="1" applyProtection="1">
      <alignment horizontal="right" vertical="center"/>
    </xf>
    <xf numFmtId="43" fontId="5" fillId="8" borderId="2" xfId="1" applyFont="1" applyFill="1" applyBorder="1" applyAlignment="1" applyProtection="1">
      <alignment horizontal="right" vertical="center"/>
    </xf>
    <xf numFmtId="43" fontId="4" fillId="3" borderId="2" xfId="1" applyFont="1" applyFill="1" applyBorder="1" applyAlignment="1" applyProtection="1">
      <alignment horizontal="right"/>
    </xf>
    <xf numFmtId="43" fontId="4" fillId="13" borderId="0" xfId="1" applyFont="1" applyFill="1" applyBorder="1" applyAlignment="1" applyProtection="1">
      <alignment horizontal="center"/>
    </xf>
    <xf numFmtId="43" fontId="4" fillId="9" borderId="0" xfId="1" applyFont="1" applyFill="1" applyBorder="1" applyAlignment="1" applyProtection="1">
      <alignment horizontal="center"/>
    </xf>
    <xf numFmtId="0" fontId="6" fillId="10" borderId="41" xfId="0" applyFont="1" applyFill="1" applyBorder="1" applyAlignment="1">
      <alignment horizontal="center" vertical="center"/>
    </xf>
    <xf numFmtId="0" fontId="6" fillId="10" borderId="42" xfId="0" applyFont="1" applyFill="1" applyBorder="1" applyAlignment="1">
      <alignment horizontal="center" vertical="center"/>
    </xf>
    <xf numFmtId="0" fontId="6" fillId="10" borderId="43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0" fontId="6" fillId="8" borderId="45" xfId="0" applyFont="1" applyFill="1" applyBorder="1" applyAlignment="1">
      <alignment horizontal="center" vertical="center"/>
    </xf>
    <xf numFmtId="0" fontId="6" fillId="8" borderId="46" xfId="0" applyFont="1" applyFill="1" applyBorder="1" applyAlignment="1">
      <alignment horizontal="center" vertical="center"/>
    </xf>
    <xf numFmtId="43" fontId="5" fillId="7" borderId="2" xfId="1" applyFont="1" applyFill="1" applyBorder="1" applyAlignment="1" applyProtection="1">
      <alignment horizontal="right" vertical="center"/>
    </xf>
    <xf numFmtId="43" fontId="5" fillId="9" borderId="2" xfId="1" applyFont="1" applyFill="1" applyBorder="1" applyAlignment="1" applyProtection="1">
      <alignment horizontal="right" vertical="center"/>
    </xf>
    <xf numFmtId="43" fontId="5" fillId="2" borderId="4" xfId="1" applyFont="1" applyFill="1" applyBorder="1" applyAlignment="1" applyProtection="1">
      <alignment horizontal="right" vertical="center"/>
    </xf>
    <xf numFmtId="0" fontId="12" fillId="11" borderId="0" xfId="0" applyFont="1" applyFill="1" applyAlignment="1">
      <alignment horizontal="center" vertical="center" wrapText="1"/>
    </xf>
    <xf numFmtId="43" fontId="5" fillId="10" borderId="0" xfId="1" applyFont="1" applyFill="1" applyBorder="1" applyAlignment="1" applyProtection="1">
      <alignment horizontal="right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" fillId="9" borderId="53" xfId="0" applyFont="1" applyFill="1" applyBorder="1" applyAlignment="1">
      <alignment horizontal="center" vertical="center"/>
    </xf>
    <xf numFmtId="0" fontId="6" fillId="9" borderId="54" xfId="0" applyFont="1" applyFill="1" applyBorder="1" applyAlignment="1">
      <alignment horizontal="center" vertical="center"/>
    </xf>
    <xf numFmtId="0" fontId="6" fillId="9" borderId="55" xfId="0" applyFont="1" applyFill="1" applyBorder="1" applyAlignment="1">
      <alignment horizontal="center" vertical="center"/>
    </xf>
    <xf numFmtId="0" fontId="6" fillId="13" borderId="56" xfId="0" applyFont="1" applyFill="1" applyBorder="1" applyAlignment="1">
      <alignment horizontal="center" vertical="center"/>
    </xf>
    <xf numFmtId="0" fontId="6" fillId="13" borderId="57" xfId="0" applyFont="1" applyFill="1" applyBorder="1" applyAlignment="1">
      <alignment horizontal="center" vertical="center"/>
    </xf>
    <xf numFmtId="0" fontId="6" fillId="13" borderId="58" xfId="0" applyFont="1" applyFill="1" applyBorder="1" applyAlignment="1">
      <alignment horizontal="center" vertical="center"/>
    </xf>
    <xf numFmtId="43" fontId="5" fillId="10" borderId="2" xfId="1" applyFont="1" applyFill="1" applyBorder="1" applyAlignment="1" applyProtection="1">
      <alignment horizontal="right" vertical="center"/>
    </xf>
    <xf numFmtId="43" fontId="5" fillId="2" borderId="2" xfId="1" applyFont="1" applyFill="1" applyBorder="1" applyAlignment="1" applyProtection="1">
      <alignment horizontal="right" vertical="center"/>
    </xf>
    <xf numFmtId="43" fontId="5" fillId="2" borderId="59" xfId="1" applyFont="1" applyFill="1" applyBorder="1" applyAlignment="1" applyProtection="1">
      <alignment horizontal="right" vertical="center"/>
    </xf>
    <xf numFmtId="0" fontId="12" fillId="11" borderId="0" xfId="0" applyFont="1" applyFill="1" applyAlignment="1">
      <alignment horizontal="center" vertical="center"/>
    </xf>
    <xf numFmtId="166" fontId="15" fillId="12" borderId="0" xfId="1" applyNumberFormat="1" applyFont="1" applyFill="1" applyBorder="1" applyAlignment="1" applyProtection="1">
      <alignment horizontal="center" vertical="center"/>
      <protection locked="0"/>
    </xf>
    <xf numFmtId="0" fontId="10" fillId="12" borderId="0" xfId="0" applyFont="1" applyFill="1" applyAlignment="1" applyProtection="1">
      <alignment horizontal="center" vertical="center"/>
      <protection locked="0"/>
    </xf>
    <xf numFmtId="166" fontId="10" fillId="12" borderId="0" xfId="1" applyNumberFormat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Fill="1" applyBorder="1" applyAlignment="1" applyProtection="1">
      <alignment horizontal="center" vertical="center" wrapText="1"/>
    </xf>
    <xf numFmtId="43" fontId="2" fillId="9" borderId="0" xfId="1" applyFont="1" applyFill="1" applyBorder="1" applyAlignment="1" applyProtection="1">
      <alignment horizontal="center" vertical="center"/>
    </xf>
    <xf numFmtId="43" fontId="2" fillId="2" borderId="0" xfId="1" applyFont="1" applyFill="1" applyBorder="1" applyAlignment="1" applyProtection="1">
      <alignment horizontal="center" vertical="center" wrapText="1"/>
    </xf>
    <xf numFmtId="43" fontId="2" fillId="2" borderId="4" xfId="1" applyFont="1" applyFill="1" applyBorder="1" applyAlignment="1" applyProtection="1">
      <alignment horizontal="center" vertical="center" wrapText="1"/>
    </xf>
    <xf numFmtId="0" fontId="6" fillId="8" borderId="60" xfId="0" applyFont="1" applyFill="1" applyBorder="1" applyAlignment="1">
      <alignment horizontal="center" vertical="center"/>
    </xf>
    <xf numFmtId="0" fontId="6" fillId="8" borderId="61" xfId="0" applyFont="1" applyFill="1" applyBorder="1" applyAlignment="1">
      <alignment horizontal="center" vertical="center"/>
    </xf>
    <xf numFmtId="0" fontId="6" fillId="8" borderId="62" xfId="0" applyFont="1" applyFill="1" applyBorder="1" applyAlignment="1">
      <alignment horizontal="center" vertical="center"/>
    </xf>
    <xf numFmtId="43" fontId="5" fillId="9" borderId="0" xfId="1" applyFont="1" applyFill="1" applyBorder="1" applyAlignment="1" applyProtection="1">
      <alignment horizontal="center" vertical="center"/>
    </xf>
    <xf numFmtId="43" fontId="4" fillId="2" borderId="0" xfId="1" applyFont="1" applyFill="1" applyBorder="1" applyAlignment="1" applyProtection="1">
      <alignment horizontal="center"/>
    </xf>
    <xf numFmtId="43" fontId="4" fillId="2" borderId="4" xfId="1" applyFont="1" applyFill="1" applyBorder="1" applyAlignment="1" applyProtection="1">
      <alignment horizontal="center"/>
    </xf>
    <xf numFmtId="0" fontId="6" fillId="9" borderId="63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43" fontId="5" fillId="13" borderId="0" xfId="1" applyFont="1" applyFill="1" applyBorder="1" applyAlignment="1" applyProtection="1">
      <alignment horizontal="center" vertical="center"/>
    </xf>
    <xf numFmtId="43" fontId="5" fillId="8" borderId="0" xfId="1" applyFont="1" applyFill="1" applyBorder="1" applyAlignment="1" applyProtection="1">
      <alignment horizontal="center" vertical="center"/>
    </xf>
    <xf numFmtId="43" fontId="5" fillId="10" borderId="0" xfId="1" applyFont="1" applyFill="1" applyBorder="1" applyAlignment="1" applyProtection="1">
      <alignment horizontal="center" vertical="center"/>
    </xf>
    <xf numFmtId="43" fontId="5" fillId="9" borderId="8" xfId="1" applyFont="1" applyFill="1" applyBorder="1" applyAlignment="1" applyProtection="1">
      <alignment horizontal="right" vertical="center"/>
    </xf>
    <xf numFmtId="43" fontId="2" fillId="2" borderId="6" xfId="1" applyFont="1" applyFill="1" applyBorder="1" applyAlignment="1" applyProtection="1">
      <alignment horizontal="right" vertical="center" wrapText="1"/>
    </xf>
    <xf numFmtId="43" fontId="2" fillId="2" borderId="69" xfId="1" applyFont="1" applyFill="1" applyBorder="1" applyAlignment="1" applyProtection="1">
      <alignment horizontal="right" vertical="center" wrapText="1"/>
    </xf>
    <xf numFmtId="43" fontId="5" fillId="2" borderId="8" xfId="1" applyFont="1" applyFill="1" applyBorder="1" applyAlignment="1" applyProtection="1">
      <alignment horizontal="right" vertical="center"/>
    </xf>
    <xf numFmtId="43" fontId="5" fillId="2" borderId="25" xfId="1" applyFont="1" applyFill="1" applyBorder="1" applyAlignment="1" applyProtection="1">
      <alignment horizontal="right" vertical="center"/>
    </xf>
    <xf numFmtId="43" fontId="2" fillId="7" borderId="6" xfId="1" applyFont="1" applyFill="1" applyBorder="1" applyAlignment="1" applyProtection="1">
      <alignment horizontal="right" vertical="center"/>
    </xf>
    <xf numFmtId="43" fontId="2" fillId="13" borderId="6" xfId="1" applyFont="1" applyFill="1" applyBorder="1" applyAlignment="1" applyProtection="1">
      <alignment horizontal="right" vertical="center"/>
    </xf>
    <xf numFmtId="43" fontId="2" fillId="8" borderId="6" xfId="1" applyFont="1" applyFill="1" applyBorder="1" applyAlignment="1" applyProtection="1">
      <alignment horizontal="right" vertical="center"/>
    </xf>
    <xf numFmtId="43" fontId="2" fillId="10" borderId="6" xfId="1" applyFont="1" applyFill="1" applyBorder="1" applyAlignment="1" applyProtection="1">
      <alignment horizontal="right" vertical="center"/>
    </xf>
    <xf numFmtId="43" fontId="2" fillId="9" borderId="6" xfId="1" applyFont="1" applyFill="1" applyBorder="1" applyAlignment="1" applyProtection="1">
      <alignment horizontal="right" vertical="center"/>
    </xf>
    <xf numFmtId="43" fontId="4" fillId="2" borderId="10" xfId="1" applyFont="1" applyFill="1" applyBorder="1" applyAlignment="1" applyProtection="1">
      <alignment horizontal="center"/>
    </xf>
    <xf numFmtId="43" fontId="5" fillId="2" borderId="0" xfId="1" applyFont="1" applyFill="1" applyBorder="1" applyAlignment="1" applyProtection="1">
      <alignment horizontal="center" vertical="center"/>
    </xf>
    <xf numFmtId="43" fontId="5" fillId="2" borderId="10" xfId="1" applyFont="1" applyFill="1" applyBorder="1" applyAlignment="1" applyProtection="1">
      <alignment horizontal="center" vertical="center"/>
    </xf>
    <xf numFmtId="43" fontId="2" fillId="2" borderId="0" xfId="1" applyFont="1" applyFill="1" applyBorder="1" applyAlignment="1" applyProtection="1">
      <alignment horizontal="center" vertical="center"/>
    </xf>
    <xf numFmtId="43" fontId="2" fillId="2" borderId="10" xfId="1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right" vertical="center"/>
    </xf>
    <xf numFmtId="43" fontId="2" fillId="7" borderId="0" xfId="1" applyFont="1" applyFill="1" applyBorder="1" applyAlignment="1" applyProtection="1">
      <alignment horizontal="right" vertical="center"/>
    </xf>
    <xf numFmtId="43" fontId="2" fillId="13" borderId="0" xfId="1" applyFont="1" applyFill="1" applyBorder="1" applyAlignment="1" applyProtection="1">
      <alignment horizontal="right" vertical="center"/>
    </xf>
    <xf numFmtId="43" fontId="2" fillId="8" borderId="0" xfId="1" applyFont="1" applyFill="1" applyBorder="1" applyAlignment="1" applyProtection="1">
      <alignment horizontal="right" vertical="center"/>
    </xf>
    <xf numFmtId="43" fontId="2" fillId="10" borderId="0" xfId="1" applyFont="1" applyFill="1" applyBorder="1" applyAlignment="1" applyProtection="1">
      <alignment horizontal="right" vertical="center"/>
    </xf>
    <xf numFmtId="43" fontId="2" fillId="9" borderId="0" xfId="1" applyFont="1" applyFill="1" applyBorder="1" applyAlignment="1" applyProtection="1">
      <alignment horizontal="right" vertical="center"/>
    </xf>
    <xf numFmtId="43" fontId="2" fillId="2" borderId="0" xfId="1" applyFont="1" applyFill="1" applyBorder="1" applyAlignment="1" applyProtection="1">
      <alignment horizontal="right" vertical="center" wrapText="1"/>
    </xf>
    <xf numFmtId="43" fontId="2" fillId="2" borderId="10" xfId="1" applyFont="1" applyFill="1" applyBorder="1" applyAlignment="1" applyProtection="1">
      <alignment horizontal="right" vertical="center" wrapText="1"/>
    </xf>
    <xf numFmtId="167" fontId="9" fillId="3" borderId="12" xfId="3" applyNumberFormat="1" applyFont="1" applyFill="1" applyBorder="1" applyAlignment="1" applyProtection="1">
      <alignment horizontal="right" vertical="center"/>
    </xf>
    <xf numFmtId="167" fontId="9" fillId="7" borderId="12" xfId="3" applyNumberFormat="1" applyFont="1" applyFill="1" applyBorder="1" applyAlignment="1" applyProtection="1">
      <alignment horizontal="right" vertical="center"/>
    </xf>
    <xf numFmtId="167" fontId="9" fillId="13" borderId="12" xfId="3" applyNumberFormat="1" applyFont="1" applyFill="1" applyBorder="1" applyAlignment="1" applyProtection="1">
      <alignment horizontal="right" vertical="center"/>
    </xf>
    <xf numFmtId="167" fontId="9" fillId="8" borderId="12" xfId="3" applyNumberFormat="1" applyFont="1" applyFill="1" applyBorder="1" applyAlignment="1" applyProtection="1">
      <alignment horizontal="right" vertical="center"/>
    </xf>
    <xf numFmtId="167" fontId="9" fillId="10" borderId="12" xfId="3" applyNumberFormat="1" applyFont="1" applyFill="1" applyBorder="1" applyAlignment="1" applyProtection="1">
      <alignment horizontal="right" vertical="center"/>
    </xf>
    <xf numFmtId="167" fontId="9" fillId="9" borderId="12" xfId="3" applyNumberFormat="1" applyFont="1" applyFill="1" applyBorder="1" applyAlignment="1" applyProtection="1">
      <alignment horizontal="right" vertical="center"/>
    </xf>
    <xf numFmtId="43" fontId="5" fillId="2" borderId="14" xfId="1" applyFont="1" applyFill="1" applyBorder="1" applyAlignment="1" applyProtection="1">
      <alignment horizontal="right" vertical="center"/>
    </xf>
    <xf numFmtId="43" fontId="5" fillId="2" borderId="70" xfId="1" applyFont="1" applyFill="1" applyBorder="1" applyAlignment="1" applyProtection="1">
      <alignment horizontal="right" vertical="center"/>
    </xf>
    <xf numFmtId="43" fontId="2" fillId="2" borderId="10" xfId="1" applyFont="1" applyFill="1" applyBorder="1" applyAlignment="1" applyProtection="1">
      <alignment horizontal="center" vertical="center" wrapText="1"/>
    </xf>
    <xf numFmtId="167" fontId="9" fillId="2" borderId="12" xfId="3" applyNumberFormat="1" applyFont="1" applyFill="1" applyBorder="1" applyAlignment="1" applyProtection="1">
      <alignment horizontal="right" vertical="center" wrapText="1"/>
    </xf>
    <xf numFmtId="167" fontId="9" fillId="2" borderId="71" xfId="3" applyNumberFormat="1" applyFont="1" applyFill="1" applyBorder="1" applyAlignment="1" applyProtection="1">
      <alignment horizontal="right" vertical="center" wrapText="1"/>
    </xf>
    <xf numFmtId="43" fontId="4" fillId="3" borderId="14" xfId="1" applyFont="1" applyFill="1" applyBorder="1" applyAlignment="1" applyProtection="1">
      <alignment horizontal="right"/>
    </xf>
    <xf numFmtId="43" fontId="5" fillId="7" borderId="14" xfId="1" applyFont="1" applyFill="1" applyBorder="1" applyAlignment="1" applyProtection="1">
      <alignment horizontal="right" vertical="center"/>
    </xf>
    <xf numFmtId="43" fontId="5" fillId="13" borderId="14" xfId="1" applyFont="1" applyFill="1" applyBorder="1" applyAlignment="1" applyProtection="1">
      <alignment horizontal="right" vertical="center"/>
    </xf>
    <xf numFmtId="43" fontId="5" fillId="8" borderId="14" xfId="1" applyFont="1" applyFill="1" applyBorder="1" applyAlignment="1" applyProtection="1">
      <alignment horizontal="right" vertical="center"/>
    </xf>
    <xf numFmtId="43" fontId="5" fillId="10" borderId="14" xfId="1" applyFont="1" applyFill="1" applyBorder="1" applyAlignment="1" applyProtection="1">
      <alignment horizontal="right" vertical="center"/>
    </xf>
    <xf numFmtId="43" fontId="5" fillId="9" borderId="14" xfId="1" applyFont="1" applyFill="1" applyBorder="1" applyAlignment="1" applyProtection="1">
      <alignment horizontal="right" vertical="center"/>
    </xf>
    <xf numFmtId="43" fontId="5" fillId="2" borderId="16" xfId="1" applyFont="1" applyFill="1" applyBorder="1" applyAlignment="1" applyProtection="1">
      <alignment horizontal="right" vertical="center"/>
    </xf>
    <xf numFmtId="43" fontId="5" fillId="2" borderId="16" xfId="1" applyFont="1" applyFill="1" applyBorder="1" applyAlignment="1" applyProtection="1">
      <alignment horizontal="center" vertical="center"/>
    </xf>
    <xf numFmtId="43" fontId="4" fillId="2" borderId="16" xfId="1" applyFont="1" applyFill="1" applyBorder="1" applyAlignment="1" applyProtection="1">
      <alignment horizontal="center"/>
    </xf>
    <xf numFmtId="43" fontId="2" fillId="14" borderId="0" xfId="1" applyFont="1" applyFill="1" applyBorder="1" applyAlignment="1" applyProtection="1">
      <alignment horizontal="center" vertical="center"/>
    </xf>
    <xf numFmtId="43" fontId="2" fillId="14" borderId="16" xfId="1" applyFont="1" applyFill="1" applyBorder="1" applyAlignment="1" applyProtection="1">
      <alignment horizontal="center" vertical="center"/>
    </xf>
    <xf numFmtId="43" fontId="4" fillId="14" borderId="0" xfId="1" applyFont="1" applyFill="1" applyBorder="1" applyAlignment="1" applyProtection="1">
      <alignment horizontal="center"/>
    </xf>
    <xf numFmtId="43" fontId="4" fillId="14" borderId="16" xfId="1" applyFont="1" applyFill="1" applyBorder="1" applyAlignment="1" applyProtection="1">
      <alignment horizontal="center"/>
    </xf>
    <xf numFmtId="43" fontId="2" fillId="14" borderId="0" xfId="1" applyFont="1" applyFill="1" applyBorder="1" applyAlignment="1" applyProtection="1">
      <alignment vertical="center" wrapText="1"/>
    </xf>
    <xf numFmtId="43" fontId="2" fillId="14" borderId="16" xfId="1" applyFont="1" applyFill="1" applyBorder="1" applyAlignment="1" applyProtection="1">
      <alignment vertical="center" wrapText="1"/>
    </xf>
    <xf numFmtId="43" fontId="2" fillId="14" borderId="0" xfId="1" applyFont="1" applyFill="1" applyBorder="1" applyAlignment="1" applyProtection="1">
      <alignment horizontal="right" vertical="center"/>
    </xf>
    <xf numFmtId="43" fontId="2" fillId="14" borderId="16" xfId="1" applyFont="1" applyFill="1" applyBorder="1" applyAlignment="1" applyProtection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  <color rgb="FFB38F44"/>
      <color rgb="FF243229"/>
      <color rgb="FFCCDBDB"/>
      <color rgb="FF8CB597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243229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243229"/>
                </a:solidFill>
              </a:rPr>
              <a:t>SRV (2x8%, 2x6%) vs </a:t>
            </a:r>
          </a:p>
          <a:p>
            <a:pPr>
              <a:defRPr>
                <a:solidFill>
                  <a:srgbClr val="243229"/>
                </a:solidFill>
              </a:defRPr>
            </a:pPr>
            <a:r>
              <a:rPr lang="en-US">
                <a:solidFill>
                  <a:srgbClr val="243229"/>
                </a:solidFill>
              </a:rPr>
              <a:t>Rate Peg Only (estimate only)</a:t>
            </a:r>
          </a:p>
        </c:rich>
      </c:tx>
      <c:layout>
        <c:manualLayout>
          <c:xMode val="edge"/>
          <c:yMode val="edge"/>
          <c:x val="0.25482237312986633"/>
          <c:y val="1.68946872440265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243229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875290436631082E-2"/>
          <c:y val="0.18495493480658698"/>
          <c:w val="0.93009062946707488"/>
          <c:h val="0.61203184751827922"/>
        </c:manualLayout>
      </c:layout>
      <c:lineChart>
        <c:grouping val="standard"/>
        <c:varyColors val="0"/>
        <c:ser>
          <c:idx val="0"/>
          <c:order val="0"/>
          <c:tx>
            <c:strRef>
              <c:f>'Rates Calculator - Simplified'!$CJ$35</c:f>
              <c:strCache>
                <c:ptCount val="1"/>
                <c:pt idx="0">
                  <c:v>General Rates - SRV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6.2245637451802414E-2"/>
                  <c:y val="-5.2761277376836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27-449E-BAA6-F5D3EC2AEB99}"/>
                </c:ext>
              </c:extLst>
            </c:dLbl>
            <c:dLbl>
              <c:idx val="1"/>
              <c:layout>
                <c:manualLayout>
                  <c:x val="-9.2588667784936046E-2"/>
                  <c:y val="-3.077741180315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27-449E-BAA6-F5D3EC2AEB99}"/>
                </c:ext>
              </c:extLst>
            </c:dLbl>
            <c:dLbl>
              <c:idx val="2"/>
              <c:layout>
                <c:manualLayout>
                  <c:x val="-7.4103051949106852E-2"/>
                  <c:y val="-3.077741180315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27-449E-BAA6-F5D3EC2AEB99}"/>
                </c:ext>
              </c:extLst>
            </c:dLbl>
            <c:dLbl>
              <c:idx val="3"/>
              <c:layout>
                <c:manualLayout>
                  <c:x val="-8.9110677242648317E-2"/>
                  <c:y val="-2.6437825658846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27-449E-BAA6-F5D3EC2AEB99}"/>
                </c:ext>
              </c:extLst>
            </c:dLbl>
            <c:dLbl>
              <c:idx val="4"/>
              <c:layout>
                <c:manualLayout>
                  <c:x val="-7.4103051949106852E-2"/>
                  <c:y val="-4.8364504262100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27-449E-BAA6-F5D3EC2AE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24322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'Rates Calculator - Simplified'!$CK$34:$CO$34</c:f>
              <c:strCache>
                <c:ptCount val="5"/>
                <c:pt idx="0">
                  <c:v> 2022/23 </c:v>
                </c:pt>
                <c:pt idx="1">
                  <c:v> 2023/24 </c:v>
                </c:pt>
                <c:pt idx="2">
                  <c:v> 2024/25 </c:v>
                </c:pt>
                <c:pt idx="3">
                  <c:v> 2025/26 </c:v>
                </c:pt>
                <c:pt idx="4">
                  <c:v> 2026/27 </c:v>
                </c:pt>
              </c:strCache>
            </c:strRef>
          </c:cat>
          <c:val>
            <c:numRef>
              <c:f>'Rates Calculator - Simplified'!$CK$35:$CO$35</c:f>
              <c:numCache>
                <c:formatCode>"$"#,##0</c:formatCode>
                <c:ptCount val="5"/>
                <c:pt idx="0">
                  <c:v>576</c:v>
                </c:pt>
                <c:pt idx="1">
                  <c:v>622.08000000000004</c:v>
                </c:pt>
                <c:pt idx="2">
                  <c:v>671.84640000000013</c:v>
                </c:pt>
                <c:pt idx="3">
                  <c:v>712.15718400000014</c:v>
                </c:pt>
                <c:pt idx="4">
                  <c:v>754.88661504000015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27-449E-BAA6-F5D3EC2AEB99}"/>
            </c:ext>
          </c:extLst>
        </c:ser>
        <c:ser>
          <c:idx val="1"/>
          <c:order val="1"/>
          <c:tx>
            <c:strRef>
              <c:f>'Rates Calculator - Simplified'!$CJ$36</c:f>
              <c:strCache>
                <c:ptCount val="1"/>
                <c:pt idx="0">
                  <c:v>General Rates - Rate Peg Only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tx2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27-449E-BAA6-F5D3EC2AEB99}"/>
                </c:ext>
              </c:extLst>
            </c:dLbl>
            <c:dLbl>
              <c:idx val="1"/>
              <c:layout>
                <c:manualLayout>
                  <c:x val="-8.073125328763156E-2"/>
                  <c:y val="5.7158050491573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27-449E-BAA6-F5D3EC2AEB99}"/>
                </c:ext>
              </c:extLst>
            </c:dLbl>
            <c:dLbl>
              <c:idx val="2"/>
              <c:layout>
                <c:manualLayout>
                  <c:x val="-7.4103051949106852E-2"/>
                  <c:y val="5.7158050491573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27-449E-BAA6-F5D3EC2AEB99}"/>
                </c:ext>
              </c:extLst>
            </c:dLbl>
            <c:dLbl>
              <c:idx val="3"/>
              <c:layout>
                <c:manualLayout>
                  <c:x val="-0.10267493934512339"/>
                  <c:y val="5.2837441950477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27-449E-BAA6-F5D3EC2AEB99}"/>
                </c:ext>
              </c:extLst>
            </c:dLbl>
            <c:dLbl>
              <c:idx val="4"/>
              <c:layout>
                <c:manualLayout>
                  <c:x val="-7.4103051949106852E-2"/>
                  <c:y val="3.517418491789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27-449E-BAA6-F5D3EC2AEB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24322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'Rates Calculator - Simplified'!$CK$34:$CO$34</c:f>
              <c:strCache>
                <c:ptCount val="5"/>
                <c:pt idx="0">
                  <c:v> 2022/23 </c:v>
                </c:pt>
                <c:pt idx="1">
                  <c:v> 2023/24 </c:v>
                </c:pt>
                <c:pt idx="2">
                  <c:v> 2024/25 </c:v>
                </c:pt>
                <c:pt idx="3">
                  <c:v> 2025/26 </c:v>
                </c:pt>
                <c:pt idx="4">
                  <c:v> 2026/27 </c:v>
                </c:pt>
              </c:strCache>
            </c:strRef>
          </c:cat>
          <c:val>
            <c:numRef>
              <c:f>'Rates Calculator - Simplified'!$CK$36:$CO$36</c:f>
              <c:numCache>
                <c:formatCode>"$"#,##0</c:formatCode>
                <c:ptCount val="5"/>
                <c:pt idx="0">
                  <c:v>576</c:v>
                </c:pt>
                <c:pt idx="1">
                  <c:v>601.91999999999996</c:v>
                </c:pt>
                <c:pt idx="2">
                  <c:v>622.98719999999992</c:v>
                </c:pt>
                <c:pt idx="3">
                  <c:v>638.56187999999986</c:v>
                </c:pt>
                <c:pt idx="4">
                  <c:v>654.5259269999998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727-449E-BAA6-F5D3EC2AEB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1185888"/>
        <c:axId val="441194904"/>
      </c:lineChart>
      <c:catAx>
        <c:axId val="44118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243229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1194904"/>
        <c:crosses val="autoZero"/>
        <c:auto val="1"/>
        <c:lblAlgn val="ctr"/>
        <c:lblOffset val="100"/>
        <c:noMultiLvlLbl val="0"/>
      </c:catAx>
      <c:valAx>
        <c:axId val="441194904"/>
        <c:scaling>
          <c:orientation val="minMax"/>
          <c:min val="400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44118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950977722098235E-3"/>
          <c:y val="0.8850628569729192"/>
          <c:w val="0.98463053543221313"/>
          <c:h val="0.1081552977796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243229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Drop" dropLines="2" dropStyle="combo" dx="26" fmlaLink="$AE$9" fmlaRange="Tables!$B$43:$B$44" noThreeD="1" sel="1" val="0"/>
</file>

<file path=xl/ctrlProps/ctrlProp2.xml><?xml version="1.0" encoding="utf-8"?>
<formControlPr xmlns="http://schemas.microsoft.com/office/spreadsheetml/2009/9/main" objectType="Drop" dropLines="2" dropStyle="combo" dx="26" fmlaLink="$AE$9" fmlaRange="Tables!$B$43:$B$44" noThreeD="1" sel="1" val="0"/>
</file>

<file path=xl/ctrlProps/ctrlProp3.xml><?xml version="1.0" encoding="utf-8"?>
<formControlPr xmlns="http://schemas.microsoft.com/office/spreadsheetml/2009/9/main" objectType="Drop" dropLines="13" dropStyle="combo" dx="26" fmlaLink="$D$9" fmlaRange="Tables!$B$4:$B$15" noThreeD="1" sel="1" val="0"/>
</file>

<file path=xl/ctrlProps/ctrlProp4.xml><?xml version="1.0" encoding="utf-8"?>
<formControlPr xmlns="http://schemas.microsoft.com/office/spreadsheetml/2009/9/main" objectType="Drop" dropLines="5" dropStyle="combo" dx="26" fmlaLink="$R$3" fmlaRange="Tables!$B$25:$B$29" noThreeD="1" sel="2" val="0"/>
</file>

<file path=xl/ctrlProps/ctrlProp5.xml><?xml version="1.0" encoding="utf-8"?>
<formControlPr xmlns="http://schemas.microsoft.com/office/spreadsheetml/2009/9/main" objectType="Drop" dropLines="13" dropStyle="combo" dx="26" fmlaLink="$C$3" fmlaRange="Tables!$B$4:$B$13" noThreeD="1" sel="3" val="0"/>
</file>

<file path=xl/ctrlProps/ctrlProp6.xml><?xml version="1.0" encoding="utf-8"?>
<formControlPr xmlns="http://schemas.microsoft.com/office/spreadsheetml/2009/9/main" objectType="Drop" dropLines="5" dropStyle="combo" dx="26" fmlaLink="$I$3" fmlaRange="Tables!$B$17:$B$22" sel="2" val="0"/>
</file>

<file path=xl/ctrlProps/ctrlProp7.xml><?xml version="1.0" encoding="utf-8"?>
<formControlPr xmlns="http://schemas.microsoft.com/office/spreadsheetml/2009/9/main" objectType="Drop" dropLines="2" dropStyle="combo" dx="26" fmlaLink="$AD$3" fmlaRange="Tables!$B$43:$B$44" noThreeD="1" sel="2" val="0"/>
</file>

<file path=xl/ctrlProps/ctrlProp8.xml><?xml version="1.0" encoding="utf-8"?>
<formControlPr xmlns="http://schemas.microsoft.com/office/spreadsheetml/2009/9/main" objectType="Drop" dropLines="12" dropStyle="combo" dx="26" fmlaLink="$Y$3" fmlaRange="Tables!$B$36:$B$41" noThreeD="1" sel="1" val="0"/>
</file>

<file path=xl/ctrlProps/ctrlProp9.xml><?xml version="1.0" encoding="utf-8"?>
<formControlPr xmlns="http://schemas.microsoft.com/office/spreadsheetml/2009/9/main" objectType="Drop" dropLines="5" dropStyle="combo" dx="26" fmlaLink="$U$3" fmlaRange="Tables!$B$31:$B$34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66974</xdr:colOff>
      <xdr:row>3</xdr:row>
      <xdr:rowOff>38100</xdr:rowOff>
    </xdr:from>
    <xdr:to>
      <xdr:col>38</xdr:col>
      <xdr:colOff>685800</xdr:colOff>
      <xdr:row>31</xdr:row>
      <xdr:rowOff>281354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5949" y="1190625"/>
          <a:ext cx="3714451" cy="502480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488950</xdr:colOff>
          <xdr:row>16</xdr:row>
          <xdr:rowOff>69850</xdr:rowOff>
        </xdr:from>
        <xdr:to>
          <xdr:col>12</xdr:col>
          <xdr:colOff>114300</xdr:colOff>
          <xdr:row>16</xdr:row>
          <xdr:rowOff>260350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16</xdr:row>
          <xdr:rowOff>69850</xdr:rowOff>
        </xdr:from>
        <xdr:to>
          <xdr:col>13</xdr:col>
          <xdr:colOff>469900</xdr:colOff>
          <xdr:row>16</xdr:row>
          <xdr:rowOff>260350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57150</xdr:rowOff>
        </xdr:from>
        <xdr:to>
          <xdr:col>7</xdr:col>
          <xdr:colOff>514350</xdr:colOff>
          <xdr:row>16</xdr:row>
          <xdr:rowOff>260350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76200</xdr:colOff>
      <xdr:row>3</xdr:row>
      <xdr:rowOff>50165</xdr:rowOff>
    </xdr:from>
    <xdr:to>
      <xdr:col>1</xdr:col>
      <xdr:colOff>2352675</xdr:colOff>
      <xdr:row>3</xdr:row>
      <xdr:rowOff>658495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1202690"/>
          <a:ext cx="2276475" cy="608330"/>
        </a:xfrm>
        <a:prstGeom prst="rect">
          <a:avLst/>
        </a:prstGeom>
        <a:solidFill>
          <a:srgbClr val="B38F44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Step 1: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Enter Land Value</a:t>
          </a:r>
        </a:p>
        <a:p>
          <a:endParaRPr lang="en-US" sz="1100"/>
        </a:p>
      </xdr:txBody>
    </xdr:sp>
    <xdr:clientData/>
  </xdr:twoCellAnchor>
  <xdr:twoCellAnchor>
    <xdr:from>
      <xdr:col>2</xdr:col>
      <xdr:colOff>57150</xdr:colOff>
      <xdr:row>3</xdr:row>
      <xdr:rowOff>45720</xdr:rowOff>
    </xdr:from>
    <xdr:to>
      <xdr:col>8</xdr:col>
      <xdr:colOff>9525</xdr:colOff>
      <xdr:row>3</xdr:row>
      <xdr:rowOff>656590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86025" y="1198245"/>
          <a:ext cx="2105025" cy="610870"/>
        </a:xfrm>
        <a:prstGeom prst="rect">
          <a:avLst/>
        </a:prstGeom>
        <a:solidFill>
          <a:srgbClr val="B38F44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Step 2: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Select Rate Category</a:t>
          </a:r>
          <a:endParaRPr lang="en-US" sz="1100"/>
        </a:p>
      </xdr:txBody>
    </xdr:sp>
    <xdr:clientData/>
  </xdr:twoCellAnchor>
  <xdr:twoCellAnchor>
    <xdr:from>
      <xdr:col>1</xdr:col>
      <xdr:colOff>1209675</xdr:colOff>
      <xdr:row>3</xdr:row>
      <xdr:rowOff>666750</xdr:rowOff>
    </xdr:from>
    <xdr:to>
      <xdr:col>1</xdr:col>
      <xdr:colOff>1209675</xdr:colOff>
      <xdr:row>4</xdr:row>
      <xdr:rowOff>123825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1276350" y="1819275"/>
          <a:ext cx="0" cy="238125"/>
        </a:xfrm>
        <a:prstGeom prst="straightConnector1">
          <a:avLst/>
        </a:prstGeom>
        <a:ln>
          <a:solidFill>
            <a:srgbClr val="B38F44"/>
          </a:solidFill>
          <a:headEnd type="none" w="med" len="med"/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60325</xdr:colOff>
      <xdr:row>3</xdr:row>
      <xdr:rowOff>659765</xdr:rowOff>
    </xdr:from>
    <xdr:to>
      <xdr:col>5</xdr:col>
      <xdr:colOff>66675</xdr:colOff>
      <xdr:row>4</xdr:row>
      <xdr:rowOff>133350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/>
          <a:stCxn id="4" idx="2"/>
        </xdr:cNvCxnSpPr>
      </xdr:nvCxnSpPr>
      <xdr:spPr bwMode="auto">
        <a:xfrm>
          <a:off x="3536950" y="1812290"/>
          <a:ext cx="6350" cy="254635"/>
        </a:xfrm>
        <a:prstGeom prst="straightConnector1">
          <a:avLst/>
        </a:prstGeom>
        <a:ln>
          <a:solidFill>
            <a:srgbClr val="B38F44"/>
          </a:solidFill>
          <a:headEnd type="none" w="med" len="med"/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9524</xdr:colOff>
      <xdr:row>3</xdr:row>
      <xdr:rowOff>50165</xdr:rowOff>
    </xdr:from>
    <xdr:to>
      <xdr:col>13</xdr:col>
      <xdr:colOff>523874</xdr:colOff>
      <xdr:row>3</xdr:row>
      <xdr:rowOff>654050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57724" y="1202690"/>
          <a:ext cx="1876425" cy="603885"/>
        </a:xfrm>
        <a:prstGeom prst="rect">
          <a:avLst/>
        </a:prstGeom>
        <a:solidFill>
          <a:srgbClr val="B38F44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Step 3: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Select pension status</a:t>
          </a:r>
        </a:p>
        <a:p>
          <a:endParaRPr lang="en-US" sz="1100"/>
        </a:p>
      </xdr:txBody>
    </xdr:sp>
    <xdr:clientData/>
  </xdr:twoCellAnchor>
  <xdr:twoCellAnchor>
    <xdr:from>
      <xdr:col>12</xdr:col>
      <xdr:colOff>217487</xdr:colOff>
      <xdr:row>3</xdr:row>
      <xdr:rowOff>657225</xdr:rowOff>
    </xdr:from>
    <xdr:to>
      <xdr:col>12</xdr:col>
      <xdr:colOff>219075</xdr:colOff>
      <xdr:row>5</xdr:row>
      <xdr:rowOff>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11" idx="2"/>
        </xdr:cNvCxnSpPr>
      </xdr:nvCxnSpPr>
      <xdr:spPr bwMode="auto">
        <a:xfrm>
          <a:off x="5599112" y="1809750"/>
          <a:ext cx="1588" cy="266700"/>
        </a:xfrm>
        <a:prstGeom prst="straightConnector1">
          <a:avLst/>
        </a:prstGeom>
        <a:ln>
          <a:solidFill>
            <a:srgbClr val="B38F44"/>
          </a:solidFill>
          <a:headEnd type="none" w="med" len="med"/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29875</xdr:colOff>
      <xdr:row>3</xdr:row>
      <xdr:rowOff>40735</xdr:rowOff>
    </xdr:from>
    <xdr:to>
      <xdr:col>27</xdr:col>
      <xdr:colOff>19050</xdr:colOff>
      <xdr:row>21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17</xdr:row>
      <xdr:rowOff>95250</xdr:rowOff>
    </xdr:from>
    <xdr:to>
      <xdr:col>2</xdr:col>
      <xdr:colOff>12699</xdr:colOff>
      <xdr:row>18</xdr:row>
      <xdr:rowOff>495301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150" y="3143250"/>
          <a:ext cx="2384424" cy="542926"/>
        </a:xfrm>
        <a:prstGeom prst="rect">
          <a:avLst/>
        </a:prstGeom>
        <a:solidFill>
          <a:srgbClr val="8CB59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Total Estimated</a:t>
          </a: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Rates 2023/24 (8% SRV)</a:t>
          </a:r>
        </a:p>
      </xdr:txBody>
    </xdr:sp>
    <xdr:clientData/>
  </xdr:twoCellAnchor>
  <xdr:twoCellAnchor>
    <xdr:from>
      <xdr:col>23</xdr:col>
      <xdr:colOff>9525</xdr:colOff>
      <xdr:row>31</xdr:row>
      <xdr:rowOff>20171</xdr:rowOff>
    </xdr:from>
    <xdr:to>
      <xdr:col>26</xdr:col>
      <xdr:colOff>514350</xdr:colOff>
      <xdr:row>31</xdr:row>
      <xdr:rowOff>273300</xdr:rowOff>
    </xdr:to>
    <xdr:sp macro="" textlink="$X$32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448800" y="5982821"/>
          <a:ext cx="1895475" cy="253129"/>
        </a:xfrm>
        <a:prstGeom prst="rect">
          <a:avLst/>
        </a:prstGeom>
        <a:solidFill>
          <a:srgbClr val="8CB59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fld id="{6FB59193-705F-4C72-8939-BE71E4D0ECBF}" type="TxLink">
            <a:rPr lang="en-US" sz="1400" b="1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7.8%</a:t>
          </a:fld>
          <a:endParaRPr lang="en-US" sz="3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</xdr:colOff>
      <xdr:row>32</xdr:row>
      <xdr:rowOff>28761</xdr:rowOff>
    </xdr:from>
    <xdr:to>
      <xdr:col>27</xdr:col>
      <xdr:colOff>9526</xdr:colOff>
      <xdr:row>39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6676" y="6277161"/>
          <a:ext cx="11296650" cy="137141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 u="sng">
              <a:solidFill>
                <a:srgbClr val="243229"/>
              </a:solidFill>
            </a:rPr>
            <a:t>Important Information about the Rate</a:t>
          </a:r>
          <a:r>
            <a:rPr lang="en-US" sz="1100" b="1" u="sng" baseline="0">
              <a:solidFill>
                <a:srgbClr val="243229"/>
              </a:solidFill>
            </a:rPr>
            <a:t> Calculator</a:t>
          </a:r>
        </a:p>
        <a:p>
          <a:pPr algn="l"/>
          <a:endParaRPr lang="en-US" sz="600" b="1" u="sng" baseline="0">
            <a:solidFill>
              <a:srgbClr val="243229"/>
            </a:solidFill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="1">
              <a:solidFill>
                <a:srgbClr val="243229"/>
              </a:solidFill>
            </a:rPr>
            <a:t>Please note this calculator is provided for general information purposes. This calculator provides an </a:t>
          </a:r>
          <a:r>
            <a:rPr lang="en-US" sz="1100" b="1" u="sng">
              <a:solidFill>
                <a:srgbClr val="243229"/>
              </a:solidFill>
            </a:rPr>
            <a:t>estimate only</a:t>
          </a:r>
          <a:r>
            <a:rPr lang="en-US" sz="1100" b="1" u="none">
              <a:solidFill>
                <a:srgbClr val="243229"/>
              </a:solidFill>
            </a:rPr>
            <a:t> </a:t>
          </a:r>
          <a:r>
            <a:rPr lang="en-US" sz="1100" b="1">
              <a:solidFill>
                <a:srgbClr val="243229"/>
              </a:solidFill>
            </a:rPr>
            <a:t>and is subject to change. Your final rate amount will be dependent on your land value and the final rates</a:t>
          </a:r>
          <a:r>
            <a:rPr lang="en-US" sz="1100" b="1" baseline="0">
              <a:solidFill>
                <a:srgbClr val="243229"/>
              </a:solidFill>
            </a:rPr>
            <a:t> model(s) adopted by Council.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600" b="1">
            <a:solidFill>
              <a:srgbClr val="243229"/>
            </a:solidFill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="1" baseline="0">
              <a:solidFill>
                <a:srgbClr val="243229"/>
              </a:solidFill>
            </a:rPr>
            <a:t>This estimate cannot be substituted for actual Rates Notices from Council and Council cannot be held liable for an incorrect estimate.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600" b="1" baseline="0">
            <a:solidFill>
              <a:srgbClr val="243229"/>
            </a:solidFill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100" b="1" baseline="0">
              <a:solidFill>
                <a:srgbClr val="243229"/>
              </a:solidFill>
            </a:rPr>
            <a:t>This calculator is provided in good faith, however Council makes no statements, representations or warranties about the accuracy or completeness of any information provided by this calculator.</a:t>
          </a:r>
          <a:endParaRPr lang="en-US" sz="1100" b="1">
            <a:solidFill>
              <a:srgbClr val="243229"/>
            </a:solidFill>
          </a:endParaRPr>
        </a:p>
      </xdr:txBody>
    </xdr:sp>
    <xdr:clientData/>
  </xdr:twoCellAnchor>
  <xdr:twoCellAnchor>
    <xdr:from>
      <xdr:col>32</xdr:col>
      <xdr:colOff>514724</xdr:colOff>
      <xdr:row>18</xdr:row>
      <xdr:rowOff>93380</xdr:rowOff>
    </xdr:from>
    <xdr:to>
      <xdr:col>36</xdr:col>
      <xdr:colOff>263525</xdr:colOff>
      <xdr:row>18</xdr:row>
      <xdr:rowOff>209550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13163924" y="3284255"/>
          <a:ext cx="482226" cy="116170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28</xdr:col>
      <xdr:colOff>29698</xdr:colOff>
      <xdr:row>14</xdr:row>
      <xdr:rowOff>142875</xdr:rowOff>
    </xdr:from>
    <xdr:to>
      <xdr:col>32</xdr:col>
      <xdr:colOff>228601</xdr:colOff>
      <xdr:row>16</xdr:row>
      <xdr:rowOff>1494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907373" y="2219325"/>
          <a:ext cx="970428" cy="506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1 </a:t>
          </a:r>
        </a:p>
        <a:p>
          <a:pPr algn="ctr"/>
          <a:r>
            <a:rPr lang="en-AU" sz="1200"/>
            <a:t>Land Value</a:t>
          </a:r>
        </a:p>
      </xdr:txBody>
    </xdr:sp>
    <xdr:clientData/>
  </xdr:twoCellAnchor>
  <xdr:twoCellAnchor>
    <xdr:from>
      <xdr:col>29</xdr:col>
      <xdr:colOff>457762</xdr:colOff>
      <xdr:row>16</xdr:row>
      <xdr:rowOff>1494</xdr:rowOff>
    </xdr:from>
    <xdr:to>
      <xdr:col>32</xdr:col>
      <xdr:colOff>714562</xdr:colOff>
      <xdr:row>18</xdr:row>
      <xdr:rowOff>96555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stCxn id="19" idx="2"/>
          <a:endCxn id="18" idx="0"/>
        </xdr:cNvCxnSpPr>
      </xdr:nvCxnSpPr>
      <xdr:spPr bwMode="auto">
        <a:xfrm>
          <a:off x="12402112" y="2725644"/>
          <a:ext cx="961650" cy="561786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181428</xdr:colOff>
      <xdr:row>18</xdr:row>
      <xdr:rowOff>398931</xdr:rowOff>
    </xdr:from>
    <xdr:to>
      <xdr:col>37</xdr:col>
      <xdr:colOff>57149</xdr:colOff>
      <xdr:row>20</xdr:row>
      <xdr:rowOff>381001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2830628" y="3589806"/>
          <a:ext cx="1247321" cy="572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2</a:t>
          </a:r>
        </a:p>
        <a:p>
          <a:pPr algn="ctr"/>
          <a:r>
            <a:rPr lang="en-AU" sz="1200"/>
            <a:t>Rate Category</a:t>
          </a:r>
        </a:p>
      </xdr:txBody>
    </xdr:sp>
    <xdr:clientData/>
  </xdr:twoCellAnchor>
  <xdr:twoCellAnchor>
    <xdr:from>
      <xdr:col>32</xdr:col>
      <xdr:colOff>53975</xdr:colOff>
      <xdr:row>18</xdr:row>
      <xdr:rowOff>181909</xdr:rowOff>
    </xdr:from>
    <xdr:to>
      <xdr:col>36</xdr:col>
      <xdr:colOff>27214</xdr:colOff>
      <xdr:row>18</xdr:row>
      <xdr:rowOff>398931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21" idx="0"/>
          <a:endCxn id="38" idx="6"/>
        </xdr:cNvCxnSpPr>
      </xdr:nvCxnSpPr>
      <xdr:spPr bwMode="auto">
        <a:xfrm flipH="1" flipV="1">
          <a:off x="12703175" y="3372784"/>
          <a:ext cx="706664" cy="217022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31</xdr:col>
      <xdr:colOff>37435</xdr:colOff>
      <xdr:row>17</xdr:row>
      <xdr:rowOff>28575</xdr:rowOff>
    </xdr:from>
    <xdr:to>
      <xdr:col>31</xdr:col>
      <xdr:colOff>599329</xdr:colOff>
      <xdr:row>18</xdr:row>
      <xdr:rowOff>16435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2915235" y="3076575"/>
          <a:ext cx="561894" cy="130735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286310</xdr:colOff>
      <xdr:row>18</xdr:row>
      <xdr:rowOff>360643</xdr:rowOff>
    </xdr:from>
    <xdr:to>
      <xdr:col>29</xdr:col>
      <xdr:colOff>419100</xdr:colOff>
      <xdr:row>19</xdr:row>
      <xdr:rowOff>44450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11640110" y="3551518"/>
          <a:ext cx="723340" cy="188632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29</xdr:col>
      <xdr:colOff>57430</xdr:colOff>
      <xdr:row>19</xdr:row>
      <xdr:rowOff>47625</xdr:rowOff>
    </xdr:from>
    <xdr:to>
      <xdr:col>29</xdr:col>
      <xdr:colOff>376238</xdr:colOff>
      <xdr:row>20</xdr:row>
      <xdr:rowOff>96558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stCxn id="26" idx="0"/>
          <a:endCxn id="24" idx="4"/>
        </xdr:cNvCxnSpPr>
      </xdr:nvCxnSpPr>
      <xdr:spPr bwMode="auto">
        <a:xfrm flipH="1" flipV="1">
          <a:off x="12001780" y="3743325"/>
          <a:ext cx="318808" cy="13465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1</xdr:colOff>
      <xdr:row>20</xdr:row>
      <xdr:rowOff>96558</xdr:rowOff>
    </xdr:from>
    <xdr:to>
      <xdr:col>32</xdr:col>
      <xdr:colOff>114300</xdr:colOff>
      <xdr:row>22</xdr:row>
      <xdr:rowOff>247650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877676" y="3877983"/>
          <a:ext cx="885824" cy="655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3</a:t>
          </a:r>
        </a:p>
        <a:p>
          <a:pPr algn="ctr"/>
          <a:r>
            <a:rPr lang="en-AU" sz="1200"/>
            <a:t>Pensioner Status</a:t>
          </a:r>
        </a:p>
      </xdr:txBody>
    </xdr:sp>
    <xdr:clientData/>
  </xdr:twoCellAnchor>
  <xdr:twoCellAnchor>
    <xdr:from>
      <xdr:col>27</xdr:col>
      <xdr:colOff>69850</xdr:colOff>
      <xdr:row>1</xdr:row>
      <xdr:rowOff>540870</xdr:rowOff>
    </xdr:from>
    <xdr:to>
      <xdr:col>38</xdr:col>
      <xdr:colOff>676275</xdr:colOff>
      <xdr:row>3</xdr:row>
      <xdr:rowOff>27267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918825" y="607545"/>
          <a:ext cx="3702050" cy="5722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/>
            <a:t>Sample Rates Notice 2022/23</a:t>
          </a:r>
        </a:p>
      </xdr:txBody>
    </xdr:sp>
    <xdr:clientData/>
  </xdr:twoCellAnchor>
  <xdr:twoCellAnchor>
    <xdr:from>
      <xdr:col>2</xdr:col>
      <xdr:colOff>46876</xdr:colOff>
      <xdr:row>17</xdr:row>
      <xdr:rowOff>95996</xdr:rowOff>
    </xdr:from>
    <xdr:to>
      <xdr:col>8</xdr:col>
      <xdr:colOff>2054</xdr:colOff>
      <xdr:row>19</xdr:row>
      <xdr:rowOff>6350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475751" y="5506196"/>
          <a:ext cx="2107828" cy="558054"/>
        </a:xfrm>
        <a:prstGeom prst="rect">
          <a:avLst/>
        </a:prstGeom>
        <a:solidFill>
          <a:srgbClr val="8CB59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Estimated Increase 2023/24</a:t>
          </a:r>
        </a:p>
      </xdr:txBody>
    </xdr:sp>
    <xdr:clientData/>
  </xdr:twoCellAnchor>
  <xdr:twoCellAnchor>
    <xdr:from>
      <xdr:col>9</xdr:col>
      <xdr:colOff>8964</xdr:colOff>
      <xdr:row>17</xdr:row>
      <xdr:rowOff>89646</xdr:rowOff>
    </xdr:from>
    <xdr:to>
      <xdr:col>14</xdr:col>
      <xdr:colOff>0</xdr:colOff>
      <xdr:row>19</xdr:row>
      <xdr:rowOff>8965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660339" y="3134471"/>
          <a:ext cx="1873811" cy="573369"/>
        </a:xfrm>
        <a:prstGeom prst="rect">
          <a:avLst/>
        </a:prstGeom>
        <a:solidFill>
          <a:srgbClr val="8CB59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Estimated Increase</a:t>
          </a:r>
          <a:r>
            <a:rPr lang="en-US" sz="1200" b="1" baseline="0">
              <a:solidFill>
                <a:sysClr val="windowText" lastClr="000000"/>
              </a:solidFill>
            </a:rPr>
            <a:t> Per Week 2023/24 </a:t>
          </a:r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35485</xdr:colOff>
      <xdr:row>18</xdr:row>
      <xdr:rowOff>84418</xdr:rowOff>
    </xdr:from>
    <xdr:to>
      <xdr:col>32</xdr:col>
      <xdr:colOff>57150</xdr:colOff>
      <xdr:row>18</xdr:row>
      <xdr:rowOff>273050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1979835" y="3275293"/>
          <a:ext cx="726515" cy="188632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161925</xdr:colOff>
      <xdr:row>1</xdr:row>
      <xdr:rowOff>150495</xdr:rowOff>
    </xdr:from>
    <xdr:to>
      <xdr:col>20</xdr:col>
      <xdr:colOff>9525</xdr:colOff>
      <xdr:row>2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67275" y="217170"/>
          <a:ext cx="3200400" cy="601980"/>
        </a:xfrm>
        <a:prstGeom prst="rect">
          <a:avLst/>
        </a:prstGeom>
        <a:solidFill>
          <a:srgbClr val="FFFF66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en-US" sz="1400" b="1">
              <a:solidFill>
                <a:srgbClr val="FF0000"/>
              </a:solidFill>
            </a:rPr>
            <a:t>Important Information: Please </a:t>
          </a:r>
          <a:r>
            <a:rPr lang="en-US" sz="1400" b="1" u="sng">
              <a:solidFill>
                <a:srgbClr val="FF0000"/>
              </a:solidFill>
            </a:rPr>
            <a:t>only</a:t>
          </a:r>
          <a:r>
            <a:rPr lang="en-US" sz="1400" b="1">
              <a:solidFill>
                <a:srgbClr val="FF0000"/>
              </a:solidFill>
            </a:rPr>
            <a:t> use land value from</a:t>
          </a:r>
          <a:r>
            <a:rPr lang="en-US" sz="1400" b="1" baseline="0">
              <a:solidFill>
                <a:srgbClr val="FF0000"/>
              </a:solidFill>
            </a:rPr>
            <a:t> 2022/23 Rates Notice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</xdr:row>
          <xdr:rowOff>69850</xdr:rowOff>
        </xdr:from>
        <xdr:to>
          <xdr:col>18</xdr:col>
          <xdr:colOff>50800</xdr:colOff>
          <xdr:row>2</xdr:row>
          <xdr:rowOff>266700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</xdr:row>
          <xdr:rowOff>57150</xdr:rowOff>
        </xdr:from>
        <xdr:to>
          <xdr:col>6</xdr:col>
          <xdr:colOff>495300</xdr:colOff>
          <xdr:row>2</xdr:row>
          <xdr:rowOff>260350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</xdr:row>
          <xdr:rowOff>69850</xdr:rowOff>
        </xdr:from>
        <xdr:to>
          <xdr:col>12</xdr:col>
          <xdr:colOff>469900</xdr:colOff>
          <xdr:row>2</xdr:row>
          <xdr:rowOff>266700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488950</xdr:colOff>
          <xdr:row>2</xdr:row>
          <xdr:rowOff>69850</xdr:rowOff>
        </xdr:from>
        <xdr:to>
          <xdr:col>30</xdr:col>
          <xdr:colOff>31750</xdr:colOff>
          <xdr:row>2</xdr:row>
          <xdr:rowOff>266700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</xdr:row>
          <xdr:rowOff>76200</xdr:rowOff>
        </xdr:from>
        <xdr:to>
          <xdr:col>26</xdr:col>
          <xdr:colOff>438150</xdr:colOff>
          <xdr:row>2</xdr:row>
          <xdr:rowOff>279400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304800</xdr:colOff>
          <xdr:row>2</xdr:row>
          <xdr:rowOff>76200</xdr:rowOff>
        </xdr:from>
        <xdr:to>
          <xdr:col>22</xdr:col>
          <xdr:colOff>209550</xdr:colOff>
          <xdr:row>2</xdr:row>
          <xdr:rowOff>279400</xdr:rowOff>
        </xdr:to>
        <xdr:sp macro="" textlink="">
          <xdr:nvSpPr>
            <xdr:cNvPr id="3089" name="Drop Dow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7433B-9C4C-4280-98D3-2A7A2F527E38}">
  <sheetPr>
    <pageSetUpPr fitToPage="1"/>
  </sheetPr>
  <dimension ref="A1:CP68"/>
  <sheetViews>
    <sheetView showGridLines="0" showRowColHeaders="0" tabSelected="1" showRuler="0" zoomScaleNormal="100" workbookViewId="0">
      <selection activeCell="B17" sqref="B17"/>
    </sheetView>
  </sheetViews>
  <sheetFormatPr defaultColWidth="9.1796875" defaultRowHeight="12.5" x14ac:dyDescent="0.25"/>
  <cols>
    <col min="1" max="1" width="1" customWidth="1"/>
    <col min="2" max="2" width="33.81640625" customWidth="1"/>
    <col min="3" max="3" width="1" customWidth="1"/>
    <col min="4" max="4" width="6.54296875" customWidth="1"/>
    <col min="5" max="5" width="7.453125" style="12" customWidth="1"/>
    <col min="6" max="6" width="6.7265625" style="12" customWidth="1"/>
    <col min="7" max="7" width="1" style="2" customWidth="1"/>
    <col min="8" max="8" width="8.1796875" style="12" customWidth="1"/>
    <col min="9" max="9" width="1" style="2" customWidth="1"/>
    <col min="10" max="10" width="3.81640625" style="12" customWidth="1"/>
    <col min="11" max="11" width="5.7265625" style="2" customWidth="1"/>
    <col min="12" max="12" width="1" style="2" customWidth="1"/>
    <col min="13" max="13" width="9" style="2" customWidth="1"/>
    <col min="14" max="14" width="7.453125" style="2" customWidth="1"/>
    <col min="15" max="15" width="1" style="2" customWidth="1"/>
    <col min="16" max="16" width="3.81640625" style="2" customWidth="1"/>
    <col min="17" max="17" width="1" customWidth="1"/>
    <col min="18" max="18" width="6.81640625" customWidth="1"/>
    <col min="19" max="19" width="7" customWidth="1"/>
    <col min="20" max="20" width="7.453125" customWidth="1"/>
    <col min="21" max="21" width="1" customWidth="1"/>
    <col min="22" max="22" width="5.1796875" customWidth="1"/>
    <col min="23" max="23" width="8.453125" customWidth="1"/>
    <col min="24" max="24" width="11.453125" customWidth="1"/>
    <col min="25" max="25" width="1" customWidth="1"/>
    <col min="26" max="28" width="7.453125" customWidth="1"/>
    <col min="29" max="29" width="1" customWidth="1"/>
    <col min="30" max="30" width="10.1796875" customWidth="1"/>
    <col min="31" max="31" width="1.1796875" hidden="1" customWidth="1"/>
    <col min="32" max="32" width="10.7265625" hidden="1" customWidth="1"/>
    <col min="33" max="33" width="10.54296875" customWidth="1"/>
    <col min="34" max="36" width="9.1796875" style="171" hidden="1" customWidth="1"/>
    <col min="37" max="37" width="9.1796875" customWidth="1"/>
    <col min="38" max="38" width="8.1796875" customWidth="1"/>
    <col min="39" max="39" width="10.453125" customWidth="1"/>
    <col min="40" max="43" width="9.1796875" customWidth="1"/>
    <col min="44" max="44" width="9.1796875" style="216" customWidth="1"/>
    <col min="45" max="59" width="9.1796875" style="216"/>
    <col min="83" max="83" width="9.1796875" customWidth="1"/>
    <col min="84" max="84" width="32.54296875" customWidth="1"/>
    <col min="85" max="87" width="6.453125" customWidth="1"/>
    <col min="88" max="88" width="39.54296875" bestFit="1" customWidth="1"/>
    <col min="89" max="93" width="13.1796875" bestFit="1" customWidth="1"/>
  </cols>
  <sheetData>
    <row r="1" spans="1:94" ht="5.5" customHeight="1" x14ac:dyDescent="0.25">
      <c r="A1" s="216"/>
      <c r="B1" s="216"/>
      <c r="C1" s="216"/>
      <c r="D1" s="216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  <c r="CG1" s="216"/>
      <c r="CH1" s="216"/>
      <c r="CI1" s="216"/>
      <c r="CJ1" s="216"/>
      <c r="CK1" s="216"/>
      <c r="CL1" s="216"/>
      <c r="CM1" s="216"/>
      <c r="CN1" s="216"/>
      <c r="CO1" s="216"/>
      <c r="CP1" s="216"/>
    </row>
    <row r="2" spans="1:94" s="7" customFormat="1" ht="55.9" customHeight="1" x14ac:dyDescent="0.25">
      <c r="A2" s="318" t="s">
        <v>100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207"/>
      <c r="Z2" s="207"/>
      <c r="AA2" s="207"/>
      <c r="AB2" s="207"/>
      <c r="AC2" s="207"/>
      <c r="AD2" s="207"/>
      <c r="AE2" s="207"/>
      <c r="AF2" s="207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</row>
    <row r="3" spans="1:94" s="7" customFormat="1" ht="30" customHeight="1" x14ac:dyDescent="0.25">
      <c r="A3" s="222"/>
      <c r="B3" s="319" t="s">
        <v>102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207"/>
      <c r="Z3" s="207"/>
      <c r="AA3" s="207"/>
      <c r="AB3" s="207"/>
      <c r="AC3" s="207"/>
      <c r="AD3" s="207"/>
      <c r="AE3" s="207"/>
      <c r="AF3" s="207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</row>
    <row r="4" spans="1:94" s="7" customFormat="1" ht="61.9" customHeight="1" x14ac:dyDescent="0.25">
      <c r="A4" s="208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223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</row>
    <row r="5" spans="1:94" s="7" customFormat="1" ht="11.5" customHeight="1" x14ac:dyDescent="0.25">
      <c r="A5" s="208"/>
      <c r="B5" s="234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8"/>
      <c r="AW5" s="208"/>
      <c r="AX5" s="208"/>
      <c r="AY5" s="208"/>
      <c r="AZ5" s="208"/>
      <c r="BA5" s="208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208"/>
      <c r="BM5" s="208"/>
      <c r="BN5" s="208"/>
      <c r="BO5" s="208"/>
      <c r="BP5" s="208"/>
      <c r="BQ5" s="208"/>
      <c r="BR5" s="208"/>
      <c r="BS5" s="208"/>
      <c r="BT5" s="208"/>
      <c r="BU5" s="208"/>
      <c r="BV5" s="208"/>
      <c r="BW5" s="208"/>
      <c r="BX5" s="208"/>
      <c r="BY5" s="208"/>
      <c r="BZ5" s="208"/>
      <c r="CA5" s="208"/>
      <c r="CB5" s="208"/>
      <c r="CC5" s="208"/>
      <c r="CD5" s="208"/>
      <c r="CE5" s="208"/>
      <c r="CF5" s="208"/>
      <c r="CG5" s="208"/>
      <c r="CH5" s="208"/>
      <c r="CI5" s="208"/>
      <c r="CJ5" s="208"/>
      <c r="CK5" s="208"/>
      <c r="CL5" s="208"/>
      <c r="CM5" s="208"/>
      <c r="CN5" s="208"/>
      <c r="CO5" s="208"/>
      <c r="CP5" s="208"/>
    </row>
    <row r="6" spans="1:94" s="7" customFormat="1" ht="5.5" hidden="1" customHeight="1" thickBot="1" x14ac:dyDescent="0.3">
      <c r="A6" s="208"/>
      <c r="B6" s="174"/>
      <c r="C6" s="265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265"/>
      <c r="P6" s="265"/>
      <c r="Q6" s="265"/>
      <c r="R6" s="265"/>
      <c r="S6" s="265"/>
      <c r="T6" s="265"/>
      <c r="U6" s="173"/>
      <c r="V6" s="173"/>
      <c r="W6" s="173"/>
      <c r="X6" s="173"/>
      <c r="Y6" s="173"/>
      <c r="Z6" s="173"/>
      <c r="AA6" s="173"/>
      <c r="AB6" s="173"/>
      <c r="AC6" s="173"/>
      <c r="AD6" s="209"/>
      <c r="AE6" s="209"/>
      <c r="AF6" s="209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</row>
    <row r="7" spans="1:94" s="14" customFormat="1" ht="22.5" hidden="1" customHeight="1" x14ac:dyDescent="0.25">
      <c r="A7" s="210"/>
      <c r="B7" s="321" t="s">
        <v>64</v>
      </c>
      <c r="C7" s="235"/>
      <c r="D7" s="323" t="s">
        <v>0</v>
      </c>
      <c r="E7" s="323"/>
      <c r="F7" s="323"/>
      <c r="G7" s="323"/>
      <c r="H7" s="323"/>
      <c r="I7" s="176"/>
      <c r="J7" s="324"/>
      <c r="K7" s="324"/>
      <c r="L7" s="324"/>
      <c r="M7" s="324"/>
      <c r="N7" s="324"/>
      <c r="O7" s="276"/>
      <c r="P7" s="326" t="s">
        <v>85</v>
      </c>
      <c r="Q7" s="326"/>
      <c r="R7" s="326"/>
      <c r="S7" s="326"/>
      <c r="T7" s="326"/>
      <c r="U7" s="177"/>
      <c r="V7" s="324" t="s">
        <v>84</v>
      </c>
      <c r="W7" s="324"/>
      <c r="X7" s="324"/>
      <c r="Y7" s="178"/>
      <c r="Z7" s="324"/>
      <c r="AA7" s="324"/>
      <c r="AB7" s="324"/>
      <c r="AC7" s="177"/>
      <c r="AD7" s="326" t="s">
        <v>63</v>
      </c>
      <c r="AE7" s="326"/>
      <c r="AF7" s="334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E7" s="210"/>
      <c r="CF7" s="210"/>
      <c r="CG7" s="210"/>
      <c r="CH7" s="210"/>
      <c r="CI7" s="210"/>
      <c r="CJ7" s="210"/>
      <c r="CK7" s="210"/>
      <c r="CL7" s="210"/>
      <c r="CM7" s="210"/>
      <c r="CN7" s="210"/>
      <c r="CO7" s="210"/>
      <c r="CP7" s="210"/>
    </row>
    <row r="8" spans="1:94" s="14" customFormat="1" ht="22.5" hidden="1" customHeight="1" thickBot="1" x14ac:dyDescent="0.3">
      <c r="A8" s="210"/>
      <c r="B8" s="322"/>
      <c r="C8" s="236"/>
      <c r="D8" s="336" t="s">
        <v>26</v>
      </c>
      <c r="E8" s="337"/>
      <c r="F8" s="337" t="s">
        <v>56</v>
      </c>
      <c r="G8" s="337"/>
      <c r="H8" s="338"/>
      <c r="I8" s="179"/>
      <c r="J8" s="325"/>
      <c r="K8" s="325"/>
      <c r="L8" s="325"/>
      <c r="M8" s="325"/>
      <c r="N8" s="325"/>
      <c r="O8" s="277"/>
      <c r="P8" s="327"/>
      <c r="Q8" s="327"/>
      <c r="R8" s="327"/>
      <c r="S8" s="327"/>
      <c r="T8" s="327"/>
      <c r="U8" s="175"/>
      <c r="V8" s="325"/>
      <c r="W8" s="325"/>
      <c r="X8" s="325"/>
      <c r="Y8" s="180"/>
      <c r="Z8" s="325"/>
      <c r="AA8" s="325"/>
      <c r="AB8" s="325"/>
      <c r="AC8" s="175"/>
      <c r="AD8" s="327"/>
      <c r="AE8" s="327"/>
      <c r="AF8" s="335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</row>
    <row r="9" spans="1:94" s="15" customFormat="1" ht="25.5" hidden="1" customHeight="1" thickTop="1" thickBot="1" x14ac:dyDescent="0.3">
      <c r="A9" s="211"/>
      <c r="B9" s="182">
        <f>+B17</f>
        <v>0</v>
      </c>
      <c r="C9" s="237"/>
      <c r="D9" s="339">
        <v>1</v>
      </c>
      <c r="E9" s="339"/>
      <c r="F9" s="339"/>
      <c r="G9" s="339"/>
      <c r="H9" s="339"/>
      <c r="I9" s="183"/>
      <c r="J9" s="340">
        <v>1</v>
      </c>
      <c r="K9" s="340"/>
      <c r="L9" s="340"/>
      <c r="M9" s="340"/>
      <c r="N9" s="340"/>
      <c r="O9" s="278"/>
      <c r="P9" s="341"/>
      <c r="Q9" s="341"/>
      <c r="R9" s="341"/>
      <c r="S9" s="341">
        <v>1</v>
      </c>
      <c r="T9" s="341"/>
      <c r="U9" s="184">
        <v>5</v>
      </c>
      <c r="V9" s="340">
        <v>2</v>
      </c>
      <c r="W9" s="340"/>
      <c r="X9" s="340"/>
      <c r="Y9" s="184"/>
      <c r="Z9" s="342"/>
      <c r="AA9" s="342"/>
      <c r="AB9" s="342"/>
      <c r="AC9" s="181"/>
      <c r="AD9" s="343"/>
      <c r="AE9" s="343">
        <v>1</v>
      </c>
      <c r="AF9" s="344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</row>
    <row r="10" spans="1:94" s="15" customFormat="1" ht="7.5" hidden="1" customHeight="1" thickTop="1" thickBot="1" x14ac:dyDescent="0.3">
      <c r="A10" s="211"/>
      <c r="B10" s="185"/>
      <c r="C10" s="237"/>
      <c r="D10" s="328"/>
      <c r="E10" s="328"/>
      <c r="F10" s="328"/>
      <c r="G10" s="328"/>
      <c r="H10" s="328"/>
      <c r="I10" s="183"/>
      <c r="J10" s="264"/>
      <c r="K10" s="264"/>
      <c r="L10" s="264"/>
      <c r="M10" s="264"/>
      <c r="N10" s="264"/>
      <c r="O10" s="278"/>
      <c r="P10" s="279"/>
      <c r="Q10" s="279"/>
      <c r="R10" s="279"/>
      <c r="S10" s="279"/>
      <c r="T10" s="279"/>
      <c r="U10" s="184"/>
      <c r="V10" s="264"/>
      <c r="W10" s="264"/>
      <c r="X10" s="264"/>
      <c r="Y10" s="184"/>
      <c r="Z10" s="260"/>
      <c r="AA10" s="260"/>
      <c r="AB10" s="260"/>
      <c r="AC10" s="181"/>
      <c r="AD10" s="262"/>
      <c r="AE10" s="262"/>
      <c r="AF10" s="263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</row>
    <row r="11" spans="1:94" s="7" customFormat="1" ht="33.65" hidden="1" customHeight="1" x14ac:dyDescent="0.25">
      <c r="A11" s="208"/>
      <c r="B11" s="186" t="s">
        <v>88</v>
      </c>
      <c r="C11" s="208"/>
      <c r="D11" s="172"/>
      <c r="E11" s="172"/>
      <c r="F11" s="172"/>
      <c r="G11" s="172"/>
      <c r="H11" s="172"/>
      <c r="I11" s="187"/>
      <c r="J11" s="329"/>
      <c r="K11" s="329"/>
      <c r="L11" s="329"/>
      <c r="M11" s="329"/>
      <c r="N11" s="329"/>
      <c r="O11" s="280"/>
      <c r="P11" s="330"/>
      <c r="Q11" s="330"/>
      <c r="R11" s="330"/>
      <c r="S11" s="330"/>
      <c r="T11" s="330"/>
      <c r="U11" s="172"/>
      <c r="V11" s="328"/>
      <c r="W11" s="328"/>
      <c r="X11" s="328"/>
      <c r="Y11" s="172"/>
      <c r="Z11" s="331"/>
      <c r="AA11" s="331"/>
      <c r="AB11" s="331"/>
      <c r="AC11" s="172"/>
      <c r="AD11" s="332"/>
      <c r="AE11" s="332"/>
      <c r="AF11" s="333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208"/>
      <c r="CK11" s="208"/>
      <c r="CL11" s="208"/>
      <c r="CM11" s="208"/>
      <c r="CN11" s="208"/>
      <c r="CO11" s="208"/>
      <c r="CP11" s="208"/>
    </row>
    <row r="12" spans="1:94" s="170" customFormat="1" ht="43.5" hidden="1" customHeight="1" thickBot="1" x14ac:dyDescent="0.3">
      <c r="A12" s="212"/>
      <c r="B12" s="188">
        <f>IFERROR(IF($D$9&gt;12,VLOOKUP(5,Sewer,4),IF($D$9&lt;=12,(D12+F12+J12),VLOOKUP($D$9,Ordinary_Rates,10))),"Contact Council")</f>
        <v>576</v>
      </c>
      <c r="C12" s="238"/>
      <c r="D12" s="360">
        <f>IF($D$9&lt;9,VLOOKUP($D$9,Ordinary_Rates,4),VLOOKUP($D$9,Ordinary_Rates,4))</f>
        <v>576</v>
      </c>
      <c r="E12" s="361"/>
      <c r="F12" s="362">
        <f>IF($D$9&lt;=12,($B$9*VLOOKUP($D$9,Ordinary_Rates,6)/100),VLOOKUP($D$9,Ordinary_Rates,5))</f>
        <v>0</v>
      </c>
      <c r="G12" s="362"/>
      <c r="H12" s="363"/>
      <c r="I12" s="189"/>
      <c r="J12" s="364">
        <f>AJ12</f>
        <v>0</v>
      </c>
      <c r="K12" s="364"/>
      <c r="L12" s="364"/>
      <c r="M12" s="364"/>
      <c r="N12" s="364"/>
      <c r="O12" s="281"/>
      <c r="P12" s="365">
        <f>VLOOKUP($S$9,Add_Garbage,4)</f>
        <v>0</v>
      </c>
      <c r="Q12" s="365"/>
      <c r="R12" s="365"/>
      <c r="S12" s="365"/>
      <c r="T12" s="365"/>
      <c r="U12" s="189"/>
      <c r="V12" s="364">
        <f>VLOOKUP($V$9,Water,4)</f>
        <v>150</v>
      </c>
      <c r="W12" s="364"/>
      <c r="X12" s="364"/>
      <c r="Y12" s="189"/>
      <c r="Z12" s="364"/>
      <c r="AA12" s="364"/>
      <c r="AB12" s="364"/>
      <c r="AC12" s="190"/>
      <c r="AD12" s="354">
        <f>AJ12</f>
        <v>0</v>
      </c>
      <c r="AE12" s="354"/>
      <c r="AF12" s="355"/>
      <c r="AG12" s="212"/>
      <c r="AH12" s="213">
        <f>IF(Z12&gt;0,-IF($D$9&lt;8,VLOOKUP($AE$9,Pensioner,6),0),0)</f>
        <v>0</v>
      </c>
      <c r="AI12" s="213">
        <f>IF(V12&gt;0,-IF($D$9&lt;8,VLOOKUP($AE$9,Pensioner,8),0),0)</f>
        <v>0</v>
      </c>
      <c r="AJ12" s="213">
        <f>-IF($D$9&lt;8,VLOOKUP($AE$9,Pensioner,4),0)</f>
        <v>0</v>
      </c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</row>
    <row r="13" spans="1:94" s="7" customFormat="1" ht="7.5" hidden="1" customHeight="1" x14ac:dyDescent="0.25">
      <c r="A13" s="208"/>
      <c r="B13" s="57"/>
      <c r="C13" s="208"/>
      <c r="D13" s="356"/>
      <c r="E13" s="356"/>
      <c r="F13" s="356"/>
      <c r="G13" s="191"/>
      <c r="H13" s="357"/>
      <c r="I13" s="357"/>
      <c r="J13" s="357"/>
      <c r="K13" s="357"/>
      <c r="L13" s="266"/>
      <c r="M13" s="275"/>
      <c r="N13" s="275"/>
      <c r="O13" s="282"/>
      <c r="P13" s="282"/>
      <c r="Q13" s="283"/>
      <c r="R13" s="358"/>
      <c r="S13" s="358"/>
      <c r="T13" s="358"/>
      <c r="U13" s="266"/>
      <c r="V13" s="357"/>
      <c r="W13" s="357"/>
      <c r="X13" s="357"/>
      <c r="Y13" s="266"/>
      <c r="Z13" s="358"/>
      <c r="AA13" s="358"/>
      <c r="AB13" s="358"/>
      <c r="AC13" s="192"/>
      <c r="AD13" s="359"/>
      <c r="AE13" s="359"/>
      <c r="AF13" s="359"/>
      <c r="AG13" s="208"/>
      <c r="AH13" s="208"/>
      <c r="AI13" s="208"/>
      <c r="AJ13" s="214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8"/>
      <c r="CP13" s="208"/>
    </row>
    <row r="14" spans="1:94" ht="18" hidden="1" customHeight="1" x14ac:dyDescent="0.35">
      <c r="A14" s="216"/>
      <c r="B14" s="196" t="s">
        <v>89</v>
      </c>
      <c r="C14" s="215"/>
      <c r="D14" s="193"/>
      <c r="E14" s="194"/>
      <c r="F14" s="194"/>
      <c r="G14" s="194"/>
      <c r="H14" s="194"/>
      <c r="I14" s="194"/>
      <c r="J14" s="194"/>
      <c r="K14" s="194"/>
      <c r="L14" s="194"/>
      <c r="M14" s="194"/>
      <c r="N14" s="195"/>
      <c r="O14" s="284"/>
      <c r="P14" s="284"/>
      <c r="Q14" s="215"/>
      <c r="R14" s="215"/>
      <c r="S14" s="215"/>
      <c r="T14" s="215"/>
      <c r="U14" s="193"/>
      <c r="V14" s="193"/>
      <c r="W14" s="193"/>
      <c r="X14" s="193"/>
      <c r="Y14" s="193"/>
      <c r="Z14" s="215"/>
      <c r="AA14" s="215"/>
      <c r="AB14" s="215"/>
      <c r="AC14" s="193"/>
      <c r="AD14" s="215"/>
      <c r="AE14" s="215"/>
      <c r="AF14" s="215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216"/>
      <c r="CB14" s="216"/>
      <c r="CC14" s="216"/>
      <c r="CD14" s="216"/>
      <c r="CE14" s="216"/>
      <c r="CF14" s="216"/>
      <c r="CG14" s="216"/>
      <c r="CH14" s="216"/>
      <c r="CI14" s="216"/>
      <c r="CJ14" s="216"/>
      <c r="CK14" s="216"/>
      <c r="CL14" s="216"/>
      <c r="CM14" s="216"/>
      <c r="CN14" s="216"/>
      <c r="CO14" s="216"/>
      <c r="CP14" s="216"/>
    </row>
    <row r="15" spans="1:94" s="7" customFormat="1" ht="25.9" customHeight="1" x14ac:dyDescent="0.25">
      <c r="A15" s="208"/>
      <c r="B15" s="352" t="s">
        <v>96</v>
      </c>
      <c r="C15" s="239"/>
      <c r="D15" s="353" t="s">
        <v>103</v>
      </c>
      <c r="E15" s="353"/>
      <c r="F15" s="353"/>
      <c r="G15" s="353"/>
      <c r="H15" s="353"/>
      <c r="I15" s="240"/>
      <c r="J15" s="351" t="s">
        <v>63</v>
      </c>
      <c r="K15" s="351"/>
      <c r="L15" s="351"/>
      <c r="M15" s="351"/>
      <c r="N15" s="351"/>
      <c r="O15" s="240"/>
      <c r="P15" s="225"/>
      <c r="Q15" s="225"/>
      <c r="R15" s="225"/>
      <c r="S15" s="225"/>
      <c r="T15" s="225"/>
      <c r="U15" s="228"/>
      <c r="V15" s="227"/>
      <c r="W15" s="227"/>
      <c r="X15" s="227"/>
      <c r="Y15" s="228"/>
      <c r="Z15" s="218"/>
      <c r="AA15" s="218"/>
      <c r="AB15" s="218"/>
      <c r="AC15" s="241"/>
      <c r="AG15" s="217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  <c r="AW15" s="208"/>
      <c r="AX15" s="208"/>
      <c r="AY15" s="208"/>
      <c r="AZ15" s="208"/>
      <c r="BA15" s="208"/>
      <c r="BB15" s="208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</row>
    <row r="16" spans="1:94" s="7" customFormat="1" ht="25.9" customHeight="1" x14ac:dyDescent="0.25">
      <c r="A16" s="208"/>
      <c r="B16" s="352"/>
      <c r="C16" s="239"/>
      <c r="D16" s="353"/>
      <c r="E16" s="353"/>
      <c r="F16" s="353"/>
      <c r="G16" s="353"/>
      <c r="H16" s="353"/>
      <c r="I16" s="240"/>
      <c r="J16" s="351"/>
      <c r="K16" s="351"/>
      <c r="L16" s="351"/>
      <c r="M16" s="351"/>
      <c r="N16" s="351"/>
      <c r="O16" s="240"/>
      <c r="P16" s="225"/>
      <c r="Q16" s="225"/>
      <c r="R16" s="225"/>
      <c r="S16" s="225"/>
      <c r="T16" s="225"/>
      <c r="U16" s="228"/>
      <c r="V16" s="227"/>
      <c r="W16" s="227"/>
      <c r="X16" s="227"/>
      <c r="Y16" s="228"/>
      <c r="Z16" s="218"/>
      <c r="AA16" s="218"/>
      <c r="AB16" s="218"/>
      <c r="AC16" s="241"/>
      <c r="AG16" s="217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208"/>
      <c r="CC16" s="208"/>
      <c r="CD16" s="208"/>
      <c r="CE16" s="208"/>
      <c r="CF16" s="208"/>
      <c r="CG16" s="208"/>
      <c r="CH16" s="208"/>
      <c r="CI16" s="208"/>
      <c r="CJ16" s="208"/>
      <c r="CK16" s="208"/>
      <c r="CL16" s="208"/>
      <c r="CM16" s="208"/>
      <c r="CN16" s="208"/>
      <c r="CO16" s="208"/>
      <c r="CP16" s="208"/>
    </row>
    <row r="17" spans="1:94" s="7" customFormat="1" ht="25.9" customHeight="1" x14ac:dyDescent="0.25">
      <c r="A17" s="208"/>
      <c r="B17" s="274"/>
      <c r="C17" s="224"/>
      <c r="D17" s="349">
        <v>3</v>
      </c>
      <c r="E17" s="349"/>
      <c r="F17" s="349"/>
      <c r="G17" s="349"/>
      <c r="H17" s="349"/>
      <c r="I17" s="226"/>
      <c r="J17" s="350"/>
      <c r="K17" s="350">
        <v>1</v>
      </c>
      <c r="L17" s="350"/>
      <c r="M17" s="261"/>
      <c r="N17" s="261"/>
      <c r="O17" s="226"/>
      <c r="P17" s="225"/>
      <c r="Q17" s="225"/>
      <c r="R17" s="225"/>
      <c r="S17" s="225"/>
      <c r="T17" s="225"/>
      <c r="U17" s="228"/>
      <c r="V17" s="227"/>
      <c r="W17" s="227"/>
      <c r="X17" s="227"/>
      <c r="Y17" s="228"/>
      <c r="Z17" s="218"/>
      <c r="AA17" s="218"/>
      <c r="AB17" s="218"/>
      <c r="AC17" s="229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208"/>
      <c r="CC17" s="208"/>
      <c r="CD17" s="208"/>
      <c r="CE17" s="208"/>
      <c r="CF17" s="208"/>
      <c r="CG17" s="208"/>
      <c r="CH17" s="208"/>
      <c r="CI17" s="208"/>
      <c r="CJ17" s="208"/>
      <c r="CK17" s="208"/>
      <c r="CL17" s="208"/>
      <c r="CM17" s="208"/>
      <c r="CN17" s="208"/>
      <c r="CO17" s="208"/>
      <c r="CP17" s="208"/>
    </row>
    <row r="18" spans="1:94" s="7" customFormat="1" ht="11.5" customHeight="1" thickBot="1" x14ac:dyDescent="0.3">
      <c r="A18" s="208"/>
      <c r="B18" s="273"/>
      <c r="C18" s="224"/>
      <c r="D18" s="225"/>
      <c r="E18" s="225"/>
      <c r="F18" s="225"/>
      <c r="G18" s="225"/>
      <c r="H18" s="225"/>
      <c r="I18" s="226"/>
      <c r="J18" s="227"/>
      <c r="K18" s="227"/>
      <c r="L18" s="227"/>
      <c r="M18" s="227"/>
      <c r="N18" s="227"/>
      <c r="O18" s="226"/>
      <c r="P18" s="225"/>
      <c r="Q18" s="225"/>
      <c r="R18" s="225"/>
      <c r="S18" s="225"/>
      <c r="T18" s="225"/>
      <c r="U18" s="228"/>
      <c r="V18" s="227"/>
      <c r="W18" s="227"/>
      <c r="X18" s="227"/>
      <c r="Y18" s="228"/>
      <c r="Z18" s="218"/>
      <c r="AA18" s="218"/>
      <c r="AB18" s="218"/>
      <c r="AC18" s="229"/>
      <c r="AD18" s="218"/>
      <c r="AE18" s="218"/>
      <c r="AF18" s="21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8"/>
      <c r="BW18" s="208"/>
      <c r="BX18" s="208"/>
      <c r="BY18" s="208"/>
      <c r="BZ18" s="208"/>
      <c r="CA18" s="208"/>
      <c r="CB18" s="208"/>
      <c r="CC18" s="208"/>
      <c r="CD18" s="208"/>
      <c r="CE18" s="208"/>
      <c r="CF18" s="208"/>
      <c r="CG18" s="208"/>
      <c r="CH18" s="208"/>
      <c r="CI18" s="208"/>
      <c r="CJ18" s="208"/>
      <c r="CK18" s="208"/>
      <c r="CL18" s="208"/>
      <c r="CM18" s="208"/>
      <c r="CN18" s="208"/>
      <c r="CO18" s="208"/>
      <c r="CP18" s="208"/>
    </row>
    <row r="19" spans="1:94" ht="39.65" customHeight="1" x14ac:dyDescent="0.25">
      <c r="A19" s="216"/>
      <c r="B19" s="272"/>
      <c r="C19" s="230"/>
      <c r="D19" s="395">
        <f>IF($D$9&lt;9,VLOOKUP($D$9,Ordinary_Rates,12),VLOOKUP($D$9,Ordinary_Rates,12))</f>
        <v>622.08000000000004</v>
      </c>
      <c r="E19" s="395"/>
      <c r="F19" s="395">
        <f>IF($D$9&lt;=12,($B$9*VLOOKUP($D$9,Ordinary_Rates,14)/100),VLOOKUP($D$9,Ordinary_Rates,13))</f>
        <v>0</v>
      </c>
      <c r="G19" s="395"/>
      <c r="H19" s="395"/>
      <c r="I19" s="231"/>
      <c r="J19" s="395">
        <f>AJ12</f>
        <v>0</v>
      </c>
      <c r="K19" s="395"/>
      <c r="L19" s="395"/>
      <c r="M19" s="395"/>
      <c r="N19" s="395"/>
      <c r="O19" s="231"/>
      <c r="P19" s="376">
        <f>VLOOKUP($S$9,Add_Garbage,8)</f>
        <v>0</v>
      </c>
      <c r="Q19" s="376"/>
      <c r="R19" s="376"/>
      <c r="S19" s="376"/>
      <c r="T19" s="376"/>
      <c r="U19" s="233"/>
      <c r="V19" s="376">
        <f>VLOOKUP($V$9,Water,8)</f>
        <v>155</v>
      </c>
      <c r="W19" s="376"/>
      <c r="X19" s="376"/>
      <c r="Y19" s="233"/>
      <c r="Z19" s="376"/>
      <c r="AA19" s="376"/>
      <c r="AB19" s="376"/>
      <c r="AC19" s="233"/>
      <c r="AD19" s="376">
        <f>AJ21</f>
        <v>0</v>
      </c>
      <c r="AE19" s="376"/>
      <c r="AF19" s="376"/>
      <c r="AG19" s="216"/>
      <c r="AH19" s="219" t="s">
        <v>62</v>
      </c>
      <c r="AI19" s="219" t="s">
        <v>79</v>
      </c>
      <c r="AJ19" s="216"/>
      <c r="AK19" s="216"/>
      <c r="AL19" s="216"/>
      <c r="AM19" s="216"/>
      <c r="AN19" s="216"/>
      <c r="AO19" s="216"/>
      <c r="AP19" s="216"/>
      <c r="AQ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216"/>
      <c r="CD19" s="216"/>
      <c r="CE19" s="216"/>
      <c r="CF19" s="216"/>
      <c r="CG19" s="216"/>
      <c r="CH19" s="216"/>
      <c r="CI19" s="216"/>
      <c r="CJ19" s="216"/>
      <c r="CK19" s="216"/>
      <c r="CL19" s="216"/>
      <c r="CM19" s="216"/>
      <c r="CN19" s="216"/>
      <c r="CO19" s="216"/>
      <c r="CP19" s="216"/>
    </row>
    <row r="20" spans="1:94" ht="6.65" customHeight="1" x14ac:dyDescent="0.25">
      <c r="A20" s="216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9"/>
      <c r="AI20" s="219"/>
      <c r="AJ20" s="216"/>
      <c r="AK20" s="216"/>
      <c r="AL20" s="216"/>
      <c r="AM20" s="216"/>
      <c r="AN20" s="216"/>
      <c r="AO20" s="216"/>
      <c r="AP20" s="216"/>
      <c r="AQ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216"/>
      <c r="CD20" s="216"/>
      <c r="CE20" s="216"/>
      <c r="CF20" s="216"/>
      <c r="CG20" s="216"/>
      <c r="CH20" s="216"/>
      <c r="CI20" s="216"/>
      <c r="CJ20" s="216"/>
      <c r="CK20" s="216"/>
      <c r="CL20" s="216"/>
      <c r="CM20" s="216"/>
      <c r="CN20" s="216"/>
      <c r="CO20" s="216"/>
      <c r="CP20" s="216"/>
    </row>
    <row r="21" spans="1:94" ht="36" customHeight="1" x14ac:dyDescent="0.25">
      <c r="A21" s="216"/>
      <c r="B21" s="309">
        <f>IFERROR(IF($D$9&gt;12,VLOOKUP(5,Sewer,4),IF($D$9&lt;=12,(D19+F19+J19),VLOOKUP($D$9,Ordinary_Rates,10))),"Contact Council")</f>
        <v>622.08000000000004</v>
      </c>
      <c r="C21" s="232"/>
      <c r="D21" s="377">
        <f>IFERROR(B21-B12,"Contact Council")</f>
        <v>46.080000000000041</v>
      </c>
      <c r="E21" s="378"/>
      <c r="F21" s="378"/>
      <c r="G21" s="378"/>
      <c r="H21" s="379"/>
      <c r="I21" s="216"/>
      <c r="J21" s="377">
        <f>IFERROR(D21/52,"Contact Council")</f>
        <v>0.88615384615384696</v>
      </c>
      <c r="K21" s="378"/>
      <c r="L21" s="378"/>
      <c r="M21" s="378"/>
      <c r="N21" s="379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3">
        <f>IF(Z19&gt;0,-IF($D$9&lt;8,VLOOKUP($AE$9,Pensioner,6),0),0)</f>
        <v>0</v>
      </c>
      <c r="AI21" s="213">
        <f>IF(V19&gt;0,-IF($D$9&lt;8,VLOOKUP($AE$9,Pensioner,5),0),0)</f>
        <v>0</v>
      </c>
      <c r="AJ21" s="213">
        <f>-IF($D$9&lt;8,VLOOKUP($AE$9,Pensioner,4),0)</f>
        <v>0</v>
      </c>
      <c r="AK21" s="216"/>
      <c r="AL21" s="216"/>
      <c r="AM21" s="216"/>
      <c r="AN21" s="216"/>
      <c r="AO21" s="216"/>
      <c r="AP21" s="216"/>
      <c r="AQ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216"/>
      <c r="BT21" s="216"/>
      <c r="BU21" s="216"/>
      <c r="BV21" s="216"/>
      <c r="BW21" s="216"/>
      <c r="BX21" s="216"/>
      <c r="BY21" s="216"/>
      <c r="BZ21" s="216"/>
      <c r="CA21" s="216"/>
      <c r="CB21" s="216"/>
      <c r="CC21" s="216"/>
      <c r="CD21" s="216"/>
      <c r="CE21" s="216"/>
      <c r="CF21" s="216"/>
      <c r="CG21" s="216"/>
      <c r="CH21" s="216"/>
      <c r="CI21" s="216"/>
      <c r="CJ21" s="216"/>
      <c r="CK21" s="216"/>
      <c r="CL21" s="216"/>
      <c r="CM21" s="216"/>
      <c r="CN21" s="216"/>
      <c r="CO21" s="216"/>
      <c r="CP21" s="216"/>
    </row>
    <row r="22" spans="1:94" ht="3.65" customHeight="1" x14ac:dyDescent="0.25">
      <c r="A22" s="216"/>
      <c r="B22" s="216"/>
      <c r="C22" s="216"/>
      <c r="D22" s="216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</row>
    <row r="23" spans="1:94" ht="20.65" customHeight="1" thickBot="1" x14ac:dyDescent="0.3">
      <c r="A23" s="216"/>
      <c r="B23" s="242" t="s">
        <v>114</v>
      </c>
      <c r="C23" s="216"/>
      <c r="D23" s="216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</row>
    <row r="24" spans="1:94" ht="31.15" customHeight="1" x14ac:dyDescent="0.25">
      <c r="A24" s="216"/>
      <c r="B24" s="197"/>
      <c r="C24" s="198"/>
      <c r="D24" s="380" t="s">
        <v>105</v>
      </c>
      <c r="E24" s="381"/>
      <c r="F24" s="382"/>
      <c r="G24" s="199"/>
      <c r="H24" s="383" t="s">
        <v>106</v>
      </c>
      <c r="I24" s="384"/>
      <c r="J24" s="384"/>
      <c r="K24" s="384"/>
      <c r="L24" s="383" t="s">
        <v>107</v>
      </c>
      <c r="M24" s="384"/>
      <c r="N24" s="384"/>
      <c r="O24" s="384"/>
      <c r="P24" s="383" t="s">
        <v>108</v>
      </c>
      <c r="Q24" s="384"/>
      <c r="R24" s="384"/>
      <c r="S24" s="384"/>
      <c r="T24" s="383" t="s">
        <v>109</v>
      </c>
      <c r="U24" s="384"/>
      <c r="V24" s="384"/>
      <c r="W24" s="385"/>
      <c r="X24" s="386" t="s">
        <v>104</v>
      </c>
      <c r="Y24" s="387"/>
      <c r="Z24" s="387"/>
      <c r="AA24" s="388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216"/>
      <c r="CD24" s="216"/>
      <c r="CE24" s="216"/>
      <c r="CF24" s="216"/>
      <c r="CG24" s="216"/>
      <c r="CH24" s="216"/>
      <c r="CI24" s="216"/>
      <c r="CJ24" s="216"/>
      <c r="CK24" s="216"/>
      <c r="CL24" s="216"/>
      <c r="CM24" s="216"/>
      <c r="CN24" s="216"/>
      <c r="CO24" s="216"/>
      <c r="CP24" s="216"/>
    </row>
    <row r="25" spans="1:94" ht="36" customHeight="1" x14ac:dyDescent="0.25">
      <c r="A25" s="216"/>
      <c r="B25" s="200" t="s">
        <v>90</v>
      </c>
      <c r="C25" s="201"/>
      <c r="D25" s="392" t="s">
        <v>93</v>
      </c>
      <c r="E25" s="393"/>
      <c r="F25" s="394"/>
      <c r="G25" s="202"/>
      <c r="H25" s="345" t="s">
        <v>94</v>
      </c>
      <c r="I25" s="346"/>
      <c r="J25" s="346"/>
      <c r="K25" s="347"/>
      <c r="L25" s="345" t="s">
        <v>94</v>
      </c>
      <c r="M25" s="346"/>
      <c r="N25" s="346"/>
      <c r="O25" s="347"/>
      <c r="P25" s="345" t="s">
        <v>94</v>
      </c>
      <c r="Q25" s="346"/>
      <c r="R25" s="346"/>
      <c r="S25" s="347"/>
      <c r="T25" s="345" t="s">
        <v>94</v>
      </c>
      <c r="U25" s="346"/>
      <c r="V25" s="346"/>
      <c r="W25" s="348"/>
      <c r="X25" s="389"/>
      <c r="Y25" s="390"/>
      <c r="Z25" s="390"/>
      <c r="AA25" s="391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</row>
    <row r="26" spans="1:94" ht="22.9" customHeight="1" x14ac:dyDescent="0.35">
      <c r="A26" s="216"/>
      <c r="B26" s="203" t="s">
        <v>34</v>
      </c>
      <c r="C26" s="204"/>
      <c r="D26" s="399">
        <f>+SUM(D12:H12)</f>
        <v>576</v>
      </c>
      <c r="E26" s="400"/>
      <c r="F26" s="401"/>
      <c r="G26" s="267"/>
      <c r="H26" s="366">
        <f>+SUM(D19:H19)</f>
        <v>622.08000000000004</v>
      </c>
      <c r="I26" s="367"/>
      <c r="J26" s="367"/>
      <c r="K26" s="402"/>
      <c r="L26" s="366">
        <f>+H26*1.08</f>
        <v>671.84640000000013</v>
      </c>
      <c r="M26" s="367"/>
      <c r="N26" s="367"/>
      <c r="O26" s="402"/>
      <c r="P26" s="366">
        <f>+L26*1.06</f>
        <v>712.15718400000014</v>
      </c>
      <c r="Q26" s="367"/>
      <c r="R26" s="367"/>
      <c r="S26" s="402"/>
      <c r="T26" s="366">
        <f>+P26*1.06</f>
        <v>754.88661504000015</v>
      </c>
      <c r="U26" s="367"/>
      <c r="V26" s="367"/>
      <c r="W26" s="368"/>
      <c r="X26" s="396">
        <f>IFERROR(((T26-D26)/D26)/4,0)</f>
        <v>7.764176000000006E-2</v>
      </c>
      <c r="Y26" s="397"/>
      <c r="Z26" s="397"/>
      <c r="AA26" s="398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216"/>
      <c r="CL26" s="216"/>
      <c r="CM26" s="216"/>
      <c r="CN26" s="216"/>
      <c r="CO26" s="216"/>
      <c r="CP26" s="220">
        <f>+X32</f>
        <v>7.764176000000006E-2</v>
      </c>
    </row>
    <row r="27" spans="1:94" ht="22.9" hidden="1" customHeight="1" x14ac:dyDescent="0.35">
      <c r="A27" s="216"/>
      <c r="B27" s="203"/>
      <c r="C27" s="204"/>
      <c r="D27" s="369"/>
      <c r="E27" s="370"/>
      <c r="F27" s="371"/>
      <c r="G27" s="267"/>
      <c r="H27" s="372"/>
      <c r="I27" s="373"/>
      <c r="J27" s="373"/>
      <c r="K27" s="374"/>
      <c r="L27" s="372"/>
      <c r="M27" s="373"/>
      <c r="N27" s="373"/>
      <c r="O27" s="374"/>
      <c r="P27" s="372"/>
      <c r="Q27" s="373"/>
      <c r="R27" s="373"/>
      <c r="S27" s="374"/>
      <c r="T27" s="372"/>
      <c r="U27" s="373"/>
      <c r="V27" s="373"/>
      <c r="W27" s="375"/>
      <c r="X27" s="396"/>
      <c r="Y27" s="397"/>
      <c r="Z27" s="397"/>
      <c r="AA27" s="398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216"/>
      <c r="BT27" s="216"/>
      <c r="BU27" s="216"/>
      <c r="BV27" s="216"/>
      <c r="BW27" s="216"/>
      <c r="BX27" s="216"/>
      <c r="BY27" s="216"/>
      <c r="BZ27" s="216"/>
      <c r="CA27" s="216"/>
      <c r="CB27" s="216"/>
      <c r="CC27" s="216"/>
      <c r="CD27" s="216"/>
      <c r="CE27" s="216"/>
      <c r="CF27" s="216"/>
      <c r="CG27" s="216"/>
      <c r="CH27" s="216"/>
      <c r="CI27" s="216"/>
      <c r="CJ27" s="216"/>
      <c r="CK27" s="216"/>
      <c r="CL27" s="216"/>
      <c r="CM27" s="216"/>
      <c r="CN27" s="216"/>
      <c r="CO27" s="216"/>
      <c r="CP27" s="216"/>
    </row>
    <row r="28" spans="1:94" ht="22.9" hidden="1" customHeight="1" x14ac:dyDescent="0.35">
      <c r="A28" s="216"/>
      <c r="B28" s="203"/>
      <c r="C28" s="204"/>
      <c r="D28" s="369"/>
      <c r="E28" s="370"/>
      <c r="F28" s="371"/>
      <c r="G28" s="267"/>
      <c r="H28" s="372"/>
      <c r="I28" s="373"/>
      <c r="J28" s="373"/>
      <c r="K28" s="374"/>
      <c r="L28" s="372"/>
      <c r="M28" s="373"/>
      <c r="N28" s="373"/>
      <c r="O28" s="374"/>
      <c r="P28" s="372"/>
      <c r="Q28" s="373"/>
      <c r="R28" s="373"/>
      <c r="S28" s="374"/>
      <c r="T28" s="372"/>
      <c r="U28" s="373"/>
      <c r="V28" s="373"/>
      <c r="W28" s="375"/>
      <c r="X28" s="396"/>
      <c r="Y28" s="397"/>
      <c r="Z28" s="397"/>
      <c r="AA28" s="398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16"/>
      <c r="BH28" s="216"/>
      <c r="BI28" s="216"/>
      <c r="BJ28" s="216"/>
      <c r="BK28" s="216"/>
      <c r="BL28" s="216"/>
      <c r="BM28" s="216"/>
      <c r="BN28" s="216"/>
      <c r="BO28" s="216"/>
      <c r="BP28" s="216"/>
      <c r="BQ28" s="216"/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</row>
    <row r="29" spans="1:94" ht="22.9" hidden="1" customHeight="1" x14ac:dyDescent="0.35">
      <c r="A29" s="216"/>
      <c r="B29" s="203"/>
      <c r="C29" s="204"/>
      <c r="D29" s="369"/>
      <c r="E29" s="370"/>
      <c r="F29" s="371"/>
      <c r="G29" s="267"/>
      <c r="H29" s="372"/>
      <c r="I29" s="373"/>
      <c r="J29" s="373"/>
      <c r="K29" s="374"/>
      <c r="L29" s="372"/>
      <c r="M29" s="373"/>
      <c r="N29" s="373"/>
      <c r="O29" s="374"/>
      <c r="P29" s="372"/>
      <c r="Q29" s="373"/>
      <c r="R29" s="373"/>
      <c r="S29" s="374"/>
      <c r="T29" s="372"/>
      <c r="U29" s="373"/>
      <c r="V29" s="373"/>
      <c r="W29" s="375"/>
      <c r="X29" s="396"/>
      <c r="Y29" s="397"/>
      <c r="Z29" s="397"/>
      <c r="AA29" s="398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6"/>
      <c r="BS29" s="216"/>
      <c r="BT29" s="216"/>
      <c r="BU29" s="216"/>
      <c r="BV29" s="216"/>
      <c r="BW29" s="216"/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</row>
    <row r="30" spans="1:94" ht="22.9" hidden="1" customHeight="1" x14ac:dyDescent="0.35">
      <c r="A30" s="216"/>
      <c r="B30" s="203"/>
      <c r="C30" s="204"/>
      <c r="D30" s="369"/>
      <c r="E30" s="370"/>
      <c r="F30" s="371"/>
      <c r="G30" s="267"/>
      <c r="H30" s="372"/>
      <c r="I30" s="373"/>
      <c r="J30" s="373"/>
      <c r="K30" s="374"/>
      <c r="L30" s="372"/>
      <c r="M30" s="373"/>
      <c r="N30" s="373"/>
      <c r="O30" s="374"/>
      <c r="P30" s="372"/>
      <c r="Q30" s="373"/>
      <c r="R30" s="373"/>
      <c r="S30" s="374"/>
      <c r="T30" s="372"/>
      <c r="U30" s="373"/>
      <c r="V30" s="373"/>
      <c r="W30" s="375"/>
      <c r="X30" s="396"/>
      <c r="Y30" s="397"/>
      <c r="Z30" s="397"/>
      <c r="AA30" s="398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216"/>
      <c r="BT30" s="216"/>
      <c r="BU30" s="216"/>
      <c r="BV30" s="216"/>
      <c r="BW30" s="216"/>
      <c r="BX30" s="216"/>
      <c r="BY30" s="216"/>
      <c r="BZ30" s="216"/>
      <c r="CA30" s="216"/>
      <c r="CB30" s="216"/>
      <c r="CC30" s="216"/>
      <c r="CD30" s="216"/>
      <c r="CE30" s="216"/>
      <c r="CF30" s="216"/>
      <c r="CG30" s="216"/>
      <c r="CH30" s="216"/>
      <c r="CI30" s="216"/>
      <c r="CJ30" s="216"/>
      <c r="CK30" s="216"/>
      <c r="CL30" s="216"/>
      <c r="CM30" s="216"/>
      <c r="CN30" s="216"/>
      <c r="CO30" s="216"/>
      <c r="CP30" s="216"/>
    </row>
    <row r="31" spans="1:94" ht="22.9" customHeight="1" x14ac:dyDescent="0.35">
      <c r="A31" s="216"/>
      <c r="B31" s="203" t="s">
        <v>91</v>
      </c>
      <c r="C31" s="204"/>
      <c r="D31" s="369">
        <f>+AD12</f>
        <v>0</v>
      </c>
      <c r="E31" s="370"/>
      <c r="F31" s="371"/>
      <c r="G31" s="267"/>
      <c r="H31" s="372">
        <f>+AD19</f>
        <v>0</v>
      </c>
      <c r="I31" s="373"/>
      <c r="J31" s="373"/>
      <c r="K31" s="374"/>
      <c r="L31" s="372">
        <f>+H31</f>
        <v>0</v>
      </c>
      <c r="M31" s="373"/>
      <c r="N31" s="373"/>
      <c r="O31" s="374"/>
      <c r="P31" s="372">
        <f>+L31</f>
        <v>0</v>
      </c>
      <c r="Q31" s="373"/>
      <c r="R31" s="373"/>
      <c r="S31" s="374"/>
      <c r="T31" s="372">
        <f>+P31</f>
        <v>0</v>
      </c>
      <c r="U31" s="373"/>
      <c r="V31" s="373"/>
      <c r="W31" s="375"/>
      <c r="X31" s="396">
        <f t="shared" ref="X31" si="0">IFERROR(((T31-D31)/D31)/4,0)</f>
        <v>0</v>
      </c>
      <c r="Y31" s="397"/>
      <c r="Z31" s="397"/>
      <c r="AA31" s="398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  <c r="CA31" s="216"/>
      <c r="CB31" s="216"/>
      <c r="CC31" s="216"/>
      <c r="CD31" s="216"/>
      <c r="CE31" s="216"/>
      <c r="CF31" s="216"/>
      <c r="CG31" s="216"/>
      <c r="CH31" s="216"/>
      <c r="CI31" s="216"/>
      <c r="CJ31" s="216"/>
      <c r="CK31" s="216"/>
      <c r="CL31" s="216"/>
      <c r="CM31" s="216"/>
      <c r="CN31" s="216"/>
      <c r="CO31" s="216"/>
      <c r="CP31" s="216"/>
    </row>
    <row r="32" spans="1:94" ht="22.9" customHeight="1" thickBot="1" x14ac:dyDescent="0.45">
      <c r="A32" s="216"/>
      <c r="B32" s="205" t="s">
        <v>92</v>
      </c>
      <c r="C32" s="206"/>
      <c r="D32" s="403">
        <f>+SUM(D26:F31)</f>
        <v>576</v>
      </c>
      <c r="E32" s="404"/>
      <c r="F32" s="405"/>
      <c r="G32" s="268"/>
      <c r="H32" s="406">
        <f>SUM(H26:H31)</f>
        <v>622.08000000000004</v>
      </c>
      <c r="I32" s="407"/>
      <c r="J32" s="407"/>
      <c r="K32" s="408"/>
      <c r="L32" s="406">
        <f>SUM(L26:L31)</f>
        <v>671.84640000000013</v>
      </c>
      <c r="M32" s="407"/>
      <c r="N32" s="407"/>
      <c r="O32" s="408"/>
      <c r="P32" s="406">
        <f>SUM(P26:P31)</f>
        <v>712.15718400000014</v>
      </c>
      <c r="Q32" s="407"/>
      <c r="R32" s="407"/>
      <c r="S32" s="408"/>
      <c r="T32" s="406">
        <f>SUM(T26:T31)</f>
        <v>754.88661504000015</v>
      </c>
      <c r="U32" s="407"/>
      <c r="V32" s="407"/>
      <c r="W32" s="409"/>
      <c r="X32" s="410">
        <f>IFERROR(((T32-D32)/D32)/4,0)</f>
        <v>7.764176000000006E-2</v>
      </c>
      <c r="Y32" s="411"/>
      <c r="Z32" s="411"/>
      <c r="AA32" s="412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Q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</row>
    <row r="33" spans="1:94" ht="16" customHeight="1" x14ac:dyDescent="0.4">
      <c r="A33" s="216"/>
      <c r="B33" s="216"/>
      <c r="C33" s="216"/>
      <c r="D33" s="216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16"/>
      <c r="V33" s="216"/>
      <c r="W33" s="243"/>
      <c r="X33" s="216"/>
      <c r="Y33" s="216"/>
      <c r="Z33" s="216"/>
      <c r="AA33" s="216"/>
      <c r="AB33" s="298" t="s">
        <v>133</v>
      </c>
      <c r="AC33" s="216"/>
      <c r="AD33" s="216"/>
      <c r="AE33" s="216"/>
      <c r="AF33" s="216"/>
      <c r="AG33" s="216"/>
      <c r="AH33" s="216"/>
      <c r="AI33" s="216"/>
      <c r="AJ33" s="216"/>
      <c r="AK33" s="219"/>
      <c r="AL33" s="216"/>
      <c r="AM33" s="216"/>
      <c r="AN33" s="216"/>
      <c r="AO33" s="216"/>
      <c r="AP33" s="216"/>
      <c r="AQ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</row>
    <row r="34" spans="1:94" ht="16" customHeight="1" x14ac:dyDescent="0.25">
      <c r="A34" s="216"/>
      <c r="B34" s="216"/>
      <c r="C34" s="216"/>
      <c r="D34" s="216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16"/>
      <c r="V34" s="216"/>
      <c r="W34" s="216"/>
      <c r="X34" s="216"/>
      <c r="Y34" s="216"/>
      <c r="Z34" s="216"/>
      <c r="AA34" s="216"/>
      <c r="AB34" s="299" t="s">
        <v>121</v>
      </c>
      <c r="AC34" s="300"/>
      <c r="AD34" s="300"/>
      <c r="AE34" s="300"/>
      <c r="AF34" s="300"/>
      <c r="AG34" s="301">
        <v>275957.733995585</v>
      </c>
      <c r="AH34" s="216"/>
      <c r="AI34" s="216"/>
      <c r="AJ34" s="216"/>
      <c r="AK34" s="299" t="s">
        <v>127</v>
      </c>
      <c r="AL34" s="305"/>
      <c r="AM34" s="301">
        <v>898390.91791044781</v>
      </c>
      <c r="AN34" s="216"/>
      <c r="AO34" s="216"/>
      <c r="AP34" s="216"/>
      <c r="AQ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16"/>
      <c r="CD34" s="216"/>
      <c r="CE34" s="216"/>
      <c r="CF34" s="216"/>
      <c r="CG34" s="216"/>
      <c r="CH34" s="216"/>
      <c r="CI34" s="216"/>
      <c r="CJ34" s="310"/>
      <c r="CK34" s="311" t="str">
        <f>+D24</f>
        <v>2022/23</v>
      </c>
      <c r="CL34" s="312" t="str">
        <f>+H24</f>
        <v>2023/24</v>
      </c>
      <c r="CM34" s="312" t="str">
        <f>+L24</f>
        <v>2024/25</v>
      </c>
      <c r="CN34" s="312" t="str">
        <f>+P24</f>
        <v>2025/26</v>
      </c>
      <c r="CO34" s="312" t="str">
        <f>+T24</f>
        <v>2026/27</v>
      </c>
      <c r="CP34" s="216"/>
    </row>
    <row r="35" spans="1:94" ht="16" customHeight="1" x14ac:dyDescent="0.35">
      <c r="A35" s="216"/>
      <c r="B35" s="216"/>
      <c r="C35" s="216"/>
      <c r="D35" s="216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308" t="s">
        <v>122</v>
      </c>
      <c r="AC35" s="216"/>
      <c r="AD35" s="216"/>
      <c r="AE35" s="216"/>
      <c r="AF35" s="216"/>
      <c r="AG35" s="302">
        <v>273436.03900975245</v>
      </c>
      <c r="AH35" s="216"/>
      <c r="AI35" s="216"/>
      <c r="AJ35" s="216"/>
      <c r="AK35" s="308" t="s">
        <v>128</v>
      </c>
      <c r="AL35" s="208"/>
      <c r="AM35" s="302">
        <v>253694.50387596898</v>
      </c>
      <c r="AN35" s="216"/>
      <c r="AO35" s="216"/>
      <c r="AP35" s="216"/>
      <c r="AQ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6"/>
      <c r="CI35" s="216"/>
      <c r="CJ35" s="313" t="s">
        <v>134</v>
      </c>
      <c r="CK35" s="314">
        <f>D32</f>
        <v>576</v>
      </c>
      <c r="CL35" s="315">
        <f>H32</f>
        <v>622.08000000000004</v>
      </c>
      <c r="CM35" s="315">
        <f>L32</f>
        <v>671.84640000000013</v>
      </c>
      <c r="CN35" s="315">
        <f>P32</f>
        <v>712.15718400000014</v>
      </c>
      <c r="CO35" s="315">
        <f>T32</f>
        <v>754.88661504000015</v>
      </c>
      <c r="CP35" s="216"/>
    </row>
    <row r="36" spans="1:94" ht="16" customHeight="1" x14ac:dyDescent="0.35">
      <c r="A36" s="216"/>
      <c r="B36" s="216"/>
      <c r="C36" s="216"/>
      <c r="D36" s="216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308" t="s">
        <v>123</v>
      </c>
      <c r="AC36" s="216"/>
      <c r="AD36" s="216"/>
      <c r="AE36" s="216"/>
      <c r="AF36" s="216"/>
      <c r="AG36" s="302">
        <v>130654.04411764706</v>
      </c>
      <c r="AH36" s="216"/>
      <c r="AI36" s="216"/>
      <c r="AJ36" s="216"/>
      <c r="AK36" s="308" t="s">
        <v>129</v>
      </c>
      <c r="AL36" s="208"/>
      <c r="AM36" s="302">
        <v>306114.95327102806</v>
      </c>
      <c r="AN36" s="216"/>
      <c r="AO36" s="216"/>
      <c r="AP36" s="216"/>
      <c r="AQ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6"/>
      <c r="CC36" s="216"/>
      <c r="CD36" s="216"/>
      <c r="CE36" s="216"/>
      <c r="CF36" s="216"/>
      <c r="CG36" s="216"/>
      <c r="CH36" s="216"/>
      <c r="CI36" s="216"/>
      <c r="CJ36" s="313" t="s">
        <v>101</v>
      </c>
      <c r="CK36" s="316">
        <f>CK35</f>
        <v>576</v>
      </c>
      <c r="CL36" s="317">
        <f>CK36*1.045</f>
        <v>601.91999999999996</v>
      </c>
      <c r="CM36" s="317">
        <f>CL36*1.035</f>
        <v>622.98719999999992</v>
      </c>
      <c r="CN36" s="317">
        <f>CM36*1.025</f>
        <v>638.56187999999986</v>
      </c>
      <c r="CO36" s="317">
        <f>CN36*1.025</f>
        <v>654.5259269999998</v>
      </c>
      <c r="CP36" s="216"/>
    </row>
    <row r="37" spans="1:94" ht="16" customHeight="1" x14ac:dyDescent="0.25">
      <c r="A37" s="216"/>
      <c r="B37" s="216"/>
      <c r="C37" s="216"/>
      <c r="D37" s="216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308" t="s">
        <v>124</v>
      </c>
      <c r="AC37" s="216"/>
      <c r="AD37" s="216"/>
      <c r="AE37" s="216"/>
      <c r="AF37" s="216"/>
      <c r="AG37" s="302">
        <v>376423.72881355934</v>
      </c>
      <c r="AH37" s="216"/>
      <c r="AI37" s="216"/>
      <c r="AJ37" s="216"/>
      <c r="AK37" s="308" t="s">
        <v>130</v>
      </c>
      <c r="AL37" s="208"/>
      <c r="AM37" s="302">
        <v>115346.77419354839</v>
      </c>
      <c r="AN37" s="216"/>
      <c r="AO37" s="216"/>
      <c r="AP37" s="216"/>
      <c r="AQ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6"/>
      <c r="CC37" s="216"/>
      <c r="CD37" s="216"/>
      <c r="CE37" s="216"/>
      <c r="CF37" s="216"/>
      <c r="CG37" s="216"/>
      <c r="CH37" s="216"/>
      <c r="CI37" s="216"/>
      <c r="CJ37" s="216"/>
      <c r="CK37" s="216"/>
      <c r="CL37" s="216"/>
      <c r="CM37" s="216"/>
      <c r="CN37" s="216"/>
      <c r="CO37" s="216"/>
      <c r="CP37" s="216"/>
    </row>
    <row r="38" spans="1:94" s="216" customFormat="1" ht="16" customHeight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AB38" s="308" t="s">
        <v>125</v>
      </c>
      <c r="AG38" s="302">
        <v>412994.54545454547</v>
      </c>
      <c r="AK38" s="308" t="s">
        <v>131</v>
      </c>
      <c r="AL38" s="208"/>
      <c r="AM38" s="302">
        <v>409734.54545454547</v>
      </c>
    </row>
    <row r="39" spans="1:94" s="216" customFormat="1" ht="16" customHeight="1" x14ac:dyDescent="0.25"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AB39" s="306" t="s">
        <v>126</v>
      </c>
      <c r="AC39" s="303"/>
      <c r="AD39" s="303"/>
      <c r="AE39" s="303"/>
      <c r="AF39" s="303"/>
      <c r="AG39" s="304">
        <v>231417.4823943662</v>
      </c>
      <c r="AK39" s="306" t="s">
        <v>132</v>
      </c>
      <c r="AL39" s="307"/>
      <c r="AM39" s="304">
        <v>257740.74074074073</v>
      </c>
    </row>
    <row r="40" spans="1:94" s="216" customFormat="1" ht="20.25" customHeight="1" x14ac:dyDescent="0.25"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</row>
    <row r="41" spans="1:94" s="216" customFormat="1" ht="20.25" customHeight="1" x14ac:dyDescent="0.25"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</row>
    <row r="42" spans="1:94" s="216" customFormat="1" ht="20.25" customHeight="1" x14ac:dyDescent="0.25"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</row>
    <row r="43" spans="1:94" s="216" customFormat="1" ht="20.25" customHeight="1" x14ac:dyDescent="0.25"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</row>
    <row r="44" spans="1:94" s="216" customFormat="1" x14ac:dyDescent="0.25"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</row>
    <row r="45" spans="1:94" s="216" customFormat="1" x14ac:dyDescent="0.25"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</row>
    <row r="46" spans="1:94" s="216" customFormat="1" x14ac:dyDescent="0.25"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</row>
    <row r="47" spans="1:94" s="216" customFormat="1" x14ac:dyDescent="0.25"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</row>
    <row r="48" spans="1:94" s="216" customFormat="1" x14ac:dyDescent="0.25"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</row>
    <row r="49" spans="5:16" s="216" customFormat="1" x14ac:dyDescent="0.25"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</row>
    <row r="50" spans="5:16" s="216" customFormat="1" x14ac:dyDescent="0.25"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</row>
    <row r="51" spans="5:16" s="216" customFormat="1" x14ac:dyDescent="0.25"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</row>
    <row r="52" spans="5:16" s="216" customFormat="1" x14ac:dyDescent="0.25"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</row>
    <row r="53" spans="5:16" s="216" customFormat="1" x14ac:dyDescent="0.25"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</row>
    <row r="54" spans="5:16" s="216" customFormat="1" x14ac:dyDescent="0.25"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</row>
    <row r="55" spans="5:16" s="216" customFormat="1" x14ac:dyDescent="0.25"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</row>
    <row r="56" spans="5:16" s="216" customFormat="1" x14ac:dyDescent="0.25"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</row>
    <row r="57" spans="5:16" s="216" customFormat="1" x14ac:dyDescent="0.25"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</row>
    <row r="58" spans="5:16" s="216" customFormat="1" x14ac:dyDescent="0.25"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</row>
    <row r="59" spans="5:16" s="216" customFormat="1" x14ac:dyDescent="0.25"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</row>
    <row r="60" spans="5:16" s="216" customFormat="1" x14ac:dyDescent="0.25"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</row>
    <row r="61" spans="5:16" s="216" customFormat="1" x14ac:dyDescent="0.25"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</row>
    <row r="62" spans="5:16" s="216" customFormat="1" x14ac:dyDescent="0.25"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</row>
    <row r="63" spans="5:16" s="216" customFormat="1" x14ac:dyDescent="0.25"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</row>
    <row r="64" spans="5:16" s="216" customFormat="1" x14ac:dyDescent="0.25"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</row>
    <row r="65" spans="5:16" s="216" customFormat="1" x14ac:dyDescent="0.25"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</row>
    <row r="66" spans="5:16" s="216" customFormat="1" x14ac:dyDescent="0.25"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</row>
    <row r="67" spans="5:16" s="216" customFormat="1" x14ac:dyDescent="0.25"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</row>
    <row r="68" spans="5:16" s="216" customFormat="1" x14ac:dyDescent="0.25"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</row>
  </sheetData>
  <sheetProtection algorithmName="SHA-512" hashValue="zegDnRTx27sTAM+UM6aju0nvxYPYkZr4+XSHk2Jop5XmZR7Idk4eOic4QdddPvR0GG8Kru6lM/wm7YckdJJjDg==" saltValue="kLCuklvhzyLDV/hT4gxMMA==" spinCount="100000" sheet="1" objects="1" scenarios="1"/>
  <protectedRanges>
    <protectedRange algorithmName="SHA-512" hashValue="s2DGABV/ys4CGBG1RKpOqoDiHzQ0tz8XwNWYvI+zajpzGBVXMMiUjS6pcb4d3UcNDOzJ0Z2cBtYLr1uP/aJGkQ==" saltValue="4QZK/22l/n6Hf1ZOhvUJ8g==" spinCount="100000" sqref="B17" name="Range1"/>
  </protectedRanges>
  <mergeCells count="104">
    <mergeCell ref="D32:F32"/>
    <mergeCell ref="H32:K32"/>
    <mergeCell ref="L32:O32"/>
    <mergeCell ref="P32:S32"/>
    <mergeCell ref="T32:W32"/>
    <mergeCell ref="X32:AA32"/>
    <mergeCell ref="D31:F31"/>
    <mergeCell ref="H31:K31"/>
    <mergeCell ref="L31:O31"/>
    <mergeCell ref="P31:S31"/>
    <mergeCell ref="T31:W31"/>
    <mergeCell ref="X31:AA31"/>
    <mergeCell ref="X28:AA28"/>
    <mergeCell ref="X26:AA26"/>
    <mergeCell ref="D27:F27"/>
    <mergeCell ref="H27:K27"/>
    <mergeCell ref="L27:O27"/>
    <mergeCell ref="P27:S27"/>
    <mergeCell ref="T27:W27"/>
    <mergeCell ref="X27:AA27"/>
    <mergeCell ref="D30:F30"/>
    <mergeCell ref="H30:K30"/>
    <mergeCell ref="L30:O30"/>
    <mergeCell ref="P30:S30"/>
    <mergeCell ref="T30:W30"/>
    <mergeCell ref="X30:AA30"/>
    <mergeCell ref="D29:F29"/>
    <mergeCell ref="H29:K29"/>
    <mergeCell ref="L29:O29"/>
    <mergeCell ref="P29:S29"/>
    <mergeCell ref="T29:W29"/>
    <mergeCell ref="X29:AA29"/>
    <mergeCell ref="D26:F26"/>
    <mergeCell ref="H26:K26"/>
    <mergeCell ref="L26:O26"/>
    <mergeCell ref="P26:S26"/>
    <mergeCell ref="T26:W26"/>
    <mergeCell ref="D28:F28"/>
    <mergeCell ref="H28:K28"/>
    <mergeCell ref="L28:O28"/>
    <mergeCell ref="P28:S28"/>
    <mergeCell ref="T28:W28"/>
    <mergeCell ref="AD19:AF19"/>
    <mergeCell ref="D21:H21"/>
    <mergeCell ref="J21:N21"/>
    <mergeCell ref="D24:F24"/>
    <mergeCell ref="H24:K24"/>
    <mergeCell ref="L24:O24"/>
    <mergeCell ref="P24:S24"/>
    <mergeCell ref="T24:W24"/>
    <mergeCell ref="X24:AA25"/>
    <mergeCell ref="D25:F25"/>
    <mergeCell ref="D19:E19"/>
    <mergeCell ref="F19:H19"/>
    <mergeCell ref="J19:N19"/>
    <mergeCell ref="P19:T19"/>
    <mergeCell ref="V19:X19"/>
    <mergeCell ref="Z19:AB19"/>
    <mergeCell ref="H25:K25"/>
    <mergeCell ref="L25:O25"/>
    <mergeCell ref="P25:S25"/>
    <mergeCell ref="T25:W25"/>
    <mergeCell ref="D17:H17"/>
    <mergeCell ref="J17:L17"/>
    <mergeCell ref="J15:N16"/>
    <mergeCell ref="B15:B16"/>
    <mergeCell ref="D15:H16"/>
    <mergeCell ref="AD12:AF12"/>
    <mergeCell ref="D13:F13"/>
    <mergeCell ref="H13:K13"/>
    <mergeCell ref="R13:T13"/>
    <mergeCell ref="V13:X13"/>
    <mergeCell ref="Z13:AB13"/>
    <mergeCell ref="AD13:AF13"/>
    <mergeCell ref="D12:E12"/>
    <mergeCell ref="F12:H12"/>
    <mergeCell ref="J12:N12"/>
    <mergeCell ref="P12:T12"/>
    <mergeCell ref="V12:X12"/>
    <mergeCell ref="Z12:AB12"/>
    <mergeCell ref="D10:H10"/>
    <mergeCell ref="J11:N11"/>
    <mergeCell ref="P11:T11"/>
    <mergeCell ref="V11:X11"/>
    <mergeCell ref="Z11:AB11"/>
    <mergeCell ref="AD11:AF11"/>
    <mergeCell ref="AD7:AF8"/>
    <mergeCell ref="D8:E8"/>
    <mergeCell ref="F8:H8"/>
    <mergeCell ref="D9:H9"/>
    <mergeCell ref="J9:N9"/>
    <mergeCell ref="P9:T9"/>
    <mergeCell ref="V9:X9"/>
    <mergeCell ref="Z9:AB9"/>
    <mergeCell ref="AD9:AF9"/>
    <mergeCell ref="A2:X2"/>
    <mergeCell ref="B3:X3"/>
    <mergeCell ref="B4:AB4"/>
    <mergeCell ref="B7:B8"/>
    <mergeCell ref="D7:H7"/>
    <mergeCell ref="J7:N8"/>
    <mergeCell ref="P7:T8"/>
    <mergeCell ref="V7:X8"/>
    <mergeCell ref="Z7:AB8"/>
  </mergeCells>
  <pageMargins left="0.31496062992125984" right="0.31496062992125984" top="0.74803149606299213" bottom="0.74803149606299213" header="0.31496062992125984" footer="0.31496062992125984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Drop Down 3">
              <controlPr locked="0" defaultSize="0" autoLine="0" autoPict="0">
                <anchor moveWithCells="1">
                  <from>
                    <xdr:col>9</xdr:col>
                    <xdr:colOff>488950</xdr:colOff>
                    <xdr:row>16</xdr:row>
                    <xdr:rowOff>69850</xdr:rowOff>
                  </from>
                  <to>
                    <xdr:col>12</xdr:col>
                    <xdr:colOff>114300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5" name="Drop Down 11">
              <controlPr locked="0" defaultSize="0" autoLine="0" autoPict="0">
                <anchor moveWithCells="1">
                  <from>
                    <xdr:col>9</xdr:col>
                    <xdr:colOff>50800</xdr:colOff>
                    <xdr:row>16</xdr:row>
                    <xdr:rowOff>69850</xdr:rowOff>
                  </from>
                  <to>
                    <xdr:col>13</xdr:col>
                    <xdr:colOff>469900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6" name="Drop Down 14">
              <controlPr locked="0" defaultSize="0" autoLine="0" autoPict="0">
                <anchor moveWithCells="1">
                  <from>
                    <xdr:col>3</xdr:col>
                    <xdr:colOff>31750</xdr:colOff>
                    <xdr:row>16</xdr:row>
                    <xdr:rowOff>57150</xdr:rowOff>
                  </from>
                  <to>
                    <xdr:col>7</xdr:col>
                    <xdr:colOff>514350</xdr:colOff>
                    <xdr:row>16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9"/>
  <sheetViews>
    <sheetView workbookViewId="0">
      <pane xSplit="3" ySplit="1" topLeftCell="D2" activePane="bottomRight" state="frozen"/>
      <selection activeCell="L23" sqref="L23:O23"/>
      <selection pane="topRight" activeCell="L23" sqref="L23:O23"/>
      <selection pane="bottomLeft" activeCell="L23" sqref="L23:O23"/>
      <selection pane="bottomRight" activeCell="A6" sqref="A6:XFD6"/>
    </sheetView>
  </sheetViews>
  <sheetFormatPr defaultColWidth="9.1796875" defaultRowHeight="12.5" x14ac:dyDescent="0.25"/>
  <cols>
    <col min="1" max="1" width="3" bestFit="1" customWidth="1"/>
    <col min="2" max="2" width="35.26953125" customWidth="1"/>
    <col min="3" max="3" width="1" customWidth="1"/>
    <col min="4" max="6" width="14.1796875" customWidth="1"/>
    <col min="7" max="7" width="1" customWidth="1"/>
    <col min="8" max="10" width="14" customWidth="1"/>
    <col min="11" max="11" width="1" customWidth="1"/>
    <col min="12" max="14" width="14.81640625" customWidth="1"/>
    <col min="15" max="15" width="1" customWidth="1"/>
    <col min="16" max="16" width="18" customWidth="1"/>
    <col min="17" max="21" width="11.453125" customWidth="1"/>
    <col min="22" max="22" width="0.81640625" customWidth="1"/>
    <col min="23" max="23" width="13.54296875" customWidth="1"/>
    <col min="24" max="24" width="11.453125" customWidth="1"/>
    <col min="25" max="25" width="11.81640625" customWidth="1"/>
    <col min="26" max="27" width="12.1796875" customWidth="1"/>
    <col min="28" max="28" width="0.81640625" customWidth="1"/>
    <col min="29" max="30" width="10.26953125" customWidth="1"/>
  </cols>
  <sheetData>
    <row r="1" spans="1:30" s="7" customFormat="1" ht="39.75" customHeight="1" x14ac:dyDescent="0.25">
      <c r="A1" s="413" t="s">
        <v>41</v>
      </c>
      <c r="B1" s="413"/>
      <c r="C1" s="8"/>
      <c r="D1" s="416" t="s">
        <v>110</v>
      </c>
      <c r="E1" s="416"/>
      <c r="F1" s="417"/>
      <c r="G1" s="8"/>
      <c r="H1" s="418" t="s">
        <v>112</v>
      </c>
      <c r="I1" s="418"/>
      <c r="J1" s="419"/>
      <c r="K1" s="8"/>
      <c r="L1" s="418" t="s">
        <v>113</v>
      </c>
      <c r="M1" s="418"/>
      <c r="N1" s="418"/>
      <c r="P1" s="414"/>
      <c r="Q1" s="415"/>
      <c r="R1" s="271"/>
      <c r="S1" s="271"/>
      <c r="T1" s="271"/>
      <c r="U1" s="271"/>
      <c r="W1" s="414"/>
      <c r="X1" s="415"/>
      <c r="Z1" s="414"/>
      <c r="AA1" s="415"/>
      <c r="AC1" s="414"/>
      <c r="AD1" s="415"/>
    </row>
    <row r="2" spans="1:30" s="9" customFormat="1" ht="28.5" customHeight="1" x14ac:dyDescent="0.25">
      <c r="D2" s="10" t="s">
        <v>49</v>
      </c>
      <c r="E2" s="10"/>
      <c r="F2" s="11" t="s">
        <v>50</v>
      </c>
      <c r="H2" s="10"/>
      <c r="I2" s="10"/>
      <c r="J2" s="11"/>
      <c r="L2" s="10"/>
      <c r="M2" s="10"/>
      <c r="N2" s="11"/>
      <c r="W2" s="9">
        <v>9228183</v>
      </c>
      <c r="X2" s="9">
        <f>+W2*1.08</f>
        <v>9966437.6400000006</v>
      </c>
      <c r="Y2" s="9">
        <f>+X2*1.08</f>
        <v>10763752.651200002</v>
      </c>
      <c r="Z2" s="9">
        <f>+Y2*1.06</f>
        <v>11409577.810272003</v>
      </c>
      <c r="AA2" s="9">
        <f>+Z2*1.06</f>
        <v>12094152.478888324</v>
      </c>
      <c r="AC2" s="257"/>
    </row>
    <row r="3" spans="1:30" ht="13" x14ac:dyDescent="0.3">
      <c r="A3" s="285"/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P3" s="296" t="s">
        <v>120</v>
      </c>
      <c r="Q3" s="17">
        <v>2023</v>
      </c>
      <c r="R3" s="17">
        <v>2024</v>
      </c>
      <c r="S3" s="17">
        <v>2025</v>
      </c>
      <c r="T3" s="17">
        <v>2026</v>
      </c>
      <c r="U3" s="17">
        <v>2027</v>
      </c>
      <c r="W3" s="269" t="s">
        <v>117</v>
      </c>
      <c r="X3">
        <f>+X2-W2</f>
        <v>738254.6400000006</v>
      </c>
      <c r="Y3">
        <f t="shared" ref="Y3:AA3" si="0">+Y2-X2</f>
        <v>797315.01120000146</v>
      </c>
      <c r="Z3">
        <f t="shared" si="0"/>
        <v>645825.15907200053</v>
      </c>
      <c r="AA3">
        <f t="shared" si="0"/>
        <v>684574.66861632094</v>
      </c>
      <c r="AC3" s="257">
        <f>SUM(X3:AA3)</f>
        <v>2865969.4788883235</v>
      </c>
    </row>
    <row r="4" spans="1:30" x14ac:dyDescent="0.25">
      <c r="A4" s="285">
        <v>1</v>
      </c>
      <c r="B4" s="287" t="s">
        <v>65</v>
      </c>
      <c r="C4" s="288"/>
      <c r="D4" s="289">
        <v>576</v>
      </c>
      <c r="E4" s="289"/>
      <c r="F4" s="290">
        <v>0.26959499999999997</v>
      </c>
      <c r="G4" s="288"/>
      <c r="H4" s="289">
        <f t="shared" ref="H4:H15" si="1">+D4*1.045</f>
        <v>601.91999999999996</v>
      </c>
      <c r="I4" s="289"/>
      <c r="J4" s="290">
        <f t="shared" ref="J4:J15" si="2">+F4*1.045</f>
        <v>0.28172677499999993</v>
      </c>
      <c r="K4" s="288"/>
      <c r="L4" s="289">
        <f>+D4*1.08</f>
        <v>622.08000000000004</v>
      </c>
      <c r="M4" s="289"/>
      <c r="N4" s="290">
        <f>+F4*1.08</f>
        <v>0.29116259999999999</v>
      </c>
      <c r="P4" s="297">
        <v>275957.733995585</v>
      </c>
      <c r="Q4" s="257">
        <f>+(P4*(F4/100))+D4</f>
        <v>1319.9682529653974</v>
      </c>
      <c r="R4" s="257">
        <f>+Q4*1.08</f>
        <v>1425.5657132026292</v>
      </c>
      <c r="S4" s="257">
        <f t="shared" ref="S4" si="3">+R4*1.08</f>
        <v>1539.6109702588396</v>
      </c>
      <c r="T4" s="257">
        <f>+S4*1.06</f>
        <v>1631.98762847437</v>
      </c>
      <c r="U4" s="257">
        <f>+T4*1.06</f>
        <v>1729.9068861828323</v>
      </c>
      <c r="V4" s="3"/>
      <c r="W4" s="4"/>
      <c r="X4" s="257">
        <v>738000</v>
      </c>
      <c r="Y4" s="258">
        <v>737000</v>
      </c>
      <c r="Z4" s="4"/>
      <c r="AA4" s="5"/>
      <c r="AC4" s="257"/>
      <c r="AD4" s="5"/>
    </row>
    <row r="5" spans="1:30" x14ac:dyDescent="0.25">
      <c r="A5" s="285">
        <v>2</v>
      </c>
      <c r="B5" s="287" t="s">
        <v>66</v>
      </c>
      <c r="C5" s="288"/>
      <c r="D5" s="289">
        <v>576</v>
      </c>
      <c r="E5" s="289"/>
      <c r="F5" s="290">
        <v>0.27116000000000001</v>
      </c>
      <c r="G5" s="288"/>
      <c r="H5" s="289">
        <f t="shared" si="1"/>
        <v>601.91999999999996</v>
      </c>
      <c r="I5" s="289"/>
      <c r="J5" s="290">
        <f t="shared" si="2"/>
        <v>0.28336220000000001</v>
      </c>
      <c r="K5" s="288"/>
      <c r="L5" s="289">
        <f>+D5*1.08</f>
        <v>622.08000000000004</v>
      </c>
      <c r="M5" s="289"/>
      <c r="N5" s="290">
        <f>+F5*1.08</f>
        <v>0.29285280000000002</v>
      </c>
      <c r="P5" s="297">
        <v>273436.03900975245</v>
      </c>
      <c r="Q5" s="257">
        <f t="shared" ref="Q5:Q15" si="4">+(P5*(F5/100))+D5</f>
        <v>1317.4491633788448</v>
      </c>
      <c r="R5" s="257">
        <f t="shared" ref="R5:S15" si="5">+Q5*1.08</f>
        <v>1422.8450964491524</v>
      </c>
      <c r="S5" s="257">
        <f t="shared" si="5"/>
        <v>1536.6727041650847</v>
      </c>
      <c r="T5" s="257">
        <f t="shared" ref="T5:U15" si="6">+S5*1.06</f>
        <v>1628.8730664149898</v>
      </c>
      <c r="U5" s="257">
        <f t="shared" si="6"/>
        <v>1726.6054503998894</v>
      </c>
      <c r="V5" s="3"/>
      <c r="W5" s="4"/>
      <c r="X5" s="257">
        <f>+X4-X3</f>
        <v>-254.64000000059605</v>
      </c>
      <c r="Y5" s="257">
        <f>+Y4-Y3</f>
        <v>-60315.011200001463</v>
      </c>
      <c r="Z5" s="4"/>
      <c r="AA5" s="5"/>
      <c r="AC5" s="257"/>
      <c r="AD5" s="5"/>
    </row>
    <row r="6" spans="1:30" x14ac:dyDescent="0.25">
      <c r="A6" s="285">
        <v>3</v>
      </c>
      <c r="B6" s="287" t="s">
        <v>68</v>
      </c>
      <c r="C6" s="288"/>
      <c r="D6" s="289">
        <v>524.79999999999995</v>
      </c>
      <c r="E6" s="289"/>
      <c r="F6" s="290">
        <v>0.40238200000000002</v>
      </c>
      <c r="G6" s="288"/>
      <c r="H6" s="289">
        <f t="shared" si="1"/>
        <v>548.41599999999994</v>
      </c>
      <c r="I6" s="289"/>
      <c r="J6" s="290">
        <f t="shared" si="2"/>
        <v>0.42048919000000001</v>
      </c>
      <c r="K6" s="288"/>
      <c r="L6" s="289">
        <f t="shared" ref="L6:L15" si="7">+D6*1.08</f>
        <v>566.78399999999999</v>
      </c>
      <c r="M6" s="289"/>
      <c r="N6" s="290">
        <f t="shared" ref="N6:N15" si="8">+F6*1.08</f>
        <v>0.43457256000000005</v>
      </c>
      <c r="P6" s="297">
        <v>130654.04411764706</v>
      </c>
      <c r="Q6" s="257">
        <f t="shared" si="4"/>
        <v>1050.5283558014705</v>
      </c>
      <c r="R6" s="257">
        <f t="shared" si="5"/>
        <v>1134.5706242655883</v>
      </c>
      <c r="S6" s="257">
        <f t="shared" si="5"/>
        <v>1225.3362742068355</v>
      </c>
      <c r="T6" s="257">
        <f t="shared" si="6"/>
        <v>1298.8564506592456</v>
      </c>
      <c r="U6" s="257">
        <f t="shared" si="6"/>
        <v>1376.7878376988006</v>
      </c>
      <c r="V6" s="3"/>
      <c r="W6" s="4"/>
      <c r="X6" s="5"/>
      <c r="Y6" s="3"/>
      <c r="Z6" s="4"/>
      <c r="AA6" s="5"/>
      <c r="AC6" s="257"/>
      <c r="AD6" s="5"/>
    </row>
    <row r="7" spans="1:30" x14ac:dyDescent="0.25">
      <c r="A7" s="285">
        <v>4</v>
      </c>
      <c r="B7" s="287" t="s">
        <v>69</v>
      </c>
      <c r="C7" s="288"/>
      <c r="D7" s="289">
        <v>576</v>
      </c>
      <c r="E7" s="289"/>
      <c r="F7" s="290">
        <v>0.24016199999999999</v>
      </c>
      <c r="G7" s="288"/>
      <c r="H7" s="289">
        <f t="shared" si="1"/>
        <v>601.91999999999996</v>
      </c>
      <c r="I7" s="289"/>
      <c r="J7" s="290">
        <f t="shared" si="2"/>
        <v>0.25096928999999996</v>
      </c>
      <c r="K7" s="288"/>
      <c r="L7" s="289">
        <f t="shared" si="7"/>
        <v>622.08000000000004</v>
      </c>
      <c r="M7" s="289"/>
      <c r="N7" s="290">
        <f t="shared" si="8"/>
        <v>0.25937495999999999</v>
      </c>
      <c r="P7" s="297">
        <v>376423.72881355934</v>
      </c>
      <c r="Q7" s="257">
        <f t="shared" si="4"/>
        <v>1480.0267555932203</v>
      </c>
      <c r="R7" s="257">
        <f t="shared" si="5"/>
        <v>1598.428896040678</v>
      </c>
      <c r="S7" s="257">
        <f t="shared" si="5"/>
        <v>1726.3032077239322</v>
      </c>
      <c r="T7" s="257">
        <f t="shared" si="6"/>
        <v>1829.8814001873682</v>
      </c>
      <c r="U7" s="257">
        <f t="shared" si="6"/>
        <v>1939.6742841986104</v>
      </c>
      <c r="V7" s="3"/>
      <c r="W7" s="4"/>
      <c r="X7" s="5"/>
      <c r="Y7" s="3"/>
      <c r="Z7" s="4"/>
      <c r="AA7" s="5"/>
      <c r="AC7" s="257"/>
      <c r="AD7" s="5"/>
    </row>
    <row r="8" spans="1:30" x14ac:dyDescent="0.25">
      <c r="A8" s="285">
        <v>5</v>
      </c>
      <c r="B8" s="287" t="s">
        <v>67</v>
      </c>
      <c r="C8" s="288"/>
      <c r="D8" s="289">
        <v>576</v>
      </c>
      <c r="E8" s="289"/>
      <c r="F8" s="290">
        <v>0.29598999999999998</v>
      </c>
      <c r="G8" s="288"/>
      <c r="H8" s="289">
        <f t="shared" si="1"/>
        <v>601.91999999999996</v>
      </c>
      <c r="I8" s="289"/>
      <c r="J8" s="290">
        <f t="shared" si="2"/>
        <v>0.30930954999999993</v>
      </c>
      <c r="K8" s="288"/>
      <c r="L8" s="289">
        <f t="shared" si="7"/>
        <v>622.08000000000004</v>
      </c>
      <c r="M8" s="289"/>
      <c r="N8" s="290">
        <f t="shared" si="8"/>
        <v>0.31966919999999999</v>
      </c>
      <c r="P8" s="297">
        <v>412994.54545454547</v>
      </c>
      <c r="Q8" s="257">
        <f t="shared" si="4"/>
        <v>1798.4225550909091</v>
      </c>
      <c r="R8" s="257">
        <f t="shared" si="5"/>
        <v>1942.296359498182</v>
      </c>
      <c r="S8" s="257">
        <f t="shared" si="5"/>
        <v>2097.680068258037</v>
      </c>
      <c r="T8" s="257">
        <f t="shared" si="6"/>
        <v>2223.5408723535193</v>
      </c>
      <c r="U8" s="257">
        <f t="shared" si="6"/>
        <v>2356.9533246947303</v>
      </c>
      <c r="V8" s="3"/>
      <c r="W8" s="4" t="s">
        <v>115</v>
      </c>
      <c r="X8" s="257">
        <v>553690.98000000045</v>
      </c>
      <c r="Y8" s="258">
        <v>586912.43879999965</v>
      </c>
      <c r="Z8" s="259">
        <v>622127.18512799963</v>
      </c>
      <c r="AA8" s="257">
        <v>659454.81623568013</v>
      </c>
      <c r="AC8" s="257">
        <f t="shared" ref="AC8:AC9" si="9">SUM(X8:AA8)</f>
        <v>2422185.4201636799</v>
      </c>
      <c r="AD8" s="5"/>
    </row>
    <row r="9" spans="1:30" x14ac:dyDescent="0.25">
      <c r="A9" s="285">
        <v>6</v>
      </c>
      <c r="B9" s="287" t="s">
        <v>70</v>
      </c>
      <c r="C9" s="288"/>
      <c r="D9" s="289">
        <v>576</v>
      </c>
      <c r="E9" s="289"/>
      <c r="F9" s="290">
        <v>0.27251399999999998</v>
      </c>
      <c r="G9" s="288"/>
      <c r="H9" s="289">
        <f t="shared" si="1"/>
        <v>601.91999999999996</v>
      </c>
      <c r="I9" s="289"/>
      <c r="J9" s="290">
        <f t="shared" si="2"/>
        <v>0.28477712999999993</v>
      </c>
      <c r="K9" s="288"/>
      <c r="L9" s="289">
        <f t="shared" si="7"/>
        <v>622.08000000000004</v>
      </c>
      <c r="M9" s="289"/>
      <c r="N9" s="290">
        <f t="shared" si="8"/>
        <v>0.29431511999999999</v>
      </c>
      <c r="P9" s="297">
        <v>231417.4823943662</v>
      </c>
      <c r="Q9" s="257">
        <f t="shared" si="4"/>
        <v>1206.645037972183</v>
      </c>
      <c r="R9" s="257">
        <f t="shared" si="5"/>
        <v>1303.1766410099576</v>
      </c>
      <c r="S9" s="257">
        <f t="shared" si="5"/>
        <v>1407.4307722907542</v>
      </c>
      <c r="T9" s="257">
        <f t="shared" si="6"/>
        <v>1491.8766186281996</v>
      </c>
      <c r="U9" s="257">
        <f t="shared" si="6"/>
        <v>1581.3892157458918</v>
      </c>
      <c r="V9" s="3"/>
      <c r="W9" s="4" t="s">
        <v>116</v>
      </c>
      <c r="X9" s="257">
        <f>+X10-W2</f>
        <v>415268.2349999994</v>
      </c>
      <c r="Y9" s="258">
        <f>+Y10-X10</f>
        <v>433955.30557500012</v>
      </c>
      <c r="Z9" s="258">
        <f t="shared" ref="Z9:AA9" si="10">+Z10-Y10</f>
        <v>352709.22892012447</v>
      </c>
      <c r="AA9" s="258">
        <f t="shared" si="10"/>
        <v>365054.05193232931</v>
      </c>
      <c r="AC9" s="257">
        <f t="shared" si="9"/>
        <v>1566986.8214274533</v>
      </c>
      <c r="AD9" s="5"/>
    </row>
    <row r="10" spans="1:30" x14ac:dyDescent="0.25">
      <c r="A10" s="285">
        <v>7</v>
      </c>
      <c r="B10" s="287" t="s">
        <v>75</v>
      </c>
      <c r="C10" s="288"/>
      <c r="D10" s="289">
        <v>554.1</v>
      </c>
      <c r="E10" s="289"/>
      <c r="F10" s="291">
        <v>0.274399</v>
      </c>
      <c r="G10" s="288"/>
      <c r="H10" s="289">
        <f t="shared" si="1"/>
        <v>579.03449999999998</v>
      </c>
      <c r="I10" s="289"/>
      <c r="J10" s="290">
        <f t="shared" si="2"/>
        <v>0.28674695499999997</v>
      </c>
      <c r="K10" s="288"/>
      <c r="L10" s="289">
        <f t="shared" si="7"/>
        <v>598.42800000000011</v>
      </c>
      <c r="M10" s="289"/>
      <c r="N10" s="290">
        <f t="shared" si="8"/>
        <v>0.29635092000000002</v>
      </c>
      <c r="P10" s="297">
        <v>898390.91791044781</v>
      </c>
      <c r="Q10" s="257">
        <f t="shared" si="4"/>
        <v>3019.2756948370898</v>
      </c>
      <c r="R10" s="257">
        <f t="shared" si="5"/>
        <v>3260.8177504240571</v>
      </c>
      <c r="S10" s="257">
        <f t="shared" si="5"/>
        <v>3521.6831704579818</v>
      </c>
      <c r="T10" s="257">
        <f t="shared" si="6"/>
        <v>3732.9841606854607</v>
      </c>
      <c r="U10" s="257">
        <f t="shared" si="6"/>
        <v>3956.9632103265885</v>
      </c>
      <c r="V10" s="3"/>
      <c r="W10" s="4"/>
      <c r="X10" s="257">
        <f>+W2*1.045</f>
        <v>9643451.2349999994</v>
      </c>
      <c r="Y10" s="257">
        <f>+X10*1.045</f>
        <v>10077406.540575</v>
      </c>
      <c r="Z10" s="257">
        <f>+Y10*1.035</f>
        <v>10430115.769495124</v>
      </c>
      <c r="AA10" s="257">
        <f>+Z10*1.035</f>
        <v>10795169.821427453</v>
      </c>
      <c r="AC10" s="257"/>
      <c r="AD10" s="5"/>
    </row>
    <row r="11" spans="1:30" x14ac:dyDescent="0.25">
      <c r="A11" s="285">
        <v>8</v>
      </c>
      <c r="B11" s="287" t="s">
        <v>71</v>
      </c>
      <c r="C11" s="288"/>
      <c r="D11" s="289">
        <v>576</v>
      </c>
      <c r="E11" s="289"/>
      <c r="F11" s="290">
        <v>0.31152600000000003</v>
      </c>
      <c r="G11" s="288"/>
      <c r="H11" s="289">
        <f t="shared" si="1"/>
        <v>601.91999999999996</v>
      </c>
      <c r="I11" s="289"/>
      <c r="J11" s="290">
        <f t="shared" si="2"/>
        <v>0.32554466999999998</v>
      </c>
      <c r="K11" s="288"/>
      <c r="L11" s="289">
        <f t="shared" si="7"/>
        <v>622.08000000000004</v>
      </c>
      <c r="M11" s="289"/>
      <c r="N11" s="290">
        <f t="shared" si="8"/>
        <v>0.33644808000000004</v>
      </c>
      <c r="P11" s="297">
        <v>253694.50387596898</v>
      </c>
      <c r="Q11" s="257">
        <f t="shared" si="4"/>
        <v>1366.3243401446512</v>
      </c>
      <c r="R11" s="257">
        <f t="shared" si="5"/>
        <v>1475.6302873562233</v>
      </c>
      <c r="S11" s="257">
        <f t="shared" si="5"/>
        <v>1593.6807103447213</v>
      </c>
      <c r="T11" s="257">
        <f t="shared" si="6"/>
        <v>1689.3015529654047</v>
      </c>
      <c r="U11" s="257">
        <f t="shared" si="6"/>
        <v>1790.6596461433289</v>
      </c>
      <c r="V11" s="3"/>
      <c r="W11" s="4"/>
      <c r="X11" s="5"/>
      <c r="Y11" s="3"/>
      <c r="Z11" s="4"/>
      <c r="AA11" s="5"/>
      <c r="AC11" s="257"/>
      <c r="AD11" s="5"/>
    </row>
    <row r="12" spans="1:30" x14ac:dyDescent="0.25">
      <c r="A12" s="285">
        <v>9</v>
      </c>
      <c r="B12" s="287" t="s">
        <v>72</v>
      </c>
      <c r="C12" s="288"/>
      <c r="D12" s="289">
        <v>576</v>
      </c>
      <c r="E12" s="289"/>
      <c r="F12" s="290">
        <v>0.39957399999999998</v>
      </c>
      <c r="G12" s="288"/>
      <c r="H12" s="289">
        <f t="shared" si="1"/>
        <v>601.91999999999996</v>
      </c>
      <c r="I12" s="289"/>
      <c r="J12" s="290">
        <f t="shared" si="2"/>
        <v>0.41755482999999993</v>
      </c>
      <c r="K12" s="288"/>
      <c r="L12" s="289">
        <f t="shared" si="7"/>
        <v>622.08000000000004</v>
      </c>
      <c r="M12" s="289"/>
      <c r="N12" s="290">
        <f t="shared" si="8"/>
        <v>0.43153992000000002</v>
      </c>
      <c r="P12" s="297">
        <v>306114.95327102806</v>
      </c>
      <c r="Q12" s="257">
        <f t="shared" si="4"/>
        <v>1799.1557633831778</v>
      </c>
      <c r="R12" s="257">
        <f t="shared" si="5"/>
        <v>1943.0882244538323</v>
      </c>
      <c r="S12" s="257">
        <f t="shared" si="5"/>
        <v>2098.5352824101392</v>
      </c>
      <c r="T12" s="257">
        <f t="shared" si="6"/>
        <v>2224.4473993547476</v>
      </c>
      <c r="U12" s="257">
        <f t="shared" si="6"/>
        <v>2357.9142433160328</v>
      </c>
      <c r="V12" s="3"/>
      <c r="W12" s="4" t="s">
        <v>119</v>
      </c>
      <c r="X12" s="270">
        <f>+X3-X8</f>
        <v>184563.66000000015</v>
      </c>
      <c r="Y12" s="270">
        <f t="shared" ref="Y12:AA12" si="11">+Y3-Y8</f>
        <v>210402.57240000181</v>
      </c>
      <c r="Z12" s="270">
        <f t="shared" si="11"/>
        <v>23697.9739440009</v>
      </c>
      <c r="AA12" s="270">
        <f t="shared" si="11"/>
        <v>25119.852380640805</v>
      </c>
      <c r="AC12" s="257">
        <f>+AC3-AC8</f>
        <v>443784.05872464366</v>
      </c>
      <c r="AD12" s="5"/>
    </row>
    <row r="13" spans="1:30" x14ac:dyDescent="0.25">
      <c r="A13" s="285">
        <v>10</v>
      </c>
      <c r="B13" s="287" t="s">
        <v>73</v>
      </c>
      <c r="C13" s="288"/>
      <c r="D13" s="289">
        <v>502.25</v>
      </c>
      <c r="E13" s="289"/>
      <c r="F13" s="291">
        <v>0.57072900000000004</v>
      </c>
      <c r="G13" s="288"/>
      <c r="H13" s="289">
        <f t="shared" si="1"/>
        <v>524.85124999999994</v>
      </c>
      <c r="I13" s="289"/>
      <c r="J13" s="290">
        <f t="shared" si="2"/>
        <v>0.59641180500000002</v>
      </c>
      <c r="K13" s="288"/>
      <c r="L13" s="289">
        <f t="shared" si="7"/>
        <v>542.43000000000006</v>
      </c>
      <c r="M13" s="289"/>
      <c r="N13" s="290">
        <f t="shared" si="8"/>
        <v>0.61638732000000007</v>
      </c>
      <c r="P13" s="297">
        <v>115346.77419354839</v>
      </c>
      <c r="Q13" s="257">
        <f t="shared" si="4"/>
        <v>1160.5674908870969</v>
      </c>
      <c r="R13" s="257">
        <f t="shared" si="5"/>
        <v>1253.4128901580648</v>
      </c>
      <c r="S13" s="257">
        <f t="shared" si="5"/>
        <v>1353.68592137071</v>
      </c>
      <c r="T13" s="257">
        <f t="shared" si="6"/>
        <v>1434.9070766529528</v>
      </c>
      <c r="U13" s="257">
        <f t="shared" si="6"/>
        <v>1521.0015012521301</v>
      </c>
      <c r="V13" s="3"/>
      <c r="W13" s="4" t="s">
        <v>118</v>
      </c>
      <c r="X13" s="257">
        <f>+X3-X9</f>
        <v>322986.40500000119</v>
      </c>
      <c r="Y13" s="257">
        <f>+Y3-Y9</f>
        <v>363359.70562500134</v>
      </c>
      <c r="Z13" s="257">
        <f>+Z3-Z9</f>
        <v>293115.93015187606</v>
      </c>
      <c r="AA13" s="257">
        <f>+AA3-AA9</f>
        <v>319520.61668399163</v>
      </c>
      <c r="AC13" s="257">
        <f>+AC3-AC9</f>
        <v>1298982.6574608702</v>
      </c>
      <c r="AD13" s="5"/>
    </row>
    <row r="14" spans="1:30" x14ac:dyDescent="0.25">
      <c r="A14" s="285">
        <v>11</v>
      </c>
      <c r="B14" s="287" t="s">
        <v>74</v>
      </c>
      <c r="C14" s="288"/>
      <c r="D14" s="289">
        <v>576</v>
      </c>
      <c r="E14" s="289"/>
      <c r="F14" s="291">
        <v>0.43564399999999998</v>
      </c>
      <c r="G14" s="288"/>
      <c r="H14" s="289">
        <f t="shared" si="1"/>
        <v>601.91999999999996</v>
      </c>
      <c r="I14" s="289"/>
      <c r="J14" s="290">
        <f t="shared" si="2"/>
        <v>0.45524797999999994</v>
      </c>
      <c r="K14" s="288"/>
      <c r="L14" s="289">
        <f t="shared" si="7"/>
        <v>622.08000000000004</v>
      </c>
      <c r="M14" s="289"/>
      <c r="N14" s="290">
        <f t="shared" si="8"/>
        <v>0.47049552</v>
      </c>
      <c r="P14" s="297">
        <v>409734.54545454547</v>
      </c>
      <c r="Q14" s="257">
        <f t="shared" si="4"/>
        <v>2360.9839631999998</v>
      </c>
      <c r="R14" s="257">
        <f t="shared" si="5"/>
        <v>2549.8626802560002</v>
      </c>
      <c r="S14" s="257">
        <f t="shared" si="5"/>
        <v>2753.8516946764803</v>
      </c>
      <c r="T14" s="257">
        <f t="shared" si="6"/>
        <v>2919.0827963570691</v>
      </c>
      <c r="U14" s="257">
        <f t="shared" si="6"/>
        <v>3094.2277641384935</v>
      </c>
      <c r="V14" s="3"/>
      <c r="W14" s="4"/>
      <c r="X14" s="5"/>
      <c r="Y14" s="3"/>
      <c r="Z14" s="4"/>
      <c r="AA14" s="5"/>
      <c r="AC14" s="4"/>
      <c r="AD14" s="5"/>
    </row>
    <row r="15" spans="1:30" x14ac:dyDescent="0.25">
      <c r="A15" s="285">
        <v>12</v>
      </c>
      <c r="B15" s="287" t="s">
        <v>111</v>
      </c>
      <c r="C15" s="288"/>
      <c r="D15" s="289">
        <v>576</v>
      </c>
      <c r="E15" s="289"/>
      <c r="F15" s="291">
        <v>0.43955</v>
      </c>
      <c r="G15" s="288"/>
      <c r="H15" s="289">
        <f t="shared" si="1"/>
        <v>601.91999999999996</v>
      </c>
      <c r="I15" s="289"/>
      <c r="J15" s="290">
        <f t="shared" si="2"/>
        <v>0.45932974999999998</v>
      </c>
      <c r="K15" s="288"/>
      <c r="L15" s="289">
        <f t="shared" si="7"/>
        <v>622.08000000000004</v>
      </c>
      <c r="M15" s="289"/>
      <c r="N15" s="290">
        <f t="shared" si="8"/>
        <v>0.47471400000000002</v>
      </c>
      <c r="P15" s="297">
        <v>257740.74074074073</v>
      </c>
      <c r="Q15" s="257">
        <f t="shared" si="4"/>
        <v>1708.8994259259259</v>
      </c>
      <c r="R15" s="257">
        <f t="shared" si="5"/>
        <v>1845.6113800000001</v>
      </c>
      <c r="S15" s="257">
        <f t="shared" si="5"/>
        <v>1993.2602904000003</v>
      </c>
      <c r="T15" s="257">
        <f t="shared" si="6"/>
        <v>2112.8559078240005</v>
      </c>
      <c r="U15" s="257">
        <f t="shared" si="6"/>
        <v>2239.6272622934407</v>
      </c>
      <c r="V15" s="3"/>
      <c r="W15" s="4"/>
      <c r="X15" s="5"/>
      <c r="Y15" s="3"/>
      <c r="Z15" s="4"/>
      <c r="AA15" s="5"/>
      <c r="AC15" s="4"/>
      <c r="AD15" s="5"/>
    </row>
    <row r="16" spans="1:30" ht="19.5" customHeight="1" x14ac:dyDescent="0.3">
      <c r="B16" s="1" t="s">
        <v>1</v>
      </c>
      <c r="C16" s="1"/>
      <c r="D16" s="248"/>
      <c r="E16" s="248"/>
      <c r="F16" s="249"/>
      <c r="G16" s="1"/>
      <c r="H16" s="245"/>
      <c r="I16" s="245"/>
      <c r="K16" s="1"/>
      <c r="L16" s="245"/>
      <c r="M16" s="245"/>
    </row>
    <row r="17" spans="1:29" ht="13" x14ac:dyDescent="0.3">
      <c r="A17">
        <v>1</v>
      </c>
      <c r="B17" s="3" t="s">
        <v>2</v>
      </c>
      <c r="C17" s="3"/>
      <c r="D17" s="245">
        <v>802</v>
      </c>
      <c r="E17" s="245"/>
      <c r="F17" s="247"/>
      <c r="G17" s="3"/>
      <c r="H17" s="245">
        <f>ROUND(D17*1.035,-0.1)</f>
        <v>830</v>
      </c>
      <c r="I17" s="245"/>
      <c r="K17" s="1"/>
      <c r="L17" s="245"/>
      <c r="M17" s="245"/>
      <c r="P17" s="245"/>
      <c r="W17" s="4"/>
      <c r="Z17" s="4"/>
      <c r="AC17" s="4"/>
    </row>
    <row r="18" spans="1:29" x14ac:dyDescent="0.25">
      <c r="A18">
        <v>2</v>
      </c>
      <c r="B18" s="3" t="s">
        <v>11</v>
      </c>
      <c r="C18" s="3"/>
      <c r="D18" s="245">
        <v>211</v>
      </c>
      <c r="E18" s="245"/>
      <c r="G18" s="3"/>
      <c r="H18" s="245">
        <f t="shared" ref="H18:H22" si="12">ROUND(D18*1.035,-0.1)</f>
        <v>218</v>
      </c>
      <c r="I18" s="245"/>
      <c r="J18" s="246"/>
      <c r="K18" s="3"/>
      <c r="L18" s="245"/>
      <c r="M18" s="245"/>
    </row>
    <row r="19" spans="1:29" x14ac:dyDescent="0.25">
      <c r="A19">
        <v>3</v>
      </c>
      <c r="B19" s="244" t="s">
        <v>76</v>
      </c>
      <c r="C19" s="3"/>
      <c r="D19" s="245">
        <v>211</v>
      </c>
      <c r="E19" s="245"/>
      <c r="G19" s="3"/>
      <c r="H19" s="245">
        <f t="shared" si="12"/>
        <v>218</v>
      </c>
      <c r="I19" s="245"/>
      <c r="K19" s="3"/>
      <c r="L19" s="245"/>
      <c r="M19" s="245"/>
    </row>
    <row r="20" spans="1:29" x14ac:dyDescent="0.25">
      <c r="A20">
        <v>4</v>
      </c>
      <c r="B20" s="244" t="s">
        <v>77</v>
      </c>
      <c r="C20" s="3"/>
      <c r="D20" s="245">
        <v>802</v>
      </c>
      <c r="E20" s="245"/>
      <c r="G20" s="3"/>
      <c r="H20" s="245">
        <f t="shared" si="12"/>
        <v>830</v>
      </c>
      <c r="I20" s="245"/>
      <c r="K20" s="3"/>
      <c r="L20" s="245"/>
      <c r="M20" s="245"/>
    </row>
    <row r="21" spans="1:29" x14ac:dyDescent="0.25">
      <c r="A21">
        <v>5</v>
      </c>
      <c r="B21" s="244" t="s">
        <v>78</v>
      </c>
      <c r="C21" s="3"/>
      <c r="D21" s="245">
        <v>211</v>
      </c>
      <c r="E21" s="245"/>
      <c r="G21" s="3"/>
      <c r="H21" s="245">
        <f t="shared" si="12"/>
        <v>218</v>
      </c>
      <c r="I21" s="245"/>
      <c r="K21" s="3"/>
      <c r="L21" s="245"/>
      <c r="M21" s="245"/>
    </row>
    <row r="22" spans="1:29" x14ac:dyDescent="0.25">
      <c r="A22">
        <v>6</v>
      </c>
      <c r="B22" s="244" t="s">
        <v>12</v>
      </c>
      <c r="C22" s="3"/>
      <c r="D22" s="245">
        <v>0</v>
      </c>
      <c r="E22" s="245"/>
      <c r="G22" s="3"/>
      <c r="H22" s="245">
        <f t="shared" si="12"/>
        <v>0</v>
      </c>
      <c r="I22" s="245"/>
      <c r="K22" s="3"/>
      <c r="L22" s="245"/>
      <c r="M22" s="245"/>
    </row>
    <row r="23" spans="1:29" x14ac:dyDescent="0.25">
      <c r="B23" s="244"/>
      <c r="C23" s="3"/>
      <c r="D23" s="245"/>
      <c r="E23" s="245"/>
      <c r="G23" s="3"/>
      <c r="H23" s="245"/>
      <c r="I23" s="245"/>
      <c r="K23" s="3"/>
      <c r="L23" s="245"/>
      <c r="M23" s="245"/>
    </row>
    <row r="24" spans="1:29" ht="19.5" customHeight="1" x14ac:dyDescent="0.3">
      <c r="B24" s="250" t="s">
        <v>13</v>
      </c>
      <c r="C24" s="3"/>
      <c r="D24" s="245"/>
      <c r="E24" s="245"/>
      <c r="G24" s="3"/>
      <c r="H24" s="245"/>
      <c r="I24" s="245"/>
      <c r="K24" s="3"/>
      <c r="L24" s="245"/>
      <c r="M24" s="245"/>
    </row>
    <row r="25" spans="1:29" x14ac:dyDescent="0.25">
      <c r="A25">
        <v>1</v>
      </c>
      <c r="B25" s="251" t="s">
        <v>12</v>
      </c>
      <c r="C25" s="3"/>
      <c r="D25" s="245">
        <v>0</v>
      </c>
      <c r="E25" s="245"/>
      <c r="G25" s="3"/>
      <c r="H25" s="245">
        <f t="shared" ref="H25:H28" si="13">ROUND(D25*1.035,-0.1)</f>
        <v>0</v>
      </c>
      <c r="I25" s="245"/>
      <c r="K25" s="3"/>
      <c r="L25" s="245"/>
      <c r="M25" s="245"/>
      <c r="P25" s="245"/>
      <c r="W25" s="4"/>
      <c r="Z25" s="4"/>
      <c r="AC25" s="4"/>
    </row>
    <row r="26" spans="1:29" x14ac:dyDescent="0.25">
      <c r="A26">
        <v>2</v>
      </c>
      <c r="B26" s="244" t="s">
        <v>81</v>
      </c>
      <c r="C26" s="3"/>
      <c r="D26" s="245">
        <v>162</v>
      </c>
      <c r="E26" s="245"/>
      <c r="G26" s="3"/>
      <c r="H26" s="245">
        <f t="shared" si="13"/>
        <v>168</v>
      </c>
      <c r="I26" s="245"/>
      <c r="K26" s="3"/>
      <c r="L26" s="245"/>
      <c r="M26" s="245"/>
    </row>
    <row r="27" spans="1:29" x14ac:dyDescent="0.25">
      <c r="A27">
        <v>3</v>
      </c>
      <c r="B27" s="244" t="s">
        <v>82</v>
      </c>
      <c r="C27" s="3"/>
      <c r="D27" s="245">
        <v>46</v>
      </c>
      <c r="E27" s="245"/>
      <c r="G27" s="3"/>
      <c r="H27" s="245">
        <f t="shared" si="13"/>
        <v>48</v>
      </c>
      <c r="I27" s="245"/>
      <c r="K27" s="3"/>
      <c r="L27" s="245"/>
      <c r="M27" s="245"/>
    </row>
    <row r="28" spans="1:29" x14ac:dyDescent="0.25">
      <c r="A28">
        <v>4</v>
      </c>
      <c r="B28" s="244" t="s">
        <v>83</v>
      </c>
      <c r="C28" s="3"/>
      <c r="D28" s="245">
        <v>135</v>
      </c>
      <c r="E28" s="245"/>
      <c r="G28" s="3"/>
      <c r="H28" s="245">
        <f t="shared" si="13"/>
        <v>140</v>
      </c>
      <c r="I28" s="245"/>
      <c r="K28" s="3"/>
      <c r="L28" s="245"/>
      <c r="M28" s="245"/>
    </row>
    <row r="29" spans="1:29" x14ac:dyDescent="0.25">
      <c r="A29">
        <v>5</v>
      </c>
      <c r="B29" s="244" t="s">
        <v>57</v>
      </c>
      <c r="C29" s="3"/>
      <c r="D29" s="245" t="s">
        <v>95</v>
      </c>
      <c r="E29" s="245"/>
      <c r="G29" s="3"/>
      <c r="H29" s="245" t="s">
        <v>95</v>
      </c>
      <c r="I29" s="245"/>
      <c r="K29" s="3"/>
      <c r="L29" s="245"/>
      <c r="M29" s="245"/>
    </row>
    <row r="30" spans="1:29" ht="19.5" customHeight="1" x14ac:dyDescent="0.3">
      <c r="B30" s="250" t="s">
        <v>80</v>
      </c>
      <c r="C30" s="252"/>
      <c r="G30" s="252"/>
      <c r="H30" s="245"/>
      <c r="K30" s="252"/>
    </row>
    <row r="31" spans="1:29" x14ac:dyDescent="0.25">
      <c r="A31">
        <v>1</v>
      </c>
      <c r="B31" s="251" t="s">
        <v>40</v>
      </c>
      <c r="C31" s="3"/>
      <c r="D31" s="245">
        <v>0</v>
      </c>
      <c r="E31" s="245"/>
      <c r="G31" s="3"/>
      <c r="H31" s="245">
        <f t="shared" ref="H31:H33" si="14">ROUND(D31*1.03,-0.1)</f>
        <v>0</v>
      </c>
      <c r="I31" s="245"/>
      <c r="K31" s="3"/>
      <c r="L31" s="245"/>
      <c r="M31" s="245"/>
    </row>
    <row r="32" spans="1:29" x14ac:dyDescent="0.25">
      <c r="A32">
        <v>2</v>
      </c>
      <c r="B32" s="244" t="s">
        <v>86</v>
      </c>
      <c r="C32" s="3"/>
      <c r="D32" s="245">
        <v>150</v>
      </c>
      <c r="E32" s="245"/>
      <c r="G32" s="3"/>
      <c r="H32" s="245">
        <f t="shared" si="14"/>
        <v>155</v>
      </c>
      <c r="I32" s="245"/>
      <c r="K32" s="3"/>
      <c r="L32" s="245"/>
      <c r="M32" s="245"/>
    </row>
    <row r="33" spans="1:21" x14ac:dyDescent="0.25">
      <c r="A33">
        <v>3</v>
      </c>
      <c r="B33" s="244" t="s">
        <v>87</v>
      </c>
      <c r="C33" s="3"/>
      <c r="D33" s="245">
        <v>132</v>
      </c>
      <c r="E33" s="245"/>
      <c r="G33" s="3"/>
      <c r="H33" s="245">
        <f t="shared" si="14"/>
        <v>136</v>
      </c>
      <c r="I33" s="245"/>
      <c r="K33" s="3"/>
      <c r="L33" s="245"/>
      <c r="M33" s="245"/>
    </row>
    <row r="34" spans="1:21" x14ac:dyDescent="0.25">
      <c r="A34">
        <v>4</v>
      </c>
      <c r="B34" s="244" t="s">
        <v>57</v>
      </c>
      <c r="C34" s="3"/>
      <c r="D34" s="245" t="s">
        <v>95</v>
      </c>
      <c r="E34" s="245"/>
      <c r="G34" s="3"/>
      <c r="H34" s="245" t="s">
        <v>95</v>
      </c>
      <c r="I34" s="245"/>
      <c r="K34" s="3"/>
      <c r="L34" s="245"/>
      <c r="M34" s="245"/>
    </row>
    <row r="35" spans="1:21" ht="20.25" customHeight="1" x14ac:dyDescent="0.3">
      <c r="B35" s="250" t="s">
        <v>31</v>
      </c>
      <c r="C35" s="252"/>
      <c r="D35" s="17"/>
      <c r="E35" s="17"/>
      <c r="F35" s="17"/>
      <c r="G35" s="252"/>
      <c r="K35" s="252"/>
    </row>
    <row r="36" spans="1:21" s="13" customFormat="1" x14ac:dyDescent="0.25">
      <c r="A36">
        <v>1</v>
      </c>
      <c r="B36" s="251" t="s">
        <v>40</v>
      </c>
      <c r="C36" s="251"/>
      <c r="D36" s="245">
        <v>0</v>
      </c>
      <c r="E36" s="245"/>
      <c r="F36" s="245"/>
      <c r="G36" s="251"/>
      <c r="H36" s="245">
        <f t="shared" ref="H36:H39" si="15">ROUND(D36*1.03,-0.1)</f>
        <v>0</v>
      </c>
      <c r="K36" s="251"/>
    </row>
    <row r="37" spans="1:21" x14ac:dyDescent="0.25">
      <c r="A37">
        <v>2</v>
      </c>
      <c r="B37" s="244" t="s">
        <v>98</v>
      </c>
      <c r="C37" s="3"/>
      <c r="D37" s="245">
        <v>1104</v>
      </c>
      <c r="E37" s="245"/>
      <c r="F37" s="245"/>
      <c r="G37" s="3"/>
      <c r="H37" s="245">
        <f t="shared" si="15"/>
        <v>1137</v>
      </c>
      <c r="I37" s="245"/>
      <c r="K37" s="3"/>
      <c r="L37" s="245"/>
      <c r="M37" s="245"/>
    </row>
    <row r="38" spans="1:21" x14ac:dyDescent="0.25">
      <c r="A38">
        <v>3</v>
      </c>
      <c r="B38" s="251" t="s">
        <v>19</v>
      </c>
      <c r="C38" s="3"/>
      <c r="D38" s="245">
        <v>1104</v>
      </c>
      <c r="E38" s="245"/>
      <c r="F38" s="245"/>
      <c r="G38" s="3"/>
      <c r="H38" s="245">
        <v>871</v>
      </c>
      <c r="I38" s="245"/>
      <c r="K38" s="3"/>
      <c r="L38" s="245"/>
      <c r="M38" s="245"/>
    </row>
    <row r="39" spans="1:21" x14ac:dyDescent="0.25">
      <c r="A39">
        <v>4</v>
      </c>
      <c r="B39" s="244" t="s">
        <v>99</v>
      </c>
      <c r="C39" s="3"/>
      <c r="D39" s="245">
        <v>1104</v>
      </c>
      <c r="E39" s="245"/>
      <c r="F39" s="245"/>
      <c r="G39" s="3"/>
      <c r="H39" s="245">
        <f t="shared" si="15"/>
        <v>1137</v>
      </c>
      <c r="I39" s="245"/>
      <c r="K39" s="3"/>
      <c r="L39" s="245"/>
      <c r="M39" s="245"/>
    </row>
    <row r="40" spans="1:21" x14ac:dyDescent="0.25">
      <c r="A40">
        <v>5</v>
      </c>
      <c r="B40" s="251" t="s">
        <v>20</v>
      </c>
      <c r="C40" s="3"/>
      <c r="D40" s="253">
        <v>1104</v>
      </c>
      <c r="E40" s="253"/>
      <c r="F40" s="253"/>
      <c r="G40" s="3"/>
      <c r="H40" s="245">
        <v>871</v>
      </c>
      <c r="I40" s="245"/>
      <c r="K40" s="3"/>
      <c r="L40" s="245"/>
      <c r="M40" s="245"/>
    </row>
    <row r="41" spans="1:21" x14ac:dyDescent="0.25">
      <c r="A41">
        <v>6</v>
      </c>
      <c r="B41" s="244" t="s">
        <v>57</v>
      </c>
      <c r="C41" s="3"/>
      <c r="D41" s="245" t="s">
        <v>95</v>
      </c>
      <c r="E41" s="254"/>
      <c r="F41" s="254"/>
      <c r="G41" s="3"/>
      <c r="H41" s="245" t="s">
        <v>95</v>
      </c>
      <c r="I41" s="245"/>
      <c r="K41" s="3"/>
      <c r="L41" s="245"/>
      <c r="M41" s="245"/>
    </row>
    <row r="42" spans="1:21" s="17" customFormat="1" ht="26.25" customHeight="1" x14ac:dyDescent="0.3">
      <c r="A42" s="292"/>
      <c r="B42" s="293" t="s">
        <v>60</v>
      </c>
      <c r="C42" s="292"/>
      <c r="D42" s="294" t="s">
        <v>61</v>
      </c>
      <c r="E42" s="255" t="s">
        <v>79</v>
      </c>
      <c r="F42" s="17" t="s">
        <v>62</v>
      </c>
      <c r="H42" s="255" t="s">
        <v>97</v>
      </c>
      <c r="I42" s="255"/>
    </row>
    <row r="43" spans="1:21" x14ac:dyDescent="0.25">
      <c r="A43" s="285">
        <v>1</v>
      </c>
      <c r="B43" s="287" t="s">
        <v>58</v>
      </c>
      <c r="C43" s="285"/>
      <c r="D43" s="295">
        <v>0</v>
      </c>
      <c r="E43" s="256">
        <v>0</v>
      </c>
      <c r="F43" s="256">
        <v>0</v>
      </c>
    </row>
    <row r="44" spans="1:21" x14ac:dyDescent="0.25">
      <c r="A44" s="285">
        <v>2</v>
      </c>
      <c r="B44" s="287" t="s">
        <v>59</v>
      </c>
      <c r="C44" s="285"/>
      <c r="D44" s="295">
        <v>250</v>
      </c>
      <c r="E44" s="256">
        <v>87.5</v>
      </c>
      <c r="F44" s="256">
        <v>87.5</v>
      </c>
      <c r="H44" s="256" t="e">
        <f>(SUM(#REF!))/2</f>
        <v>#REF!</v>
      </c>
    </row>
    <row r="47" spans="1:21" s="7" customFormat="1" ht="20.25" customHeight="1" x14ac:dyDescent="0.25">
      <c r="B47" s="8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15" customHeight="1" x14ac:dyDescent="0.25">
      <c r="B48" s="13"/>
      <c r="C48" s="1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2:21" ht="15" customHeight="1" x14ac:dyDescent="0.25">
      <c r="B49" s="13"/>
      <c r="C49" s="13"/>
      <c r="D49" s="12"/>
      <c r="E49" s="12"/>
      <c r="F49" s="12"/>
      <c r="G49" s="2"/>
      <c r="H49" s="12"/>
      <c r="I49" s="12"/>
      <c r="J49" s="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</row>
  </sheetData>
  <mergeCells count="8">
    <mergeCell ref="A1:B1"/>
    <mergeCell ref="Z1:AA1"/>
    <mergeCell ref="AC1:AD1"/>
    <mergeCell ref="D1:F1"/>
    <mergeCell ref="L1:N1"/>
    <mergeCell ref="H1:J1"/>
    <mergeCell ref="P1:Q1"/>
    <mergeCell ref="W1:X1"/>
  </mergeCells>
  <phoneticPr fontId="0" type="noConversion"/>
  <printOptions gridLines="1"/>
  <pageMargins left="0.55118110236220474" right="0.55118110236220474" top="0.39370078740157483" bottom="0.59055118110236227" header="0.51181102362204722" footer="0.51181102362204722"/>
  <pageSetup paperSize="9" scale="70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95"/>
  <sheetViews>
    <sheetView zoomScaleNormal="100" workbookViewId="0">
      <pane ySplit="6" topLeftCell="A28" activePane="bottomLeft" state="frozen"/>
      <selection pane="bottomLeft" activeCell="AF14" sqref="AF14"/>
    </sheetView>
  </sheetViews>
  <sheetFormatPr defaultColWidth="9.1796875" defaultRowHeight="12.5" x14ac:dyDescent="0.25"/>
  <cols>
    <col min="1" max="1" width="28.54296875" customWidth="1"/>
    <col min="2" max="2" width="0.81640625" customWidth="1"/>
    <col min="3" max="3" width="6.54296875" customWidth="1"/>
    <col min="4" max="5" width="7.453125" style="12" customWidth="1"/>
    <col min="6" max="6" width="0.7265625" style="2" customWidth="1"/>
    <col min="7" max="7" width="7.26953125" style="12" customWidth="1"/>
    <col min="8" max="8" width="1" style="2" customWidth="1"/>
    <col min="9" max="9" width="6.54296875" style="12" customWidth="1"/>
    <col min="10" max="10" width="7.453125" style="2" customWidth="1"/>
    <col min="11" max="11" width="0.7265625" style="2" customWidth="1"/>
    <col min="12" max="12" width="7.453125" style="2" customWidth="1"/>
    <col min="13" max="13" width="9.453125" style="2" customWidth="1"/>
    <col min="14" max="14" width="1" style="2" customWidth="1"/>
    <col min="15" max="15" width="3.81640625" style="2" customWidth="1"/>
    <col min="16" max="16" width="1" customWidth="1"/>
    <col min="17" max="17" width="6.81640625" customWidth="1"/>
    <col min="18" max="18" width="7" customWidth="1"/>
    <col min="19" max="19" width="7.453125" customWidth="1"/>
    <col min="20" max="20" width="0.81640625" customWidth="1"/>
    <col min="21" max="23" width="7.453125" customWidth="1"/>
    <col min="24" max="24" width="0.81640625" customWidth="1"/>
    <col min="25" max="27" width="7.453125" customWidth="1"/>
    <col min="28" max="28" width="0.81640625" customWidth="1"/>
    <col min="29" max="31" width="7.453125" customWidth="1"/>
  </cols>
  <sheetData>
    <row r="1" spans="1:31" s="7" customFormat="1" ht="38.25" customHeight="1" x14ac:dyDescent="0.25">
      <c r="A1" s="515" t="s">
        <v>3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  <c r="V1" s="515"/>
      <c r="W1" s="515"/>
      <c r="X1" s="515"/>
      <c r="Y1" s="515"/>
      <c r="Z1" s="515"/>
      <c r="AA1" s="515"/>
      <c r="AB1" s="515"/>
      <c r="AC1" s="515"/>
      <c r="AD1" s="515"/>
      <c r="AE1" s="515"/>
    </row>
    <row r="2" spans="1:31" s="14" customFormat="1" ht="48" customHeight="1" x14ac:dyDescent="0.25">
      <c r="A2" s="54" t="s">
        <v>39</v>
      </c>
      <c r="B2" s="32"/>
      <c r="C2" s="494" t="s">
        <v>14</v>
      </c>
      <c r="D2" s="494"/>
      <c r="E2" s="494"/>
      <c r="F2" s="494"/>
      <c r="G2" s="494"/>
      <c r="H2" s="21"/>
      <c r="I2" s="494" t="s">
        <v>15</v>
      </c>
      <c r="J2" s="494"/>
      <c r="K2" s="494"/>
      <c r="L2" s="494"/>
      <c r="M2" s="494"/>
      <c r="N2" s="21"/>
      <c r="O2" s="494" t="s">
        <v>16</v>
      </c>
      <c r="P2" s="494"/>
      <c r="Q2" s="494"/>
      <c r="R2" s="494"/>
      <c r="S2" s="494"/>
      <c r="U2" s="494" t="s">
        <v>17</v>
      </c>
      <c r="V2" s="494"/>
      <c r="W2" s="494"/>
      <c r="X2" s="16"/>
      <c r="Y2" s="494" t="s">
        <v>30</v>
      </c>
      <c r="Z2" s="511"/>
      <c r="AA2" s="511"/>
      <c r="AC2" s="494" t="s">
        <v>18</v>
      </c>
      <c r="AD2" s="494"/>
      <c r="AE2" s="494"/>
    </row>
    <row r="3" spans="1:31" s="15" customFormat="1" ht="25.5" customHeight="1" x14ac:dyDescent="0.25">
      <c r="A3" s="55">
        <v>200000</v>
      </c>
      <c r="B3" s="25"/>
      <c r="C3" s="514">
        <v>3</v>
      </c>
      <c r="D3" s="514"/>
      <c r="E3" s="514"/>
      <c r="F3" s="514"/>
      <c r="G3" s="514"/>
      <c r="H3" s="26"/>
      <c r="I3" s="512">
        <v>2</v>
      </c>
      <c r="J3" s="512"/>
      <c r="K3" s="512"/>
      <c r="L3" s="512"/>
      <c r="M3" s="512"/>
      <c r="N3" s="26"/>
      <c r="O3" s="514"/>
      <c r="P3" s="514"/>
      <c r="Q3" s="514"/>
      <c r="R3" s="514">
        <v>2</v>
      </c>
      <c r="S3" s="514"/>
      <c r="T3" s="27">
        <v>5</v>
      </c>
      <c r="U3" s="512">
        <v>2</v>
      </c>
      <c r="V3" s="512"/>
      <c r="W3" s="512"/>
      <c r="X3" s="27"/>
      <c r="Y3" s="513">
        <v>1</v>
      </c>
      <c r="Z3" s="513"/>
      <c r="AA3" s="513"/>
      <c r="AC3" s="513"/>
      <c r="AD3" s="513">
        <v>2</v>
      </c>
      <c r="AE3" s="513"/>
    </row>
    <row r="4" spans="1:31" ht="6" customHeight="1" x14ac:dyDescent="0.25"/>
    <row r="5" spans="1:31" x14ac:dyDescent="0.25">
      <c r="A5" s="451" t="s">
        <v>44</v>
      </c>
      <c r="C5" s="528" t="s">
        <v>4</v>
      </c>
      <c r="D5" s="529"/>
      <c r="E5" s="530"/>
      <c r="F5" s="16"/>
      <c r="G5" s="470" t="s">
        <v>5</v>
      </c>
      <c r="H5" s="471"/>
      <c r="I5" s="471"/>
      <c r="J5" s="472"/>
      <c r="L5" s="505" t="s">
        <v>6</v>
      </c>
      <c r="M5" s="506"/>
      <c r="N5" s="506"/>
      <c r="O5" s="507"/>
      <c r="Q5" s="519" t="s">
        <v>7</v>
      </c>
      <c r="R5" s="520"/>
      <c r="S5" s="521"/>
      <c r="U5" s="474" t="s">
        <v>8</v>
      </c>
      <c r="V5" s="475"/>
      <c r="W5" s="476"/>
      <c r="X5" s="16"/>
      <c r="Y5" s="502" t="s">
        <v>9</v>
      </c>
      <c r="Z5" s="503"/>
      <c r="AA5" s="504"/>
      <c r="AC5" s="496" t="s">
        <v>10</v>
      </c>
      <c r="AD5" s="497"/>
      <c r="AE5" s="498"/>
    </row>
    <row r="6" spans="1:31" ht="13.5" customHeight="1" x14ac:dyDescent="0.3">
      <c r="A6" s="451"/>
      <c r="C6" s="464" t="s">
        <v>25</v>
      </c>
      <c r="D6" s="465"/>
      <c r="E6" s="466"/>
      <c r="F6" s="16"/>
      <c r="G6" s="467" t="s">
        <v>21</v>
      </c>
      <c r="H6" s="468"/>
      <c r="I6" s="468"/>
      <c r="J6" s="469"/>
      <c r="K6" s="16"/>
      <c r="L6" s="477" t="s">
        <v>22</v>
      </c>
      <c r="M6" s="478"/>
      <c r="N6" s="478"/>
      <c r="O6" s="479"/>
      <c r="P6" s="16"/>
      <c r="Q6" s="488" t="s">
        <v>23</v>
      </c>
      <c r="R6" s="489"/>
      <c r="S6" s="490"/>
      <c r="T6" s="16"/>
      <c r="U6" s="485" t="s">
        <v>24</v>
      </c>
      <c r="V6" s="486"/>
      <c r="W6" s="487"/>
      <c r="X6" s="16"/>
      <c r="Y6" s="525"/>
      <c r="Z6" s="526"/>
      <c r="AA6" s="527"/>
      <c r="AC6" s="499"/>
      <c r="AD6" s="500"/>
      <c r="AE6" s="501"/>
    </row>
    <row r="7" spans="1:31" ht="6" customHeight="1" x14ac:dyDescent="0.3">
      <c r="C7" s="20"/>
      <c r="D7" s="20"/>
      <c r="E7" s="20"/>
      <c r="F7" s="16"/>
      <c r="G7" s="43"/>
      <c r="H7" s="43"/>
      <c r="I7" s="43"/>
      <c r="J7" s="43"/>
      <c r="K7" s="16"/>
      <c r="L7" s="67"/>
      <c r="M7" s="67"/>
      <c r="N7" s="67"/>
      <c r="O7" s="67"/>
      <c r="P7" s="16"/>
      <c r="Q7" s="45"/>
      <c r="R7" s="45"/>
      <c r="S7" s="45"/>
      <c r="T7" s="16"/>
      <c r="U7" s="49"/>
      <c r="V7" s="49"/>
      <c r="W7" s="49"/>
      <c r="X7" s="16"/>
      <c r="Y7" s="47"/>
      <c r="Z7" s="47"/>
      <c r="AA7" s="47"/>
      <c r="AC7" s="19"/>
      <c r="AD7" s="19"/>
      <c r="AE7" s="19"/>
    </row>
    <row r="8" spans="1:31" ht="13.5" customHeight="1" x14ac:dyDescent="0.25">
      <c r="A8" s="115" t="s">
        <v>26</v>
      </c>
      <c r="B8" s="116"/>
      <c r="C8" s="482">
        <f>VLOOKUP($C$3,Ordinary_Rates,4)</f>
        <v>524.79999999999995</v>
      </c>
      <c r="D8" s="482"/>
      <c r="E8" s="482"/>
      <c r="F8" s="117"/>
      <c r="G8" s="491">
        <f>C8*1.033</f>
        <v>542.11839999999995</v>
      </c>
      <c r="H8" s="491"/>
      <c r="I8" s="491"/>
      <c r="J8" s="491"/>
      <c r="K8" s="117"/>
      <c r="L8" s="480">
        <f>G8*1.033</f>
        <v>560.00830719999988</v>
      </c>
      <c r="M8" s="480"/>
      <c r="N8" s="480"/>
      <c r="O8" s="480"/>
      <c r="P8" s="117"/>
      <c r="Q8" s="481">
        <f>L8*1.033</f>
        <v>578.48858133759984</v>
      </c>
      <c r="R8" s="481"/>
      <c r="S8" s="481"/>
      <c r="T8" s="117"/>
      <c r="U8" s="508">
        <f>Q8*1.033</f>
        <v>597.57870452174063</v>
      </c>
      <c r="V8" s="508"/>
      <c r="W8" s="508"/>
      <c r="X8" s="117"/>
      <c r="Y8" s="492">
        <f>(U8-75)*1.033</f>
        <v>539.82380177095808</v>
      </c>
      <c r="Z8" s="492"/>
      <c r="AA8" s="492"/>
      <c r="AB8" s="118"/>
      <c r="AC8" s="509">
        <f>Y8*1.033</f>
        <v>557.63798722939964</v>
      </c>
      <c r="AD8" s="509"/>
      <c r="AE8" s="510"/>
    </row>
    <row r="9" spans="1:31" ht="13.5" customHeight="1" x14ac:dyDescent="0.25">
      <c r="A9" s="119" t="s">
        <v>34</v>
      </c>
      <c r="C9" s="446">
        <f>$A$3*VLOOKUP($C$3,Ordinary_Rates,5)/100</f>
        <v>0</v>
      </c>
      <c r="D9" s="446"/>
      <c r="E9" s="446"/>
      <c r="F9" s="28"/>
      <c r="G9" s="460">
        <f>C9*1.033</f>
        <v>0</v>
      </c>
      <c r="H9" s="460"/>
      <c r="I9" s="460"/>
      <c r="J9" s="460"/>
      <c r="K9" s="28"/>
      <c r="L9" s="450">
        <f>G9*1.033</f>
        <v>0</v>
      </c>
      <c r="M9" s="450"/>
      <c r="N9" s="450"/>
      <c r="O9" s="450"/>
      <c r="P9" s="28"/>
      <c r="Q9" s="461">
        <f>L9*1.033</f>
        <v>0</v>
      </c>
      <c r="R9" s="461"/>
      <c r="S9" s="461"/>
      <c r="T9" s="28"/>
      <c r="U9" s="495">
        <f>Q9*1.033</f>
        <v>0</v>
      </c>
      <c r="V9" s="495"/>
      <c r="W9" s="495"/>
      <c r="X9" s="28"/>
      <c r="Y9" s="447">
        <f>U9*1.033</f>
        <v>0</v>
      </c>
      <c r="Z9" s="447"/>
      <c r="AA9" s="447"/>
      <c r="AB9" s="22"/>
      <c r="AC9" s="448">
        <f>Y9*1.033</f>
        <v>0</v>
      </c>
      <c r="AD9" s="448"/>
      <c r="AE9" s="493"/>
    </row>
    <row r="10" spans="1:31" x14ac:dyDescent="0.25">
      <c r="A10" s="119" t="s">
        <v>27</v>
      </c>
      <c r="C10" s="446">
        <f>VLOOKUP($I$3,Waste_Mgmt,4)</f>
        <v>211</v>
      </c>
      <c r="D10" s="446"/>
      <c r="E10" s="446"/>
      <c r="F10" s="18"/>
      <c r="G10" s="462">
        <f>C10*1.0291</f>
        <v>217.14009999999999</v>
      </c>
      <c r="H10" s="462"/>
      <c r="I10" s="462"/>
      <c r="J10" s="462"/>
      <c r="K10" s="18"/>
      <c r="L10" s="483">
        <f>G10*1.5</f>
        <v>325.71015</v>
      </c>
      <c r="M10" s="483"/>
      <c r="N10" s="483"/>
      <c r="O10" s="483"/>
      <c r="P10" s="18"/>
      <c r="Q10" s="458">
        <f>L10*1.0213</f>
        <v>332.64777619500001</v>
      </c>
      <c r="R10" s="458"/>
      <c r="S10" s="458"/>
      <c r="T10" s="18"/>
      <c r="U10" s="459">
        <f>Q10*1.029</f>
        <v>342.294561704655</v>
      </c>
      <c r="V10" s="459"/>
      <c r="W10" s="459"/>
      <c r="X10" s="18"/>
      <c r="Y10" s="484">
        <f>U10*1.0296</f>
        <v>352.4264807311128</v>
      </c>
      <c r="Z10" s="484"/>
      <c r="AA10" s="484"/>
      <c r="AB10" s="18"/>
      <c r="AC10" s="523">
        <f>Y10*1.0287</f>
        <v>362.54112072809573</v>
      </c>
      <c r="AD10" s="523"/>
      <c r="AE10" s="524"/>
    </row>
    <row r="11" spans="1:31" ht="13.5" customHeight="1" x14ac:dyDescent="0.25">
      <c r="A11" s="119" t="s">
        <v>52</v>
      </c>
      <c r="C11" s="457">
        <f>VLOOKUP($R$3,Add_Garbage,4)</f>
        <v>162</v>
      </c>
      <c r="D11" s="457"/>
      <c r="E11" s="457"/>
      <c r="F11" s="29"/>
      <c r="G11" s="463">
        <f>C11*1.0291</f>
        <v>166.71419999999998</v>
      </c>
      <c r="H11" s="463"/>
      <c r="I11" s="463"/>
      <c r="J11" s="463"/>
      <c r="K11" s="29"/>
      <c r="L11" s="483">
        <f>G11*1.5</f>
        <v>250.07129999999995</v>
      </c>
      <c r="M11" s="483"/>
      <c r="N11" s="483"/>
      <c r="O11" s="483"/>
      <c r="P11" s="29"/>
      <c r="Q11" s="458">
        <f>L11*1.0213</f>
        <v>255.39781868999998</v>
      </c>
      <c r="R11" s="458"/>
      <c r="S11" s="458"/>
      <c r="T11" s="29"/>
      <c r="U11" s="459">
        <f>Q11*1.029</f>
        <v>262.80435543200997</v>
      </c>
      <c r="V11" s="459"/>
      <c r="W11" s="459"/>
      <c r="X11" s="29"/>
      <c r="Y11" s="484">
        <f>U11*1.0296</f>
        <v>270.5833643527975</v>
      </c>
      <c r="Z11" s="484"/>
      <c r="AA11" s="484"/>
      <c r="AB11" s="18"/>
      <c r="AC11" s="523">
        <f>Y11*1.0287</f>
        <v>278.34910690972276</v>
      </c>
      <c r="AD11" s="523"/>
      <c r="AE11" s="524"/>
    </row>
    <row r="12" spans="1:31" ht="13.5" customHeight="1" x14ac:dyDescent="0.25">
      <c r="A12" s="119" t="s">
        <v>53</v>
      </c>
      <c r="C12" s="457">
        <f>VLOOKUP($U$3,Water,4)</f>
        <v>150</v>
      </c>
      <c r="D12" s="457"/>
      <c r="E12" s="457"/>
      <c r="F12" s="29"/>
      <c r="G12" s="463">
        <f>C12*1.0291</f>
        <v>154.36499999999998</v>
      </c>
      <c r="H12" s="463"/>
      <c r="I12" s="463"/>
      <c r="J12" s="463"/>
      <c r="K12" s="29"/>
      <c r="L12" s="483">
        <f>G12*1.5</f>
        <v>231.54749999999996</v>
      </c>
      <c r="M12" s="483"/>
      <c r="N12" s="483"/>
      <c r="O12" s="483"/>
      <c r="P12" s="29"/>
      <c r="Q12" s="458">
        <f>L12*1.0213</f>
        <v>236.47946174999998</v>
      </c>
      <c r="R12" s="458"/>
      <c r="S12" s="458"/>
      <c r="T12" s="29"/>
      <c r="U12" s="459">
        <f>Q12*1.029</f>
        <v>243.33736614074996</v>
      </c>
      <c r="V12" s="459"/>
      <c r="W12" s="459"/>
      <c r="X12" s="29"/>
      <c r="Y12" s="484">
        <f>U12*1.0296</f>
        <v>250.54015217851617</v>
      </c>
      <c r="Z12" s="484"/>
      <c r="AA12" s="484"/>
      <c r="AB12" s="18"/>
      <c r="AC12" s="523">
        <f>Y12*1.0287</f>
        <v>257.73065454603955</v>
      </c>
      <c r="AD12" s="523"/>
      <c r="AE12" s="524"/>
    </row>
    <row r="13" spans="1:31" ht="13.5" customHeight="1" x14ac:dyDescent="0.25">
      <c r="A13" s="119" t="s">
        <v>32</v>
      </c>
      <c r="C13" s="446">
        <f>IF($C$3&lt;3, VLOOKUP($Y$3,Sewer,4),IF($C$3=10, VLOOKUP($Y$3,Sewer,4), IF($C$3=3, VLOOKUP($Y$3,Sewer,5), IF($C$3=4, VLOOKUP($Y$3,Sewer,5), IF($C$3=11, VLOOKUP($Y$3,Sewer,5), 0)))))</f>
        <v>0</v>
      </c>
      <c r="D13" s="446"/>
      <c r="E13" s="446"/>
      <c r="F13" s="29"/>
      <c r="G13" s="463">
        <f>C13*1.0284</f>
        <v>0</v>
      </c>
      <c r="H13" s="463"/>
      <c r="I13" s="463"/>
      <c r="J13" s="463"/>
      <c r="K13" s="29"/>
      <c r="L13" s="531">
        <f>G13*1.0296</f>
        <v>0</v>
      </c>
      <c r="M13" s="531"/>
      <c r="N13" s="531"/>
      <c r="O13" s="531"/>
      <c r="P13" s="29"/>
      <c r="Q13" s="532">
        <f>L13*1.0287</f>
        <v>0</v>
      </c>
      <c r="R13" s="532"/>
      <c r="S13" s="532"/>
      <c r="T13" s="29"/>
      <c r="U13" s="533">
        <f>Q13*1.0298</f>
        <v>0</v>
      </c>
      <c r="V13" s="533"/>
      <c r="W13" s="533"/>
      <c r="X13" s="29"/>
      <c r="Y13" s="522">
        <f>U13*1.0289</f>
        <v>0</v>
      </c>
      <c r="Z13" s="522"/>
      <c r="AA13" s="522"/>
      <c r="AB13" s="18"/>
      <c r="AC13" s="523">
        <f>Y13*1.0299</f>
        <v>0</v>
      </c>
      <c r="AD13" s="523"/>
      <c r="AE13" s="524"/>
    </row>
    <row r="14" spans="1:31" ht="13.5" customHeight="1" x14ac:dyDescent="0.25">
      <c r="A14" s="119" t="s">
        <v>33</v>
      </c>
      <c r="C14" s="446">
        <f>-IF($C$3&lt;5,VLOOKUP($AD$3,Pensioner,4),IF($C$3&gt;8,0,VLOOKUP($AD$3,Pensioner,5)))</f>
        <v>-250</v>
      </c>
      <c r="D14" s="446"/>
      <c r="E14" s="446"/>
      <c r="F14" s="29"/>
      <c r="G14" s="463">
        <f>C14*1.033</f>
        <v>-258.25</v>
      </c>
      <c r="H14" s="463"/>
      <c r="I14" s="463"/>
      <c r="J14" s="463"/>
      <c r="K14" s="29"/>
      <c r="L14" s="531">
        <f>G14*1.033</f>
        <v>-266.77224999999999</v>
      </c>
      <c r="M14" s="531"/>
      <c r="N14" s="531"/>
      <c r="O14" s="531"/>
      <c r="P14" s="29"/>
      <c r="Q14" s="532">
        <f>L14*1.033</f>
        <v>-275.57573424999998</v>
      </c>
      <c r="R14" s="532"/>
      <c r="S14" s="532"/>
      <c r="T14" s="29"/>
      <c r="U14" s="533">
        <f>Q14*1.033</f>
        <v>-284.66973348024993</v>
      </c>
      <c r="V14" s="533"/>
      <c r="W14" s="533"/>
      <c r="X14" s="29"/>
      <c r="Y14" s="522">
        <f>U14*1.033</f>
        <v>-294.06383468509813</v>
      </c>
      <c r="Z14" s="522"/>
      <c r="AA14" s="522"/>
      <c r="AB14" s="18"/>
      <c r="AC14" s="523">
        <f>Y14*1.033</f>
        <v>-303.76794122970637</v>
      </c>
      <c r="AD14" s="523"/>
      <c r="AE14" s="524"/>
    </row>
    <row r="15" spans="1:31" ht="5.25" customHeight="1" x14ac:dyDescent="0.25">
      <c r="A15" s="120"/>
      <c r="C15" s="99"/>
      <c r="D15" s="99"/>
      <c r="E15" s="99"/>
      <c r="F15" s="29"/>
      <c r="G15" s="87"/>
      <c r="H15" s="87"/>
      <c r="I15" s="87"/>
      <c r="J15" s="87"/>
      <c r="K15" s="29"/>
      <c r="L15" s="88"/>
      <c r="M15" s="88"/>
      <c r="N15" s="88"/>
      <c r="O15" s="88"/>
      <c r="P15" s="29"/>
      <c r="Q15" s="89"/>
      <c r="R15" s="89"/>
      <c r="S15" s="89"/>
      <c r="T15" s="29"/>
      <c r="U15" s="90"/>
      <c r="V15" s="90"/>
      <c r="W15" s="90"/>
      <c r="X15" s="29"/>
      <c r="Y15" s="91"/>
      <c r="Z15" s="91"/>
      <c r="AA15" s="51"/>
      <c r="AB15" s="18"/>
      <c r="AC15" s="52"/>
      <c r="AD15" s="52"/>
      <c r="AE15" s="121"/>
    </row>
    <row r="16" spans="1:31" s="8" customFormat="1" ht="44.25" customHeight="1" x14ac:dyDescent="0.25">
      <c r="A16" s="122" t="s">
        <v>51</v>
      </c>
      <c r="B16" s="35"/>
      <c r="C16" s="452">
        <f>SUM(C8:E9)</f>
        <v>524.79999999999995</v>
      </c>
      <c r="D16" s="452"/>
      <c r="E16" s="452"/>
      <c r="F16" s="36"/>
      <c r="G16" s="453">
        <f>SUM(G8:J9)</f>
        <v>542.11839999999995</v>
      </c>
      <c r="H16" s="453"/>
      <c r="I16" s="453"/>
      <c r="J16" s="453"/>
      <c r="K16" s="36"/>
      <c r="L16" s="454">
        <f>SUM(L8:O9)</f>
        <v>560.00830719999988</v>
      </c>
      <c r="M16" s="454"/>
      <c r="N16" s="454"/>
      <c r="O16" s="454"/>
      <c r="P16" s="36"/>
      <c r="Q16" s="455">
        <f>SUM(Q8:S9)</f>
        <v>578.48858133759984</v>
      </c>
      <c r="R16" s="455"/>
      <c r="S16" s="455"/>
      <c r="T16" s="36"/>
      <c r="U16" s="456">
        <f>SUM(U8:W9)</f>
        <v>597.57870452174063</v>
      </c>
      <c r="V16" s="456"/>
      <c r="W16" s="456"/>
      <c r="X16" s="36"/>
      <c r="Y16" s="516">
        <f>SUM(Y8:AA9)</f>
        <v>539.82380177095808</v>
      </c>
      <c r="Z16" s="516"/>
      <c r="AA16" s="516"/>
      <c r="AB16" s="36"/>
      <c r="AC16" s="517">
        <f>SUM(AC8:AE9)</f>
        <v>557.63798722939964</v>
      </c>
      <c r="AD16" s="517"/>
      <c r="AE16" s="518"/>
    </row>
    <row r="17" spans="1:31" s="8" customFormat="1" ht="4.5" customHeight="1" x14ac:dyDescent="0.25">
      <c r="A17" s="123"/>
      <c r="C17" s="93"/>
      <c r="D17" s="93"/>
      <c r="E17" s="93"/>
      <c r="F17" s="23"/>
      <c r="G17" s="94"/>
      <c r="H17" s="94"/>
      <c r="I17" s="94"/>
      <c r="J17" s="94"/>
      <c r="K17" s="23"/>
      <c r="L17" s="95"/>
      <c r="M17" s="95"/>
      <c r="N17" s="95"/>
      <c r="O17" s="95"/>
      <c r="P17" s="23"/>
      <c r="Q17" s="96"/>
      <c r="R17" s="96"/>
      <c r="S17" s="96"/>
      <c r="T17" s="23"/>
      <c r="U17" s="97"/>
      <c r="V17" s="97"/>
      <c r="W17" s="97"/>
      <c r="X17" s="23"/>
      <c r="Y17" s="98"/>
      <c r="Z17" s="98"/>
      <c r="AA17" s="98"/>
      <c r="AB17" s="23"/>
      <c r="AC17" s="92"/>
      <c r="AD17" s="92"/>
      <c r="AE17" s="124"/>
    </row>
    <row r="18" spans="1:31" s="56" customFormat="1" ht="20.25" customHeight="1" x14ac:dyDescent="0.25">
      <c r="A18" s="125" t="s">
        <v>42</v>
      </c>
      <c r="B18" s="126"/>
      <c r="C18" s="473">
        <f>SUM(C8:E14)</f>
        <v>797.8</v>
      </c>
      <c r="D18" s="473"/>
      <c r="E18" s="473"/>
      <c r="F18" s="127"/>
      <c r="G18" s="539">
        <f>SUM(G8:J14)</f>
        <v>822.08769999999981</v>
      </c>
      <c r="H18" s="539"/>
      <c r="I18" s="539"/>
      <c r="J18" s="539"/>
      <c r="K18" s="127"/>
      <c r="L18" s="540">
        <f>SUM(L8:O14)</f>
        <v>1100.5650071999996</v>
      </c>
      <c r="M18" s="540"/>
      <c r="N18" s="540"/>
      <c r="O18" s="540"/>
      <c r="P18" s="127"/>
      <c r="Q18" s="541">
        <f>SUM(Q8:S14)</f>
        <v>1127.4379037225999</v>
      </c>
      <c r="R18" s="541"/>
      <c r="S18" s="541"/>
      <c r="T18" s="127"/>
      <c r="U18" s="542">
        <f>SUM(U8:W14)</f>
        <v>1161.3452543189055</v>
      </c>
      <c r="V18" s="542"/>
      <c r="W18" s="542"/>
      <c r="X18" s="127"/>
      <c r="Y18" s="543">
        <f>SUM(Y8:AA14)</f>
        <v>1119.3099643482863</v>
      </c>
      <c r="Z18" s="543"/>
      <c r="AA18" s="543"/>
      <c r="AB18" s="127"/>
      <c r="AC18" s="535">
        <f>SUM(AC8:AE14)</f>
        <v>1152.4909281835514</v>
      </c>
      <c r="AD18" s="535"/>
      <c r="AE18" s="536"/>
    </row>
    <row r="19" spans="1:31" s="33" customFormat="1" ht="6" customHeight="1" x14ac:dyDescent="0.25">
      <c r="A19" s="34"/>
      <c r="C19" s="41"/>
      <c r="D19" s="41"/>
      <c r="E19" s="41"/>
      <c r="F19" s="24"/>
      <c r="G19" s="44"/>
      <c r="H19" s="44"/>
      <c r="I19" s="44"/>
      <c r="J19" s="44"/>
      <c r="K19" s="24"/>
      <c r="L19" s="68"/>
      <c r="M19" s="68"/>
      <c r="N19" s="68"/>
      <c r="O19" s="68"/>
      <c r="P19" s="24"/>
      <c r="Q19" s="46"/>
      <c r="R19" s="46"/>
      <c r="S19" s="46"/>
      <c r="T19" s="24"/>
      <c r="U19" s="50"/>
      <c r="V19" s="50"/>
      <c r="W19" s="50"/>
      <c r="X19" s="24"/>
      <c r="Y19" s="48"/>
      <c r="Z19" s="48"/>
      <c r="AA19" s="48"/>
      <c r="AB19" s="24"/>
      <c r="AC19" s="53"/>
      <c r="AD19" s="53"/>
      <c r="AE19" s="53"/>
    </row>
    <row r="20" spans="1:31" ht="13.5" customHeight="1" x14ac:dyDescent="0.25">
      <c r="A20" s="128" t="s">
        <v>38</v>
      </c>
      <c r="B20" s="129"/>
      <c r="C20" s="420">
        <f>IF($C$3=8,VLOOKUP($C$3,Ordinary_Rates,4),0)</f>
        <v>0</v>
      </c>
      <c r="D20" s="420"/>
      <c r="E20" s="420"/>
      <c r="F20" s="130"/>
      <c r="G20" s="421">
        <f>C20*1.1</f>
        <v>0</v>
      </c>
      <c r="H20" s="421"/>
      <c r="I20" s="421"/>
      <c r="J20" s="421"/>
      <c r="K20" s="130"/>
      <c r="L20" s="422">
        <f>G20*1.1</f>
        <v>0</v>
      </c>
      <c r="M20" s="422"/>
      <c r="N20" s="422"/>
      <c r="O20" s="422"/>
      <c r="P20" s="130"/>
      <c r="Q20" s="423">
        <f>L20*1.1</f>
        <v>0</v>
      </c>
      <c r="R20" s="423"/>
      <c r="S20" s="423"/>
      <c r="T20" s="130"/>
      <c r="U20" s="424">
        <f>Q20*1.1</f>
        <v>0</v>
      </c>
      <c r="V20" s="424"/>
      <c r="W20" s="424"/>
      <c r="X20" s="130"/>
      <c r="Y20" s="534">
        <f>U20*1.033</f>
        <v>0</v>
      </c>
      <c r="Z20" s="534"/>
      <c r="AA20" s="534"/>
      <c r="AB20" s="131"/>
      <c r="AC20" s="537">
        <f>Y20*1.033</f>
        <v>0</v>
      </c>
      <c r="AD20" s="537"/>
      <c r="AE20" s="538"/>
    </row>
    <row r="21" spans="1:31" ht="13.5" customHeight="1" x14ac:dyDescent="0.25">
      <c r="A21" s="132" t="s">
        <v>37</v>
      </c>
      <c r="C21" s="446">
        <f>IF($C$3&lt;&gt;8,VLOOKUP($C$3,Ordinary_Rates,4),0)</f>
        <v>524.79999999999995</v>
      </c>
      <c r="D21" s="446"/>
      <c r="E21" s="446"/>
      <c r="F21" s="28"/>
      <c r="G21" s="460">
        <f>C21*1.1</f>
        <v>577.28</v>
      </c>
      <c r="H21" s="460"/>
      <c r="I21" s="460"/>
      <c r="J21" s="460"/>
      <c r="K21" s="28"/>
      <c r="L21" s="450">
        <f>G21*1.1</f>
        <v>635.00800000000004</v>
      </c>
      <c r="M21" s="450"/>
      <c r="N21" s="450"/>
      <c r="O21" s="450"/>
      <c r="P21" s="28"/>
      <c r="Q21" s="461">
        <f>L21*1.1</f>
        <v>698.50880000000006</v>
      </c>
      <c r="R21" s="461"/>
      <c r="S21" s="461"/>
      <c r="T21" s="28"/>
      <c r="U21" s="495">
        <f>Q21*1.1</f>
        <v>768.35968000000014</v>
      </c>
      <c r="V21" s="495"/>
      <c r="W21" s="495"/>
      <c r="X21" s="28"/>
      <c r="Y21" s="447">
        <f>U21*1.033</f>
        <v>793.71554944000013</v>
      </c>
      <c r="Z21" s="447"/>
      <c r="AA21" s="447"/>
      <c r="AB21" s="22"/>
      <c r="AC21" s="448">
        <f>Y21*1.033</f>
        <v>819.90816257152005</v>
      </c>
      <c r="AD21" s="448"/>
      <c r="AE21" s="449"/>
    </row>
    <row r="22" spans="1:31" ht="13.5" customHeight="1" x14ac:dyDescent="0.25">
      <c r="A22" s="132" t="s">
        <v>35</v>
      </c>
      <c r="C22" s="446">
        <f>IF($C$3=8,$A$3*VLOOKUP($C$3,Ordinary_Rates,5)/100,0)</f>
        <v>0</v>
      </c>
      <c r="D22" s="446"/>
      <c r="E22" s="446"/>
      <c r="F22" s="28"/>
      <c r="G22" s="460">
        <f>C22*1.1</f>
        <v>0</v>
      </c>
      <c r="H22" s="460"/>
      <c r="I22" s="460"/>
      <c r="J22" s="460"/>
      <c r="K22" s="28"/>
      <c r="L22" s="450">
        <f>G22*1.1</f>
        <v>0</v>
      </c>
      <c r="M22" s="450"/>
      <c r="N22" s="450"/>
      <c r="O22" s="450"/>
      <c r="P22" s="28"/>
      <c r="Q22" s="461">
        <f>L22*1.1</f>
        <v>0</v>
      </c>
      <c r="R22" s="461"/>
      <c r="S22" s="461"/>
      <c r="T22" s="28"/>
      <c r="U22" s="495">
        <f>Q22*1.1</f>
        <v>0</v>
      </c>
      <c r="V22" s="495"/>
      <c r="W22" s="495"/>
      <c r="X22" s="28"/>
      <c r="Y22" s="447">
        <f>U22*1.033</f>
        <v>0</v>
      </c>
      <c r="Z22" s="447"/>
      <c r="AA22" s="447"/>
      <c r="AB22" s="22"/>
      <c r="AC22" s="448">
        <f>Y22*1.033</f>
        <v>0</v>
      </c>
      <c r="AD22" s="448"/>
      <c r="AE22" s="449"/>
    </row>
    <row r="23" spans="1:31" ht="13.5" customHeight="1" x14ac:dyDescent="0.25">
      <c r="A23" s="132" t="s">
        <v>36</v>
      </c>
      <c r="C23" s="446">
        <f>IF($C$3&lt;&gt;8,$A$3*VLOOKUP($C$3,Ordinary_Rates,5)/100,0)</f>
        <v>0</v>
      </c>
      <c r="D23" s="446"/>
      <c r="E23" s="446"/>
      <c r="F23" s="28"/>
      <c r="G23" s="463">
        <f>C23*1.1</f>
        <v>0</v>
      </c>
      <c r="H23" s="463"/>
      <c r="I23" s="463"/>
      <c r="J23" s="463"/>
      <c r="K23" s="28"/>
      <c r="L23" s="531">
        <f>G23*1.1</f>
        <v>0</v>
      </c>
      <c r="M23" s="531"/>
      <c r="N23" s="531"/>
      <c r="O23" s="531"/>
      <c r="P23" s="28"/>
      <c r="Q23" s="532">
        <f>L23*1.1</f>
        <v>0</v>
      </c>
      <c r="R23" s="532"/>
      <c r="S23" s="532"/>
      <c r="T23" s="28"/>
      <c r="U23" s="533">
        <f>Q23*1.1</f>
        <v>0</v>
      </c>
      <c r="V23" s="533"/>
      <c r="W23" s="533"/>
      <c r="X23" s="28"/>
      <c r="Y23" s="522">
        <f>U23*1.033</f>
        <v>0</v>
      </c>
      <c r="Z23" s="522"/>
      <c r="AA23" s="522"/>
      <c r="AB23" s="22"/>
      <c r="AC23" s="545">
        <f>Y23*1.033</f>
        <v>0</v>
      </c>
      <c r="AD23" s="545"/>
      <c r="AE23" s="546"/>
    </row>
    <row r="24" spans="1:31" x14ac:dyDescent="0.25">
      <c r="A24" s="132" t="s">
        <v>27</v>
      </c>
      <c r="C24" s="446">
        <f>VLOOKUP($I$3,Waste_Mgmt,4)</f>
        <v>211</v>
      </c>
      <c r="D24" s="446"/>
      <c r="E24" s="446"/>
      <c r="F24" s="18"/>
      <c r="G24" s="462">
        <f>C24*1.0291</f>
        <v>217.14009999999999</v>
      </c>
      <c r="H24" s="462"/>
      <c r="I24" s="462"/>
      <c r="J24" s="462"/>
      <c r="K24" s="18"/>
      <c r="L24" s="483">
        <f>G24*1.5</f>
        <v>325.71015</v>
      </c>
      <c r="M24" s="483"/>
      <c r="N24" s="483"/>
      <c r="O24" s="483"/>
      <c r="P24" s="18"/>
      <c r="Q24" s="458">
        <f>L24*1.0213</f>
        <v>332.64777619500001</v>
      </c>
      <c r="R24" s="458"/>
      <c r="S24" s="458"/>
      <c r="T24" s="18"/>
      <c r="U24" s="459">
        <f>Q24*1.029</f>
        <v>342.294561704655</v>
      </c>
      <c r="V24" s="459"/>
      <c r="W24" s="459"/>
      <c r="X24" s="18"/>
      <c r="Y24" s="484">
        <f>U24*1.0296</f>
        <v>352.4264807311128</v>
      </c>
      <c r="Z24" s="484"/>
      <c r="AA24" s="484"/>
      <c r="AB24" s="18"/>
      <c r="AC24" s="523">
        <f>Y24*1.0287</f>
        <v>362.54112072809573</v>
      </c>
      <c r="AD24" s="523"/>
      <c r="AE24" s="544"/>
    </row>
    <row r="25" spans="1:31" ht="13.5" customHeight="1" x14ac:dyDescent="0.25">
      <c r="A25" s="132" t="s">
        <v>28</v>
      </c>
      <c r="C25" s="457">
        <f>VLOOKUP($R$3,Add_Garbage,4)</f>
        <v>162</v>
      </c>
      <c r="D25" s="457"/>
      <c r="E25" s="457"/>
      <c r="F25" s="29"/>
      <c r="G25" s="463">
        <f>C25*1.0291</f>
        <v>166.71419999999998</v>
      </c>
      <c r="H25" s="463"/>
      <c r="I25" s="463"/>
      <c r="J25" s="463"/>
      <c r="K25" s="29"/>
      <c r="L25" s="483">
        <f>G25*1.5</f>
        <v>250.07129999999995</v>
      </c>
      <c r="M25" s="483"/>
      <c r="N25" s="483"/>
      <c r="O25" s="483"/>
      <c r="P25" s="29"/>
      <c r="Q25" s="458">
        <f>L25*1.0213</f>
        <v>255.39781868999998</v>
      </c>
      <c r="R25" s="458"/>
      <c r="S25" s="458"/>
      <c r="T25" s="29"/>
      <c r="U25" s="459">
        <f>Q25*1.029</f>
        <v>262.80435543200997</v>
      </c>
      <c r="V25" s="459"/>
      <c r="W25" s="459"/>
      <c r="X25" s="29"/>
      <c r="Y25" s="484">
        <f>U25*1.0296</f>
        <v>270.5833643527975</v>
      </c>
      <c r="Z25" s="484"/>
      <c r="AA25" s="484"/>
      <c r="AB25" s="18"/>
      <c r="AC25" s="523">
        <f>Y25*1.0287</f>
        <v>278.34910690972276</v>
      </c>
      <c r="AD25" s="523"/>
      <c r="AE25" s="544"/>
    </row>
    <row r="26" spans="1:31" ht="13.5" customHeight="1" x14ac:dyDescent="0.25">
      <c r="A26" s="132" t="s">
        <v>29</v>
      </c>
      <c r="C26" s="457">
        <f>VLOOKUP($U$3,Water,4)</f>
        <v>150</v>
      </c>
      <c r="D26" s="457"/>
      <c r="E26" s="457"/>
      <c r="F26" s="29"/>
      <c r="G26" s="463">
        <f>C26*1.0291</f>
        <v>154.36499999999998</v>
      </c>
      <c r="H26" s="463"/>
      <c r="I26" s="463"/>
      <c r="J26" s="463"/>
      <c r="K26" s="29"/>
      <c r="L26" s="483">
        <f>G26*1.5</f>
        <v>231.54749999999996</v>
      </c>
      <c r="M26" s="483"/>
      <c r="N26" s="483"/>
      <c r="O26" s="483"/>
      <c r="P26" s="29"/>
      <c r="Q26" s="458">
        <f>L26*1.0213</f>
        <v>236.47946174999998</v>
      </c>
      <c r="R26" s="458"/>
      <c r="S26" s="458"/>
      <c r="T26" s="29"/>
      <c r="U26" s="459">
        <f>Q26*1.029</f>
        <v>243.33736614074996</v>
      </c>
      <c r="V26" s="459"/>
      <c r="W26" s="459"/>
      <c r="X26" s="29"/>
      <c r="Y26" s="484">
        <f>U26*1.0296</f>
        <v>250.54015217851617</v>
      </c>
      <c r="Z26" s="484"/>
      <c r="AA26" s="484"/>
      <c r="AB26" s="18"/>
      <c r="AC26" s="523">
        <f>Y26*1.0287</f>
        <v>257.73065454603955</v>
      </c>
      <c r="AD26" s="523"/>
      <c r="AE26" s="544"/>
    </row>
    <row r="27" spans="1:31" ht="13.5" customHeight="1" x14ac:dyDescent="0.25">
      <c r="A27" s="132" t="s">
        <v>32</v>
      </c>
      <c r="C27" s="446">
        <f>IF($C$3&lt;3, VLOOKUP($Y$3,Sewer,4),IF($C$3=10, VLOOKUP($Y$3,Sewer,4), IF($C$3=3, VLOOKUP($Y$3,Sewer,5), IF($C$3=4, VLOOKUP($Y$3,Sewer,5), IF($C$3=11, VLOOKUP($Y$3,Sewer,5), 0)))))</f>
        <v>0</v>
      </c>
      <c r="D27" s="446"/>
      <c r="E27" s="446"/>
      <c r="F27" s="29"/>
      <c r="G27" s="463">
        <f>C27*1.0284</f>
        <v>0</v>
      </c>
      <c r="H27" s="463"/>
      <c r="I27" s="463"/>
      <c r="J27" s="463"/>
      <c r="K27" s="29"/>
      <c r="L27" s="531">
        <f>G27*1.0296</f>
        <v>0</v>
      </c>
      <c r="M27" s="531"/>
      <c r="N27" s="531"/>
      <c r="O27" s="531"/>
      <c r="P27" s="29"/>
      <c r="Q27" s="532">
        <f>L27*1.0287</f>
        <v>0</v>
      </c>
      <c r="R27" s="532"/>
      <c r="S27" s="532"/>
      <c r="T27" s="29"/>
      <c r="U27" s="533">
        <f>Q27*1.0298</f>
        <v>0</v>
      </c>
      <c r="V27" s="533"/>
      <c r="W27" s="533"/>
      <c r="X27" s="29"/>
      <c r="Y27" s="522">
        <f>U27*1.0289</f>
        <v>0</v>
      </c>
      <c r="Z27" s="522"/>
      <c r="AA27" s="522"/>
      <c r="AB27" s="18"/>
      <c r="AC27" s="523">
        <f>Y27*1.0299</f>
        <v>0</v>
      </c>
      <c r="AD27" s="523"/>
      <c r="AE27" s="544"/>
    </row>
    <row r="28" spans="1:31" ht="13.5" customHeight="1" x14ac:dyDescent="0.25">
      <c r="A28" s="132" t="s">
        <v>33</v>
      </c>
      <c r="C28" s="446">
        <f>-IF($C$3&lt;5,VLOOKUP($AD$3,Pensioner,4),IF($C$3&gt;8,0,VLOOKUP($AD$3,Pensioner,5)))</f>
        <v>-250</v>
      </c>
      <c r="D28" s="446"/>
      <c r="E28" s="446"/>
      <c r="F28" s="29"/>
      <c r="G28" s="463">
        <f>C28*1.1</f>
        <v>-275</v>
      </c>
      <c r="H28" s="463"/>
      <c r="I28" s="463"/>
      <c r="J28" s="463"/>
      <c r="K28" s="29"/>
      <c r="L28" s="531">
        <f>G28*1.11</f>
        <v>-305.25</v>
      </c>
      <c r="M28" s="531"/>
      <c r="N28" s="531"/>
      <c r="O28" s="531"/>
      <c r="P28" s="29"/>
      <c r="Q28" s="532">
        <f>L28*1.1</f>
        <v>-335.77500000000003</v>
      </c>
      <c r="R28" s="532"/>
      <c r="S28" s="532"/>
      <c r="T28" s="29"/>
      <c r="U28" s="533">
        <f>Q28*1.1</f>
        <v>-369.35250000000008</v>
      </c>
      <c r="V28" s="533"/>
      <c r="W28" s="533"/>
      <c r="X28" s="29"/>
      <c r="Y28" s="522">
        <f>U28*1.033</f>
        <v>-381.54113250000006</v>
      </c>
      <c r="Z28" s="522"/>
      <c r="AA28" s="522"/>
      <c r="AB28" s="18"/>
      <c r="AC28" s="523">
        <f>Y28*1.033</f>
        <v>-394.13198987250001</v>
      </c>
      <c r="AD28" s="523"/>
      <c r="AE28" s="544"/>
    </row>
    <row r="29" spans="1:31" s="8" customFormat="1" ht="43.5" customHeight="1" x14ac:dyDescent="0.25">
      <c r="A29" s="37" t="s">
        <v>54</v>
      </c>
      <c r="B29" s="30"/>
      <c r="C29" s="452">
        <f>SUM(C20:E23)</f>
        <v>524.79999999999995</v>
      </c>
      <c r="D29" s="452"/>
      <c r="E29" s="452"/>
      <c r="F29" s="30"/>
      <c r="G29" s="453">
        <f>SUM(G20:J23)</f>
        <v>577.28</v>
      </c>
      <c r="H29" s="453"/>
      <c r="I29" s="453"/>
      <c r="J29" s="453"/>
      <c r="K29" s="31"/>
      <c r="L29" s="454">
        <f>SUM(L20:O23)</f>
        <v>635.00800000000004</v>
      </c>
      <c r="M29" s="454"/>
      <c r="N29" s="454"/>
      <c r="O29" s="454"/>
      <c r="P29" s="31"/>
      <c r="Q29" s="455">
        <f>SUM(Q20:S23)</f>
        <v>698.50880000000006</v>
      </c>
      <c r="R29" s="455"/>
      <c r="S29" s="455"/>
      <c r="T29" s="31"/>
      <c r="U29" s="456">
        <f>SUM(U20:W23)</f>
        <v>768.35968000000014</v>
      </c>
      <c r="V29" s="456"/>
      <c r="W29" s="456"/>
      <c r="X29" s="31"/>
      <c r="Y29" s="516">
        <f>SUM(Y20:AA23)</f>
        <v>793.71554944000013</v>
      </c>
      <c r="Z29" s="516"/>
      <c r="AA29" s="516"/>
      <c r="AB29" s="31"/>
      <c r="AC29" s="547">
        <f>SUM(AC20:AE23)</f>
        <v>819.90816257152005</v>
      </c>
      <c r="AD29" s="547"/>
      <c r="AE29" s="548"/>
    </row>
    <row r="30" spans="1:31" s="8" customFormat="1" ht="4.5" customHeight="1" x14ac:dyDescent="0.25">
      <c r="A30" s="133"/>
      <c r="C30" s="93"/>
      <c r="D30" s="93"/>
      <c r="E30" s="93"/>
      <c r="F30" s="23"/>
      <c r="G30" s="94"/>
      <c r="H30" s="94"/>
      <c r="I30" s="94"/>
      <c r="J30" s="94"/>
      <c r="K30" s="23"/>
      <c r="L30" s="95"/>
      <c r="M30" s="95"/>
      <c r="N30" s="95"/>
      <c r="O30" s="95"/>
      <c r="P30" s="23"/>
      <c r="Q30" s="96"/>
      <c r="R30" s="96"/>
      <c r="S30" s="96"/>
      <c r="T30" s="23"/>
      <c r="U30" s="97"/>
      <c r="V30" s="97"/>
      <c r="W30" s="97"/>
      <c r="X30" s="23"/>
      <c r="Y30" s="98"/>
      <c r="Z30" s="98"/>
      <c r="AA30" s="98"/>
      <c r="AB30" s="23"/>
      <c r="AC30" s="100"/>
      <c r="AD30" s="100"/>
      <c r="AE30" s="134"/>
    </row>
    <row r="31" spans="1:31" s="56" customFormat="1" ht="15.75" customHeight="1" x14ac:dyDescent="0.25">
      <c r="A31" s="135" t="s">
        <v>43</v>
      </c>
      <c r="B31" s="57"/>
      <c r="C31" s="549">
        <f>C16-C29</f>
        <v>0</v>
      </c>
      <c r="D31" s="549"/>
      <c r="E31" s="549"/>
      <c r="F31" s="31"/>
      <c r="G31" s="550">
        <f>G29-G16</f>
        <v>35.161600000000021</v>
      </c>
      <c r="H31" s="550"/>
      <c r="I31" s="550"/>
      <c r="J31" s="550"/>
      <c r="K31" s="31"/>
      <c r="L31" s="551">
        <f>L29-L16</f>
        <v>74.999692800000162</v>
      </c>
      <c r="M31" s="551"/>
      <c r="N31" s="551"/>
      <c r="O31" s="551"/>
      <c r="P31" s="31"/>
      <c r="Q31" s="552">
        <f>Q29-Q16</f>
        <v>120.02021866240023</v>
      </c>
      <c r="R31" s="552"/>
      <c r="S31" s="552"/>
      <c r="T31" s="31"/>
      <c r="U31" s="553">
        <f>U29-U16</f>
        <v>170.78097547825951</v>
      </c>
      <c r="V31" s="553"/>
      <c r="W31" s="553"/>
      <c r="X31" s="31"/>
      <c r="Y31" s="554">
        <f>Y29-Y16</f>
        <v>253.89174766904205</v>
      </c>
      <c r="Z31" s="554"/>
      <c r="AA31" s="554"/>
      <c r="AB31" s="31"/>
      <c r="AC31" s="555">
        <f>AC29-AC16</f>
        <v>262.27017534212041</v>
      </c>
      <c r="AD31" s="555"/>
      <c r="AE31" s="556"/>
    </row>
    <row r="32" spans="1:31" s="33" customFormat="1" ht="4.5" customHeight="1" x14ac:dyDescent="0.25">
      <c r="A32" s="136"/>
      <c r="C32" s="41"/>
      <c r="D32" s="41"/>
      <c r="E32" s="41"/>
      <c r="F32" s="24"/>
      <c r="G32" s="58"/>
      <c r="H32" s="58"/>
      <c r="I32" s="58"/>
      <c r="J32" s="58"/>
      <c r="K32" s="24"/>
      <c r="L32" s="69"/>
      <c r="M32" s="69"/>
      <c r="N32" s="69"/>
      <c r="O32" s="69"/>
      <c r="P32" s="24"/>
      <c r="Q32" s="59"/>
      <c r="R32" s="59"/>
      <c r="S32" s="59"/>
      <c r="T32" s="24"/>
      <c r="U32" s="60"/>
      <c r="V32" s="60"/>
      <c r="W32" s="60"/>
      <c r="X32" s="24"/>
      <c r="Y32" s="61"/>
      <c r="Z32" s="61"/>
      <c r="AA32" s="61"/>
      <c r="AB32" s="24"/>
      <c r="AC32" s="62"/>
      <c r="AD32" s="62"/>
      <c r="AE32" s="137"/>
    </row>
    <row r="33" spans="1:31" s="56" customFormat="1" ht="15.75" customHeight="1" x14ac:dyDescent="0.25">
      <c r="A33" s="135" t="s">
        <v>45</v>
      </c>
      <c r="B33" s="57"/>
      <c r="C33" s="549">
        <v>0</v>
      </c>
      <c r="D33" s="549"/>
      <c r="E33" s="549"/>
      <c r="F33" s="31"/>
      <c r="G33" s="550">
        <f>G31</f>
        <v>35.161600000000021</v>
      </c>
      <c r="H33" s="550"/>
      <c r="I33" s="550"/>
      <c r="J33" s="550"/>
      <c r="K33" s="31"/>
      <c r="L33" s="551">
        <f>G33+L31</f>
        <v>110.16129280000018</v>
      </c>
      <c r="M33" s="551"/>
      <c r="N33" s="551"/>
      <c r="O33" s="551"/>
      <c r="P33" s="31"/>
      <c r="Q33" s="552">
        <f>L33+Q31</f>
        <v>230.18151146240041</v>
      </c>
      <c r="R33" s="552"/>
      <c r="S33" s="552"/>
      <c r="T33" s="31"/>
      <c r="U33" s="553">
        <f>Q33+U31</f>
        <v>400.96248694065991</v>
      </c>
      <c r="V33" s="553"/>
      <c r="W33" s="553"/>
      <c r="X33" s="31"/>
      <c r="Y33" s="554">
        <f>U33+Y31</f>
        <v>654.85423460970196</v>
      </c>
      <c r="Z33" s="554"/>
      <c r="AA33" s="554"/>
      <c r="AB33" s="31"/>
      <c r="AC33" s="555">
        <f>Y33+AC31</f>
        <v>917.12440995182237</v>
      </c>
      <c r="AD33" s="555"/>
      <c r="AE33" s="556"/>
    </row>
    <row r="34" spans="1:31" s="56" customFormat="1" ht="5.25" customHeight="1" x14ac:dyDescent="0.25">
      <c r="A34" s="138"/>
      <c r="C34" s="107"/>
      <c r="D34" s="107"/>
      <c r="E34" s="107"/>
      <c r="F34" s="23"/>
      <c r="G34" s="108"/>
      <c r="H34" s="108"/>
      <c r="I34" s="108"/>
      <c r="J34" s="108"/>
      <c r="K34" s="23"/>
      <c r="L34" s="109"/>
      <c r="M34" s="109"/>
      <c r="N34" s="109"/>
      <c r="O34" s="109"/>
      <c r="P34" s="23"/>
      <c r="Q34" s="110"/>
      <c r="R34" s="110"/>
      <c r="S34" s="110"/>
      <c r="T34" s="23"/>
      <c r="U34" s="111"/>
      <c r="V34" s="111"/>
      <c r="W34" s="111"/>
      <c r="X34" s="23"/>
      <c r="Y34" s="112"/>
      <c r="Z34" s="112"/>
      <c r="AA34" s="112"/>
      <c r="AB34" s="23"/>
      <c r="AC34" s="113"/>
      <c r="AD34" s="113"/>
      <c r="AE34" s="139"/>
    </row>
    <row r="35" spans="1:31" s="56" customFormat="1" ht="15.75" customHeight="1" x14ac:dyDescent="0.25">
      <c r="A35" s="135" t="s">
        <v>42</v>
      </c>
      <c r="B35" s="57"/>
      <c r="C35" s="452">
        <f>SUM(C20:E28)</f>
        <v>797.8</v>
      </c>
      <c r="D35" s="452"/>
      <c r="E35" s="452"/>
      <c r="F35" s="31"/>
      <c r="G35" s="453">
        <f>SUM(G20:J28)</f>
        <v>840.49929999999995</v>
      </c>
      <c r="H35" s="453"/>
      <c r="I35" s="453"/>
      <c r="J35" s="453"/>
      <c r="K35" s="31"/>
      <c r="L35" s="454">
        <f>SUM(L20:O28)</f>
        <v>1137.0869499999999</v>
      </c>
      <c r="M35" s="454"/>
      <c r="N35" s="454"/>
      <c r="O35" s="454"/>
      <c r="P35" s="31"/>
      <c r="Q35" s="455">
        <f>SUM(Q20:S28)</f>
        <v>1187.2588566349998</v>
      </c>
      <c r="R35" s="455"/>
      <c r="S35" s="455"/>
      <c r="T35" s="31"/>
      <c r="U35" s="456">
        <f>SUM(U20:W28)</f>
        <v>1247.443463277415</v>
      </c>
      <c r="V35" s="456"/>
      <c r="W35" s="456"/>
      <c r="X35" s="31"/>
      <c r="Y35" s="516">
        <f>SUM(Y20:AA28)</f>
        <v>1285.7244142024265</v>
      </c>
      <c r="Z35" s="516"/>
      <c r="AA35" s="516"/>
      <c r="AB35" s="31"/>
      <c r="AC35" s="517">
        <f>SUM(AC20:AE28)</f>
        <v>1324.3970548828779</v>
      </c>
      <c r="AD35" s="517"/>
      <c r="AE35" s="565"/>
    </row>
    <row r="36" spans="1:31" s="56" customFormat="1" ht="6" customHeight="1" x14ac:dyDescent="0.25">
      <c r="A36" s="138"/>
      <c r="C36" s="93"/>
      <c r="D36" s="93"/>
      <c r="E36" s="93"/>
      <c r="F36" s="23"/>
      <c r="G36" s="94"/>
      <c r="H36" s="94"/>
      <c r="I36" s="94"/>
      <c r="J36" s="94"/>
      <c r="K36" s="23"/>
      <c r="L36" s="95"/>
      <c r="M36" s="95"/>
      <c r="N36" s="95"/>
      <c r="O36" s="95"/>
      <c r="P36" s="23"/>
      <c r="Q36" s="96"/>
      <c r="R36" s="96"/>
      <c r="S36" s="96"/>
      <c r="T36" s="23"/>
      <c r="U36" s="97"/>
      <c r="V36" s="97"/>
      <c r="W36" s="97"/>
      <c r="X36" s="23"/>
      <c r="Y36" s="98"/>
      <c r="Z36" s="98"/>
      <c r="AA36" s="98"/>
      <c r="AB36" s="23"/>
      <c r="AC36" s="92"/>
      <c r="AD36" s="92"/>
      <c r="AE36" s="140"/>
    </row>
    <row r="37" spans="1:31" s="33" customFormat="1" ht="15.75" customHeight="1" x14ac:dyDescent="0.25">
      <c r="A37" s="141" t="s">
        <v>46</v>
      </c>
      <c r="B37" s="142"/>
      <c r="C37" s="557">
        <f>(C35-C18)/C35</f>
        <v>0</v>
      </c>
      <c r="D37" s="557"/>
      <c r="E37" s="557"/>
      <c r="F37" s="143"/>
      <c r="G37" s="558">
        <f>(G35-G18)/G35</f>
        <v>2.1905550664944203E-2</v>
      </c>
      <c r="H37" s="558"/>
      <c r="I37" s="558"/>
      <c r="J37" s="558"/>
      <c r="K37" s="143"/>
      <c r="L37" s="559">
        <f>(L35-L18)/L35</f>
        <v>3.2118865492212594E-2</v>
      </c>
      <c r="M37" s="559"/>
      <c r="N37" s="559"/>
      <c r="O37" s="559"/>
      <c r="P37" s="143"/>
      <c r="Q37" s="560">
        <f>(Q35-Q18)/Q35</f>
        <v>5.0385771037285011E-2</v>
      </c>
      <c r="R37" s="560"/>
      <c r="S37" s="560"/>
      <c r="T37" s="143"/>
      <c r="U37" s="561">
        <f>(U35-U18)/U35</f>
        <v>6.9019728342880754E-2</v>
      </c>
      <c r="V37" s="561"/>
      <c r="W37" s="561"/>
      <c r="X37" s="143"/>
      <c r="Y37" s="562">
        <f>(Y35-Y18)/Y35</f>
        <v>0.12943244136603888</v>
      </c>
      <c r="Z37" s="562"/>
      <c r="AA37" s="562"/>
      <c r="AB37" s="143"/>
      <c r="AC37" s="566">
        <f>(AC35-AC18)/AC35</f>
        <v>0.12979953863951235</v>
      </c>
      <c r="AD37" s="566"/>
      <c r="AE37" s="567"/>
    </row>
    <row r="38" spans="1:31" s="33" customFormat="1" ht="6" customHeight="1" x14ac:dyDescent="0.25">
      <c r="A38" s="34"/>
      <c r="C38" s="42"/>
      <c r="D38" s="42"/>
      <c r="E38" s="42"/>
      <c r="F38" s="24"/>
      <c r="G38" s="44"/>
      <c r="H38" s="44"/>
      <c r="I38" s="44"/>
      <c r="J38" s="44"/>
      <c r="K38" s="24"/>
      <c r="L38" s="68"/>
      <c r="M38" s="68"/>
      <c r="N38" s="68"/>
      <c r="O38" s="68"/>
      <c r="P38" s="24"/>
      <c r="Q38" s="46"/>
      <c r="R38" s="46"/>
      <c r="S38" s="46"/>
      <c r="T38" s="24"/>
      <c r="U38" s="50"/>
      <c r="V38" s="50"/>
      <c r="W38" s="50"/>
      <c r="X38" s="24"/>
      <c r="Y38" s="48"/>
      <c r="Z38" s="48"/>
      <c r="AA38" s="48"/>
      <c r="AB38" s="24"/>
      <c r="AC38" s="53"/>
      <c r="AD38" s="53"/>
      <c r="AE38" s="53"/>
    </row>
    <row r="39" spans="1:31" ht="13.5" customHeight="1" x14ac:dyDescent="0.25">
      <c r="A39" s="144" t="s">
        <v>38</v>
      </c>
      <c r="B39" s="145"/>
      <c r="C39" s="568">
        <f>IF($C$3=8,VLOOKUP($C$3,Ordinary_Rates,4),0)</f>
        <v>0</v>
      </c>
      <c r="D39" s="568"/>
      <c r="E39" s="568"/>
      <c r="F39" s="146"/>
      <c r="G39" s="569">
        <f>C39*1.15</f>
        <v>0</v>
      </c>
      <c r="H39" s="569"/>
      <c r="I39" s="569"/>
      <c r="J39" s="569"/>
      <c r="K39" s="146"/>
      <c r="L39" s="570">
        <f>G39*1.15</f>
        <v>0</v>
      </c>
      <c r="M39" s="570"/>
      <c r="N39" s="570"/>
      <c r="O39" s="570"/>
      <c r="P39" s="146"/>
      <c r="Q39" s="571">
        <f>L39*1.15</f>
        <v>0</v>
      </c>
      <c r="R39" s="571"/>
      <c r="S39" s="571"/>
      <c r="T39" s="146"/>
      <c r="U39" s="572">
        <f>Q39*1.15</f>
        <v>0</v>
      </c>
      <c r="V39" s="572"/>
      <c r="W39" s="572"/>
      <c r="X39" s="146"/>
      <c r="Y39" s="573">
        <f>U39*1.033</f>
        <v>0</v>
      </c>
      <c r="Z39" s="573"/>
      <c r="AA39" s="573"/>
      <c r="AB39" s="147"/>
      <c r="AC39" s="563">
        <f>Y39*1.033</f>
        <v>0</v>
      </c>
      <c r="AD39" s="563"/>
      <c r="AE39" s="564"/>
    </row>
    <row r="40" spans="1:31" ht="13.5" customHeight="1" x14ac:dyDescent="0.25">
      <c r="A40" s="148" t="s">
        <v>37</v>
      </c>
      <c r="C40" s="446">
        <f>IF($C$3&lt;&gt;8,VLOOKUP($C$3,Ordinary_Rates,4),0)</f>
        <v>524.79999999999995</v>
      </c>
      <c r="D40" s="446"/>
      <c r="E40" s="446"/>
      <c r="F40" s="28"/>
      <c r="G40" s="460">
        <f>C40*1.15</f>
        <v>603.51999999999987</v>
      </c>
      <c r="H40" s="460"/>
      <c r="I40" s="460"/>
      <c r="J40" s="460"/>
      <c r="K40" s="28"/>
      <c r="L40" s="450">
        <f>G40*1.15</f>
        <v>694.04799999999977</v>
      </c>
      <c r="M40" s="450"/>
      <c r="N40" s="450"/>
      <c r="O40" s="450"/>
      <c r="P40" s="28"/>
      <c r="Q40" s="461">
        <f>L40*1.15</f>
        <v>798.1551999999997</v>
      </c>
      <c r="R40" s="461"/>
      <c r="S40" s="461"/>
      <c r="T40" s="28"/>
      <c r="U40" s="495">
        <f>Q40*1.15</f>
        <v>917.87847999999963</v>
      </c>
      <c r="V40" s="495"/>
      <c r="W40" s="495"/>
      <c r="X40" s="28"/>
      <c r="Y40" s="447">
        <f>U40*1.033</f>
        <v>948.16846983999949</v>
      </c>
      <c r="Z40" s="447"/>
      <c r="AA40" s="447"/>
      <c r="AB40" s="22"/>
      <c r="AC40" s="448">
        <f>Y40*1.033</f>
        <v>979.45802934471942</v>
      </c>
      <c r="AD40" s="448"/>
      <c r="AE40" s="574"/>
    </row>
    <row r="41" spans="1:31" ht="13.5" customHeight="1" x14ac:dyDescent="0.25">
      <c r="A41" s="148" t="s">
        <v>35</v>
      </c>
      <c r="C41" s="446">
        <f>IF($C$3=8,$A$3*VLOOKUP($C$3,Ordinary_Rates,5)/100,0)</f>
        <v>0</v>
      </c>
      <c r="D41" s="446"/>
      <c r="E41" s="446"/>
      <c r="F41" s="28"/>
      <c r="G41" s="460">
        <f>C41*1.15</f>
        <v>0</v>
      </c>
      <c r="H41" s="460"/>
      <c r="I41" s="460"/>
      <c r="J41" s="460"/>
      <c r="K41" s="28"/>
      <c r="L41" s="450">
        <f>G41*1.15</f>
        <v>0</v>
      </c>
      <c r="M41" s="450"/>
      <c r="N41" s="450"/>
      <c r="O41" s="450"/>
      <c r="P41" s="28"/>
      <c r="Q41" s="461">
        <f>L41*1.15</f>
        <v>0</v>
      </c>
      <c r="R41" s="461"/>
      <c r="S41" s="461"/>
      <c r="T41" s="28"/>
      <c r="U41" s="495">
        <f>Q41*1.15</f>
        <v>0</v>
      </c>
      <c r="V41" s="495"/>
      <c r="W41" s="495"/>
      <c r="X41" s="28"/>
      <c r="Y41" s="447">
        <f>U41*1.033</f>
        <v>0</v>
      </c>
      <c r="Z41" s="447"/>
      <c r="AA41" s="447"/>
      <c r="AB41" s="22"/>
      <c r="AC41" s="448">
        <f>Y41*1.033</f>
        <v>0</v>
      </c>
      <c r="AD41" s="448"/>
      <c r="AE41" s="574"/>
    </row>
    <row r="42" spans="1:31" ht="13.5" customHeight="1" x14ac:dyDescent="0.25">
      <c r="A42" s="148" t="s">
        <v>36</v>
      </c>
      <c r="C42" s="446">
        <f>IF($C$3&lt;&gt;8,$A$3*VLOOKUP($C$3,Ordinary_Rates,5)/100,0)</f>
        <v>0</v>
      </c>
      <c r="D42" s="446"/>
      <c r="E42" s="446"/>
      <c r="F42" s="28"/>
      <c r="G42" s="463">
        <f>C42*1.15</f>
        <v>0</v>
      </c>
      <c r="H42" s="463"/>
      <c r="I42" s="463"/>
      <c r="J42" s="463"/>
      <c r="K42" s="28"/>
      <c r="L42" s="531">
        <f>G42*1.15</f>
        <v>0</v>
      </c>
      <c r="M42" s="531"/>
      <c r="N42" s="531"/>
      <c r="O42" s="531"/>
      <c r="P42" s="28"/>
      <c r="Q42" s="532">
        <f>L42*1.15</f>
        <v>0</v>
      </c>
      <c r="R42" s="532"/>
      <c r="S42" s="532"/>
      <c r="T42" s="28"/>
      <c r="U42" s="533">
        <f>Q42*1.15</f>
        <v>0</v>
      </c>
      <c r="V42" s="533"/>
      <c r="W42" s="533"/>
      <c r="X42" s="28"/>
      <c r="Y42" s="522">
        <f>U42*1.033</f>
        <v>0</v>
      </c>
      <c r="Z42" s="522"/>
      <c r="AA42" s="522"/>
      <c r="AB42" s="22"/>
      <c r="AC42" s="545">
        <f>Y42*1.033</f>
        <v>0</v>
      </c>
      <c r="AD42" s="545"/>
      <c r="AE42" s="575"/>
    </row>
    <row r="43" spans="1:31" x14ac:dyDescent="0.25">
      <c r="A43" s="148" t="s">
        <v>27</v>
      </c>
      <c r="C43" s="446">
        <f>VLOOKUP($I$3,Waste_Mgmt,4)</f>
        <v>211</v>
      </c>
      <c r="D43" s="446"/>
      <c r="E43" s="446"/>
      <c r="F43" s="18"/>
      <c r="G43" s="462">
        <f>C43*1.0291</f>
        <v>217.14009999999999</v>
      </c>
      <c r="H43" s="462"/>
      <c r="I43" s="462"/>
      <c r="J43" s="462"/>
      <c r="K43" s="18"/>
      <c r="L43" s="483">
        <f>G43*1.5</f>
        <v>325.71015</v>
      </c>
      <c r="M43" s="483"/>
      <c r="N43" s="483"/>
      <c r="O43" s="483"/>
      <c r="P43" s="18"/>
      <c r="Q43" s="458">
        <f>L43*1.0213</f>
        <v>332.64777619500001</v>
      </c>
      <c r="R43" s="458"/>
      <c r="S43" s="458"/>
      <c r="T43" s="18"/>
      <c r="U43" s="459">
        <f>Q43*1.029</f>
        <v>342.294561704655</v>
      </c>
      <c r="V43" s="459"/>
      <c r="W43" s="459"/>
      <c r="X43" s="18"/>
      <c r="Y43" s="484">
        <f>U43*1.0296</f>
        <v>352.4264807311128</v>
      </c>
      <c r="Z43" s="484"/>
      <c r="AA43" s="484"/>
      <c r="AB43" s="18"/>
      <c r="AC43" s="523">
        <f>Y43*1.0287</f>
        <v>362.54112072809573</v>
      </c>
      <c r="AD43" s="523"/>
      <c r="AE43" s="576"/>
    </row>
    <row r="44" spans="1:31" ht="13.5" customHeight="1" x14ac:dyDescent="0.25">
      <c r="A44" s="148" t="s">
        <v>28</v>
      </c>
      <c r="C44" s="457">
        <f>VLOOKUP($R$3,Add_Garbage,4)</f>
        <v>162</v>
      </c>
      <c r="D44" s="457"/>
      <c r="E44" s="457"/>
      <c r="F44" s="29"/>
      <c r="G44" s="463">
        <f>C44*1.0291</f>
        <v>166.71419999999998</v>
      </c>
      <c r="H44" s="463"/>
      <c r="I44" s="463"/>
      <c r="J44" s="463"/>
      <c r="K44" s="29"/>
      <c r="L44" s="483">
        <f>G44*1.5</f>
        <v>250.07129999999995</v>
      </c>
      <c r="M44" s="483"/>
      <c r="N44" s="483"/>
      <c r="O44" s="483"/>
      <c r="P44" s="29"/>
      <c r="Q44" s="458">
        <f>L44*1.0213</f>
        <v>255.39781868999998</v>
      </c>
      <c r="R44" s="458"/>
      <c r="S44" s="458"/>
      <c r="T44" s="29"/>
      <c r="U44" s="459">
        <f>Q44*1.029</f>
        <v>262.80435543200997</v>
      </c>
      <c r="V44" s="459"/>
      <c r="W44" s="459"/>
      <c r="X44" s="29"/>
      <c r="Y44" s="484">
        <f>U44*1.0296</f>
        <v>270.5833643527975</v>
      </c>
      <c r="Z44" s="484"/>
      <c r="AA44" s="484"/>
      <c r="AB44" s="18"/>
      <c r="AC44" s="523">
        <f>Y44*1.0287</f>
        <v>278.34910690972276</v>
      </c>
      <c r="AD44" s="523"/>
      <c r="AE44" s="576"/>
    </row>
    <row r="45" spans="1:31" ht="13.5" customHeight="1" x14ac:dyDescent="0.25">
      <c r="A45" s="148" t="s">
        <v>29</v>
      </c>
      <c r="C45" s="457">
        <f>VLOOKUP($U$3,Water,4)</f>
        <v>150</v>
      </c>
      <c r="D45" s="457"/>
      <c r="E45" s="457"/>
      <c r="F45" s="29"/>
      <c r="G45" s="463">
        <f>C45*1.0291</f>
        <v>154.36499999999998</v>
      </c>
      <c r="H45" s="463"/>
      <c r="I45" s="463"/>
      <c r="J45" s="463"/>
      <c r="K45" s="29"/>
      <c r="L45" s="483">
        <f>G45*1.5</f>
        <v>231.54749999999996</v>
      </c>
      <c r="M45" s="483"/>
      <c r="N45" s="483"/>
      <c r="O45" s="483"/>
      <c r="P45" s="29"/>
      <c r="Q45" s="458">
        <f>L45*1.0213</f>
        <v>236.47946174999998</v>
      </c>
      <c r="R45" s="458"/>
      <c r="S45" s="458"/>
      <c r="T45" s="29"/>
      <c r="U45" s="459">
        <f>Q45*1.029</f>
        <v>243.33736614074996</v>
      </c>
      <c r="V45" s="459"/>
      <c r="W45" s="459"/>
      <c r="X45" s="29"/>
      <c r="Y45" s="484">
        <f>U45*1.0296</f>
        <v>250.54015217851617</v>
      </c>
      <c r="Z45" s="484"/>
      <c r="AA45" s="484"/>
      <c r="AB45" s="18"/>
      <c r="AC45" s="523">
        <f>Y45*1.0287</f>
        <v>257.73065454603955</v>
      </c>
      <c r="AD45" s="523"/>
      <c r="AE45" s="576"/>
    </row>
    <row r="46" spans="1:31" ht="13.5" customHeight="1" x14ac:dyDescent="0.25">
      <c r="A46" s="148" t="s">
        <v>32</v>
      </c>
      <c r="C46" s="446">
        <f>IF($C$3&lt;3, VLOOKUP($Y$3,Sewer,4),IF($C$3=10, VLOOKUP($Y$3,Sewer,4), IF($C$3=3, VLOOKUP($Y$3,Sewer,5), IF($C$3=4, VLOOKUP($Y$3,Sewer,5), IF($C$3=11, VLOOKUP($Y$3,Sewer,5), 0)))))</f>
        <v>0</v>
      </c>
      <c r="D46" s="446"/>
      <c r="E46" s="446"/>
      <c r="F46" s="29"/>
      <c r="G46" s="463">
        <f>C46*1.0284</f>
        <v>0</v>
      </c>
      <c r="H46" s="463"/>
      <c r="I46" s="463"/>
      <c r="J46" s="463"/>
      <c r="K46" s="29"/>
      <c r="L46" s="531">
        <f>G46*1.0296</f>
        <v>0</v>
      </c>
      <c r="M46" s="531"/>
      <c r="N46" s="531"/>
      <c r="O46" s="531"/>
      <c r="P46" s="29"/>
      <c r="Q46" s="532">
        <f>L46*1.0287</f>
        <v>0</v>
      </c>
      <c r="R46" s="532"/>
      <c r="S46" s="532"/>
      <c r="T46" s="29"/>
      <c r="U46" s="533">
        <f>Q46*1.0298</f>
        <v>0</v>
      </c>
      <c r="V46" s="533"/>
      <c r="W46" s="533"/>
      <c r="X46" s="29"/>
      <c r="Y46" s="522">
        <f>U46*1.0289</f>
        <v>0</v>
      </c>
      <c r="Z46" s="522"/>
      <c r="AA46" s="522"/>
      <c r="AB46" s="18"/>
      <c r="AC46" s="523">
        <f>Y46*1.0299</f>
        <v>0</v>
      </c>
      <c r="AD46" s="523"/>
      <c r="AE46" s="576"/>
    </row>
    <row r="47" spans="1:31" ht="13.5" customHeight="1" x14ac:dyDescent="0.25">
      <c r="A47" s="148" t="s">
        <v>33</v>
      </c>
      <c r="C47" s="446">
        <f>-IF($C$3&lt;5,VLOOKUP($AD$3,Pensioner,4),IF($C$3&gt;8,0,VLOOKUP($AD$3,Pensioner,5)))</f>
        <v>-250</v>
      </c>
      <c r="D47" s="446"/>
      <c r="E47" s="446"/>
      <c r="F47" s="29"/>
      <c r="G47" s="463">
        <f>C47*1.15</f>
        <v>-287.5</v>
      </c>
      <c r="H47" s="463"/>
      <c r="I47" s="463"/>
      <c r="J47" s="463"/>
      <c r="K47" s="29"/>
      <c r="L47" s="531">
        <f>G47*1.15</f>
        <v>-330.625</v>
      </c>
      <c r="M47" s="531"/>
      <c r="N47" s="531"/>
      <c r="O47" s="531"/>
      <c r="P47" s="29"/>
      <c r="Q47" s="532">
        <f>L47*1.15</f>
        <v>-380.21874999999994</v>
      </c>
      <c r="R47" s="532"/>
      <c r="S47" s="532"/>
      <c r="T47" s="29"/>
      <c r="U47" s="533">
        <f>Q47*1.15</f>
        <v>-437.25156249999992</v>
      </c>
      <c r="V47" s="533"/>
      <c r="W47" s="533"/>
      <c r="X47" s="29"/>
      <c r="Y47" s="522">
        <f>U47*1.033</f>
        <v>-451.68086406249989</v>
      </c>
      <c r="Z47" s="522"/>
      <c r="AA47" s="522"/>
      <c r="AB47" s="18"/>
      <c r="AC47" s="579">
        <f>Y47*1.033</f>
        <v>-466.58633257656237</v>
      </c>
      <c r="AD47" s="579"/>
      <c r="AE47" s="580"/>
    </row>
    <row r="48" spans="1:31" s="7" customFormat="1" ht="48" customHeight="1" x14ac:dyDescent="0.25">
      <c r="A48" s="38" t="s">
        <v>55</v>
      </c>
      <c r="B48" s="40"/>
      <c r="C48" s="452">
        <f>SUM(C39:E42)</f>
        <v>524.79999999999995</v>
      </c>
      <c r="D48" s="452"/>
      <c r="E48" s="452"/>
      <c r="F48" s="39"/>
      <c r="G48" s="453">
        <f>SUM(G39:J42)</f>
        <v>603.51999999999987</v>
      </c>
      <c r="H48" s="453"/>
      <c r="I48" s="453"/>
      <c r="J48" s="453"/>
      <c r="K48" s="39"/>
      <c r="L48" s="454">
        <f>SUM(L39:O42)</f>
        <v>694.04799999999977</v>
      </c>
      <c r="M48" s="454"/>
      <c r="N48" s="454"/>
      <c r="O48" s="454"/>
      <c r="P48" s="39"/>
      <c r="Q48" s="455">
        <f>SUM(Q39:S42)</f>
        <v>798.1551999999997</v>
      </c>
      <c r="R48" s="455"/>
      <c r="S48" s="455"/>
      <c r="T48" s="39"/>
      <c r="U48" s="456">
        <f>SUM(U39:W42)</f>
        <v>917.87847999999963</v>
      </c>
      <c r="V48" s="456"/>
      <c r="W48" s="456"/>
      <c r="X48" s="39"/>
      <c r="Y48" s="516">
        <f>SUM(Y39:AA42)</f>
        <v>948.16846983999949</v>
      </c>
      <c r="Z48" s="516"/>
      <c r="AA48" s="516"/>
      <c r="AB48" s="39"/>
      <c r="AC48" s="577">
        <f>SUM(AC39:AE42)</f>
        <v>979.45802934471942</v>
      </c>
      <c r="AD48" s="577"/>
      <c r="AE48" s="578"/>
    </row>
    <row r="49" spans="1:31" s="8" customFormat="1" ht="4.5" customHeight="1" x14ac:dyDescent="0.25">
      <c r="A49" s="149"/>
      <c r="C49" s="93"/>
      <c r="D49" s="93"/>
      <c r="E49" s="93"/>
      <c r="F49" s="23"/>
      <c r="G49" s="94"/>
      <c r="H49" s="94"/>
      <c r="I49" s="94"/>
      <c r="J49" s="94"/>
      <c r="K49" s="23"/>
      <c r="L49" s="95"/>
      <c r="M49" s="95"/>
      <c r="N49" s="95"/>
      <c r="O49" s="95"/>
      <c r="P49" s="23"/>
      <c r="Q49" s="96"/>
      <c r="R49" s="96"/>
      <c r="S49" s="96"/>
      <c r="T49" s="23"/>
      <c r="U49" s="97"/>
      <c r="V49" s="97"/>
      <c r="W49" s="97"/>
      <c r="X49" s="23"/>
      <c r="Y49" s="98"/>
      <c r="Z49" s="98"/>
      <c r="AA49" s="98"/>
      <c r="AB49" s="23"/>
      <c r="AC49" s="114"/>
      <c r="AD49" s="114"/>
      <c r="AE49" s="150"/>
    </row>
    <row r="50" spans="1:31" s="56" customFormat="1" ht="15.75" customHeight="1" x14ac:dyDescent="0.25">
      <c r="A50" s="151" t="s">
        <v>47</v>
      </c>
      <c r="B50" s="63"/>
      <c r="C50" s="549">
        <f>C48-C16</f>
        <v>0</v>
      </c>
      <c r="D50" s="549"/>
      <c r="E50" s="549"/>
      <c r="F50" s="39"/>
      <c r="G50" s="550">
        <f>G48-G16</f>
        <v>61.401599999999917</v>
      </c>
      <c r="H50" s="550"/>
      <c r="I50" s="550"/>
      <c r="J50" s="550"/>
      <c r="K50" s="39"/>
      <c r="L50" s="551">
        <f>L48-L16</f>
        <v>134.0396927999999</v>
      </c>
      <c r="M50" s="551"/>
      <c r="N50" s="551"/>
      <c r="O50" s="551"/>
      <c r="P50" s="39"/>
      <c r="Q50" s="552">
        <f>Q48-Q16</f>
        <v>219.66661866239986</v>
      </c>
      <c r="R50" s="552"/>
      <c r="S50" s="552"/>
      <c r="T50" s="39"/>
      <c r="U50" s="553">
        <f>U48-U16</f>
        <v>320.29977547825899</v>
      </c>
      <c r="V50" s="553"/>
      <c r="W50" s="553"/>
      <c r="X50" s="39"/>
      <c r="Y50" s="554">
        <f>Y48-Y16</f>
        <v>408.3446680690414</v>
      </c>
      <c r="Z50" s="554"/>
      <c r="AA50" s="554"/>
      <c r="AB50" s="39"/>
      <c r="AC50" s="583">
        <f>AC48-AC16</f>
        <v>421.82004211531978</v>
      </c>
      <c r="AD50" s="583"/>
      <c r="AE50" s="584"/>
    </row>
    <row r="51" spans="1:31" s="33" customFormat="1" ht="4.5" customHeight="1" x14ac:dyDescent="0.25">
      <c r="A51" s="152"/>
      <c r="C51" s="70"/>
      <c r="D51" s="70"/>
      <c r="E51" s="70"/>
      <c r="F51" s="71"/>
      <c r="G51" s="103"/>
      <c r="H51" s="103"/>
      <c r="I51" s="103"/>
      <c r="J51" s="103"/>
      <c r="K51" s="71"/>
      <c r="L51" s="104"/>
      <c r="M51" s="104"/>
      <c r="N51" s="104"/>
      <c r="O51" s="104"/>
      <c r="P51" s="71"/>
      <c r="Q51" s="105"/>
      <c r="R51" s="105"/>
      <c r="S51" s="105"/>
      <c r="T51" s="71"/>
      <c r="U51" s="106"/>
      <c r="V51" s="106"/>
      <c r="W51" s="106"/>
      <c r="X51" s="71"/>
      <c r="Y51" s="101"/>
      <c r="Z51" s="101"/>
      <c r="AA51" s="101"/>
      <c r="AB51" s="71"/>
      <c r="AC51" s="72"/>
      <c r="AD51" s="72"/>
      <c r="AE51" s="153"/>
    </row>
    <row r="52" spans="1:31" s="56" customFormat="1" ht="15.75" customHeight="1" x14ac:dyDescent="0.25">
      <c r="A52" s="151" t="s">
        <v>45</v>
      </c>
      <c r="B52" s="63"/>
      <c r="C52" s="549">
        <v>0</v>
      </c>
      <c r="D52" s="549"/>
      <c r="E52" s="549"/>
      <c r="F52" s="39"/>
      <c r="G52" s="550">
        <f>G50</f>
        <v>61.401599999999917</v>
      </c>
      <c r="H52" s="550"/>
      <c r="I52" s="550"/>
      <c r="J52" s="550"/>
      <c r="K52" s="39"/>
      <c r="L52" s="551">
        <f>L50+G52</f>
        <v>195.44129279999981</v>
      </c>
      <c r="M52" s="551"/>
      <c r="N52" s="551"/>
      <c r="O52" s="551"/>
      <c r="P52" s="39"/>
      <c r="Q52" s="552">
        <f>Q50+L52</f>
        <v>415.10791146239967</v>
      </c>
      <c r="R52" s="552"/>
      <c r="S52" s="552"/>
      <c r="T52" s="39"/>
      <c r="U52" s="553">
        <f>U50+Q52</f>
        <v>735.40768694065866</v>
      </c>
      <c r="V52" s="553"/>
      <c r="W52" s="553"/>
      <c r="X52" s="39"/>
      <c r="Y52" s="554">
        <f>Y50+U52</f>
        <v>1143.7523550097001</v>
      </c>
      <c r="Z52" s="554"/>
      <c r="AA52" s="554"/>
      <c r="AB52" s="39"/>
      <c r="AC52" s="581">
        <f>AC50+Y52</f>
        <v>1565.57239712502</v>
      </c>
      <c r="AD52" s="581"/>
      <c r="AE52" s="582"/>
    </row>
    <row r="53" spans="1:31" s="33" customFormat="1" ht="6" customHeight="1" x14ac:dyDescent="0.25">
      <c r="A53" s="152"/>
      <c r="C53" s="102"/>
      <c r="D53" s="102"/>
      <c r="E53" s="102"/>
      <c r="F53" s="71"/>
      <c r="G53" s="103"/>
      <c r="H53" s="103"/>
      <c r="I53" s="103"/>
      <c r="J53" s="103"/>
      <c r="K53" s="71"/>
      <c r="L53" s="104"/>
      <c r="M53" s="104"/>
      <c r="N53" s="104"/>
      <c r="O53" s="104"/>
      <c r="P53" s="71"/>
      <c r="Q53" s="105"/>
      <c r="R53" s="105"/>
      <c r="S53" s="105"/>
      <c r="T53" s="71"/>
      <c r="U53" s="106"/>
      <c r="V53" s="106"/>
      <c r="W53" s="106"/>
      <c r="X53" s="71"/>
      <c r="Y53" s="101"/>
      <c r="Z53" s="101"/>
      <c r="AA53" s="101"/>
      <c r="AB53" s="71"/>
      <c r="AC53" s="72"/>
      <c r="AD53" s="72"/>
      <c r="AE53" s="153"/>
    </row>
    <row r="54" spans="1:31" ht="17.25" customHeight="1" x14ac:dyDescent="0.3">
      <c r="A54" s="154" t="s">
        <v>42</v>
      </c>
      <c r="B54" s="65"/>
      <c r="C54" s="437">
        <f>SUM(C39:E47)</f>
        <v>797.8</v>
      </c>
      <c r="D54" s="438"/>
      <c r="E54" s="438"/>
      <c r="F54" s="73"/>
      <c r="G54" s="440">
        <f>SUM(G39:G47)</f>
        <v>854.23929999999973</v>
      </c>
      <c r="H54" s="440"/>
      <c r="I54" s="440"/>
      <c r="J54" s="440"/>
      <c r="K54" s="73"/>
      <c r="L54" s="441">
        <f>SUM(L39:O47)</f>
        <v>1170.7519499999996</v>
      </c>
      <c r="M54" s="441"/>
      <c r="N54" s="441"/>
      <c r="O54" s="441"/>
      <c r="P54" s="74"/>
      <c r="Q54" s="442">
        <f>SUM(Q39:S47)</f>
        <v>1242.4615066349995</v>
      </c>
      <c r="R54" s="443"/>
      <c r="S54" s="443"/>
      <c r="T54" s="74"/>
      <c r="U54" s="444">
        <f>SUM(U39:W47)</f>
        <v>1329.0632007774147</v>
      </c>
      <c r="V54" s="445"/>
      <c r="W54" s="445"/>
      <c r="X54" s="1"/>
      <c r="Y54" s="425">
        <f>SUM(Y39:AA47)</f>
        <v>1370.0376030399261</v>
      </c>
      <c r="Z54" s="426"/>
      <c r="AA54" s="426"/>
      <c r="AB54" s="1"/>
      <c r="AC54" s="427">
        <f>SUM(AC39:AE47)</f>
        <v>1411.492578952015</v>
      </c>
      <c r="AD54" s="428"/>
      <c r="AE54" s="429"/>
    </row>
    <row r="55" spans="1:31" ht="4.5" customHeight="1" x14ac:dyDescent="0.3">
      <c r="A55" s="155"/>
      <c r="C55" s="75"/>
      <c r="D55" s="76"/>
      <c r="E55" s="76"/>
      <c r="F55" s="77"/>
      <c r="G55" s="78"/>
      <c r="H55" s="78"/>
      <c r="I55" s="78"/>
      <c r="J55" s="78"/>
      <c r="K55" s="77"/>
      <c r="L55" s="79"/>
      <c r="M55" s="79"/>
      <c r="N55" s="79"/>
      <c r="O55" s="79"/>
      <c r="P55" s="1"/>
      <c r="Q55" s="80"/>
      <c r="R55" s="80"/>
      <c r="S55" s="80"/>
      <c r="T55" s="1"/>
      <c r="U55" s="81"/>
      <c r="V55" s="81"/>
      <c r="W55" s="81"/>
      <c r="X55" s="1"/>
      <c r="Y55" s="82"/>
      <c r="Z55" s="82"/>
      <c r="AA55" s="82"/>
      <c r="AB55" s="1"/>
      <c r="AC55" s="83"/>
      <c r="AD55" s="83"/>
      <c r="AE55" s="156"/>
    </row>
    <row r="56" spans="1:31" s="64" customFormat="1" ht="16.5" customHeight="1" x14ac:dyDescent="0.3">
      <c r="A56" s="157" t="s">
        <v>48</v>
      </c>
      <c r="B56" s="66"/>
      <c r="C56" s="439">
        <f>(C54-C18)/C54</f>
        <v>0</v>
      </c>
      <c r="D56" s="439"/>
      <c r="E56" s="439"/>
      <c r="F56" s="84"/>
      <c r="G56" s="430">
        <f>(G54-G18)/G54</f>
        <v>3.763769707153479E-2</v>
      </c>
      <c r="H56" s="430"/>
      <c r="I56" s="430"/>
      <c r="J56" s="430"/>
      <c r="K56" s="84"/>
      <c r="L56" s="431">
        <f>(L54-L18)/L54</f>
        <v>5.9950310396664312E-2</v>
      </c>
      <c r="M56" s="431"/>
      <c r="N56" s="431"/>
      <c r="O56" s="431"/>
      <c r="P56" s="85"/>
      <c r="Q56" s="432">
        <f>(Q54-Q18)/Q54</f>
        <v>9.257719639453614E-2</v>
      </c>
      <c r="R56" s="432"/>
      <c r="S56" s="432"/>
      <c r="T56" s="85"/>
      <c r="U56" s="433">
        <f>(U54-U18)/U54</f>
        <v>0.12619260420452935</v>
      </c>
      <c r="V56" s="433"/>
      <c r="W56" s="433"/>
      <c r="X56" s="86"/>
      <c r="Y56" s="434">
        <f>(Y54-Y18)/Y54</f>
        <v>0.18300785185407284</v>
      </c>
      <c r="Z56" s="434"/>
      <c r="AA56" s="434"/>
      <c r="AB56" s="86"/>
      <c r="AC56" s="435">
        <f>(AC54-AC18)/AC54</f>
        <v>0.18349487247092966</v>
      </c>
      <c r="AD56" s="435"/>
      <c r="AE56" s="436"/>
    </row>
    <row r="57" spans="1:31" ht="6" customHeight="1" x14ac:dyDescent="0.25">
      <c r="A57" s="158"/>
      <c r="B57" s="159"/>
      <c r="C57" s="160"/>
      <c r="D57" s="161"/>
      <c r="E57" s="161"/>
      <c r="F57" s="162"/>
      <c r="G57" s="163"/>
      <c r="H57" s="163"/>
      <c r="I57" s="163"/>
      <c r="J57" s="163"/>
      <c r="K57" s="162"/>
      <c r="L57" s="164"/>
      <c r="M57" s="164"/>
      <c r="N57" s="164"/>
      <c r="O57" s="164"/>
      <c r="P57" s="159"/>
      <c r="Q57" s="165"/>
      <c r="R57" s="165"/>
      <c r="S57" s="165"/>
      <c r="T57" s="159"/>
      <c r="U57" s="166"/>
      <c r="V57" s="166"/>
      <c r="W57" s="166"/>
      <c r="X57" s="159"/>
      <c r="Y57" s="167"/>
      <c r="Z57" s="167"/>
      <c r="AA57" s="167"/>
      <c r="AB57" s="159"/>
      <c r="AC57" s="168"/>
      <c r="AD57" s="168"/>
      <c r="AE57" s="169"/>
    </row>
    <row r="61" spans="1:31" ht="20.25" customHeight="1" x14ac:dyDescent="0.25">
      <c r="O61"/>
    </row>
    <row r="62" spans="1:31" ht="20.25" customHeight="1" x14ac:dyDescent="0.25"/>
    <row r="63" spans="1:31" ht="20.25" customHeight="1" x14ac:dyDescent="0.25"/>
    <row r="64" spans="1:31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</sheetData>
  <sheetProtection selectLockedCells="1"/>
  <dataConsolidate/>
  <mergeCells count="287">
    <mergeCell ref="U50:W50"/>
    <mergeCell ref="U48:W48"/>
    <mergeCell ref="AC52:AE52"/>
    <mergeCell ref="Y46:AA46"/>
    <mergeCell ref="AC46:AE46"/>
    <mergeCell ref="C47:E47"/>
    <mergeCell ref="G47:J47"/>
    <mergeCell ref="L47:O47"/>
    <mergeCell ref="Q47:S47"/>
    <mergeCell ref="U47:W47"/>
    <mergeCell ref="Y47:AA47"/>
    <mergeCell ref="Q48:S48"/>
    <mergeCell ref="C52:E52"/>
    <mergeCell ref="G52:J52"/>
    <mergeCell ref="L52:O52"/>
    <mergeCell ref="Q52:S52"/>
    <mergeCell ref="U52:W52"/>
    <mergeCell ref="Y52:AA52"/>
    <mergeCell ref="Y50:AA50"/>
    <mergeCell ref="AC50:AE50"/>
    <mergeCell ref="G48:J48"/>
    <mergeCell ref="L48:O48"/>
    <mergeCell ref="C50:E50"/>
    <mergeCell ref="G50:J50"/>
    <mergeCell ref="L50:O50"/>
    <mergeCell ref="Q50:S50"/>
    <mergeCell ref="Q46:S46"/>
    <mergeCell ref="U46:W46"/>
    <mergeCell ref="C48:E48"/>
    <mergeCell ref="Y44:AA44"/>
    <mergeCell ref="AC44:AE44"/>
    <mergeCell ref="C45:E45"/>
    <mergeCell ref="G45:J45"/>
    <mergeCell ref="L45:O45"/>
    <mergeCell ref="Q45:S45"/>
    <mergeCell ref="U45:W45"/>
    <mergeCell ref="Y48:AA48"/>
    <mergeCell ref="AC48:AE48"/>
    <mergeCell ref="C44:E44"/>
    <mergeCell ref="G44:J44"/>
    <mergeCell ref="L44:O44"/>
    <mergeCell ref="Q44:S44"/>
    <mergeCell ref="AC47:AE47"/>
    <mergeCell ref="C46:E46"/>
    <mergeCell ref="G46:J46"/>
    <mergeCell ref="L46:O46"/>
    <mergeCell ref="Y45:AA45"/>
    <mergeCell ref="AC45:AE45"/>
    <mergeCell ref="C43:E43"/>
    <mergeCell ref="G43:J43"/>
    <mergeCell ref="L43:O43"/>
    <mergeCell ref="Q43:S43"/>
    <mergeCell ref="U43:W43"/>
    <mergeCell ref="Y43:AA43"/>
    <mergeCell ref="AC43:AE43"/>
    <mergeCell ref="U44:W44"/>
    <mergeCell ref="Y42:AA42"/>
    <mergeCell ref="L42:O42"/>
    <mergeCell ref="Q42:S42"/>
    <mergeCell ref="U42:W42"/>
    <mergeCell ref="Y40:AA40"/>
    <mergeCell ref="C42:E42"/>
    <mergeCell ref="G42:J42"/>
    <mergeCell ref="U39:W39"/>
    <mergeCell ref="Y39:AA39"/>
    <mergeCell ref="G40:J40"/>
    <mergeCell ref="L40:O40"/>
    <mergeCell ref="Q40:S40"/>
    <mergeCell ref="AC40:AE40"/>
    <mergeCell ref="C41:E41"/>
    <mergeCell ref="G41:J41"/>
    <mergeCell ref="L41:O41"/>
    <mergeCell ref="Q41:S41"/>
    <mergeCell ref="U41:W41"/>
    <mergeCell ref="Y41:AA41"/>
    <mergeCell ref="AC41:AE41"/>
    <mergeCell ref="C40:E40"/>
    <mergeCell ref="U40:W40"/>
    <mergeCell ref="AC42:AE42"/>
    <mergeCell ref="Y33:AA33"/>
    <mergeCell ref="C37:E37"/>
    <mergeCell ref="G37:J37"/>
    <mergeCell ref="L37:O37"/>
    <mergeCell ref="Q37:S37"/>
    <mergeCell ref="U37:W37"/>
    <mergeCell ref="Y37:AA37"/>
    <mergeCell ref="AC33:AE33"/>
    <mergeCell ref="AC39:AE39"/>
    <mergeCell ref="Y35:AA35"/>
    <mergeCell ref="AC35:AE35"/>
    <mergeCell ref="AC37:AE37"/>
    <mergeCell ref="C33:E33"/>
    <mergeCell ref="G33:J33"/>
    <mergeCell ref="L33:O33"/>
    <mergeCell ref="Q33:S33"/>
    <mergeCell ref="U33:W33"/>
    <mergeCell ref="C39:E39"/>
    <mergeCell ref="G39:J39"/>
    <mergeCell ref="L39:O39"/>
    <mergeCell ref="Q39:S39"/>
    <mergeCell ref="AC29:AE29"/>
    <mergeCell ref="C31:E31"/>
    <mergeCell ref="G31:J31"/>
    <mergeCell ref="L31:O31"/>
    <mergeCell ref="Q31:S31"/>
    <mergeCell ref="U31:W31"/>
    <mergeCell ref="Y31:AA31"/>
    <mergeCell ref="AC31:AE31"/>
    <mergeCell ref="C29:E29"/>
    <mergeCell ref="G29:J29"/>
    <mergeCell ref="Y29:AA29"/>
    <mergeCell ref="L29:O29"/>
    <mergeCell ref="Q29:S29"/>
    <mergeCell ref="U29:W29"/>
    <mergeCell ref="AC27:AE27"/>
    <mergeCell ref="Y28:AA28"/>
    <mergeCell ref="AC28:AE28"/>
    <mergeCell ref="C23:E23"/>
    <mergeCell ref="G23:J23"/>
    <mergeCell ref="L23:O23"/>
    <mergeCell ref="Q23:S23"/>
    <mergeCell ref="U23:W23"/>
    <mergeCell ref="Y23:AA23"/>
    <mergeCell ref="AC23:AE23"/>
    <mergeCell ref="C28:E28"/>
    <mergeCell ref="C27:E27"/>
    <mergeCell ref="G27:J27"/>
    <mergeCell ref="L27:O27"/>
    <mergeCell ref="Q27:S27"/>
    <mergeCell ref="U27:W27"/>
    <mergeCell ref="Y27:AA27"/>
    <mergeCell ref="G28:J28"/>
    <mergeCell ref="L28:O28"/>
    <mergeCell ref="Q28:S28"/>
    <mergeCell ref="U28:W28"/>
    <mergeCell ref="C26:E26"/>
    <mergeCell ref="G26:J26"/>
    <mergeCell ref="L26:O26"/>
    <mergeCell ref="Q26:S26"/>
    <mergeCell ref="U26:W26"/>
    <mergeCell ref="Y24:AA24"/>
    <mergeCell ref="L24:O24"/>
    <mergeCell ref="Q24:S24"/>
    <mergeCell ref="U24:W24"/>
    <mergeCell ref="Y26:AA26"/>
    <mergeCell ref="AC24:AE24"/>
    <mergeCell ref="AC26:AE26"/>
    <mergeCell ref="C25:E25"/>
    <mergeCell ref="G25:J25"/>
    <mergeCell ref="L25:O25"/>
    <mergeCell ref="Q25:S25"/>
    <mergeCell ref="U25:W25"/>
    <mergeCell ref="Y25:AA25"/>
    <mergeCell ref="AC25:AE25"/>
    <mergeCell ref="C24:E24"/>
    <mergeCell ref="G24:J24"/>
    <mergeCell ref="L14:O14"/>
    <mergeCell ref="Q14:S14"/>
    <mergeCell ref="U14:W14"/>
    <mergeCell ref="G22:J22"/>
    <mergeCell ref="L22:O22"/>
    <mergeCell ref="Q22:S22"/>
    <mergeCell ref="U22:W22"/>
    <mergeCell ref="L16:O16"/>
    <mergeCell ref="AC14:AE14"/>
    <mergeCell ref="Y20:AA20"/>
    <mergeCell ref="AC18:AE18"/>
    <mergeCell ref="Y14:AA14"/>
    <mergeCell ref="G16:J16"/>
    <mergeCell ref="Y22:AA22"/>
    <mergeCell ref="AC22:AE22"/>
    <mergeCell ref="AC20:AE20"/>
    <mergeCell ref="G18:J18"/>
    <mergeCell ref="L18:O18"/>
    <mergeCell ref="Q18:S18"/>
    <mergeCell ref="U18:W18"/>
    <mergeCell ref="Y18:AA18"/>
    <mergeCell ref="G21:J21"/>
    <mergeCell ref="Q21:S21"/>
    <mergeCell ref="U21:W21"/>
    <mergeCell ref="A1:AE1"/>
    <mergeCell ref="C2:G2"/>
    <mergeCell ref="AC3:AE3"/>
    <mergeCell ref="C3:G3"/>
    <mergeCell ref="Q16:S16"/>
    <mergeCell ref="U16:W16"/>
    <mergeCell ref="Y16:AA16"/>
    <mergeCell ref="AC16:AE16"/>
    <mergeCell ref="Q5:S5"/>
    <mergeCell ref="Y13:AA13"/>
    <mergeCell ref="Y11:AA11"/>
    <mergeCell ref="AC10:AE10"/>
    <mergeCell ref="AC11:AE11"/>
    <mergeCell ref="Y6:AA6"/>
    <mergeCell ref="C5:E5"/>
    <mergeCell ref="C16:E16"/>
    <mergeCell ref="C14:E14"/>
    <mergeCell ref="Y12:AA12"/>
    <mergeCell ref="AC12:AE12"/>
    <mergeCell ref="AC13:AE13"/>
    <mergeCell ref="L13:O13"/>
    <mergeCell ref="Q13:S13"/>
    <mergeCell ref="U13:W13"/>
    <mergeCell ref="G14:J14"/>
    <mergeCell ref="Y10:AA10"/>
    <mergeCell ref="U6:W6"/>
    <mergeCell ref="Q6:S6"/>
    <mergeCell ref="L10:O10"/>
    <mergeCell ref="G8:J8"/>
    <mergeCell ref="Y8:AA8"/>
    <mergeCell ref="AC9:AE9"/>
    <mergeCell ref="O2:S2"/>
    <mergeCell ref="U9:W9"/>
    <mergeCell ref="Y9:AA9"/>
    <mergeCell ref="AC5:AE5"/>
    <mergeCell ref="AC6:AE6"/>
    <mergeCell ref="Y5:AA5"/>
    <mergeCell ref="L5:O5"/>
    <mergeCell ref="U8:W8"/>
    <mergeCell ref="AC8:AE8"/>
    <mergeCell ref="I2:M2"/>
    <mergeCell ref="U2:W2"/>
    <mergeCell ref="Y2:AA2"/>
    <mergeCell ref="AC2:AE2"/>
    <mergeCell ref="U3:W3"/>
    <mergeCell ref="Y3:AA3"/>
    <mergeCell ref="O3:S3"/>
    <mergeCell ref="I3:M3"/>
    <mergeCell ref="U5:W5"/>
    <mergeCell ref="L6:O6"/>
    <mergeCell ref="L8:O8"/>
    <mergeCell ref="Q8:S8"/>
    <mergeCell ref="C8:E8"/>
    <mergeCell ref="L11:O11"/>
    <mergeCell ref="Q11:S11"/>
    <mergeCell ref="G12:J12"/>
    <mergeCell ref="L12:O12"/>
    <mergeCell ref="Q12:S12"/>
    <mergeCell ref="U12:W12"/>
    <mergeCell ref="A5:A6"/>
    <mergeCell ref="C35:E35"/>
    <mergeCell ref="G35:J35"/>
    <mergeCell ref="L35:O35"/>
    <mergeCell ref="Q35:S35"/>
    <mergeCell ref="U35:W35"/>
    <mergeCell ref="C12:E12"/>
    <mergeCell ref="Q10:S10"/>
    <mergeCell ref="U10:W10"/>
    <mergeCell ref="U11:W11"/>
    <mergeCell ref="C11:E11"/>
    <mergeCell ref="C13:E13"/>
    <mergeCell ref="C9:E9"/>
    <mergeCell ref="G9:J9"/>
    <mergeCell ref="L9:O9"/>
    <mergeCell ref="Q9:S9"/>
    <mergeCell ref="G10:J10"/>
    <mergeCell ref="C10:E10"/>
    <mergeCell ref="G13:J13"/>
    <mergeCell ref="G11:J11"/>
    <mergeCell ref="C6:E6"/>
    <mergeCell ref="G6:J6"/>
    <mergeCell ref="G5:J5"/>
    <mergeCell ref="C18:E18"/>
    <mergeCell ref="C20:E20"/>
    <mergeCell ref="G20:J20"/>
    <mergeCell ref="L20:O20"/>
    <mergeCell ref="Q20:S20"/>
    <mergeCell ref="U20:W20"/>
    <mergeCell ref="Y54:AA54"/>
    <mergeCell ref="AC54:AE54"/>
    <mergeCell ref="G56:J56"/>
    <mergeCell ref="L56:O56"/>
    <mergeCell ref="Q56:S56"/>
    <mergeCell ref="U56:W56"/>
    <mergeCell ref="Y56:AA56"/>
    <mergeCell ref="AC56:AE56"/>
    <mergeCell ref="C54:E54"/>
    <mergeCell ref="C56:E56"/>
    <mergeCell ref="G54:J54"/>
    <mergeCell ref="L54:O54"/>
    <mergeCell ref="Q54:S54"/>
    <mergeCell ref="U54:W54"/>
    <mergeCell ref="C21:E21"/>
    <mergeCell ref="Y21:AA21"/>
    <mergeCell ref="AC21:AE21"/>
    <mergeCell ref="L21:O21"/>
    <mergeCell ref="C22:E22"/>
  </mergeCells>
  <phoneticPr fontId="0" type="noConversion"/>
  <printOptions horizontalCentered="1"/>
  <pageMargins left="0.37" right="0.33" top="0.45" bottom="0.42" header="0.36" footer="0.37"/>
  <pageSetup paperSize="9" scale="72" orientation="landscape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Drop Down 10">
              <controlPr locked="0" defaultSize="0" autoLine="0" autoPict="0">
                <anchor moveWithCells="1">
                  <from>
                    <xdr:col>16</xdr:col>
                    <xdr:colOff>76200</xdr:colOff>
                    <xdr:row>2</xdr:row>
                    <xdr:rowOff>69850</xdr:rowOff>
                  </from>
                  <to>
                    <xdr:col>18</xdr:col>
                    <xdr:colOff>50800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Drop Down 12">
              <controlPr locked="0" defaultSize="0" autoLine="0" autoPict="0">
                <anchor moveWithCells="1">
                  <from>
                    <xdr:col>2</xdr:col>
                    <xdr:colOff>31750</xdr:colOff>
                    <xdr:row>2</xdr:row>
                    <xdr:rowOff>57150</xdr:rowOff>
                  </from>
                  <to>
                    <xdr:col>6</xdr:col>
                    <xdr:colOff>495300</xdr:colOff>
                    <xdr:row>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Drop Down 14">
              <controlPr locked="0" defaultSize="0" autoLine="0" autoPict="0">
                <anchor moveWithCells="1">
                  <from>
                    <xdr:col>8</xdr:col>
                    <xdr:colOff>228600</xdr:colOff>
                    <xdr:row>2</xdr:row>
                    <xdr:rowOff>69850</xdr:rowOff>
                  </from>
                  <to>
                    <xdr:col>12</xdr:col>
                    <xdr:colOff>469900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Drop Down 15">
              <controlPr locked="0" defaultSize="0" autoLine="0" autoPict="0">
                <anchor moveWithCells="1">
                  <from>
                    <xdr:col>28</xdr:col>
                    <xdr:colOff>488950</xdr:colOff>
                    <xdr:row>2</xdr:row>
                    <xdr:rowOff>69850</xdr:rowOff>
                  </from>
                  <to>
                    <xdr:col>30</xdr:col>
                    <xdr:colOff>31750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Drop Down 16">
              <controlPr locked="0" defaultSize="0" autoLine="0" autoPict="0">
                <anchor moveWithCells="1">
                  <from>
                    <xdr:col>24</xdr:col>
                    <xdr:colOff>76200</xdr:colOff>
                    <xdr:row>2</xdr:row>
                    <xdr:rowOff>76200</xdr:rowOff>
                  </from>
                  <to>
                    <xdr:col>26</xdr:col>
                    <xdr:colOff>438150</xdr:colOff>
                    <xdr:row>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Drop Down 17">
              <controlPr locked="0" defaultSize="0" autoLine="0" autoPict="0">
                <anchor moveWithCells="1">
                  <from>
                    <xdr:col>20</xdr:col>
                    <xdr:colOff>304800</xdr:colOff>
                    <xdr:row>2</xdr:row>
                    <xdr:rowOff>76200</xdr:rowOff>
                  </from>
                  <to>
                    <xdr:col>22</xdr:col>
                    <xdr:colOff>209550</xdr:colOff>
                    <xdr:row>2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Rates Calculator - Simplified</vt:lpstr>
      <vt:lpstr>Tables</vt:lpstr>
      <vt:lpstr>Calculator - Audit-View</vt:lpstr>
      <vt:lpstr>Add_Garbage</vt:lpstr>
      <vt:lpstr>Ordinary_Rates</vt:lpstr>
      <vt:lpstr>Pensioner</vt:lpstr>
      <vt:lpstr>Sewer</vt:lpstr>
      <vt:lpstr>Waste_Mgmt</vt:lpstr>
      <vt:lpstr>Water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SRV Rate Increase Calculator</dc:title>
  <dc:subject>SRV</dc:subject>
  <dc:creator>Tim Weeks</dc:creator>
  <cp:keywords>Special Rate Variation</cp:keywords>
  <cp:lastModifiedBy>Brock Corfe</cp:lastModifiedBy>
  <cp:lastPrinted>2017-12-05T03:38:31Z</cp:lastPrinted>
  <dcterms:created xsi:type="dcterms:W3CDTF">2001-06-27T05:11:45Z</dcterms:created>
  <dcterms:modified xsi:type="dcterms:W3CDTF">2023-01-16T02:56:59Z</dcterms:modified>
</cp:coreProperties>
</file>