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TORTURAM\AppData\Local\Micro Focus\Content Manager\TEMP\HPTRIM.288\"/>
    </mc:Choice>
  </mc:AlternateContent>
  <xr:revisionPtr revIDLastSave="0" documentId="8_{017A4FDD-810E-476A-BC83-EE68ED2BB1EA}" xr6:coauthVersionLast="47" xr6:coauthVersionMax="47" xr10:uidLastSave="{00000000-0000-0000-0000-000000000000}"/>
  <bookViews>
    <workbookView xWindow="-110" yWindow="-110" windowWidth="19420" windowHeight="10420" tabRatio="72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8" i="20" l="1"/>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O31" i="20"/>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Q29"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P67" i="16" s="1"/>
  <c r="J75" i="16"/>
  <c r="J83" i="16"/>
  <c r="P83" i="16" s="1"/>
  <c r="J91" i="16"/>
  <c r="J99" i="16"/>
  <c r="J107" i="16"/>
  <c r="J115" i="16"/>
  <c r="J123" i="16"/>
  <c r="J131" i="16"/>
  <c r="P131" i="16" s="1"/>
  <c r="J139" i="16"/>
  <c r="J147" i="16"/>
  <c r="P147" i="16" s="1"/>
  <c r="J155" i="16"/>
  <c r="J163" i="16"/>
  <c r="J171" i="16"/>
  <c r="J179" i="16"/>
  <c r="J187" i="16"/>
  <c r="J195" i="16"/>
  <c r="P195" i="16" s="1"/>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P22" i="16" s="1"/>
  <c r="J30" i="16"/>
  <c r="J38" i="16"/>
  <c r="P38" i="16" s="1"/>
  <c r="J46" i="16"/>
  <c r="J54" i="16"/>
  <c r="J62" i="16"/>
  <c r="J70" i="16"/>
  <c r="J78" i="16"/>
  <c r="J86" i="16"/>
  <c r="P86" i="16" s="1"/>
  <c r="J94" i="16"/>
  <c r="J102" i="16"/>
  <c r="P102" i="16" s="1"/>
  <c r="J110" i="16"/>
  <c r="J118" i="16"/>
  <c r="J126" i="16"/>
  <c r="J134" i="16"/>
  <c r="J142" i="16"/>
  <c r="J150" i="16"/>
  <c r="P150" i="16" s="1"/>
  <c r="J158" i="16"/>
  <c r="J166" i="16"/>
  <c r="P166" i="16" s="1"/>
  <c r="J174" i="16"/>
  <c r="J182" i="16"/>
  <c r="J190" i="16"/>
  <c r="J198" i="16"/>
  <c r="J206" i="16"/>
  <c r="J214" i="16"/>
  <c r="P214" i="16" s="1"/>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P47" i="16" s="1"/>
  <c r="J55" i="16"/>
  <c r="J63" i="16"/>
  <c r="P63" i="16" s="1"/>
  <c r="J71" i="16"/>
  <c r="J79" i="16"/>
  <c r="J87" i="16"/>
  <c r="J95" i="16"/>
  <c r="J103" i="16"/>
  <c r="J111" i="16"/>
  <c r="P111" i="16" s="1"/>
  <c r="J119" i="16"/>
  <c r="J127" i="16"/>
  <c r="P127" i="16" s="1"/>
  <c r="J135" i="16"/>
  <c r="J143" i="16"/>
  <c r="J151" i="16"/>
  <c r="J159" i="16"/>
  <c r="J167" i="16"/>
  <c r="J175" i="16"/>
  <c r="P175" i="16" s="1"/>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P74" i="16" s="1"/>
  <c r="J82" i="16"/>
  <c r="J90" i="16"/>
  <c r="P90" i="16" s="1"/>
  <c r="J98" i="16"/>
  <c r="J106" i="16"/>
  <c r="J114" i="16"/>
  <c r="J122" i="16"/>
  <c r="J130" i="16"/>
  <c r="J138" i="16"/>
  <c r="P138" i="16" s="1"/>
  <c r="J146" i="16"/>
  <c r="J154" i="16"/>
  <c r="P154" i="16" s="1"/>
  <c r="J162" i="16"/>
  <c r="J170" i="16"/>
  <c r="J178" i="16"/>
  <c r="J186" i="16"/>
  <c r="J194" i="16"/>
  <c r="J202" i="16"/>
  <c r="P202" i="16" s="1"/>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P180" i="16" s="1"/>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P104" i="16" s="1"/>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P137" i="16" s="1"/>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P60" i="16" s="1"/>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P237" i="16" s="1"/>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P64" i="16" s="1"/>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P69" i="16" s="1"/>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P37" i="16" s="1"/>
  <c r="J81" i="16"/>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P149" i="14" s="1"/>
  <c r="J157" i="14"/>
  <c r="J165" i="14"/>
  <c r="P165" i="14" s="1"/>
  <c r="J173" i="14"/>
  <c r="J181" i="14"/>
  <c r="J189" i="14"/>
  <c r="J197" i="14"/>
  <c r="J205" i="14"/>
  <c r="J213" i="14"/>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P46" i="14" s="1"/>
  <c r="J54" i="14"/>
  <c r="J62" i="14"/>
  <c r="P62" i="14" s="1"/>
  <c r="J70" i="14"/>
  <c r="J78" i="14"/>
  <c r="J86" i="14"/>
  <c r="J94" i="14"/>
  <c r="J102" i="14"/>
  <c r="J110" i="14"/>
  <c r="J118" i="14"/>
  <c r="J126" i="14"/>
  <c r="P126" i="14" s="1"/>
  <c r="J134" i="14"/>
  <c r="J142" i="14"/>
  <c r="J150" i="14"/>
  <c r="J158" i="14"/>
  <c r="J166" i="14"/>
  <c r="J174" i="14"/>
  <c r="P174" i="14" s="1"/>
  <c r="J182" i="14"/>
  <c r="J190" i="14"/>
  <c r="P190" i="14" s="1"/>
  <c r="J198" i="14"/>
  <c r="J206" i="14"/>
  <c r="J214" i="14"/>
  <c r="J222" i="14"/>
  <c r="J230" i="14"/>
  <c r="J238" i="14"/>
  <c r="P238" i="14" s="1"/>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P63" i="14" s="1"/>
  <c r="J71" i="14"/>
  <c r="J79" i="14"/>
  <c r="P79" i="14" s="1"/>
  <c r="J87" i="14"/>
  <c r="J95" i="14"/>
  <c r="J103" i="14"/>
  <c r="J111" i="14"/>
  <c r="J119" i="14"/>
  <c r="J127" i="14"/>
  <c r="P127" i="14" s="1"/>
  <c r="J135" i="14"/>
  <c r="J143" i="14"/>
  <c r="P143" i="14" s="1"/>
  <c r="J151" i="14"/>
  <c r="J159" i="14"/>
  <c r="J167" i="14"/>
  <c r="J175" i="14"/>
  <c r="J183" i="14"/>
  <c r="J191" i="14"/>
  <c r="P191" i="14" s="1"/>
  <c r="J199" i="14"/>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P24" i="14" s="1"/>
  <c r="J32" i="14"/>
  <c r="J40" i="14"/>
  <c r="P40" i="14" s="1"/>
  <c r="J48" i="14"/>
  <c r="J56" i="14"/>
  <c r="J64" i="14"/>
  <c r="J72" i="14"/>
  <c r="J80" i="14"/>
  <c r="J88" i="14"/>
  <c r="J96" i="14"/>
  <c r="J104" i="14"/>
  <c r="P104" i="14" s="1"/>
  <c r="J112" i="14"/>
  <c r="J120" i="14"/>
  <c r="J128" i="14"/>
  <c r="J136" i="14"/>
  <c r="J144" i="14"/>
  <c r="J152" i="14"/>
  <c r="P152" i="14" s="1"/>
  <c r="J160" i="14"/>
  <c r="J168" i="14"/>
  <c r="P168" i="14" s="1"/>
  <c r="J176" i="14"/>
  <c r="J184" i="14"/>
  <c r="J192" i="14"/>
  <c r="J200" i="14"/>
  <c r="J208" i="14"/>
  <c r="J216" i="14"/>
  <c r="J224" i="14"/>
  <c r="J232" i="14"/>
  <c r="P232" i="14" s="1"/>
  <c r="J240" i="14"/>
  <c r="J248" i="14"/>
  <c r="J256" i="14"/>
  <c r="J264" i="14"/>
  <c r="J272" i="14"/>
  <c r="J280" i="14"/>
  <c r="P280" i="14" s="1"/>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P73" i="14" s="1"/>
  <c r="J81" i="14"/>
  <c r="J89" i="14"/>
  <c r="P89" i="14" s="1"/>
  <c r="J97" i="14"/>
  <c r="J105" i="14"/>
  <c r="J113" i="14"/>
  <c r="J121" i="14"/>
  <c r="J129" i="14"/>
  <c r="J137" i="14"/>
  <c r="P137" i="14" s="1"/>
  <c r="J145" i="14"/>
  <c r="J153" i="14"/>
  <c r="P153" i="14" s="1"/>
  <c r="J161" i="14"/>
  <c r="J169" i="14"/>
  <c r="J177" i="14"/>
  <c r="J185" i="14"/>
  <c r="J193" i="14"/>
  <c r="J201" i="14"/>
  <c r="P201" i="14" s="1"/>
  <c r="J209" i="14"/>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P26" i="14" s="1"/>
  <c r="J34" i="14"/>
  <c r="J42" i="14"/>
  <c r="P42" i="14" s="1"/>
  <c r="J50" i="14"/>
  <c r="J58" i="14"/>
  <c r="J66" i="14"/>
  <c r="J74" i="14"/>
  <c r="J82" i="14"/>
  <c r="J90" i="14"/>
  <c r="P90" i="14" s="1"/>
  <c r="J98" i="14"/>
  <c r="J106" i="14"/>
  <c r="P106" i="14" s="1"/>
  <c r="J114" i="14"/>
  <c r="J122" i="14"/>
  <c r="J130" i="14"/>
  <c r="J138" i="14"/>
  <c r="J146" i="14"/>
  <c r="J154" i="14"/>
  <c r="P154" i="14" s="1"/>
  <c r="J162" i="14"/>
  <c r="J170" i="14"/>
  <c r="P170" i="14" s="1"/>
  <c r="J178" i="14"/>
  <c r="J186" i="14"/>
  <c r="J194" i="14"/>
  <c r="J202" i="14"/>
  <c r="J210" i="14"/>
  <c r="J218" i="14"/>
  <c r="P218" i="14" s="1"/>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P51" i="14" s="1"/>
  <c r="J59" i="14"/>
  <c r="J67" i="14"/>
  <c r="P67" i="14" s="1"/>
  <c r="J75" i="14"/>
  <c r="J83" i="14"/>
  <c r="J91" i="14"/>
  <c r="J99" i="14"/>
  <c r="J107" i="14"/>
  <c r="J115" i="14"/>
  <c r="P115" i="14" s="1"/>
  <c r="J123" i="14"/>
  <c r="J131" i="14"/>
  <c r="P131" i="14" s="1"/>
  <c r="J139" i="14"/>
  <c r="J147" i="14"/>
  <c r="J155" i="14"/>
  <c r="J163" i="14"/>
  <c r="J171" i="14"/>
  <c r="J179" i="14"/>
  <c r="P179" i="14" s="1"/>
  <c r="J187" i="14"/>
  <c r="J195" i="14"/>
  <c r="P195" i="14" s="1"/>
  <c r="J203" i="14"/>
  <c r="J211" i="14"/>
  <c r="J219" i="14"/>
  <c r="J227" i="14"/>
  <c r="J235" i="14"/>
  <c r="J243" i="14"/>
  <c r="P243" i="14" s="1"/>
  <c r="J251" i="14"/>
  <c r="J259" i="14"/>
  <c r="P259" i="14" s="1"/>
  <c r="J267" i="14"/>
  <c r="J275" i="14"/>
  <c r="J283" i="14"/>
  <c r="J1602" i="16"/>
  <c r="J1959" i="16"/>
  <c r="J2132" i="16"/>
  <c r="J2301" i="16"/>
  <c r="J2384" i="16"/>
  <c r="P2384" i="16" s="1"/>
  <c r="J2448" i="16"/>
  <c r="J2512" i="16"/>
  <c r="J68" i="14"/>
  <c r="J132" i="14"/>
  <c r="J196" i="14"/>
  <c r="J250" i="14"/>
  <c r="P250" i="14" s="1"/>
  <c r="J261" i="14"/>
  <c r="J271" i="14"/>
  <c r="P271" i="14" s="1"/>
  <c r="J282" i="14"/>
  <c r="J291" i="14"/>
  <c r="J299" i="14"/>
  <c r="J307" i="14"/>
  <c r="J315" i="14"/>
  <c r="J323" i="14"/>
  <c r="P323" i="14" s="1"/>
  <c r="J331" i="14"/>
  <c r="J339" i="14"/>
  <c r="P339" i="14" s="1"/>
  <c r="J347" i="14"/>
  <c r="J355" i="14"/>
  <c r="J363" i="14"/>
  <c r="J371" i="14"/>
  <c r="J379" i="14"/>
  <c r="J387" i="14"/>
  <c r="P387" i="14" s="1"/>
  <c r="J395" i="14"/>
  <c r="J403" i="14"/>
  <c r="P403" i="14" s="1"/>
  <c r="J411" i="14"/>
  <c r="J419" i="14"/>
  <c r="J427" i="14"/>
  <c r="J435" i="14"/>
  <c r="J443" i="14"/>
  <c r="J451" i="14"/>
  <c r="P451" i="14" s="1"/>
  <c r="J459" i="14"/>
  <c r="J467" i="14"/>
  <c r="P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P284" i="14" s="1"/>
  <c r="J292" i="14"/>
  <c r="J300" i="14"/>
  <c r="P300" i="14" s="1"/>
  <c r="J308" i="14"/>
  <c r="J316" i="14"/>
  <c r="J324" i="14"/>
  <c r="J332" i="14"/>
  <c r="J340" i="14"/>
  <c r="J348" i="14"/>
  <c r="P348" i="14" s="1"/>
  <c r="J356" i="14"/>
  <c r="J364" i="14"/>
  <c r="P364" i="14" s="1"/>
  <c r="J372" i="14"/>
  <c r="J380" i="14"/>
  <c r="J388" i="14"/>
  <c r="J396" i="14"/>
  <c r="J404" i="14"/>
  <c r="J412" i="14"/>
  <c r="P412" i="14" s="1"/>
  <c r="J420" i="14"/>
  <c r="J428" i="14"/>
  <c r="P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J253" i="14"/>
  <c r="J263" i="14"/>
  <c r="J274" i="14"/>
  <c r="J285" i="14"/>
  <c r="J293" i="14"/>
  <c r="J301" i="14"/>
  <c r="J309" i="14"/>
  <c r="J317" i="14"/>
  <c r="P317" i="14" s="1"/>
  <c r="J325" i="14"/>
  <c r="J333" i="14"/>
  <c r="J341" i="14"/>
  <c r="J349" i="14"/>
  <c r="J357" i="14"/>
  <c r="J365" i="14"/>
  <c r="P365" i="14" s="1"/>
  <c r="J373" i="14"/>
  <c r="J381" i="14"/>
  <c r="P381" i="14" s="1"/>
  <c r="J389" i="14"/>
  <c r="J397" i="14"/>
  <c r="J405" i="14"/>
  <c r="J413" i="14"/>
  <c r="J421" i="14"/>
  <c r="J429" i="14"/>
  <c r="P429" i="14" s="1"/>
  <c r="J437" i="14"/>
  <c r="J445" i="14"/>
  <c r="P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P220" i="14" s="1"/>
  <c r="J254" i="14"/>
  <c r="J265" i="14"/>
  <c r="P265" i="14" s="1"/>
  <c r="J276" i="14"/>
  <c r="J286" i="14"/>
  <c r="J294" i="14"/>
  <c r="J302" i="14"/>
  <c r="J310" i="14"/>
  <c r="J318" i="14"/>
  <c r="P318" i="14" s="1"/>
  <c r="J326" i="14"/>
  <c r="J334" i="14"/>
  <c r="P334" i="14" s="1"/>
  <c r="J342" i="14"/>
  <c r="J350" i="14"/>
  <c r="J358" i="14"/>
  <c r="J366" i="14"/>
  <c r="J374" i="14"/>
  <c r="J382" i="14"/>
  <c r="P382" i="14" s="1"/>
  <c r="J390" i="14"/>
  <c r="J398" i="14"/>
  <c r="P398" i="14" s="1"/>
  <c r="J406" i="14"/>
  <c r="J414" i="14"/>
  <c r="J422" i="14"/>
  <c r="J430" i="14"/>
  <c r="J438" i="14"/>
  <c r="J446" i="14"/>
  <c r="P446" i="14" s="1"/>
  <c r="J454" i="14"/>
  <c r="J462" i="14"/>
  <c r="P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P266" i="14" s="1"/>
  <c r="J277" i="14"/>
  <c r="J287" i="14"/>
  <c r="P287" i="14" s="1"/>
  <c r="J295" i="14"/>
  <c r="J303" i="14"/>
  <c r="J311" i="14"/>
  <c r="J319" i="14"/>
  <c r="J327" i="14"/>
  <c r="J335" i="14"/>
  <c r="P335" i="14" s="1"/>
  <c r="J343" i="14"/>
  <c r="J351" i="14"/>
  <c r="P351" i="14" s="1"/>
  <c r="J359" i="14"/>
  <c r="J367" i="14"/>
  <c r="J375" i="14"/>
  <c r="J383" i="14"/>
  <c r="J391" i="14"/>
  <c r="J399" i="14"/>
  <c r="P399" i="14" s="1"/>
  <c r="J407" i="14"/>
  <c r="J415" i="14"/>
  <c r="P415" i="14" s="1"/>
  <c r="J423" i="14"/>
  <c r="J431" i="14"/>
  <c r="J439" i="14"/>
  <c r="J447" i="14"/>
  <c r="J455" i="14"/>
  <c r="J463" i="14"/>
  <c r="P463" i="14" s="1"/>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P44" i="14" s="1"/>
  <c r="J108" i="14"/>
  <c r="J172" i="14"/>
  <c r="P172" i="14" s="1"/>
  <c r="J236" i="14"/>
  <c r="J257" i="14"/>
  <c r="J268" i="14"/>
  <c r="J278" i="14"/>
  <c r="J288" i="14"/>
  <c r="J296" i="14"/>
  <c r="P296" i="14" s="1"/>
  <c r="J304" i="14"/>
  <c r="J312" i="14"/>
  <c r="P312" i="14" s="1"/>
  <c r="J320" i="14"/>
  <c r="J328" i="14"/>
  <c r="J336" i="14"/>
  <c r="J344" i="14"/>
  <c r="J352" i="14"/>
  <c r="J360" i="14"/>
  <c r="J368" i="14"/>
  <c r="J376" i="14"/>
  <c r="P376" i="14" s="1"/>
  <c r="J384" i="14"/>
  <c r="J392" i="14"/>
  <c r="J400" i="14"/>
  <c r="J408" i="14"/>
  <c r="J416" i="14"/>
  <c r="J424" i="14"/>
  <c r="P424" i="14" s="1"/>
  <c r="J432" i="14"/>
  <c r="J440" i="14"/>
  <c r="P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P180" i="14" s="1"/>
  <c r="J244" i="14"/>
  <c r="J258" i="14"/>
  <c r="P258" i="14" s="1"/>
  <c r="J269" i="14"/>
  <c r="J279" i="14"/>
  <c r="J289" i="14"/>
  <c r="J297" i="14"/>
  <c r="J305" i="14"/>
  <c r="J313" i="14"/>
  <c r="P313" i="14" s="1"/>
  <c r="J321" i="14"/>
  <c r="J329" i="14"/>
  <c r="P329" i="14" s="1"/>
  <c r="J337" i="14"/>
  <c r="J345" i="14"/>
  <c r="J353" i="14"/>
  <c r="J361" i="14"/>
  <c r="J369" i="14"/>
  <c r="J377" i="14"/>
  <c r="J385" i="14"/>
  <c r="J393" i="14"/>
  <c r="P393" i="14" s="1"/>
  <c r="J401" i="14"/>
  <c r="J409" i="14"/>
  <c r="J417" i="14"/>
  <c r="J425" i="14"/>
  <c r="J433" i="14"/>
  <c r="J441" i="14"/>
  <c r="P441" i="14" s="1"/>
  <c r="J449" i="14"/>
  <c r="J457" i="14"/>
  <c r="P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P434" i="14" s="1"/>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P314" i="14" s="1"/>
  <c r="J378" i="14"/>
  <c r="J442" i="14"/>
  <c r="P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P281" i="14" s="1"/>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260" i="14"/>
  <c r="P324" i="14"/>
  <c r="P388" i="14"/>
  <c r="P516" i="14"/>
  <c r="Q516" i="14" s="1"/>
  <c r="P564" i="14"/>
  <c r="Q564" i="14" s="1"/>
  <c r="P580" i="14"/>
  <c r="Q580" i="14" s="1"/>
  <c r="P628" i="14"/>
  <c r="Q628" i="14" s="1"/>
  <c r="P644" i="14"/>
  <c r="Q644" i="14" s="1"/>
  <c r="P692" i="14"/>
  <c r="Q692" i="14" s="1"/>
  <c r="P29" i="14"/>
  <c r="P93" i="14"/>
  <c r="P157" i="14"/>
  <c r="P221" i="14"/>
  <c r="P349" i="14"/>
  <c r="P413" i="14"/>
  <c r="P477" i="14"/>
  <c r="Q477" i="14" s="1"/>
  <c r="P70" i="14"/>
  <c r="P134" i="14"/>
  <c r="P198" i="14"/>
  <c r="P254" i="14"/>
  <c r="P262" i="14"/>
  <c r="P326" i="14"/>
  <c r="P454" i="14"/>
  <c r="P582" i="14"/>
  <c r="Q582" i="14" s="1"/>
  <c r="P23" i="14"/>
  <c r="P87" i="14"/>
  <c r="P151" i="14"/>
  <c r="P215" i="14"/>
  <c r="P279" i="14"/>
  <c r="P343" i="14"/>
  <c r="P407" i="14"/>
  <c r="P471" i="14"/>
  <c r="P535" i="14"/>
  <c r="Q535" i="14" s="1"/>
  <c r="P599" i="14"/>
  <c r="Q599" i="14" s="1"/>
  <c r="P655" i="14"/>
  <c r="Q655" i="14" s="1"/>
  <c r="P663" i="14"/>
  <c r="Q663" i="14" s="1"/>
  <c r="P98" i="14"/>
  <c r="P272" i="14"/>
  <c r="P626" i="14"/>
  <c r="Q626" i="14" s="1"/>
  <c r="P863" i="14"/>
  <c r="Q863" i="14" s="1"/>
  <c r="P927" i="14"/>
  <c r="Q927" i="14" s="1"/>
  <c r="P991" i="14"/>
  <c r="Q991" i="14" s="1"/>
  <c r="P1055" i="14"/>
  <c r="Q1055" i="14" s="1"/>
  <c r="P337" i="14"/>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P361" i="14"/>
  <c r="P402" i="14"/>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P409" i="14"/>
  <c r="P432" i="14"/>
  <c r="P450" i="14"/>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282" i="14"/>
  <c r="P305" i="14"/>
  <c r="P456" i="14"/>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93" i="14"/>
  <c r="P248" i="14"/>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3" i="16"/>
  <c r="P24" i="16"/>
  <c r="P25" i="16"/>
  <c r="P27" i="16"/>
  <c r="P28" i="16"/>
  <c r="P29" i="16"/>
  <c r="P30" i="16"/>
  <c r="P31" i="16"/>
  <c r="P32" i="16"/>
  <c r="P34" i="16"/>
  <c r="P35" i="16"/>
  <c r="P36" i="16"/>
  <c r="P39" i="16"/>
  <c r="P40" i="16"/>
  <c r="P42" i="16"/>
  <c r="P43" i="16"/>
  <c r="P44" i="16"/>
  <c r="P45" i="16"/>
  <c r="P46" i="16"/>
  <c r="P48" i="16"/>
  <c r="P50" i="16"/>
  <c r="P51" i="16"/>
  <c r="P52" i="16"/>
  <c r="P53" i="16"/>
  <c r="P54" i="16"/>
  <c r="P55" i="16"/>
  <c r="P56" i="16"/>
  <c r="P57" i="16"/>
  <c r="P59" i="16"/>
  <c r="P61" i="16"/>
  <c r="P62" i="16"/>
  <c r="P65" i="16"/>
  <c r="P66" i="16"/>
  <c r="P68" i="16"/>
  <c r="P70" i="16"/>
  <c r="P71" i="16"/>
  <c r="P72" i="16"/>
  <c r="P73" i="16"/>
  <c r="P75" i="16"/>
  <c r="P76" i="16"/>
  <c r="P77" i="16"/>
  <c r="P78" i="16"/>
  <c r="P79" i="16"/>
  <c r="P80" i="16"/>
  <c r="P81" i="16"/>
  <c r="P82" i="16"/>
  <c r="P85" i="16"/>
  <c r="P87" i="16"/>
  <c r="P88" i="16"/>
  <c r="P89" i="16"/>
  <c r="P91" i="16"/>
  <c r="P93" i="16"/>
  <c r="P103" i="16"/>
  <c r="P105" i="16"/>
  <c r="P106" i="16"/>
  <c r="P107" i="16"/>
  <c r="P108" i="16"/>
  <c r="P109" i="16"/>
  <c r="P110"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9" i="14"/>
  <c r="P223" i="14"/>
  <c r="P225" i="14"/>
  <c r="P226" i="14"/>
  <c r="P227" i="14"/>
  <c r="P228" i="14"/>
  <c r="P230" i="14"/>
  <c r="P231" i="14"/>
  <c r="P235" i="14"/>
  <c r="P236" i="14"/>
  <c r="P237" i="14"/>
  <c r="P239" i="14"/>
  <c r="P241" i="14"/>
  <c r="P242" i="14"/>
  <c r="P244" i="14"/>
  <c r="P245" i="14"/>
  <c r="P246" i="14"/>
  <c r="P247" i="14"/>
  <c r="P249" i="14"/>
  <c r="P251" i="14"/>
  <c r="P252" i="14"/>
  <c r="P253" i="14"/>
  <c r="P255" i="14"/>
  <c r="P256" i="14"/>
  <c r="P257" i="14"/>
  <c r="P261" i="14"/>
  <c r="P263" i="14"/>
  <c r="P264" i="14"/>
  <c r="P267" i="14"/>
  <c r="P268" i="14"/>
  <c r="P269" i="14"/>
  <c r="P273" i="14"/>
  <c r="P274" i="14"/>
  <c r="P276" i="14"/>
  <c r="P278" i="14"/>
  <c r="P286" i="14"/>
  <c r="P288" i="14"/>
  <c r="P290" i="14"/>
  <c r="P292" i="14"/>
  <c r="P294" i="14"/>
  <c r="P297" i="14"/>
  <c r="P299" i="14"/>
  <c r="P301" i="14"/>
  <c r="P303" i="14"/>
  <c r="P307" i="14"/>
  <c r="P309" i="14"/>
  <c r="P311" i="14"/>
  <c r="P315" i="14"/>
  <c r="P319" i="14"/>
  <c r="P321" i="14"/>
  <c r="P325" i="14"/>
  <c r="P327" i="14"/>
  <c r="P328" i="14"/>
  <c r="P330" i="14"/>
  <c r="P332" i="14"/>
  <c r="P336" i="14"/>
  <c r="P340" i="14"/>
  <c r="P342" i="14"/>
  <c r="P344" i="14"/>
  <c r="P346" i="14"/>
  <c r="P347" i="14"/>
  <c r="P353" i="14"/>
  <c r="P355" i="14"/>
  <c r="P357" i="14"/>
  <c r="P359" i="14"/>
  <c r="P363" i="14"/>
  <c r="P367" i="14"/>
  <c r="P369" i="14"/>
  <c r="P371" i="14"/>
  <c r="P373" i="14"/>
  <c r="P375" i="14"/>
  <c r="P377" i="14"/>
  <c r="P379" i="14"/>
  <c r="P384" i="14"/>
  <c r="P386" i="14"/>
  <c r="P390" i="14"/>
  <c r="P392" i="14"/>
  <c r="P394" i="14"/>
  <c r="P396" i="14"/>
  <c r="P400" i="14"/>
  <c r="P404" i="14"/>
  <c r="P406" i="14"/>
  <c r="P411" i="14"/>
  <c r="P417" i="14"/>
  <c r="P419" i="14"/>
  <c r="P421" i="14"/>
  <c r="P423" i="14"/>
  <c r="P425" i="14"/>
  <c r="P427" i="14"/>
  <c r="P431" i="14"/>
  <c r="P433" i="14"/>
  <c r="P436" i="14"/>
  <c r="P438" i="14"/>
  <c r="P444" i="14"/>
  <c r="P448" i="14"/>
  <c r="P452" i="14"/>
  <c r="P458" i="14"/>
  <c r="P460" i="14"/>
  <c r="P464" i="14"/>
  <c r="P466" i="14"/>
  <c r="P468" i="14"/>
  <c r="P470" i="14"/>
  <c r="P476" i="14"/>
  <c r="Q476" i="14" s="1"/>
  <c r="P478" i="14"/>
  <c r="Q478" i="14" s="1"/>
  <c r="P480" i="14"/>
  <c r="Q480" i="14" s="1"/>
  <c r="P482" i="14"/>
  <c r="Q482" i="14" s="1"/>
  <c r="P484" i="14"/>
  <c r="Q484" i="14" s="1"/>
  <c r="P487" i="14"/>
  <c r="Q487" i="14" s="1"/>
  <c r="P494" i="14"/>
  <c r="Q494" i="14" s="1"/>
  <c r="P496" i="14"/>
  <c r="Q496" i="14" s="1"/>
  <c r="P498" i="14"/>
  <c r="Q498" i="14" s="1"/>
  <c r="P222" i="14"/>
  <c r="P270" i="14"/>
  <c r="P277" i="14"/>
  <c r="P283" i="14"/>
  <c r="P285" i="14"/>
  <c r="P291" i="14"/>
  <c r="P293" i="14"/>
  <c r="P295" i="14"/>
  <c r="P298" i="14"/>
  <c r="P302" i="14"/>
  <c r="P304" i="14"/>
  <c r="P306" i="14"/>
  <c r="P308" i="14"/>
  <c r="P310" i="14"/>
  <c r="P316" i="14"/>
  <c r="P320" i="14"/>
  <c r="P331" i="14"/>
  <c r="P333" i="14"/>
  <c r="P341" i="14"/>
  <c r="P345" i="14"/>
  <c r="P350" i="14"/>
  <c r="P352" i="14"/>
  <c r="P354" i="14"/>
  <c r="P356" i="14"/>
  <c r="P358" i="14"/>
  <c r="P360" i="14"/>
  <c r="P362" i="14"/>
  <c r="P366" i="14"/>
  <c r="P368" i="14"/>
  <c r="P372" i="14"/>
  <c r="P374" i="14"/>
  <c r="P378" i="14"/>
  <c r="P380" i="14"/>
  <c r="P383" i="14"/>
  <c r="P385" i="14"/>
  <c r="P389" i="14"/>
  <c r="P391" i="14"/>
  <c r="P395" i="14"/>
  <c r="P397" i="14"/>
  <c r="P401" i="14"/>
  <c r="P405" i="14"/>
  <c r="P408" i="14"/>
  <c r="P410" i="14"/>
  <c r="P414" i="14"/>
  <c r="P416" i="14"/>
  <c r="P418" i="14"/>
  <c r="P420" i="14"/>
  <c r="P422" i="14"/>
  <c r="P430" i="14"/>
  <c r="P435" i="14"/>
  <c r="P437" i="14"/>
  <c r="P439" i="14"/>
  <c r="P443" i="14"/>
  <c r="P447" i="14"/>
  <c r="P449" i="14"/>
  <c r="P453" i="14"/>
  <c r="P455" i="14"/>
  <c r="P459" i="14"/>
  <c r="P461" i="14"/>
  <c r="P465" i="14"/>
  <c r="P469" i="14"/>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P148" i="14"/>
  <c r="P140" i="14"/>
  <c r="P124" i="14"/>
  <c r="P320" i="16"/>
  <c r="P312" i="16"/>
  <c r="P304" i="16"/>
  <c r="P296" i="16"/>
  <c r="P288" i="16"/>
  <c r="P213" i="14"/>
  <c r="P209" i="14"/>
  <c r="P205" i="14"/>
  <c r="P203" i="14"/>
  <c r="P199" i="14"/>
  <c r="P197" i="14"/>
  <c r="P189" i="14"/>
  <c r="P187" i="14"/>
  <c r="P185" i="14"/>
  <c r="P183" i="14"/>
  <c r="P181" i="14"/>
  <c r="P177" i="14"/>
  <c r="P175" i="14"/>
  <c r="P173" i="14"/>
  <c r="P171" i="14"/>
  <c r="P169" i="14"/>
  <c r="P167" i="14"/>
  <c r="P163" i="14"/>
  <c r="P161"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2" i="14"/>
  <c r="P176" i="14"/>
  <c r="P166" i="14"/>
  <c r="P164" i="14"/>
  <c r="P162" i="14"/>
  <c r="P141"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5" i="16"/>
  <c r="P233" i="16"/>
  <c r="P231" i="16"/>
  <c r="P229" i="16"/>
  <c r="P227" i="16"/>
  <c r="P284" i="16"/>
  <c r="P144" i="14"/>
  <c r="P128" i="14"/>
  <c r="P316" i="16"/>
  <c r="P287" i="16"/>
  <c r="P138" i="14"/>
  <c r="P135" i="14"/>
  <c r="P122" i="14"/>
  <c r="P310" i="16"/>
  <c r="P307" i="16"/>
  <c r="P294" i="16"/>
  <c r="P291" i="16"/>
  <c r="P160" i="14"/>
  <c r="P303" i="16"/>
  <c r="P300" i="16"/>
  <c r="P290" i="16"/>
  <c r="P159" i="14"/>
  <c r="P146" i="14"/>
  <c r="P130" i="14"/>
  <c r="P318" i="16"/>
  <c r="P315" i="16"/>
  <c r="P302" i="16"/>
  <c r="P299" i="16"/>
  <c r="P155" i="14"/>
  <c r="P139" i="14"/>
  <c r="P136" i="14"/>
  <c r="P123" i="14"/>
  <c r="P120" i="14"/>
  <c r="P311" i="16"/>
  <c r="P308" i="16"/>
  <c r="P295" i="16"/>
  <c r="P292" i="16"/>
  <c r="P286" i="16"/>
  <c r="P283" i="16"/>
  <c r="P224" i="16"/>
  <c r="P222" i="16"/>
  <c r="P216" i="16"/>
  <c r="P210" i="16"/>
  <c r="P208" i="16"/>
  <c r="P225" i="16"/>
  <c r="P221" i="16"/>
  <c r="P217" i="16"/>
  <c r="P213" i="16"/>
  <c r="P209" i="16"/>
  <c r="P206" i="16"/>
  <c r="P204" i="16"/>
  <c r="P200" i="16"/>
  <c r="P198" i="16"/>
  <c r="P196" i="16"/>
  <c r="P194" i="16"/>
  <c r="P192" i="16"/>
  <c r="P190" i="16"/>
  <c r="P188" i="16"/>
  <c r="P186" i="16"/>
  <c r="P184" i="16"/>
  <c r="P182" i="16"/>
  <c r="P178" i="16"/>
  <c r="P176" i="16"/>
  <c r="P174" i="16"/>
  <c r="P172" i="16"/>
  <c r="P170" i="16"/>
  <c r="P168" i="16"/>
  <c r="P164" i="16"/>
  <c r="P162" i="16"/>
  <c r="P160" i="16"/>
  <c r="P158" i="16"/>
  <c r="P156" i="16"/>
  <c r="P152" i="16"/>
  <c r="P148" i="16"/>
  <c r="P146" i="16"/>
  <c r="P144" i="16"/>
  <c r="P142" i="16"/>
  <c r="P140" i="16"/>
  <c r="P134" i="16"/>
  <c r="P132" i="16"/>
  <c r="P130" i="16"/>
  <c r="P219" i="16"/>
  <c r="P205" i="16"/>
  <c r="P201" i="16"/>
  <c r="P197" i="16"/>
  <c r="P193" i="16"/>
  <c r="P189" i="16"/>
  <c r="P185" i="16"/>
  <c r="P177" i="16"/>
  <c r="P173" i="16"/>
  <c r="P165" i="16"/>
  <c r="P161" i="16"/>
  <c r="P157" i="16"/>
  <c r="P153" i="16"/>
  <c r="P133" i="16"/>
  <c r="P129" i="16"/>
  <c r="P118" i="14"/>
  <c r="P116" i="14"/>
  <c r="P110" i="14"/>
  <c r="P108" i="14"/>
  <c r="P102" i="14"/>
  <c r="P100" i="14"/>
  <c r="P96" i="14"/>
  <c r="P94" i="14"/>
  <c r="P92" i="14"/>
  <c r="P88" i="14"/>
  <c r="P86" i="14"/>
  <c r="P84" i="14"/>
  <c r="P82" i="14"/>
  <c r="P80" i="14"/>
  <c r="P78" i="14"/>
  <c r="P74" i="14"/>
  <c r="P72" i="14"/>
  <c r="P58" i="14"/>
  <c r="P56" i="14"/>
  <c r="P54" i="14"/>
  <c r="P52" i="14"/>
  <c r="P50" i="14"/>
  <c r="P48" i="14"/>
  <c r="P38" i="14"/>
  <c r="P36" i="14"/>
  <c r="P34" i="14"/>
  <c r="P32" i="14"/>
  <c r="P30" i="14"/>
  <c r="P28" i="14"/>
  <c r="P223" i="16"/>
  <c r="P215" i="16"/>
  <c r="P207" i="16"/>
  <c r="P203" i="16"/>
  <c r="P199" i="16"/>
  <c r="P187" i="16"/>
  <c r="P183" i="16"/>
  <c r="P179" i="16"/>
  <c r="P171" i="16"/>
  <c r="P167" i="16"/>
  <c r="P163" i="16"/>
  <c r="P159" i="16"/>
  <c r="P155" i="16"/>
  <c r="P151" i="16"/>
  <c r="P143" i="16"/>
  <c r="P139" i="16"/>
  <c r="P135" i="16"/>
  <c r="P119" i="14"/>
  <c r="P117" i="14"/>
  <c r="P113" i="14"/>
  <c r="P111" i="14"/>
  <c r="P109" i="14"/>
  <c r="P107" i="14"/>
  <c r="P105" i="14"/>
  <c r="P103" i="14"/>
  <c r="P99" i="14"/>
  <c r="P95" i="14"/>
  <c r="P91" i="14"/>
  <c r="P85" i="14"/>
  <c r="P81" i="14"/>
  <c r="P77" i="14"/>
  <c r="P75" i="14"/>
  <c r="P71" i="14"/>
  <c r="P69" i="14"/>
  <c r="P65" i="14"/>
  <c r="P61" i="14"/>
  <c r="P59" i="14"/>
  <c r="P57" i="14"/>
  <c r="P55"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283" i="16" a="1"/>
  <c r="Q283" i="16" s="1"/>
  <c r="Q282" i="16" a="1"/>
  <c r="Q282" i="16" s="1"/>
  <c r="Q287" i="16" a="1"/>
  <c r="Q287" i="16" s="1"/>
  <c r="Q245" i="16" a="1"/>
  <c r="Q245" i="16" s="1"/>
  <c r="Q261" i="16" a="1"/>
  <c r="Q261" i="16" s="1"/>
  <c r="Q277" i="16" a="1"/>
  <c r="Q277"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286" i="16" a="1"/>
  <c r="Q286" i="16" s="1"/>
  <c r="Q291" i="16" a="1"/>
  <c r="Q291" i="16" s="1"/>
  <c r="Q316" i="16" a="1"/>
  <c r="Q316" i="16" s="1"/>
  <c r="Q247" i="16" a="1"/>
  <c r="Q247" i="16" s="1"/>
  <c r="Q263" i="16" a="1"/>
  <c r="Q263" i="16" s="1"/>
  <c r="Q279" i="16" a="1"/>
  <c r="Q279"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292" i="16" a="1"/>
  <c r="Q292" i="16" s="1"/>
  <c r="Q294" i="16" a="1"/>
  <c r="Q294"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295" i="16" a="1"/>
  <c r="Q295" i="16" s="1"/>
  <c r="Q299" i="16" a="1"/>
  <c r="Q299" i="16" s="1"/>
  <c r="Q307" i="16" a="1"/>
  <c r="Q307" i="16" s="1"/>
  <c r="Q251" i="16" a="1"/>
  <c r="Q251" i="16" s="1"/>
  <c r="Q267" i="16" a="1"/>
  <c r="Q267" i="16" s="1"/>
  <c r="Q289" i="16" a="1"/>
  <c r="Q289" i="16" s="1"/>
  <c r="Q298" i="16" a="1"/>
  <c r="Q298"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308" i="16" a="1"/>
  <c r="Q308" i="16" s="1"/>
  <c r="Q302" i="16" a="1"/>
  <c r="Q302" i="16" s="1"/>
  <c r="Q290" i="16" a="1"/>
  <c r="Q290" i="16" s="1"/>
  <c r="Q310" i="16" a="1"/>
  <c r="Q310" i="16" s="1"/>
  <c r="Q253" i="16" a="1"/>
  <c r="Q253" i="16" s="1"/>
  <c r="Q269" i="16" a="1"/>
  <c r="Q269" i="16" s="1"/>
  <c r="Q297" i="16" a="1"/>
  <c r="Q297" i="16" s="1"/>
  <c r="Q306" i="16" a="1"/>
  <c r="Q306"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408" i="16" a="1"/>
  <c r="Q408" i="16" s="1"/>
  <c r="Q318" i="16" a="1"/>
  <c r="Q318" i="16" s="1"/>
  <c r="Q303" i="16" a="1"/>
  <c r="Q303" i="16" s="1"/>
  <c r="Q319" i="16" a="1"/>
  <c r="Q319" i="16" s="1"/>
  <c r="Q241" i="16" a="1"/>
  <c r="Q241" i="16" s="1"/>
  <c r="Q257" i="16" a="1"/>
  <c r="Q257" i="16" s="1"/>
  <c r="Q273" i="16" a="1"/>
  <c r="Q273" i="16" s="1"/>
  <c r="Q313" i="16" a="1"/>
  <c r="Q313" i="16" s="1"/>
  <c r="Q322" i="16" a="1"/>
  <c r="Q32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243" i="16" a="1"/>
  <c r="Q243" i="16" s="1"/>
  <c r="Q259" i="16" a="1"/>
  <c r="Q259" i="16" s="1"/>
  <c r="Q275" i="16" a="1"/>
  <c r="Q275" i="16" s="1"/>
  <c r="Q321" i="16" a="1"/>
  <c r="Q321"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237" i="16" l="1" a="1"/>
  <c r="Q237" i="16" s="1"/>
  <c r="Q232" i="16" a="1"/>
  <c r="Q232" i="16" s="1"/>
  <c r="Q236" i="16" a="1"/>
  <c r="Q236" i="16" s="1"/>
  <c r="Q231" i="16" a="1"/>
  <c r="Q231" i="16" s="1"/>
  <c r="Q238" i="16" a="1"/>
  <c r="Q238" i="16" s="1"/>
  <c r="Q235" i="16" a="1"/>
  <c r="Q235" i="16" s="1"/>
  <c r="Q234" i="16" a="1"/>
  <c r="Q234" i="16" s="1"/>
  <c r="Q233" i="16" a="1"/>
  <c r="Q233" i="16" s="1"/>
  <c r="Q471" i="16" a="1"/>
  <c r="Q471" i="16" s="1"/>
  <c r="Q562" i="16" a="1"/>
  <c r="Q562" i="16" s="1"/>
  <c r="P472" i="16"/>
  <c r="P1247" i="14"/>
  <c r="Q1247" i="14" s="1"/>
  <c r="P563" i="16"/>
  <c r="G66" i="20"/>
  <c r="F66" i="20"/>
  <c r="C64" i="20"/>
  <c r="O65" i="20"/>
  <c r="G65" i="20"/>
  <c r="F65" i="20"/>
  <c r="O66" i="20"/>
  <c r="H67" i="20"/>
  <c r="G67" i="20"/>
  <c r="U67" i="20"/>
  <c r="R67" i="20"/>
  <c r="C68" i="20"/>
  <c r="F67" i="20"/>
  <c r="O67" i="20"/>
  <c r="Q230" i="16" l="1" a="1"/>
  <c r="Q230" i="16" s="1"/>
  <c r="Q228" i="16" a="1"/>
  <c r="Q228" i="16" s="1"/>
  <c r="Q229" i="16" a="1"/>
  <c r="Q229" i="16" s="1"/>
  <c r="Q226" i="16" a="1"/>
  <c r="Q226" i="16" s="1"/>
  <c r="Q227" i="16" a="1"/>
  <c r="Q227" i="16" s="1"/>
  <c r="Q472" i="16" a="1"/>
  <c r="Q472" i="16" s="1"/>
  <c r="Q563" i="16" a="1"/>
  <c r="Q563" i="16" s="1"/>
  <c r="P473" i="16"/>
  <c r="P1248" i="14"/>
  <c r="Q1248" i="14" s="1"/>
  <c r="P564" i="16"/>
  <c r="C63" i="20"/>
  <c r="O64" i="20"/>
  <c r="G64" i="20"/>
  <c r="F64" i="20"/>
  <c r="H68" i="20"/>
  <c r="O68" i="20"/>
  <c r="U68" i="20"/>
  <c r="F68" i="20"/>
  <c r="G68" i="20"/>
  <c r="R68" i="20"/>
  <c r="C69" i="20"/>
  <c r="Q219" i="16" l="1" a="1"/>
  <c r="Q219" i="16" s="1"/>
  <c r="Q223" i="16" a="1"/>
  <c r="Q223" i="16" s="1"/>
  <c r="Q220" i="16" a="1"/>
  <c r="Q220" i="16" s="1"/>
  <c r="Q222" i="16" a="1"/>
  <c r="Q222" i="16" s="1"/>
  <c r="Q224" i="16" a="1"/>
  <c r="Q224" i="16" s="1"/>
  <c r="Q221" i="16" a="1"/>
  <c r="Q221" i="16" s="1"/>
  <c r="Q225" i="16" a="1"/>
  <c r="Q225" i="16" s="1"/>
  <c r="Q473" i="16" a="1"/>
  <c r="Q473" i="16" s="1"/>
  <c r="Q564" i="16" a="1"/>
  <c r="Q564" i="16" s="1"/>
  <c r="P474" i="16"/>
  <c r="P1249" i="14"/>
  <c r="Q1249" i="14" s="1"/>
  <c r="P565" i="16"/>
  <c r="F63" i="20"/>
  <c r="C62" i="20"/>
  <c r="O63" i="20"/>
  <c r="G63" i="20"/>
  <c r="H69" i="20"/>
  <c r="R69" i="20"/>
  <c r="C70" i="20"/>
  <c r="O69" i="20"/>
  <c r="U69" i="20"/>
  <c r="F69" i="20"/>
  <c r="G69" i="20"/>
  <c r="Q213" i="16" l="1" a="1"/>
  <c r="Q213" i="16" s="1"/>
  <c r="Q215" i="16" a="1"/>
  <c r="Q215" i="16" s="1"/>
  <c r="Q218" i="16" a="1"/>
  <c r="Q218" i="16" s="1"/>
  <c r="Q214" i="16" a="1"/>
  <c r="Q214" i="16" s="1"/>
  <c r="Q217" i="16" a="1"/>
  <c r="Q217" i="16" s="1"/>
  <c r="Q216" i="16" a="1"/>
  <c r="Q216" i="16" s="1"/>
  <c r="Q474" i="16" a="1"/>
  <c r="Q474" i="16" s="1"/>
  <c r="Q565" i="16" a="1"/>
  <c r="Q565" i="16" s="1"/>
  <c r="P475" i="16"/>
  <c r="P1250" i="14"/>
  <c r="Q1250" i="14" s="1"/>
  <c r="P566" i="16"/>
  <c r="G62" i="20"/>
  <c r="F62" i="20"/>
  <c r="C61" i="20"/>
  <c r="H70" i="20"/>
  <c r="C71" i="20"/>
  <c r="U70" i="20"/>
  <c r="G70" i="20"/>
  <c r="R70" i="20"/>
  <c r="O70" i="20"/>
  <c r="F70" i="20"/>
  <c r="Q211" i="16" l="1" a="1"/>
  <c r="Q211" i="16" s="1"/>
  <c r="Q208" i="16" a="1"/>
  <c r="Q208" i="16" s="1"/>
  <c r="Q210" i="16" a="1"/>
  <c r="Q210" i="16" s="1"/>
  <c r="Q212" i="16" a="1"/>
  <c r="Q212" i="16" s="1"/>
  <c r="Q207" i="16" a="1"/>
  <c r="Q207" i="16" s="1"/>
  <c r="Q206" i="16" a="1"/>
  <c r="Q206" i="16" s="1"/>
  <c r="Q209" i="16" a="1"/>
  <c r="Q209" i="16" s="1"/>
  <c r="Q475" i="16" a="1"/>
  <c r="Q475" i="16" s="1"/>
  <c r="Q566" i="16" a="1"/>
  <c r="Q566" i="16" s="1"/>
  <c r="P476" i="16"/>
  <c r="P1251" i="14"/>
  <c r="Q1251" i="14" s="1"/>
  <c r="P567" i="16"/>
  <c r="F61" i="20"/>
  <c r="C60" i="20"/>
  <c r="G61" i="20"/>
  <c r="H71" i="20"/>
  <c r="R71" i="20"/>
  <c r="F71" i="20"/>
  <c r="C72" i="20"/>
  <c r="U71" i="20"/>
  <c r="G71" i="20"/>
  <c r="O71" i="20"/>
  <c r="Q197" i="16" l="1" a="1"/>
  <c r="Q197" i="16" s="1"/>
  <c r="Q203" i="16" a="1"/>
  <c r="Q203" i="16" s="1"/>
  <c r="Q201" i="16" a="1"/>
  <c r="Q201" i="16" s="1"/>
  <c r="Q196" i="16" a="1"/>
  <c r="Q196" i="16" s="1"/>
  <c r="Q195" i="16" a="1"/>
  <c r="Q195" i="16" s="1"/>
  <c r="Q198" i="16" a="1"/>
  <c r="Q198" i="16" s="1"/>
  <c r="Q199" i="16" a="1"/>
  <c r="Q199" i="16" s="1"/>
  <c r="Q200" i="16" a="1"/>
  <c r="Q200" i="16" s="1"/>
  <c r="Q204" i="16" a="1"/>
  <c r="Q204" i="16" s="1"/>
  <c r="Q205" i="16" a="1"/>
  <c r="Q205" i="16" s="1"/>
  <c r="Q194" i="16" a="1"/>
  <c r="Q194" i="16" s="1"/>
  <c r="Q202" i="16" a="1"/>
  <c r="Q202" i="16" s="1"/>
  <c r="Q476" i="16" a="1"/>
  <c r="Q476" i="16" s="1"/>
  <c r="Q567" i="16" a="1"/>
  <c r="Q567" i="16" s="1"/>
  <c r="P477" i="16"/>
  <c r="P1252" i="14"/>
  <c r="Q1252" i="14" s="1"/>
  <c r="P568" i="16"/>
  <c r="F60" i="20"/>
  <c r="C59" i="20"/>
  <c r="G60" i="20"/>
  <c r="H72" i="20"/>
  <c r="O72" i="20"/>
  <c r="U72" i="20"/>
  <c r="R72" i="20"/>
  <c r="G72" i="20"/>
  <c r="F72" i="20"/>
  <c r="C73" i="20"/>
  <c r="Q193" i="16" l="1" a="1"/>
  <c r="Q193" i="16" s="1"/>
  <c r="Q190" i="16" a="1"/>
  <c r="Q190" i="16" s="1"/>
  <c r="Q192" i="16" a="1"/>
  <c r="Q192" i="16" s="1"/>
  <c r="Q188" i="16" a="1"/>
  <c r="Q188" i="16" s="1"/>
  <c r="Q191" i="16" a="1"/>
  <c r="Q191" i="16" s="1"/>
  <c r="Q189" i="16" a="1"/>
  <c r="Q189" i="16" s="1"/>
  <c r="Q568" i="16" a="1"/>
  <c r="Q568" i="16" s="1"/>
  <c r="Q477" i="16" a="1"/>
  <c r="Q477" i="16" s="1"/>
  <c r="P478" i="16"/>
  <c r="P1253" i="14"/>
  <c r="Q1253" i="14" s="1"/>
  <c r="P569" i="16"/>
  <c r="G59" i="20"/>
  <c r="F59" i="20"/>
  <c r="C58" i="20"/>
  <c r="H73" i="20"/>
  <c r="G73" i="20"/>
  <c r="F73" i="20"/>
  <c r="O73" i="20"/>
  <c r="C74" i="20"/>
  <c r="U73" i="20"/>
  <c r="R73" i="20"/>
  <c r="Q177" i="16" l="1" a="1"/>
  <c r="Q177" i="16" s="1"/>
  <c r="Q181" i="16" a="1"/>
  <c r="Q181" i="16" s="1"/>
  <c r="Q185" i="16" a="1"/>
  <c r="Q185" i="16" s="1"/>
  <c r="Q176" i="16" a="1"/>
  <c r="Q176" i="16" s="1"/>
  <c r="Q184" i="16" a="1"/>
  <c r="Q184" i="16" s="1"/>
  <c r="Q175" i="16" a="1"/>
  <c r="Q175" i="16" s="1"/>
  <c r="Q187" i="16" a="1"/>
  <c r="Q187" i="16" s="1"/>
  <c r="Q183" i="16" a="1"/>
  <c r="Q183" i="16" s="1"/>
  <c r="Q186" i="16" a="1"/>
  <c r="Q186" i="16" s="1"/>
  <c r="Q179" i="16" a="1"/>
  <c r="Q179" i="16" s="1"/>
  <c r="Q178" i="16" a="1"/>
  <c r="Q178" i="16" s="1"/>
  <c r="Q180" i="16" a="1"/>
  <c r="Q180" i="16" s="1"/>
  <c r="Q182" i="16" a="1"/>
  <c r="Q182" i="16" s="1"/>
  <c r="Q478" i="16"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172" i="16" l="1" a="1"/>
  <c r="Q172" i="16" s="1"/>
  <c r="Q116" i="16" a="1"/>
  <c r="Q116" i="16" s="1"/>
  <c r="Q75" i="16" a="1"/>
  <c r="Q75" i="16" s="1"/>
  <c r="Q131" i="16" a="1"/>
  <c r="Q131" i="16" s="1"/>
  <c r="Q90" i="16" a="1"/>
  <c r="Q90" i="16" s="1"/>
  <c r="Q114" i="16" a="1"/>
  <c r="Q114" i="16" s="1"/>
  <c r="Q130" i="16" a="1"/>
  <c r="Q130" i="16" s="1"/>
  <c r="Q80" i="16" a="1"/>
  <c r="Q80" i="16" s="1"/>
  <c r="Q94" i="16" a="1"/>
  <c r="Q94" i="16" s="1"/>
  <c r="Q110" i="16" a="1"/>
  <c r="Q110" i="16" s="1"/>
  <c r="Q174" i="16" a="1"/>
  <c r="Q174" i="16" s="1"/>
  <c r="Q151" i="16" a="1"/>
  <c r="Q151" i="16" s="1"/>
  <c r="Q155" i="16" a="1"/>
  <c r="Q155" i="16" s="1"/>
  <c r="Q103" i="16" a="1"/>
  <c r="Q103" i="16" s="1"/>
  <c r="Q135" i="16" a="1"/>
  <c r="Q135" i="16" s="1"/>
  <c r="Q109" i="16" a="1"/>
  <c r="Q109" i="16" s="1"/>
  <c r="Q146" i="16" a="1"/>
  <c r="Q146" i="16" s="1"/>
  <c r="Q120" i="16" a="1"/>
  <c r="Q120" i="16" s="1"/>
  <c r="Q134" i="16" a="1"/>
  <c r="Q134" i="16" s="1"/>
  <c r="Q154" i="16" a="1"/>
  <c r="Q154" i="16" s="1"/>
  <c r="Q108" i="16" a="1"/>
  <c r="Q108" i="16" s="1"/>
  <c r="Q147" i="16" a="1"/>
  <c r="Q147" i="16" s="1"/>
  <c r="Q123" i="16" a="1"/>
  <c r="Q123" i="16" s="1"/>
  <c r="Q82" i="16" a="1"/>
  <c r="Q82" i="16" s="1"/>
  <c r="Q95" i="16" a="1"/>
  <c r="Q95" i="16" s="1"/>
  <c r="Q106" i="16" a="1"/>
  <c r="Q106" i="16" s="1"/>
  <c r="Q113" i="16" a="1"/>
  <c r="Q113" i="16" s="1"/>
  <c r="Q132" i="16" a="1"/>
  <c r="Q132" i="16" s="1"/>
  <c r="Q79" i="16" a="1"/>
  <c r="Q79" i="16" s="1"/>
  <c r="Q86" i="16" a="1"/>
  <c r="Q86" i="16" s="1"/>
  <c r="Q93" i="16" a="1"/>
  <c r="Q93" i="16" s="1"/>
  <c r="Q141" i="16" a="1"/>
  <c r="Q141" i="16" s="1"/>
  <c r="Q92" i="16" a="1"/>
  <c r="Q92" i="16" s="1"/>
  <c r="Q128" i="16" a="1"/>
  <c r="Q128" i="16" s="1"/>
  <c r="Q127" i="16" a="1"/>
  <c r="Q127" i="16" s="1"/>
  <c r="Q136" i="16" a="1"/>
  <c r="Q136" i="16" s="1"/>
  <c r="Q167" i="16" a="1"/>
  <c r="Q167" i="16" s="1"/>
  <c r="Q150" i="16" a="1"/>
  <c r="Q150" i="16" s="1"/>
  <c r="Q119" i="16" a="1"/>
  <c r="Q119" i="16" s="1"/>
  <c r="Q137" i="16" a="1"/>
  <c r="Q137" i="16" s="1"/>
  <c r="Q125" i="16" a="1"/>
  <c r="Q125" i="16" s="1"/>
  <c r="Q161" i="16" a="1"/>
  <c r="Q161" i="16" s="1"/>
  <c r="Q104" i="16" a="1"/>
  <c r="Q104" i="16" s="1"/>
  <c r="Q118" i="16" a="1"/>
  <c r="Q118" i="16" s="1"/>
  <c r="Q171" i="16" a="1"/>
  <c r="Q171" i="16" s="1"/>
  <c r="Q145" i="16" a="1"/>
  <c r="Q145" i="16" s="1"/>
  <c r="Q156" i="16" a="1"/>
  <c r="Q156" i="16" s="1"/>
  <c r="Q124" i="16" a="1"/>
  <c r="Q124" i="16" s="1"/>
  <c r="Q83" i="16" a="1"/>
  <c r="Q83" i="16" s="1"/>
  <c r="Q96" i="16" a="1"/>
  <c r="Q96" i="16" s="1"/>
  <c r="Q107" i="16" a="1"/>
  <c r="Q107" i="16" s="1"/>
  <c r="Q153" i="16" a="1"/>
  <c r="Q153" i="16" s="1"/>
  <c r="Q160" i="16" a="1"/>
  <c r="Q160" i="16" s="1"/>
  <c r="Q122" i="16" a="1"/>
  <c r="Q122" i="16" s="1"/>
  <c r="Q81" i="16" a="1"/>
  <c r="Q81" i="16" s="1"/>
  <c r="Q88" i="16" a="1"/>
  <c r="Q88" i="16" s="1"/>
  <c r="Q164" i="16" a="1"/>
  <c r="Q164" i="16" s="1"/>
  <c r="Q166" i="16" a="1"/>
  <c r="Q166" i="16" s="1"/>
  <c r="Q77" i="16" a="1"/>
  <c r="Q77" i="16" s="1"/>
  <c r="Q100" i="16" a="1"/>
  <c r="Q100" i="16" s="1"/>
  <c r="Q149" i="16" a="1"/>
  <c r="Q149" i="16" s="1"/>
  <c r="Q158" i="16" a="1"/>
  <c r="Q158" i="16" s="1"/>
  <c r="Q102" i="16" a="1"/>
  <c r="Q102" i="16" s="1"/>
  <c r="Q165" i="16" a="1"/>
  <c r="Q165" i="16" s="1"/>
  <c r="Q111" i="16" a="1"/>
  <c r="Q111" i="16" s="1"/>
  <c r="Q159" i="16" a="1"/>
  <c r="Q159" i="16" s="1"/>
  <c r="Q169" i="16" a="1"/>
  <c r="Q169" i="16" s="1"/>
  <c r="Q168" i="16" a="1"/>
  <c r="Q168" i="16" s="1"/>
  <c r="Q121" i="16" a="1"/>
  <c r="Q121" i="16" s="1"/>
  <c r="Q87" i="16" a="1"/>
  <c r="Q87" i="16" s="1"/>
  <c r="Q101" i="16" a="1"/>
  <c r="Q101" i="16" s="1"/>
  <c r="Q163" i="16" a="1"/>
  <c r="Q163" i="16" s="1"/>
  <c r="Q115" i="16" a="1"/>
  <c r="Q115" i="16" s="1"/>
  <c r="Q144" i="16" a="1"/>
  <c r="Q144" i="16" s="1"/>
  <c r="Q157" i="16" a="1"/>
  <c r="Q157" i="16" s="1"/>
  <c r="Q139" i="16" a="1"/>
  <c r="Q139" i="16" s="1"/>
  <c r="Q138" i="16" a="1"/>
  <c r="Q138" i="16" s="1"/>
  <c r="Q89" i="16" a="1"/>
  <c r="Q89" i="16" s="1"/>
  <c r="Q152" i="16" a="1"/>
  <c r="Q152" i="16" s="1"/>
  <c r="Q85" i="16" a="1"/>
  <c r="Q85" i="16" s="1"/>
  <c r="Q117" i="16" a="1"/>
  <c r="Q117" i="16" s="1"/>
  <c r="Q148" i="16" a="1"/>
  <c r="Q148" i="16" s="1"/>
  <c r="Q133" i="16" a="1"/>
  <c r="Q133" i="16" s="1"/>
  <c r="Q98" i="16" a="1"/>
  <c r="Q98" i="16" s="1"/>
  <c r="Q170" i="16" a="1"/>
  <c r="Q170" i="16" s="1"/>
  <c r="Q84" i="16" a="1"/>
  <c r="Q84" i="16" s="1"/>
  <c r="Q99" i="16" a="1"/>
  <c r="Q99" i="16" s="1"/>
  <c r="Q91" i="16" a="1"/>
  <c r="Q91" i="16" s="1"/>
  <c r="Q112" i="16" a="1"/>
  <c r="Q112" i="16" s="1"/>
  <c r="Q126" i="16" a="1"/>
  <c r="Q126" i="16" s="1"/>
  <c r="Q162" i="16" a="1"/>
  <c r="Q162" i="16" s="1"/>
  <c r="Q78" i="16" a="1"/>
  <c r="Q78" i="16" s="1"/>
  <c r="Q173" i="16" a="1"/>
  <c r="Q173" i="16" s="1"/>
  <c r="Q97" i="16" a="1"/>
  <c r="Q97" i="16" s="1"/>
  <c r="Q76" i="16" a="1"/>
  <c r="Q76" i="16" s="1"/>
  <c r="Q140" i="16" a="1"/>
  <c r="Q140" i="16" s="1"/>
  <c r="Q129" i="16" a="1"/>
  <c r="Q129" i="16" s="1"/>
  <c r="Q142" i="16" a="1"/>
  <c r="Q142" i="16" s="1"/>
  <c r="Q143" i="16" a="1"/>
  <c r="Q143" i="16" s="1"/>
  <c r="Q105" i="16" a="1"/>
  <c r="Q105" i="16" s="1"/>
  <c r="Q572" i="16" a="1"/>
  <c r="Q572" i="16" s="1"/>
  <c r="Q481" i="16" a="1"/>
  <c r="Q481" i="16" s="1"/>
  <c r="P482" i="16"/>
  <c r="P1257" i="14"/>
  <c r="Q1257" i="14" s="1"/>
  <c r="P573" i="16"/>
  <c r="C54" i="20"/>
  <c r="F55" i="20"/>
  <c r="G55" i="20"/>
  <c r="H77" i="20"/>
  <c r="R77" i="20"/>
  <c r="O77" i="20"/>
  <c r="G77" i="20"/>
  <c r="U77" i="20"/>
  <c r="C78" i="20"/>
  <c r="F77" i="20"/>
  <c r="Q72" i="16" l="1" a="1"/>
  <c r="Q72" i="16" s="1"/>
  <c r="Q73" i="16" a="1"/>
  <c r="Q73" i="16" s="1"/>
  <c r="Q74" i="16" a="1"/>
  <c r="Q74" i="16" s="1"/>
  <c r="Q482" i="16" a="1"/>
  <c r="Q482" i="16" s="1"/>
  <c r="Q573" i="16" a="1"/>
  <c r="Q573" i="16" s="1"/>
  <c r="P483" i="16"/>
  <c r="P1258" i="14"/>
  <c r="Q1258" i="14" s="1"/>
  <c r="P574" i="16"/>
  <c r="G54" i="20"/>
  <c r="C53" i="20"/>
  <c r="F54" i="20"/>
  <c r="H78" i="20"/>
  <c r="C79" i="20"/>
  <c r="F78" i="20"/>
  <c r="G78" i="20"/>
  <c r="R78" i="20"/>
  <c r="U78" i="20"/>
  <c r="O78" i="20"/>
  <c r="Q57" i="16" l="1" a="1"/>
  <c r="Q57" i="16" s="1"/>
  <c r="Q54" i="16" a="1"/>
  <c r="Q54" i="16" s="1"/>
  <c r="Q62" i="16" a="1"/>
  <c r="Q62" i="16" s="1"/>
  <c r="Q53" i="16" a="1"/>
  <c r="Q53" i="16" s="1"/>
  <c r="Q61" i="16" a="1"/>
  <c r="Q61" i="16" s="1"/>
  <c r="Q67" i="16" a="1"/>
  <c r="Q67" i="16" s="1"/>
  <c r="Q65" i="16" a="1"/>
  <c r="Q65" i="16" s="1"/>
  <c r="Q55" i="16" a="1"/>
  <c r="Q55" i="16" s="1"/>
  <c r="Q70" i="16" a="1"/>
  <c r="Q70" i="16" s="1"/>
  <c r="Q66" i="16" a="1"/>
  <c r="Q66" i="16" s="1"/>
  <c r="Q63" i="16" a="1"/>
  <c r="Q63" i="16" s="1"/>
  <c r="Q69" i="16" a="1"/>
  <c r="Q69" i="16" s="1"/>
  <c r="Q58" i="16" a="1"/>
  <c r="Q58" i="16" s="1"/>
  <c r="Q68" i="16" a="1"/>
  <c r="Q68" i="16" s="1"/>
  <c r="Q59" i="16" a="1"/>
  <c r="Q59" i="16" s="1"/>
  <c r="Q71" i="16" a="1"/>
  <c r="Q71" i="16" s="1"/>
  <c r="Q60" i="16" a="1"/>
  <c r="Q60" i="16" s="1"/>
  <c r="Q64" i="16" a="1"/>
  <c r="Q64" i="16" s="1"/>
  <c r="Q51" i="16" a="1"/>
  <c r="Q51" i="16" s="1"/>
  <c r="Q56" i="16" a="1"/>
  <c r="Q56" i="16" s="1"/>
  <c r="Q52" i="16" a="1"/>
  <c r="Q52" i="16" s="1"/>
  <c r="Q483" i="16" a="1"/>
  <c r="Q483" i="16" s="1"/>
  <c r="Q574" i="16" a="1"/>
  <c r="Q574" i="16" s="1"/>
  <c r="P484" i="16"/>
  <c r="P1259" i="14"/>
  <c r="Q1259" i="14" s="1"/>
  <c r="P575" i="16"/>
  <c r="C52" i="20"/>
  <c r="F53" i="20"/>
  <c r="G53" i="20"/>
  <c r="H79" i="20"/>
  <c r="G79" i="20"/>
  <c r="U79" i="20"/>
  <c r="C80" i="20"/>
  <c r="F79" i="20"/>
  <c r="O79" i="20"/>
  <c r="R79" i="20"/>
  <c r="Q46" i="16" l="1" a="1"/>
  <c r="Q46" i="16" s="1"/>
  <c r="Q49" i="16" a="1"/>
  <c r="Q49" i="16" s="1"/>
  <c r="Q48" i="16" a="1"/>
  <c r="Q48" i="16" s="1"/>
  <c r="Q50" i="16" a="1"/>
  <c r="Q50" i="16" s="1"/>
  <c r="Q47" i="16" a="1"/>
  <c r="Q47" i="16" s="1"/>
  <c r="Q45" i="16" a="1"/>
  <c r="Q45" i="16" s="1"/>
  <c r="Q575" i="16" a="1"/>
  <c r="Q575" i="16" s="1"/>
  <c r="Q484" i="16" a="1"/>
  <c r="Q484" i="16" s="1"/>
  <c r="P485" i="16"/>
  <c r="P1260" i="14"/>
  <c r="Q1260" i="14" s="1"/>
  <c r="P576" i="16"/>
  <c r="C51" i="20"/>
  <c r="G52" i="20"/>
  <c r="F52" i="20"/>
  <c r="H80" i="20"/>
  <c r="O80" i="20"/>
  <c r="R80" i="20"/>
  <c r="F80" i="20"/>
  <c r="U80" i="20"/>
  <c r="C81" i="20"/>
  <c r="G80" i="20"/>
  <c r="Q42" i="16" l="1" a="1"/>
  <c r="Q42" i="16" s="1"/>
  <c r="Q40" i="16" a="1"/>
  <c r="Q40" i="16" s="1"/>
  <c r="Q36" i="16" a="1"/>
  <c r="Q36" i="16" s="1"/>
  <c r="Q32" i="16" a="1"/>
  <c r="Q32" i="16" s="1"/>
  <c r="Q39" i="16" a="1"/>
  <c r="Q39" i="16" s="1"/>
  <c r="Q34" i="16" a="1"/>
  <c r="Q34" i="16" s="1"/>
  <c r="Q30" i="16" a="1"/>
  <c r="Q30" i="16" s="1"/>
  <c r="Q44" i="16" a="1"/>
  <c r="Q44" i="16" s="1"/>
  <c r="Q33" i="16" a="1"/>
  <c r="Q33" i="16" s="1"/>
  <c r="Q37" i="16" a="1"/>
  <c r="Q37" i="16" s="1"/>
  <c r="Q29" i="16" a="1"/>
  <c r="Q29" i="16" s="1"/>
  <c r="Q41" i="16" a="1"/>
  <c r="Q41" i="16" s="1"/>
  <c r="Q31" i="16" a="1"/>
  <c r="Q31" i="16" s="1"/>
  <c r="Q35" i="16" a="1"/>
  <c r="Q35" i="16" s="1"/>
  <c r="Q38" i="16" a="1"/>
  <c r="Q38" i="16" s="1"/>
  <c r="Q43" i="16" a="1"/>
  <c r="Q43" i="16" s="1"/>
  <c r="Q485" i="16" a="1"/>
  <c r="Q485" i="16" s="1"/>
  <c r="Q576" i="16" a="1"/>
  <c r="Q576" i="16" s="1"/>
  <c r="P486" i="16"/>
  <c r="P1261" i="14"/>
  <c r="Q1261" i="14" s="1"/>
  <c r="P577" i="16"/>
  <c r="C50" i="20"/>
  <c r="G51" i="20"/>
  <c r="F51" i="20"/>
  <c r="H81" i="20"/>
  <c r="F81" i="20"/>
  <c r="G81" i="20"/>
  <c r="O81" i="20"/>
  <c r="U81" i="20"/>
  <c r="R81" i="20"/>
  <c r="C82" i="20"/>
  <c r="Q28" i="16" l="1" a="1"/>
  <c r="Q28" i="16" s="1"/>
  <c r="Q27" i="16" a="1"/>
  <c r="Q27" i="16" s="1"/>
  <c r="Q26" i="16" a="1"/>
  <c r="Q26" i="16" s="1"/>
  <c r="Q577" i="16"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Q25" i="16" s="1" a="1"/>
  <c r="Q25" i="16" s="1"/>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23" i="16" l="1" a="1"/>
  <c r="Q23" i="16" s="1"/>
  <c r="Q22" i="16" a="1"/>
  <c r="Q22" i="16" s="1"/>
  <c r="Q24" i="16" a="1"/>
  <c r="Q24" i="16" s="1"/>
  <c r="Q494" i="16"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33" i="14" l="1"/>
  <c r="Q339" i="14"/>
  <c r="Q198" i="14"/>
  <c r="Q103" i="14"/>
  <c r="Q331" i="14"/>
  <c r="Q445" i="14"/>
  <c r="Q71" i="14"/>
  <c r="Q105" i="14"/>
  <c r="Q468" i="14"/>
  <c r="Q288" i="14"/>
  <c r="Q430" i="14"/>
  <c r="Q403" i="14"/>
  <c r="Q418" i="14"/>
  <c r="Q380" i="14"/>
  <c r="Q317" i="14"/>
  <c r="Q59" i="14"/>
  <c r="Q393" i="14"/>
  <c r="Q143" i="14"/>
  <c r="Q31" i="14"/>
  <c r="Q455" i="14"/>
  <c r="Q25" i="14"/>
  <c r="Q94" i="14"/>
  <c r="Q164" i="14"/>
  <c r="Q401" i="14"/>
  <c r="Q375" i="14"/>
  <c r="Q230" i="14"/>
  <c r="Q83" i="14"/>
  <c r="Q122" i="14"/>
  <c r="Q397" i="14"/>
  <c r="Q394" i="14"/>
  <c r="Q242" i="14"/>
  <c r="Q434" i="14"/>
  <c r="Q399" i="14"/>
  <c r="Q365" i="14"/>
  <c r="Q243" i="14"/>
  <c r="Q201" i="14"/>
  <c r="Q63" i="14"/>
  <c r="Q471" i="14"/>
  <c r="Q138" i="14"/>
  <c r="Q443" i="14"/>
  <c r="Q436" i="14"/>
  <c r="Q264" i="14"/>
  <c r="Q454" i="14"/>
  <c r="Q121" i="14"/>
  <c r="Q345" i="14"/>
  <c r="Q344" i="14"/>
  <c r="Q97" i="14"/>
  <c r="Q326" i="14"/>
  <c r="Q197" i="14"/>
  <c r="Q277" i="14"/>
  <c r="Q299" i="14"/>
  <c r="Q98" i="14"/>
  <c r="Q141" i="14"/>
  <c r="Q383" i="14"/>
  <c r="Q379" i="14"/>
  <c r="Q235" i="14"/>
  <c r="Q157" i="14"/>
  <c r="Q78" i="14"/>
  <c r="Q153" i="14"/>
  <c r="Q440" i="14"/>
  <c r="Q80" i="14"/>
  <c r="Q377" i="14"/>
  <c r="Q300" i="14"/>
  <c r="Q50" i="14"/>
  <c r="Q62" i="14"/>
  <c r="Q438" i="14"/>
  <c r="Q267" i="14"/>
  <c r="Q222" i="14"/>
  <c r="Q67" i="14"/>
  <c r="Q57" i="14"/>
  <c r="Q425" i="14"/>
  <c r="Q271" i="14"/>
  <c r="Q85" i="14"/>
  <c r="Q172" i="14"/>
  <c r="Q165" i="14"/>
  <c r="Q61" i="14"/>
  <c r="Q452" i="14"/>
  <c r="Q79" i="14"/>
  <c r="Q120" i="14"/>
  <c r="Q204" i="14"/>
  <c r="Q378" i="14"/>
  <c r="Q355" i="14"/>
  <c r="Q289" i="14"/>
  <c r="Q77" i="14"/>
  <c r="Q166" i="14"/>
  <c r="Q374" i="14"/>
  <c r="Q373" i="14"/>
  <c r="Q228" i="14"/>
  <c r="Q441" i="14"/>
  <c r="Q335" i="14"/>
  <c r="Q412" i="14"/>
  <c r="Q179" i="14"/>
  <c r="Q137" i="14"/>
  <c r="Q238" i="14"/>
  <c r="Q196" i="14"/>
  <c r="Q182" i="14"/>
  <c r="Q416" i="14"/>
  <c r="Q417" i="14"/>
  <c r="Q251" i="14"/>
  <c r="Q413" i="14"/>
  <c r="Q171" i="14"/>
  <c r="Q306" i="14"/>
  <c r="Q325" i="14"/>
  <c r="Q224" i="14"/>
  <c r="Q349" i="14"/>
  <c r="Q461" i="14"/>
  <c r="Q460" i="14"/>
  <c r="Q276" i="14"/>
  <c r="Q279" i="14"/>
  <c r="Q194" i="14"/>
  <c r="Q360" i="14"/>
  <c r="Q359" i="14"/>
  <c r="Q219" i="14"/>
  <c r="Q211" i="14"/>
  <c r="Q405" i="14"/>
  <c r="Q40" i="14"/>
  <c r="Q265" i="14"/>
  <c r="Q136" i="14"/>
  <c r="Q245" i="14"/>
  <c r="Q131" i="14"/>
  <c r="Q100" i="14"/>
  <c r="Q148" i="14"/>
  <c r="Q419" i="14"/>
  <c r="Q252" i="14"/>
  <c r="Q336" i="14"/>
  <c r="Q106" i="14"/>
  <c r="Q56" i="14"/>
  <c r="Q256" i="14"/>
  <c r="Q185" i="14"/>
  <c r="Q111" i="14"/>
  <c r="Q381" i="14"/>
  <c r="Q49" i="14"/>
  <c r="Q91" i="14"/>
  <c r="Q294" i="14"/>
  <c r="Q35" i="14"/>
  <c r="Q28" i="14"/>
  <c r="Q163" i="14"/>
  <c r="Q356" i="14"/>
  <c r="Q332" i="14"/>
  <c r="Q114" i="14"/>
  <c r="Q107" i="14"/>
  <c r="Q206" i="14"/>
  <c r="Q354" i="14"/>
  <c r="Q353" i="14"/>
  <c r="Q178" i="14"/>
  <c r="Q313" i="14"/>
  <c r="Q266" i="14"/>
  <c r="Q348" i="14"/>
  <c r="Q115" i="14"/>
  <c r="Q73" i="14"/>
  <c r="Q174" i="14"/>
  <c r="Q188" i="14"/>
  <c r="Q210" i="14"/>
  <c r="Q391" i="14"/>
  <c r="Q390" i="14"/>
  <c r="Q239" i="14"/>
  <c r="Q132" i="14"/>
  <c r="Q189" i="14"/>
  <c r="Q283" i="14"/>
  <c r="Q301" i="14"/>
  <c r="Q202" i="14"/>
  <c r="Q68" i="14"/>
  <c r="Q437" i="14"/>
  <c r="Q431" i="14"/>
  <c r="Q261" i="14"/>
  <c r="Q262" i="14"/>
  <c r="Q145" i="14"/>
  <c r="Q333" i="14"/>
  <c r="Q340" i="14"/>
  <c r="Q456" i="14"/>
  <c r="Q315" i="14"/>
  <c r="Q126" i="14"/>
  <c r="Q364" i="14"/>
  <c r="Q144" i="14"/>
  <c r="Q66" i="14"/>
  <c r="Q42" i="14"/>
  <c r="Q146" i="14"/>
  <c r="Q395" i="14"/>
  <c r="Q392" i="14"/>
  <c r="Q241" i="14"/>
  <c r="Q338" i="14"/>
  <c r="Q217" i="14"/>
  <c r="Q135" i="14"/>
  <c r="Q305" i="14"/>
  <c r="Q447" i="14"/>
  <c r="Q298" i="14"/>
  <c r="Q76" i="14"/>
  <c r="Q167" i="14"/>
  <c r="Q113" i="14"/>
  <c r="Q329" i="14"/>
  <c r="Q65" i="14"/>
  <c r="Q52" i="14"/>
  <c r="Q181" i="14"/>
  <c r="Q320" i="14"/>
  <c r="Q311" i="14"/>
  <c r="Q282" i="14"/>
  <c r="Q30" i="14"/>
  <c r="Q183" i="14"/>
  <c r="Q316" i="14"/>
  <c r="Q330" i="14"/>
  <c r="Q23" i="14"/>
  <c r="Q180" i="14"/>
  <c r="Q446" i="14"/>
  <c r="Q284" i="14"/>
  <c r="Q51" i="14"/>
  <c r="Q280" i="14"/>
  <c r="Q46" i="14"/>
  <c r="Q370" i="14"/>
  <c r="Q150" i="14"/>
  <c r="Q368" i="14"/>
  <c r="Q369" i="14"/>
  <c r="Q226" i="14"/>
  <c r="Q160" i="14"/>
  <c r="Q465" i="14"/>
  <c r="Q464" i="14"/>
  <c r="Q278" i="14"/>
  <c r="Q193" i="14"/>
  <c r="Q133" i="14"/>
  <c r="Q410" i="14"/>
  <c r="Q406" i="14"/>
  <c r="Q247" i="14"/>
  <c r="Q221" i="14"/>
  <c r="Q175" i="14"/>
  <c r="Q302" i="14"/>
  <c r="Q319" i="14"/>
  <c r="Q112" i="14"/>
  <c r="Q93" i="14"/>
  <c r="Q99" i="14"/>
  <c r="Q168" i="14"/>
  <c r="Q162" i="14"/>
  <c r="Q151" i="14"/>
  <c r="Q232" i="14"/>
  <c r="Q200" i="14"/>
  <c r="Q372" i="14"/>
  <c r="Q371" i="14"/>
  <c r="Q227" i="14"/>
  <c r="Q322" i="14"/>
  <c r="Q104" i="14"/>
  <c r="Q208" i="14"/>
  <c r="Q388" i="14"/>
  <c r="Q81" i="14"/>
  <c r="Q357" i="14"/>
  <c r="Q467" i="14"/>
  <c r="Q53" i="14"/>
  <c r="Q36" i="14"/>
  <c r="Q376" i="14"/>
  <c r="Q95" i="14"/>
  <c r="Q82" i="14"/>
  <c r="Q205" i="14"/>
  <c r="Q295" i="14"/>
  <c r="Q292" i="14"/>
  <c r="Q87" i="14"/>
  <c r="Q54" i="14"/>
  <c r="Q209" i="14"/>
  <c r="Q293" i="14"/>
  <c r="Q309" i="14"/>
  <c r="Q70" i="14"/>
  <c r="Q424" i="14"/>
  <c r="Q382" i="14"/>
  <c r="Q451" i="14"/>
  <c r="Q218" i="14"/>
  <c r="Q152" i="14"/>
  <c r="Q149" i="14"/>
  <c r="Q34" i="14"/>
  <c r="Q169" i="14"/>
  <c r="Q350" i="14"/>
  <c r="Q346" i="14"/>
  <c r="Q248" i="14"/>
  <c r="Q125" i="14"/>
  <c r="Q439" i="14"/>
  <c r="Q433" i="14"/>
  <c r="Q263" i="14"/>
  <c r="Q409" i="14"/>
  <c r="Q186" i="14"/>
  <c r="Q385" i="14"/>
  <c r="Q384" i="14"/>
  <c r="Q236" i="14"/>
  <c r="Q275" i="14"/>
  <c r="Q199" i="14"/>
  <c r="Q270" i="14"/>
  <c r="Q297" i="14"/>
  <c r="Q64" i="14"/>
  <c r="Q415" i="14"/>
  <c r="Q358" i="14"/>
  <c r="Q207" i="14"/>
  <c r="Q161" i="14"/>
  <c r="Q442" i="14"/>
  <c r="Q190" i="14"/>
  <c r="Q45" i="14"/>
  <c r="Q352" i="14"/>
  <c r="Q347" i="14"/>
  <c r="Q69" i="14"/>
  <c r="Q60" i="14"/>
  <c r="Q37" i="14"/>
  <c r="Q142" i="14"/>
  <c r="Q457" i="14"/>
  <c r="Q86" i="14"/>
  <c r="Q231" i="14"/>
  <c r="Q195" i="14"/>
  <c r="Q109" i="14"/>
  <c r="Q72" i="14"/>
  <c r="Q287" i="14"/>
  <c r="Q117" i="14"/>
  <c r="Q102" i="14"/>
  <c r="Q124" i="14"/>
  <c r="Q448" i="14"/>
  <c r="Q269" i="14"/>
  <c r="Q134" i="14"/>
  <c r="Q84" i="14"/>
  <c r="Q140" i="14"/>
  <c r="Q470" i="14"/>
  <c r="Q290" i="14"/>
  <c r="Q260" i="14"/>
  <c r="Q296" i="14"/>
  <c r="Q318" i="14"/>
  <c r="Q387" i="14"/>
  <c r="Q154" i="14"/>
  <c r="Q24" i="14"/>
  <c r="Q426" i="14"/>
  <c r="Q58" i="14"/>
  <c r="Q187" i="14"/>
  <c r="Q308" i="14"/>
  <c r="Q327" i="14"/>
  <c r="Q432" i="14"/>
  <c r="Q184" i="14"/>
  <c r="Q414" i="14"/>
  <c r="Q411" i="14"/>
  <c r="Q249" i="14"/>
  <c r="Q233" i="14"/>
  <c r="Q216" i="14"/>
  <c r="Q362" i="14"/>
  <c r="Q363" i="14"/>
  <c r="Q223" i="14"/>
  <c r="Q123" i="14"/>
  <c r="Q459" i="14"/>
  <c r="Q458" i="14"/>
  <c r="Q274" i="14"/>
  <c r="Q337" i="14"/>
  <c r="Q398" i="14"/>
  <c r="Q400" i="14"/>
  <c r="Q101" i="14"/>
  <c r="Q119" i="14"/>
  <c r="Q258" i="14"/>
  <c r="Q229" i="14"/>
  <c r="Q47" i="14"/>
  <c r="Q310" i="14"/>
  <c r="Q328" i="14"/>
  <c r="Q96" i="14"/>
  <c r="Q334" i="14"/>
  <c r="Q55" i="14"/>
  <c r="Q39" i="14"/>
  <c r="Q312" i="14"/>
  <c r="Q176" i="14"/>
  <c r="Q22" i="14"/>
  <c r="Q170" i="14"/>
  <c r="Q32" i="14"/>
  <c r="Q92" i="14"/>
  <c r="Q259" i="14"/>
  <c r="Q38" i="14"/>
  <c r="Q139" i="14"/>
  <c r="Q453" i="14"/>
  <c r="Q423" i="14"/>
  <c r="Q255" i="14"/>
  <c r="Q29" i="14"/>
  <c r="Q108" i="14"/>
  <c r="Q449" i="14"/>
  <c r="Q444" i="14"/>
  <c r="Q268" i="14"/>
  <c r="Q281" i="14"/>
  <c r="Q44" i="14"/>
  <c r="Q220" i="14"/>
  <c r="Q323" i="14"/>
  <c r="Q90" i="14"/>
  <c r="Q191" i="14"/>
  <c r="Q450" i="14"/>
  <c r="Q88" i="14"/>
  <c r="Q156" i="14"/>
  <c r="Q285" i="14"/>
  <c r="Q303" i="14"/>
  <c r="Q361" i="14"/>
  <c r="Q214" i="14"/>
  <c r="Q389" i="14"/>
  <c r="Q386" i="14"/>
  <c r="Q237" i="14"/>
  <c r="Q272" i="14"/>
  <c r="Q129" i="14"/>
  <c r="Q341" i="14"/>
  <c r="Q342" i="14"/>
  <c r="Q240" i="14"/>
  <c r="Q130" i="14"/>
  <c r="Q435" i="14"/>
  <c r="Q427" i="14"/>
  <c r="Q257" i="14"/>
  <c r="Q215" i="14"/>
  <c r="Q212" i="14"/>
  <c r="Q273" i="14"/>
  <c r="Q43" i="14"/>
  <c r="Q203" i="14"/>
  <c r="Q351" i="14"/>
  <c r="Q41" i="14"/>
  <c r="Q75" i="14"/>
  <c r="Q291" i="14"/>
  <c r="Q307" i="14"/>
  <c r="Q177" i="14"/>
  <c r="Q428" i="14"/>
  <c r="Q213" i="14"/>
  <c r="Q48" i="14"/>
  <c r="Q462" i="14"/>
  <c r="Q27" i="14"/>
  <c r="Q147" i="14"/>
  <c r="Q89" i="14"/>
  <c r="Q110" i="14"/>
  <c r="Q118" i="14"/>
  <c r="Q234" i="14"/>
  <c r="Q74" i="14"/>
  <c r="Q159" i="14"/>
  <c r="Q422" i="14"/>
  <c r="Q396" i="14"/>
  <c r="Q244" i="14"/>
  <c r="Q324" i="14"/>
  <c r="Q155" i="14"/>
  <c r="Q420" i="14"/>
  <c r="Q421" i="14"/>
  <c r="Q253" i="14"/>
  <c r="Q314" i="14"/>
  <c r="Q463" i="14"/>
  <c r="Q429" i="14"/>
  <c r="Q250" i="14"/>
  <c r="Q26" i="14"/>
  <c r="Q127" i="14"/>
  <c r="Q402" i="14"/>
  <c r="Q116" i="14"/>
  <c r="Q469" i="14"/>
  <c r="Q466" i="14"/>
  <c r="Q286" i="14"/>
  <c r="Q407" i="14"/>
  <c r="Q158" i="14"/>
  <c r="Q366" i="14"/>
  <c r="Q367" i="14"/>
  <c r="Q225" i="14"/>
  <c r="Q343" i="14"/>
  <c r="Q173" i="14"/>
  <c r="Q304" i="14"/>
  <c r="Q321" i="14"/>
  <c r="Q192" i="14"/>
  <c r="Q128" i="14"/>
  <c r="Q408" i="14"/>
  <c r="Q404" i="14"/>
  <c r="Q246" i="14"/>
  <c r="Q254"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tc={83DE59F5-E5AC-42ED-93A0-A6711DC84F9A}</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83DE59F5-E5AC-42ED-93A0-A6711DC84F9A}">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<sst xmlns="http://schemas.openxmlformats.org/spreadsheetml/2006/main" count="1651" uniqueCount="485">
  <si>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</si>
  <si>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</si>
  <si>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</si>
  <si>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</si>
  <si>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</si>
  <si>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</si>
  <si>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</si>
  <si>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</si>
  <si>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</si>
  <si>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</si>
  <si>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</si>
  <si>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</si>
  <si>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</si>
  <si>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</si>
  <si>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</si>
  <si>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</si>
  <si>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</si>
  <si>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</si>
  <si>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</si>
  <si>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</si>
  <si>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</si>
  <si>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</si>
  <si>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</si>
  <si>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</si>
  <si>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</si>
  <si>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</si>
  <si>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</si>
  <si>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</si>
  <si>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</si>
  <si>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</si>
  <si>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</si>
  <si>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</si>
  <si>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</si>
  <si>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</si>
  <si>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</si>
  <si>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</si>
  <si>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</si>
  <si>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</si>
  <si>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</si>
  <si>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</si>
  <si>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</si>
  <si>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</si>
  <si>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</si>
  <si>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</si>
  <si>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</si>
  <si>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</si>
  <si>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</si>
  <si>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</si>
  <si>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</si>
  <si>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</si>
  <si>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</si>
  <si>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</si>
  <si>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</si>
  <si>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</si>
  <si>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</si>
  <si>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</si>
  <si>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</si>
  <si>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</si>
  <si>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</si>
  <si>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</si>
  <si>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</si>
  <si>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</si>
  <si>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</si>
  <si>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</si>
  <si>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</si>
  <si>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</si>
  <si>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</si>
  <si>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</si>
  <si>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</si>
  <si>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</si>
  <si>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</si>
  <si>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</si>
  <si>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</si>
  <si>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</si>
  <si>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</si>
  <si>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</si>
  <si>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</si>
  <si>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</si>
  <si>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</si>
  <si>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</si>
  <si>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</si>
  <si>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</si>
  <si>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</si>
  <si>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</si>
  <si>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</si>
  <si>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</si>
  <si>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</si>
  <si>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</si>
  <si>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</si>
  <si>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</si>
  <si>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</si>
  <si>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</si>
  <si>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</si>
  <si>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</si>
  <si>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</si>
  <si>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</si>
  <si>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</si>
  <si>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</si>
  <si>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</si>
  <si>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</si>
  <si>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</si>
  <si>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</si>
  <si>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</si>
  <si>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</si>
  <si>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</si>
  <si>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</si>
  <si>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</si>
  <si>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</si>
  <si>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</si>
  <si>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</si>
  <si>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</si>
  <si>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</si>
  <si>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</si>
  <si>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</si>
  <si>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</si>
  <si>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</si>
  <si>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</si>
  <si>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</si>
  <si>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</si>
  <si>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</si>
  <si>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</si>
  <si>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</si>
  <si>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</si>
  <si>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</si>
  <si>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</si>
  <si>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</si>
  <si>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</si>
  <si>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</si>
  <si>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</si>
  <si>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</si>
  <si>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</si>
  <si>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</si>
  <si>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</si>
  <si>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</si>
  <si>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</si>
  <si>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</si>
  <si>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</si>
  <si>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</si>
  <si>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</si>
  <si>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</si>
  <si>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</si>
  <si>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</si>
  <si>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</si>
  <si>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</si>
  <si>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</si>
  <si>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</si>
  <si>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</si>
  <si>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</si>
  <si>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</si>
  <si>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</si>
  <si>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</si>
  <si>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</si>
  <si>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</si>
  <si>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</si>
  <si>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</si>
  <si>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</si>
  <si>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</si>
  <si>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</si>
  <si>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</si>
  <si>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</si>
  <si>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</si>
  <si>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</si>
  <si>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</si>
  <si>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</si>
  <si>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</si>
  <si>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</si>
  <si>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</si>
  <si>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</si>
  <si>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</si>
  <si>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</si>
  <si>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</si>
  <si>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</si>
  <si>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</si>
  <si>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</si>
  <si>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</si>
  <si>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</si>
  <si>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</si>
  <si>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</si>
  <si>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</si>
  <si>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</si>
  <si>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</si>
  <si>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</si>
  <si>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</si>
  <si>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</si>
  <si>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</si>
  <si>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</si>
  <si>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</si>
  <si>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</si>
  <si>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</si>
  <si>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</si>
  <si>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</si>
  <si>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</si>
  <si>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</si>
  <si>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</si>
  <si>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</si>
  <si>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</si>
  <si>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</si>
  <si>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</si>
  <si>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</si>
  <si>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</si>
  <si>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</si>
  <si>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</si>
  <si>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</si>
  <si>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</si>
  <si>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</si>
  <si>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</si>
  <si>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</si>
  <si>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</si>
  <si>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</si>
  <si>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</si>
  <si>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</si>
  <si>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</si>
  <si>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</si>
  <si>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</si>
  <si>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</si>
  <si>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</si>
  <si>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</si>
  <si>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</si>
  <si>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</si>
  <si>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</si>
  <si>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</si>
  <si>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</si>
  <si>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</si>
  <si>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</si>
  <si>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</si>
  <si>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</si>
  <si>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</si>
  <si>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</si>
  <si>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</si>
  <si>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</si>
  <si>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</si>
  <si>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</si>
  <si>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</si>
  <si>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</si>
  <si>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</si>
  <si>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</si>
  <si>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</si>
  <si>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</si>
  <si>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</si>
  <si>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</si>
  <si>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</si>
  <si>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</si>
  <si>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</si>
  <si>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</si>
  <si>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</si>
  <si>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</si>
  <si>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</si>
  <si>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</si>
  <si>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</si>
  <si>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</si>
  <si>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</si>
  <si>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</si>
  <si>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</si>
  <si>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</si>
  <si>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</si>
  <si>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</si>
  <si>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</si>
  <si>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</si>
  <si>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</si>
  <si>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</si>
  <si>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</si>
  <si>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</si>
  <si>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</si>
  <si>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</si>
  <si>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</si>
  <si>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</si>
  <si>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</si>
  <si>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</si>
  <si>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</si>
  <si>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</si>
  <si>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</si>
  <si>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</si>
  <si>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</si>
  <si>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</si>
  <si>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</si>
  <si>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</si>
  <si>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</si>
  <si>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</si>
  <si>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</si>
  <si>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Branxton</t>
  </si>
  <si>
    <t>S.3</t>
  </si>
  <si>
    <t>Gravity Linear Asset in Branxton DSP Area - 225mm</t>
  </si>
  <si>
    <t>Gravity Linear Asset in Branxton DSP Area - 150mm</t>
  </si>
  <si>
    <t>Gravity Linear Asset in Branxton DSP Area - 300mm</t>
  </si>
  <si>
    <t>Gravity Linear Asset in Branxton DSP Area - 200mm</t>
  </si>
  <si>
    <t>Rising Linear Asset in Branxton DSP Area - 65mm</t>
  </si>
  <si>
    <t>BRANXTON/GRETA WWTW-AMENITIES(33.2M20</t>
  </si>
  <si>
    <t>BRANXTON/GRETA WWTW-MECH/ELECT</t>
  </si>
  <si>
    <t>BRANXTON/GRETA WWTW-PLANT BUILDINGS</t>
  </si>
  <si>
    <t>BRANXTON/GRETA WWTW-STRUCTURES</t>
  </si>
  <si>
    <t>Rising Linear Asset in Branxton DSP Area - 200mm</t>
  </si>
  <si>
    <t>Rising Linear Asset in Branxton DSP Area - 150mm</t>
  </si>
  <si>
    <t>Gravity Linear Asset in Branxton DSP Area - 375mm</t>
  </si>
  <si>
    <t>EAST BRANXTON 3 SPS-CIVIL</t>
  </si>
  <si>
    <t>EAST BRANXTON 2 SPS-CIVIL</t>
  </si>
  <si>
    <t>EAST BRANXTON 2 SPS-ELECTRICAL</t>
  </si>
  <si>
    <t>EAST BRANXTON 2 SPS-MECH</t>
  </si>
  <si>
    <t>BRANXTON/GRETA WWTW-WOODLOT</t>
  </si>
  <si>
    <t>EAST BRANXTON 2 SPS-O'FLOW-EAST BRANX 2</t>
  </si>
  <si>
    <t>EAST BRANXTON 3 SPS-O'FLOW-EAST BRANX 3</t>
  </si>
  <si>
    <t>BRANXTON WWTW - GRAVEL FILTER</t>
  </si>
  <si>
    <t>Metres</t>
  </si>
  <si>
    <t>Asset</t>
  </si>
  <si>
    <t>BRANXTON 2 SPS - TELEMETRY</t>
  </si>
  <si>
    <t>BRANXTON WWTW - EMM TELEM 2005/06</t>
  </si>
  <si>
    <t>BRANXTON 2 SPS EAST BFP</t>
  </si>
  <si>
    <t>BRANXTON 4 SPS (SEPTIC) BFP</t>
  </si>
  <si>
    <t>BRANXTON WWTW - CHEMICAL DOSING FAC REPS</t>
  </si>
  <si>
    <t>BRANXTON WWTW - INLET WORKS MODS</t>
  </si>
  <si>
    <t>Gravity Linear Asset in Branxton DSP Area - 1830mm</t>
  </si>
  <si>
    <t>BRANXTON WWTW - RESTORATION</t>
  </si>
  <si>
    <t>BRANXTON 2 SPS - CIVIL</t>
  </si>
  <si>
    <t>BRANXTON 2 SPS - ELECTRICAL</t>
  </si>
  <si>
    <t>BRANXTON 2 SPS - PUMP 1</t>
  </si>
  <si>
    <t>BRANXTON 2 SPS - PUMP 2</t>
  </si>
  <si>
    <t>BRANXTON WWTW - PORTABLE DO PROBE</t>
  </si>
  <si>
    <t>BRANXTON/GRETA WWTW - EMM CIVIL 07/08</t>
  </si>
  <si>
    <t>BRANXTON/GRETA WWTW - EMM ELECT 07/08</t>
  </si>
  <si>
    <t>BRANXTON/GRETA WWTW - EMM REPLACE 06/07</t>
  </si>
  <si>
    <t>BRANXTON WWTW - PLC CODE MODIFICATIONS</t>
  </si>
  <si>
    <t>BRANXTON WWTW - PLC SLUDGE DENSITY METER</t>
  </si>
  <si>
    <t>BRANXTON WWTW SLUDGE PUMP 1</t>
  </si>
  <si>
    <t>BRANXTON WWTW SLUDGE PUMP 2</t>
  </si>
  <si>
    <t>BRANXTON WWTW - EMM TELEM 07/08</t>
  </si>
  <si>
    <t>BRANXTON 4 SPS SEPTIC BFP - EMM 2007-08</t>
  </si>
  <si>
    <t>BRANXTON WWTW - EMM ELECT 07/08</t>
  </si>
  <si>
    <t>BRANXTON WWTW - EMM MECH 07-08</t>
  </si>
  <si>
    <t>BRANXTON WWTW - EMM MECH 07/08</t>
  </si>
  <si>
    <t>BRANXTON 4 SPS - SUB PUMP 1</t>
  </si>
  <si>
    <t>BRANXTON WWTW - PLC STAGE2 AERATION</t>
  </si>
  <si>
    <t>BRANXTON 4 SPS-(SEPTIC) DEL PIPE PUMP 2</t>
  </si>
  <si>
    <t>BRANXTON WWTW - EFFLUENT DISPOSAL SYSTEM</t>
  </si>
  <si>
    <t>BRANXTON WWTW - LIFTING DAVIT</t>
  </si>
  <si>
    <t>BRANXTON WWTW - SLUDGE DEPTH SONAR</t>
  </si>
  <si>
    <t>BRANXTON WWTW - 2NDARY TREATMT UPGRADE</t>
  </si>
  <si>
    <t>BRANXTON WWTW - RESTORATION WOODLOT</t>
  </si>
  <si>
    <t>Rising Linear Asset in Branxton DSP Area - 300mm</t>
  </si>
  <si>
    <t>BRANXTON WWTW-ASSET INSPECTION REGISTER</t>
  </si>
  <si>
    <t>BRANXTON WWTW-CONCRETE INLET WORKS STRUC</t>
  </si>
  <si>
    <t>BRANXTON WWTW-MEMBRANE FILTER SYS TELEM</t>
  </si>
  <si>
    <t>BRANXTON WWTW-ODOUR EXTRACTION FAN PUMP1</t>
  </si>
  <si>
    <t>BRANXTON WWTW-W/WEATHER BYPASS PMP STAT</t>
  </si>
  <si>
    <t>BRANXTON WWTW - 3 X SUBMERGED MEMBRANES</t>
  </si>
  <si>
    <t>BRANXTON WWTW - ADMINISTRATION BUILDING</t>
  </si>
  <si>
    <t>BRANXTON WWTW - AGITATION BLOWER</t>
  </si>
  <si>
    <t>BRANXTON WWTW - CHEMICAL DOSING FACILITY</t>
  </si>
  <si>
    <t>BRANXTON WWTW - CHEMICAL STORAGE PUMPS</t>
  </si>
  <si>
    <t>BRANXTON WWTW - CHEMICAL STORAGE TANKS</t>
  </si>
  <si>
    <t>BRANXTON WWTW - CONCRETE BIO STRUCTURE</t>
  </si>
  <si>
    <t>BRANXTON WWTW - CONCRETE STRUCTURES</t>
  </si>
  <si>
    <t>BRANXTON WWTW - DIFFUSED AERATION SYS 1</t>
  </si>
  <si>
    <t>BRANXTON WWTW - DIFFUSED AERATION SYS 2</t>
  </si>
  <si>
    <t>BRANXTON WWTW - DIFFUSED AERATION SYS 3</t>
  </si>
  <si>
    <t>BRANXTON WWTW - DRUM SCREEN</t>
  </si>
  <si>
    <t>BRANXTON WWTW - DUCTWORK &amp; FITTINGS</t>
  </si>
  <si>
    <t>BRANXTON WWTW - ELECTRICAL</t>
  </si>
  <si>
    <t>BRANXTON WWTW - EXTRACTION FAN 1</t>
  </si>
  <si>
    <t>BRANXTON WWTW - EXTRACTION FAN 2</t>
  </si>
  <si>
    <t>BRANXTON WWTW - GENERAL EARTHWORKS</t>
  </si>
  <si>
    <t>BRANXTON WWTW - GENERATOR HARD STAND</t>
  </si>
  <si>
    <t>BRANXTON WWTW - GRIT REMOVAL SYSTEM</t>
  </si>
  <si>
    <t>BRANXTON WWTW - GRIT TANK 1</t>
  </si>
  <si>
    <t>BRANXTON WWTW - GRIT WASHER &amp; CLARIFIER</t>
  </si>
  <si>
    <t>BRANXTON WWTW - INLET WORKS MECH</t>
  </si>
  <si>
    <t>BRANXTON WWTW - INLET WORKS TELEM</t>
  </si>
  <si>
    <t>BRANXTON WWTW - LANDSCAPING</t>
  </si>
  <si>
    <t>BRANXTON WWTW - MATURATION POND 1</t>
  </si>
  <si>
    <t>BRANXTON WWTW - MATURATION POND 2</t>
  </si>
  <si>
    <t>BRANXTON WWTW - MATURATION PONDS</t>
  </si>
  <si>
    <t>BRANXTON WWTW - MECHANICAL</t>
  </si>
  <si>
    <t>BRANXTON WWTW - MEMBRANE BLOWER PIPING</t>
  </si>
  <si>
    <t>BRANXTON WWTW - MEMBRANE FEED PIPING</t>
  </si>
  <si>
    <t>BRANXTON WWTW - MEMBRANE FILTER SYS ELEC</t>
  </si>
  <si>
    <t>BRANXTON WWTW - MEMBRANE FILTER SYS TANK</t>
  </si>
  <si>
    <t>BRANXTON WWTW - MEMBRANE PUMPS/STRAINERS</t>
  </si>
  <si>
    <t>BRANXTON WWTW - METALWORK FITOUT</t>
  </si>
  <si>
    <t>BRANXTON WWTW - MISCELLANEOUS SERVICES</t>
  </si>
  <si>
    <t>BRANXTON WWTW - MIXED LIQUOR PUMP 1</t>
  </si>
  <si>
    <t>BRANXTON WWTW - MIXED LIQUOR PUMP 2</t>
  </si>
  <si>
    <t>BRANXTON WWTW - RECLAIMED WATER PUMP 1</t>
  </si>
  <si>
    <t>BRANXTON WWTW - RECLAIMED WATER PUMP 2</t>
  </si>
  <si>
    <t>BRANXTON WWTW - RECLAIMED WATER PUMP 3</t>
  </si>
  <si>
    <t>BRANXTON WWTW - RISING MAIN 3</t>
  </si>
  <si>
    <t>BRANXTON WWTW - ROADWORKS</t>
  </si>
  <si>
    <t>BRANXTON WWTW - SCREENINGS WASH PRESS</t>
  </si>
  <si>
    <t>BRANXTON WWTW - SCREW CONVEYORS</t>
  </si>
  <si>
    <t>BRANXTON WWTW - SLUDGE HANDLING</t>
  </si>
  <si>
    <t>BRANXTON WWTW - STEP SCREEN</t>
  </si>
  <si>
    <t>BRANXTON WWTW - SUBMERSIBLE MIXERS</t>
  </si>
  <si>
    <t>BRANXTON WWTW - SWITCH YARD</t>
  </si>
  <si>
    <t>BRANXTON WWTW - SWITCHBOARD</t>
  </si>
  <si>
    <t>BRANXTON WWTW - TELEMETRY</t>
  </si>
  <si>
    <t>BRANXTON WWTW - TRANSFORMERS</t>
  </si>
  <si>
    <t>BRANXTON WWTW - VISUAL LANDSCAPING</t>
  </si>
  <si>
    <t>BRANXTON WWTW - W/WEATHER BYPASS PUMPS</t>
  </si>
  <si>
    <t>BRANXTON WWTW - WET WEATHER BYPASS</t>
  </si>
  <si>
    <t>BRANXTON WWTW - WPS CONCRETE STRUCTURE</t>
  </si>
  <si>
    <t>BRANXTON WWTW - YARD PIPING</t>
  </si>
  <si>
    <t>Gravity Linear Asset in Branxton DSP Area - 600mm</t>
  </si>
  <si>
    <t>Gravity Linear Asset in Branxton DSP Area - 1050mm</t>
  </si>
  <si>
    <t>Rising Linear Asset in Branxton DSP Area - 250mm</t>
  </si>
  <si>
    <t>EAST BRANXTON 3 SPS - ACCESS ROAD</t>
  </si>
  <si>
    <t>EAST BRANXTON 3 SPS - CONCRETE HARDSTAND</t>
  </si>
  <si>
    <t>EAST BRANXTON 3 SPS - HV NETWORK</t>
  </si>
  <si>
    <t>EAST BRANXTON 3 SPS - OTHER CIVIL</t>
  </si>
  <si>
    <t>EAST BRANXTON 3 SPS - OTHER ELECTRICAL</t>
  </si>
  <si>
    <t>EAST BRANXTON 3 SPS - OTHER MECHANICAL</t>
  </si>
  <si>
    <t>EAST BRANXTON 3 SPS - PLC &amp; SCADA</t>
  </si>
  <si>
    <t>EAST BRANXTON 3 SPS - PUMP 1</t>
  </si>
  <si>
    <t>EAST BRANXTON 3 SPS - PUMP 2</t>
  </si>
  <si>
    <t>EAST BRANXTON 3 SPS - VSD EQUIPMENT</t>
  </si>
  <si>
    <t>EAST BRANXTON 3 SPS - VSD STRUCTURE</t>
  </si>
  <si>
    <t>BRANXTON WWTW - MACHINE GUARDING</t>
  </si>
  <si>
    <t>BRANXTON WWTW - EMM ELEC 2014</t>
  </si>
  <si>
    <t>BRANXTON WWTW - SAFETY IMPROVEMENTS</t>
  </si>
  <si>
    <t>BRANXTON 4 SPS - SWITCHBOARD</t>
  </si>
  <si>
    <t>BRANXTON WWTW- EARTHING SYSTEM</t>
  </si>
  <si>
    <t>BRANXTON WWTW - MECH 2014</t>
  </si>
  <si>
    <t>BRANXTON WWTW - SMALL CAPITAL WORKS</t>
  </si>
  <si>
    <t>BRANXTON WWTW - CONDITION ASSESSMENT</t>
  </si>
  <si>
    <t>BRANXTON WWTW - ELEC MINOR CAP 2013/16</t>
  </si>
  <si>
    <t>BRANXTON WWTW - MECH MINOR CAP 2013/16</t>
  </si>
  <si>
    <t>BRANXTON WWTW - TELE MINOR CAP 2013/16</t>
  </si>
  <si>
    <t>BRANXTON 2 SPS - GUIDERAILS 2016</t>
  </si>
  <si>
    <t>BRANXTON 2 SPS - FALL ARREST HANDRAILS</t>
  </si>
  <si>
    <t>BRANXTON 3 SPS - FALL ARREST HANDRAILS</t>
  </si>
  <si>
    <t>BRANXTON 4 SPS - FALL ARREST HANDRAILS</t>
  </si>
  <si>
    <t>BRANXTON WWTW - EMM ELEC 2015</t>
  </si>
  <si>
    <t>BRANXTON WWTW - PRESSURE RELIEF VALVES</t>
  </si>
  <si>
    <t>BRANXTON WWTW - EMM VALVES 2016</t>
  </si>
  <si>
    <t>BRANXTON 4 SPS - EMM ELEC 2016</t>
  </si>
  <si>
    <t>BRANXTON 3 SPS - SEWER VENT</t>
  </si>
  <si>
    <t>BRANXTON WWTW - G'WATER MONITORING BORES</t>
  </si>
  <si>
    <t>BRANXTON WWTW - EMM VALVES 2017</t>
  </si>
  <si>
    <t>BRANXTON WWTW - EMM MECH 2016-17</t>
  </si>
  <si>
    <t>BRANXTON 4 SPS - UPGRADE PLC</t>
  </si>
  <si>
    <t>BRANXTON WWTW - STEP SCREEN WASH PRESS</t>
  </si>
  <si>
    <t>BRANXTON 4 SPS - TELEMETRY RADIO</t>
  </si>
  <si>
    <t>EAST BRANXTON 1  SPS - TELEMETRY RADIO</t>
  </si>
  <si>
    <t>BRANXTON WWTW - EMM ELEC 2017-18</t>
  </si>
  <si>
    <t>BRANXTON WWTW - EMM MECH 2017-18</t>
  </si>
  <si>
    <t>BRANXTON 3 SPS - FLOW CONTROL</t>
  </si>
  <si>
    <t>COND ASSESS - BRANXTON WWTW</t>
  </si>
  <si>
    <t>BRANXTON WWTW - BED 1 ODOUR MEDIA</t>
  </si>
  <si>
    <t>BRANXTON WWTW - PERMEATE PUMP 2</t>
  </si>
  <si>
    <t>BRANXTON 4 SPS - UNITY 12 UPGRADE</t>
  </si>
  <si>
    <t>BRANXTON WWTW - EMM ELEC 2018-19</t>
  </si>
  <si>
    <t>EAST BRANXTON 1 SPS - TELEM UPGRADE</t>
  </si>
  <si>
    <t>BRANXTON WWTW - WASHPRESS OVERHAUL</t>
  </si>
  <si>
    <t>BRANXTON WWTP - MEMBRANE CASSETTES T3&amp;4</t>
  </si>
  <si>
    <t>BRANXTON WWTP - MEMBRANE CASSETTES T2</t>
  </si>
  <si>
    <t>BRANXTON WWTW - SOLAR INVERTER 1</t>
  </si>
  <si>
    <t>BRANXTON WWTW - SOLAR INVERTER 2</t>
  </si>
  <si>
    <t>BRANXTON WWTW - SOLAR PANEL ARRAY 1</t>
  </si>
  <si>
    <t>BRANXTON WWTW - SOLAR PANEL ARRAY 2</t>
  </si>
  <si>
    <t>BRANXTON WWTW - SOLAR PANEL ARRAY 3</t>
  </si>
  <si>
    <t>BRANXTON WWTW - SOLAR PANEL ARRAY 4</t>
  </si>
  <si>
    <t>BRANXTON WWTW - SOLAR PANEL ARRAY 5</t>
  </si>
  <si>
    <t>BRANXTON WWTW - SOLAR PROTECTION SB</t>
  </si>
  <si>
    <t>Revenue per ET ($20-21)</t>
  </si>
  <si>
    <t>Operating costs per ET 
($20-21)</t>
  </si>
  <si>
    <t>All areas</t>
  </si>
  <si>
    <t>Belmont</t>
  </si>
  <si>
    <t>Boulder Bay</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</si>
  <si>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</si>
  <si>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</si>
  <si>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</si>
  <si>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</si>
  <si>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</si>
  <si>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</si>
  <si>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</si>
  <si>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</si>
  <si>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</si>
  <si>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</si>
  <si>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</si>
  <si>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</si>
  <si>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</si>
  <si>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</si>
  <si>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</si>
  <si>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</si>
  <si>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</si>
  <si>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Checks</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</si>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</sst>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3">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0" fontId="10" fillId="0" borderId="0" xfId="0" applyFont="1" applyAlignment="1">
      <alignment horizontal="center" vertical="center" wrapText="1"/>
    </xf>
    <xf numFmtId="0" fontId="0" fillId="14" borderId="5" xfId="14" applyFont="1" applyFill="1" applyBorder="1" applyAlignment="1">
      <alignment horizontal="center" wrapText="1"/>
    </xf>
    <xf numFmtId="164" fontId="0" fillId="0" borderId="0" xfId="1" applyNumberFormat="1" applyFont="1" applyFill="1" applyBorder="1"/>
    <xf numFmtId="174" fontId="0" fillId="0" borderId="2" xfId="1" applyNumberFormat="1" applyFont="1" applyBorder="1"/>
    <xf numFmtId="0" fontId="0" fillId="0" borderId="0" xfId="0" quotePrefix="1" applyAlignment="1">
      <alignment horizontal="left" indent="2"/>
    </xf>
    <xf numFmtId="174" fontId="1"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83DE59F5-E5AC-42ED-93A0-A6711DC84F9A}">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195</v>
      </c>
      <c r="D3" s="7"/>
      <c r="E3" s="7"/>
      <c r="F3" s="8"/>
      <c r="G3" s="8"/>
      <c r="H3" s="8"/>
      <c r="I3" s="8"/>
    </row>
    <row r="4" spans="3:9" ht="12" customHeight="1" x14ac:dyDescent="0.25">
      <c r="C4" s="7"/>
      <c r="D4" s="7"/>
      <c r="E4" s="7"/>
      <c r="F4" s="8"/>
      <c r="G4" s="8"/>
      <c r="H4" s="8"/>
      <c r="I4" s="8"/>
    </row>
    <row r="5" spans="3:9" x14ac:dyDescent="0.25">
      <c r="C5" s="6" t="s">
        <v>1</v>
      </c>
      <c r="D5" s="6"/>
      <c r="E5" s="9" t="s">
        <v>77</v>
      </c>
      <c r="F5" s="8"/>
      <c r="G5" s="8"/>
      <c r="I5" s="8"/>
    </row>
    <row r="6" spans="3:9" x14ac:dyDescent="0.25">
      <c r="C6" t="s">
        <v>2</v>
      </c>
      <c r="E6" s="67" t="s">
        <v>78</v>
      </c>
      <c r="F6" s="8"/>
      <c r="G6" s="8"/>
      <c r="I6" s="8"/>
    </row>
    <row r="8" spans="3:9" ht="15.75" customHeight="1" x14ac:dyDescent="0.25">
      <c r="C8" s="7"/>
      <c r="D8" s="7"/>
      <c r="E8" s="7"/>
      <c r="F8" s="8"/>
      <c r="G8" s="8"/>
    </row>
    <row r="10" spans="3:9" ht="14" x14ac:dyDescent="0.3">
      <c r="C10" s="10" t="s">
        <v>3</v>
      </c>
      <c r="D10" s="10"/>
      <c r="E10" s="11"/>
    </row>
    <row r="12" spans="3:9" ht="27" customHeight="1" x14ac:dyDescent="0.25">
      <c r="C12" s="245" t="s">
        <v>205</v>
      </c>
      <c r="D12" s="245"/>
      <c r="E12" s="245"/>
      <c r="F12" s="8"/>
      <c r="G12" s="8"/>
      <c r="I12" s="8"/>
    </row>
    <row r="13" spans="3:9" x14ac:dyDescent="0.25">
      <c r="C13" s="33"/>
      <c r="D13" s="33"/>
      <c r="E13" s="33"/>
      <c r="F13" s="8"/>
      <c r="G13" s="8"/>
      <c r="I13" s="8"/>
    </row>
    <row r="14" spans="3:9" ht="35.5" customHeight="1" x14ac:dyDescent="0.25">
      <c r="C14" s="245" t="s">
        <v>238</v>
      </c>
      <c r="D14" s="245"/>
      <c r="E14" s="245"/>
      <c r="F14" s="8"/>
      <c r="G14" s="8"/>
      <c r="I14" s="8"/>
    </row>
    <row r="15" spans="3:9" ht="15" customHeight="1" x14ac:dyDescent="0.25">
      <c r="C15" s="12"/>
      <c r="D15" s="12"/>
      <c r="E15" s="8"/>
      <c r="F15" s="8"/>
      <c r="G15" s="8"/>
      <c r="I15" s="8"/>
    </row>
    <row r="16" spans="3:9" ht="15" customHeight="1" x14ac:dyDescent="0.3">
      <c r="C16" s="10" t="s">
        <v>210</v>
      </c>
      <c r="D16" s="10"/>
      <c r="E16" s="13"/>
      <c r="F16" s="8"/>
      <c r="G16" s="8"/>
      <c r="I16" s="8"/>
    </row>
    <row r="17" spans="2:9" ht="15" customHeight="1" x14ac:dyDescent="0.25">
      <c r="C17" s="12"/>
      <c r="D17" s="12"/>
      <c r="E17" s="8"/>
      <c r="F17" s="8"/>
      <c r="G17" s="8"/>
      <c r="I17" s="8"/>
    </row>
    <row r="18" spans="2:9" ht="37.5" customHeight="1" x14ac:dyDescent="0.25">
      <c r="C18" s="245"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5"/>
      <c r="E18" s="245"/>
      <c r="F18" s="8"/>
      <c r="G18" s="8"/>
      <c r="I18" s="8"/>
    </row>
    <row r="19" spans="2:9" ht="6" customHeight="1" x14ac:dyDescent="0.25">
      <c r="D19" s="12"/>
      <c r="E19" s="8"/>
      <c r="F19" s="8"/>
      <c r="G19" s="8"/>
      <c r="I19" s="8"/>
    </row>
    <row r="20" spans="2:9" ht="37.5" customHeight="1" x14ac:dyDescent="0.25">
      <c r="B20" s="95"/>
      <c r="C20" s="245"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5"/>
      <c r="E20" s="245"/>
      <c r="F20" s="8"/>
      <c r="G20" s="8"/>
      <c r="I20" s="8"/>
    </row>
    <row r="21" spans="2:9" x14ac:dyDescent="0.25">
      <c r="B21" s="95"/>
      <c r="C21" s="33"/>
      <c r="D21" s="33"/>
      <c r="E21" s="33"/>
      <c r="F21" s="8"/>
      <c r="G21" s="8"/>
      <c r="I21" s="8"/>
    </row>
    <row r="22" spans="2:9" ht="14" x14ac:dyDescent="0.3">
      <c r="B22" s="95"/>
      <c r="C22" s="10" t="s">
        <v>211</v>
      </c>
      <c r="D22" s="10"/>
      <c r="E22" s="13"/>
      <c r="F22" s="8"/>
      <c r="G22" s="8"/>
      <c r="I22" s="8"/>
    </row>
    <row r="23" spans="2:9" x14ac:dyDescent="0.25">
      <c r="D23" s="12"/>
      <c r="E23" s="8"/>
      <c r="F23" s="8"/>
      <c r="G23" s="8"/>
      <c r="I23" s="8"/>
    </row>
    <row r="24" spans="2:9" x14ac:dyDescent="0.25">
      <c r="C24" s="6" t="s">
        <v>215</v>
      </c>
      <c r="D24" s="12"/>
      <c r="E24" s="8"/>
      <c r="F24" s="8"/>
      <c r="G24" s="8"/>
      <c r="I24" s="8"/>
    </row>
    <row r="25" spans="2:9" ht="6" customHeight="1" x14ac:dyDescent="0.25">
      <c r="D25" s="12"/>
      <c r="E25" s="8"/>
      <c r="F25" s="8"/>
      <c r="G25" s="8"/>
      <c r="I25" s="8"/>
    </row>
    <row r="26" spans="2:9" ht="15" customHeight="1" x14ac:dyDescent="0.25">
      <c r="C26" s="246" t="s">
        <v>79</v>
      </c>
      <c r="D26" s="246"/>
      <c r="E26" s="246"/>
      <c r="F26" s="8"/>
      <c r="G26" s="8"/>
      <c r="H26" s="8"/>
      <c r="I26" s="8"/>
    </row>
    <row r="27" spans="2:9" ht="6" customHeight="1" x14ac:dyDescent="0.25">
      <c r="D27" s="12"/>
      <c r="E27" s="8"/>
      <c r="F27" s="8"/>
      <c r="G27" s="8"/>
      <c r="H27" s="8"/>
      <c r="I27" s="8"/>
    </row>
    <row r="28" spans="2:9" ht="15" customHeight="1" x14ac:dyDescent="0.25">
      <c r="C28" s="96" t="s">
        <v>102</v>
      </c>
      <c r="D28" s="68" t="str">
        <f ca="1">MID(CELL("filename",'General inputs'!$A$1),FIND("]",CELL("filename",'General inputs'!$A$1))+1,255)</f>
        <v>General inputs</v>
      </c>
      <c r="E28" s="8"/>
      <c r="F28" s="8"/>
      <c r="G28" s="8"/>
      <c r="H28" s="8"/>
      <c r="I28" s="8"/>
    </row>
    <row r="29" spans="2:9" ht="15" customHeight="1" x14ac:dyDescent="0.25">
      <c r="C29" s="96" t="s">
        <v>102</v>
      </c>
      <c r="D29" s="8" t="str">
        <f ca="1">MID(CELL("filename",'Pre-1996 assets'!$A$1),FIND("]",CELL("filename",'Pre-1996 assets'!$A$1))+1,255)</f>
        <v>Pre-1996 assets</v>
      </c>
      <c r="E29" s="8"/>
      <c r="F29" s="8"/>
      <c r="G29" s="8"/>
      <c r="H29" s="8"/>
      <c r="I29" s="8"/>
    </row>
    <row r="30" spans="2:9" ht="15" customHeight="1" x14ac:dyDescent="0.25">
      <c r="C30" s="96" t="s">
        <v>102</v>
      </c>
      <c r="D30" s="8" t="str">
        <f ca="1">MID(CELL("filename",'Post-1996 commissioned assets'!$A$1),FIND("]",CELL("filename",'Post-1996 commissioned assets'!$A$1))+1,255)</f>
        <v>Post-1996 commissioned assets</v>
      </c>
      <c r="E30" s="8"/>
      <c r="F30" s="8"/>
      <c r="G30" s="8"/>
      <c r="H30" s="8"/>
      <c r="I30" s="8"/>
    </row>
    <row r="31" spans="2:9" ht="15" customHeight="1" x14ac:dyDescent="0.25">
      <c r="C31" s="96" t="s">
        <v>102</v>
      </c>
      <c r="D31" s="8" t="str">
        <f ca="1">MID(CELL("filename",'Uncommissioned assets'!$A$1),FIND("]",CELL("filename",'Uncommissioned assets'!$A$1))+1,255)</f>
        <v>Uncommissioned assets</v>
      </c>
      <c r="E31" s="8"/>
      <c r="F31" s="8"/>
      <c r="G31" s="8"/>
      <c r="H31" s="8"/>
      <c r="I31" s="8"/>
    </row>
    <row r="32" spans="2:9" ht="15" customHeight="1" x14ac:dyDescent="0.25">
      <c r="C32" s="96" t="s">
        <v>102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68</v>
      </c>
      <c r="F34" s="8"/>
      <c r="G34" s="8"/>
      <c r="H34" s="8"/>
      <c r="I34" s="8"/>
    </row>
    <row r="35" spans="3:9" ht="6" customHeight="1" x14ac:dyDescent="0.25">
      <c r="C35" s="33"/>
      <c r="D35" s="33"/>
      <c r="E35" s="33"/>
      <c r="F35" s="8"/>
      <c r="G35" s="8"/>
      <c r="H35" s="8"/>
      <c r="I35" s="8"/>
    </row>
    <row r="36" spans="3:9" ht="15" customHeight="1" x14ac:dyDescent="0.25">
      <c r="C36" s="245" t="s">
        <v>103</v>
      </c>
      <c r="D36" s="245"/>
      <c r="E36" s="245"/>
      <c r="F36" s="8"/>
      <c r="G36" s="8"/>
      <c r="H36" s="8"/>
      <c r="I36" s="8"/>
    </row>
    <row r="37" spans="3:9" ht="6" customHeight="1" x14ac:dyDescent="0.25">
      <c r="D37" s="12"/>
      <c r="E37" s="8"/>
      <c r="F37" s="8"/>
      <c r="G37" s="8"/>
      <c r="H37" s="8"/>
      <c r="I37" s="8"/>
    </row>
    <row r="38" spans="3:9" ht="15" customHeight="1" x14ac:dyDescent="0.25">
      <c r="C38" s="97" t="s">
        <v>102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45"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5"/>
      <c r="E40" s="245"/>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104</v>
      </c>
      <c r="D44" s="8"/>
      <c r="E44" s="8"/>
      <c r="F44" s="8"/>
      <c r="G44" s="8"/>
      <c r="H44" s="8"/>
      <c r="I44" s="8"/>
    </row>
    <row r="45" spans="3:9" ht="6" customHeight="1" x14ac:dyDescent="0.25">
      <c r="C45" s="6"/>
      <c r="D45" s="8"/>
      <c r="E45" s="8"/>
      <c r="F45" s="8"/>
      <c r="G45" s="8"/>
      <c r="H45" s="8"/>
      <c r="I45" s="8"/>
    </row>
    <row r="46" spans="3:9" ht="15" customHeight="1" x14ac:dyDescent="0.25">
      <c r="C46" s="245" t="s">
        <v>105</v>
      </c>
      <c r="D46" s="245"/>
      <c r="E46" s="245"/>
      <c r="F46" s="8"/>
      <c r="G46" s="8"/>
      <c r="H46" s="8"/>
      <c r="I46" s="8"/>
    </row>
    <row r="47" spans="3:9" ht="6" customHeight="1" x14ac:dyDescent="0.25">
      <c r="C47" s="33"/>
      <c r="D47" s="33"/>
      <c r="E47" s="33"/>
      <c r="F47" s="8"/>
      <c r="G47" s="8"/>
      <c r="H47" s="8"/>
      <c r="I47" s="8"/>
    </row>
    <row r="48" spans="3:9" ht="15" customHeight="1" x14ac:dyDescent="0.25">
      <c r="C48" s="97" t="s">
        <v>102</v>
      </c>
      <c r="D48" s="8" t="str">
        <f ca="1">MID(CELL("filename",'Headwork assets'!$A$1),FIND("]",CELL("filename",'Headwork assets'!$A$1))+1,255)</f>
        <v>Headwork assets</v>
      </c>
      <c r="E48" s="8"/>
      <c r="F48" s="8"/>
      <c r="G48" s="8"/>
      <c r="H48" s="8"/>
      <c r="I48" s="8"/>
    </row>
    <row r="49" spans="3:9" ht="6" customHeight="1" x14ac:dyDescent="0.25">
      <c r="C49" s="97"/>
      <c r="D49" s="8"/>
      <c r="E49" s="8"/>
      <c r="F49" s="8"/>
      <c r="G49" s="8"/>
      <c r="H49" s="8"/>
      <c r="I49" s="8"/>
    </row>
    <row r="50" spans="3:9" ht="15" customHeight="1" x14ac:dyDescent="0.25">
      <c r="C50" s="246" t="s">
        <v>106</v>
      </c>
      <c r="D50" s="246"/>
      <c r="E50" s="246"/>
      <c r="F50" s="8"/>
      <c r="G50" s="8"/>
      <c r="H50" s="8"/>
      <c r="I50" s="8"/>
    </row>
    <row r="51" spans="3:9" ht="6" customHeight="1" x14ac:dyDescent="0.25">
      <c r="F51" s="8"/>
      <c r="G51" s="8"/>
      <c r="H51" s="8"/>
      <c r="I51" s="8"/>
    </row>
    <row r="52" spans="3:9" ht="24" customHeight="1" x14ac:dyDescent="0.25">
      <c r="C52" s="245" t="s">
        <v>84</v>
      </c>
      <c r="D52" s="245"/>
      <c r="E52" s="245"/>
      <c r="F52" s="8"/>
      <c r="G52" s="8"/>
      <c r="H52" s="8"/>
      <c r="I52" s="8"/>
    </row>
    <row r="53" spans="3:9" ht="15" customHeight="1" x14ac:dyDescent="0.25">
      <c r="C53" s="33"/>
      <c r="D53" s="33"/>
      <c r="E53" s="33"/>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5">
      <c r="C55" s="33"/>
      <c r="D55" s="33"/>
      <c r="E55" s="33"/>
      <c r="F55" s="8"/>
      <c r="G55" s="8"/>
      <c r="H55" s="8"/>
      <c r="I55" s="8"/>
    </row>
    <row r="56" spans="3:9" ht="15" customHeight="1" x14ac:dyDescent="0.25">
      <c r="C56" s="6" t="s">
        <v>212</v>
      </c>
      <c r="D56" s="8"/>
      <c r="E56" s="8"/>
      <c r="F56" s="8"/>
      <c r="G56" s="8"/>
      <c r="H56" s="8"/>
      <c r="I56" s="8"/>
    </row>
    <row r="57" spans="3:9" ht="6" customHeight="1" x14ac:dyDescent="0.25">
      <c r="C57" s="6"/>
      <c r="D57" s="8"/>
      <c r="E57" s="8"/>
      <c r="F57" s="8"/>
      <c r="G57" s="8"/>
      <c r="H57" s="8"/>
      <c r="I57" s="8"/>
    </row>
    <row r="58" spans="3:9" ht="15" customHeight="1" x14ac:dyDescent="0.25">
      <c r="C58" s="245" t="s">
        <v>213</v>
      </c>
      <c r="D58" s="245"/>
      <c r="E58" s="245"/>
      <c r="F58" s="8"/>
      <c r="G58" s="8"/>
      <c r="H58" s="8"/>
      <c r="I58" s="8"/>
    </row>
    <row r="59" spans="3:9" ht="6" customHeight="1" x14ac:dyDescent="0.25">
      <c r="C59" s="33"/>
      <c r="D59" s="33"/>
      <c r="E59" s="33"/>
      <c r="F59" s="8"/>
      <c r="G59" s="8"/>
      <c r="H59" s="8"/>
      <c r="I59" s="8"/>
    </row>
    <row r="60" spans="3:9" ht="15" customHeight="1" x14ac:dyDescent="0.25">
      <c r="C60" s="97" t="s">
        <v>102</v>
      </c>
      <c r="D60" s="8" t="str">
        <f ca="1">MID(CELL("filename",'Scheme cost allocation'!$A$1),FIND("]",CELL("filename",'Scheme cost allocation'!$A$1))+1,255)</f>
        <v>Scheme cost allocation</v>
      </c>
      <c r="E60" s="8"/>
      <c r="F60" s="8"/>
      <c r="G60" s="8"/>
      <c r="H60" s="8"/>
      <c r="I60" s="8"/>
    </row>
    <row r="61" spans="3:9" ht="6" customHeight="1" x14ac:dyDescent="0.25">
      <c r="C61" s="97"/>
      <c r="D61" s="8"/>
      <c r="E61" s="8"/>
      <c r="F61" s="8"/>
      <c r="G61" s="8"/>
      <c r="H61" s="8"/>
      <c r="I61" s="8"/>
    </row>
    <row r="62" spans="3:9" ht="15" customHeight="1" x14ac:dyDescent="0.25">
      <c r="C62" s="246" t="s">
        <v>214</v>
      </c>
      <c r="D62" s="246"/>
      <c r="E62" s="246"/>
      <c r="F62" s="8"/>
      <c r="G62" s="8"/>
      <c r="H62" s="8"/>
      <c r="I62" s="8"/>
    </row>
    <row r="63" spans="3:9" ht="6" customHeight="1" x14ac:dyDescent="0.25">
      <c r="F63" s="8"/>
      <c r="G63" s="8"/>
      <c r="H63" s="8"/>
      <c r="I63" s="8"/>
    </row>
    <row r="64" spans="3:9" ht="24" customHeight="1" x14ac:dyDescent="0.25">
      <c r="C64" s="245" t="s">
        <v>84</v>
      </c>
      <c r="D64" s="245"/>
      <c r="E64" s="245"/>
      <c r="F64" s="8"/>
      <c r="G64" s="8"/>
      <c r="H64" s="8"/>
      <c r="I64" s="8"/>
    </row>
    <row r="65" spans="3:9" ht="6" customHeight="1" x14ac:dyDescent="0.25">
      <c r="C65" s="33"/>
      <c r="D65" s="33"/>
      <c r="E65" s="33"/>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5">
      <c r="C67" s="33"/>
      <c r="D67" s="33"/>
      <c r="E67" s="33"/>
      <c r="F67" s="8"/>
      <c r="G67" s="8"/>
      <c r="H67" s="8"/>
      <c r="I67" s="8"/>
    </row>
    <row r="68" spans="3:9" ht="15" customHeight="1" x14ac:dyDescent="0.25">
      <c r="C68" s="6" t="s">
        <v>191</v>
      </c>
      <c r="D68" s="6"/>
      <c r="E68" s="98"/>
      <c r="F68" s="8"/>
      <c r="G68" s="8"/>
      <c r="H68" s="8"/>
      <c r="I68" s="8"/>
    </row>
    <row r="69" spans="3:9" ht="6" customHeight="1" x14ac:dyDescent="0.25">
      <c r="C69" s="6"/>
      <c r="D69" s="6"/>
      <c r="E69" s="98"/>
      <c r="F69" s="8"/>
      <c r="G69" s="8"/>
      <c r="H69" s="8"/>
      <c r="I69" s="8"/>
    </row>
    <row r="70" spans="3:9" ht="15" customHeight="1" x14ac:dyDescent="0.25">
      <c r="C70" s="4" t="s">
        <v>192</v>
      </c>
      <c r="D70" s="6"/>
      <c r="E70" s="98"/>
      <c r="F70" s="8"/>
      <c r="G70" s="8"/>
      <c r="H70" s="8"/>
      <c r="I70" s="8"/>
    </row>
    <row r="71" spans="3:9" ht="6" customHeight="1" x14ac:dyDescent="0.25">
      <c r="C71" s="4"/>
      <c r="D71" s="6"/>
      <c r="E71" s="98"/>
      <c r="F71" s="8"/>
      <c r="G71" s="8"/>
      <c r="H71" s="8"/>
      <c r="I71" s="8"/>
    </row>
    <row r="72" spans="3:9" x14ac:dyDescent="0.25">
      <c r="C72" s="97" t="s">
        <v>102</v>
      </c>
      <c r="D72" s="68" t="str">
        <f ca="1">MID(CELL("filename",'MP Calculations'!A8),FIND("]",CELL("filename",'MP Calculations'!A8))+1,255)</f>
        <v>MP Calculations</v>
      </c>
      <c r="E72" s="98"/>
      <c r="F72" s="8"/>
      <c r="G72" s="8"/>
      <c r="H72" s="8"/>
      <c r="I72" s="8"/>
    </row>
    <row r="73" spans="3:9" x14ac:dyDescent="0.25">
      <c r="C73" s="97" t="s">
        <v>102</v>
      </c>
      <c r="D73" s="68" t="str">
        <f ca="1">MID(CELL("filename",'Summary of result'!A11),FIND("]",CELL("filename",'Summary of result'!A11))+1,255)</f>
        <v>Summary of result</v>
      </c>
      <c r="E73" s="98"/>
      <c r="F73" s="8"/>
      <c r="G73" s="8"/>
      <c r="H73" s="8"/>
      <c r="I73" s="8"/>
    </row>
    <row r="74" spans="3:9" ht="6" customHeight="1" x14ac:dyDescent="0.25">
      <c r="C74" s="97"/>
      <c r="D74" s="68"/>
      <c r="E74" s="98"/>
      <c r="F74" s="8"/>
      <c r="G74" s="8"/>
      <c r="H74" s="8"/>
      <c r="I74" s="8"/>
    </row>
    <row r="75" spans="3:9" x14ac:dyDescent="0.25">
      <c r="C75" s="245" t="s">
        <v>196</v>
      </c>
      <c r="D75" s="245"/>
      <c r="E75" s="245"/>
      <c r="F75" s="8"/>
      <c r="G75" s="8"/>
      <c r="H75" s="8"/>
      <c r="I75" s="8"/>
    </row>
    <row r="76" spans="3:9" ht="15" customHeight="1" x14ac:dyDescent="0.25">
      <c r="D76" s="12"/>
      <c r="E76" s="8"/>
      <c r="F76" s="8"/>
      <c r="G76" s="8"/>
      <c r="H76" s="8"/>
      <c r="I76" s="8"/>
    </row>
    <row r="77" spans="3:9" ht="15" customHeight="1" x14ac:dyDescent="0.25">
      <c r="C77" s="6" t="s">
        <v>107</v>
      </c>
      <c r="D77" s="12"/>
      <c r="E77" s="8"/>
      <c r="F77" s="8"/>
      <c r="G77" s="8"/>
      <c r="H77" s="8"/>
      <c r="I77" s="8"/>
    </row>
    <row r="78" spans="3:9" ht="6" customHeight="1" x14ac:dyDescent="0.25">
      <c r="D78" s="12"/>
      <c r="E78" s="8"/>
      <c r="F78" s="8"/>
      <c r="G78" s="8"/>
      <c r="H78" s="8"/>
      <c r="I78" s="8"/>
    </row>
    <row r="79" spans="3:9" ht="15" customHeight="1" x14ac:dyDescent="0.25">
      <c r="C79" s="8" t="s">
        <v>108</v>
      </c>
      <c r="D79" s="12"/>
      <c r="E79" s="8"/>
      <c r="F79" s="8"/>
      <c r="G79" s="8"/>
      <c r="H79" s="8"/>
      <c r="I79" s="8"/>
    </row>
    <row r="80" spans="3:9" ht="6" customHeight="1" x14ac:dyDescent="0.25">
      <c r="C80" s="8"/>
      <c r="D80" s="12"/>
      <c r="E80" s="8"/>
      <c r="F80" s="8"/>
      <c r="G80" s="8"/>
      <c r="H80" s="8"/>
      <c r="I80" s="8"/>
    </row>
    <row r="81" spans="3:9" ht="15" customHeight="1" x14ac:dyDescent="0.25">
      <c r="C81" s="97" t="s">
        <v>102</v>
      </c>
      <c r="D81" s="68"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98" t="s">
        <v>193</v>
      </c>
      <c r="D83" s="12"/>
      <c r="E83" s="8"/>
      <c r="F83" s="8"/>
      <c r="G83" s="8"/>
      <c r="H83" s="8"/>
      <c r="I83" s="8"/>
    </row>
    <row r="84" spans="3:9" ht="15" customHeight="1" x14ac:dyDescent="0.25">
      <c r="C84" s="97" t="s">
        <v>102</v>
      </c>
      <c r="D84" s="101" t="s">
        <v>114</v>
      </c>
      <c r="F84" s="8"/>
      <c r="G84" s="8"/>
      <c r="H84" s="8"/>
      <c r="I84" s="8"/>
    </row>
    <row r="85" spans="3:9" ht="15" customHeight="1" x14ac:dyDescent="0.25">
      <c r="C85" s="97" t="s">
        <v>102</v>
      </c>
      <c r="D85" s="156" t="s">
        <v>233</v>
      </c>
      <c r="F85" s="8"/>
      <c r="G85" s="8"/>
      <c r="H85" s="8"/>
      <c r="I85" s="8"/>
    </row>
    <row r="86" spans="3:9" ht="15" customHeight="1" x14ac:dyDescent="0.25">
      <c r="C86" s="97"/>
      <c r="D86" s="156"/>
      <c r="F86" s="8"/>
      <c r="G86" s="8"/>
      <c r="H86" s="8"/>
      <c r="I86" s="8"/>
    </row>
    <row r="87" spans="3:9" ht="15" customHeight="1" x14ac:dyDescent="0.25">
      <c r="C87" s="8" t="s">
        <v>239</v>
      </c>
      <c r="D87" s="156"/>
      <c r="F87" s="8"/>
      <c r="G87" s="8"/>
      <c r="H87" s="8"/>
      <c r="I87" s="8"/>
    </row>
    <row r="88" spans="3:9" ht="15" customHeight="1" x14ac:dyDescent="0.25">
      <c r="C88" s="8"/>
      <c r="D88" s="156"/>
      <c r="F88" s="8"/>
      <c r="G88" s="8"/>
      <c r="H88" s="8"/>
      <c r="I88" s="8"/>
    </row>
    <row r="89" spans="3:9" ht="15" customHeight="1" x14ac:dyDescent="0.25">
      <c r="C89" s="12"/>
      <c r="D89" s="12"/>
      <c r="E89" s="8"/>
      <c r="F89" s="8"/>
      <c r="G89" s="8"/>
      <c r="H89" s="8"/>
      <c r="I89" s="8"/>
    </row>
    <row r="90" spans="3:9" ht="15" customHeight="1" x14ac:dyDescent="0.3">
      <c r="C90" s="10" t="s">
        <v>4</v>
      </c>
      <c r="D90" s="10"/>
      <c r="E90" s="13"/>
      <c r="F90" s="8"/>
      <c r="G90" s="8"/>
      <c r="H90" s="8"/>
      <c r="I90" s="8"/>
    </row>
    <row r="91" spans="3:9" ht="15" customHeight="1" x14ac:dyDescent="0.25">
      <c r="C91" s="4" t="s">
        <v>5</v>
      </c>
      <c r="D91" s="4"/>
      <c r="E91" s="8"/>
      <c r="F91" s="8"/>
      <c r="G91" s="8"/>
      <c r="H91" s="8"/>
      <c r="I91" s="8"/>
    </row>
    <row r="92" spans="3:9" ht="15" customHeight="1" x14ac:dyDescent="0.25">
      <c r="C92" s="14" t="s">
        <v>6</v>
      </c>
      <c r="D92" s="14"/>
      <c r="E92" s="14"/>
      <c r="F92" s="8"/>
      <c r="G92" s="8"/>
      <c r="H92" s="8"/>
      <c r="I92" s="8"/>
    </row>
    <row r="93" spans="3:9" ht="15" customHeight="1" x14ac:dyDescent="0.25">
      <c r="C93" s="3" t="s">
        <v>7</v>
      </c>
      <c r="D93" s="15"/>
      <c r="E93" s="15"/>
      <c r="F93" s="8"/>
      <c r="G93" s="8"/>
      <c r="H93" s="8"/>
      <c r="I93" s="8"/>
    </row>
    <row r="94" spans="3:9" ht="15" customHeight="1" x14ac:dyDescent="0.3">
      <c r="C94" s="4"/>
      <c r="D94" s="4"/>
      <c r="E94" s="4" t="s">
        <v>8</v>
      </c>
      <c r="F94" s="8"/>
      <c r="G94" s="8"/>
      <c r="H94" s="8"/>
      <c r="I94" s="8"/>
    </row>
    <row r="95" spans="3:9" ht="15" customHeight="1" x14ac:dyDescent="0.25">
      <c r="C95" s="91" t="s">
        <v>100</v>
      </c>
      <c r="D95" s="92"/>
      <c r="E95" s="92"/>
      <c r="F95" s="8"/>
      <c r="G95" s="8"/>
      <c r="H95" s="8"/>
      <c r="I95" s="8"/>
    </row>
    <row r="96" spans="3:9" ht="15" customHeight="1" x14ac:dyDescent="0.25">
      <c r="C96" s="16" t="s">
        <v>9</v>
      </c>
      <c r="D96" s="16"/>
      <c r="E96" s="16"/>
      <c r="F96" s="8"/>
      <c r="G96" s="8"/>
      <c r="H96" s="8"/>
      <c r="I96" s="8"/>
    </row>
    <row r="97" spans="3:9" ht="15" customHeight="1" x14ac:dyDescent="0.25">
      <c r="C97" s="17" t="s">
        <v>0</v>
      </c>
      <c r="D97" s="17"/>
      <c r="E97" s="17"/>
      <c r="F97" s="8"/>
      <c r="G97" s="8"/>
      <c r="H97" s="8"/>
      <c r="I97" s="8"/>
    </row>
    <row r="98" spans="3:9" ht="15" customHeight="1" x14ac:dyDescent="0.25">
      <c r="C98" s="18" t="s">
        <v>10</v>
      </c>
      <c r="D98" s="18"/>
      <c r="E98" s="19"/>
      <c r="F98" s="8"/>
      <c r="G98" s="8"/>
      <c r="H98" s="8"/>
      <c r="I98" s="8"/>
    </row>
    <row r="99" spans="3:9" ht="15" customHeight="1" x14ac:dyDescent="0.25">
      <c r="C99" s="20" t="s">
        <v>11</v>
      </c>
      <c r="D99" s="20"/>
      <c r="E99" s="21"/>
      <c r="F99" s="8"/>
      <c r="G99" s="8"/>
      <c r="H99" s="8"/>
      <c r="I99" s="8"/>
    </row>
    <row r="100" spans="3:9" ht="15" customHeight="1" x14ac:dyDescent="0.25">
      <c r="C100" s="22" t="s">
        <v>80</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232</v>
      </c>
    </row>
    <row r="5" spans="3:7" x14ac:dyDescent="0.25">
      <c r="C5" s="6" t="s">
        <v>220</v>
      </c>
      <c r="D5" s="6" t="s">
        <v>221</v>
      </c>
      <c r="E5" s="6" t="s">
        <v>222</v>
      </c>
      <c r="F5" s="6" t="s">
        <v>223</v>
      </c>
      <c r="G5" s="6" t="s">
        <v>228</v>
      </c>
    </row>
    <row r="6" spans="3:7" ht="34.5" x14ac:dyDescent="0.25">
      <c r="C6" s="152" t="s">
        <v>224</v>
      </c>
      <c r="D6" s="152" t="s">
        <v>229</v>
      </c>
      <c r="E6" s="152" t="s">
        <v>225</v>
      </c>
      <c r="F6" s="153" t="s">
        <v>226</v>
      </c>
      <c r="G6" s="154">
        <v>43678</v>
      </c>
    </row>
    <row r="7" spans="3:7" ht="23" x14ac:dyDescent="0.25">
      <c r="C7" s="152" t="s">
        <v>224</v>
      </c>
      <c r="D7" s="152" t="s">
        <v>230</v>
      </c>
      <c r="E7" s="152" t="s">
        <v>227</v>
      </c>
      <c r="F7" s="153" t="s">
        <v>226</v>
      </c>
      <c r="G7" s="154">
        <v>43678</v>
      </c>
    </row>
    <row r="8" spans="3:7" ht="46" x14ac:dyDescent="0.25">
      <c r="C8" s="152" t="s">
        <v>235</v>
      </c>
      <c r="D8" s="152" t="s">
        <v>231</v>
      </c>
      <c r="E8" s="152" t="s">
        <v>267</v>
      </c>
      <c r="F8" s="153" t="s">
        <v>226</v>
      </c>
      <c r="G8" s="154">
        <v>43678</v>
      </c>
    </row>
    <row r="9" spans="3:7" ht="34.5" x14ac:dyDescent="0.25">
      <c r="C9" s="152" t="s">
        <v>269</v>
      </c>
      <c r="D9" s="152" t="s">
        <v>270</v>
      </c>
      <c r="E9" s="152" t="s">
        <v>271</v>
      </c>
      <c r="F9" s="153" t="s">
        <v>272</v>
      </c>
      <c r="G9" s="154">
        <v>44805</v>
      </c>
    </row>
    <row r="10" spans="3:7" x14ac:dyDescent="0.25">
      <c r="C10" s="152"/>
      <c r="D10" s="152"/>
      <c r="E10" s="152"/>
      <c r="F10" s="153"/>
      <c r="G10" s="154"/>
    </row>
    <row r="11" spans="3:7" x14ac:dyDescent="0.25">
      <c r="C11" s="152"/>
      <c r="D11" s="152"/>
      <c r="E11" s="152"/>
      <c r="F11" s="153"/>
      <c r="G11" s="154"/>
    </row>
    <row r="12" spans="3:7" x14ac:dyDescent="0.25">
      <c r="C12" s="152"/>
      <c r="D12" s="152"/>
      <c r="E12" s="152"/>
      <c r="F12" s="153"/>
      <c r="G12" s="154"/>
    </row>
    <row r="13" spans="3:7" x14ac:dyDescent="0.25">
      <c r="C13" s="152"/>
      <c r="D13" s="152"/>
      <c r="E13" s="152"/>
      <c r="F13" s="153"/>
      <c r="G13" s="154"/>
    </row>
    <row r="14" spans="3:7" x14ac:dyDescent="0.25">
      <c r="C14" s="152"/>
      <c r="D14" s="152"/>
      <c r="E14" s="152"/>
      <c r="F14" s="153"/>
      <c r="G14" s="154"/>
    </row>
    <row r="15" spans="3:7" x14ac:dyDescent="0.25">
      <c r="C15" s="152"/>
      <c r="D15" s="152"/>
      <c r="E15" s="152"/>
      <c r="F15" s="153"/>
      <c r="G15" s="154"/>
    </row>
    <row r="16" spans="3:7" x14ac:dyDescent="0.25">
      <c r="C16" s="152"/>
      <c r="D16" s="152"/>
      <c r="E16" s="152"/>
      <c r="F16" s="153"/>
      <c r="G16" s="154"/>
    </row>
    <row r="17" spans="3:7" x14ac:dyDescent="0.25">
      <c r="C17" s="152"/>
      <c r="D17" s="152"/>
      <c r="E17" s="152"/>
      <c r="F17" s="153"/>
      <c r="G17" s="154"/>
    </row>
    <row r="18" spans="3:7" x14ac:dyDescent="0.25">
      <c r="C18" s="152"/>
      <c r="D18" s="152"/>
      <c r="E18" s="152"/>
      <c r="F18" s="153"/>
      <c r="G18" s="154"/>
    </row>
    <row r="19" spans="3:7" x14ac:dyDescent="0.25">
      <c r="C19" s="152"/>
      <c r="D19" s="152"/>
      <c r="E19" s="152"/>
      <c r="F19" s="153"/>
      <c r="G19" s="154"/>
    </row>
    <row r="20" spans="3:7" x14ac:dyDescent="0.25">
      <c r="C20" s="152"/>
      <c r="D20" s="152"/>
      <c r="E20" s="152"/>
      <c r="F20" s="153"/>
      <c r="G20" s="154"/>
    </row>
    <row r="21" spans="3:7" x14ac:dyDescent="0.25">
      <c r="C21" s="152"/>
      <c r="D21" s="152"/>
      <c r="E21" s="152"/>
      <c r="F21" s="153"/>
      <c r="G21" s="154"/>
    </row>
    <row r="22" spans="3:7" x14ac:dyDescent="0.25">
      <c r="C22" s="152"/>
      <c r="D22" s="152"/>
      <c r="E22" s="152"/>
      <c r="F22" s="153"/>
      <c r="G22" s="154"/>
    </row>
    <row r="23" spans="3:7" x14ac:dyDescent="0.25">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45" t="s">
        <v>189</v>
      </c>
    </row>
    <row r="5" spans="1:17" x14ac:dyDescent="0.25">
      <c r="D5" t="s">
        <v>240</v>
      </c>
      <c r="Q5" s="155" t="s">
        <v>268</v>
      </c>
    </row>
    <row r="6" spans="1:17" x14ac:dyDescent="0.25">
      <c r="Q6" s="156"/>
    </row>
    <row r="8" spans="1:17" x14ac:dyDescent="0.25">
      <c r="D8" s="1" t="str">
        <f>"The maximum price for the new development area '"&amp;'General inputs'!H7&amp;"' is:"</f>
        <v>The maximum price for the new development area 'Branxton' is:</v>
      </c>
      <c r="J8" s="64">
        <f>G19</f>
        <v>8771.0284933483654</v>
      </c>
      <c r="K8" t="str">
        <f>"per ET ($"&amp;'General inputs'!$I$40&amp;")."</f>
        <v>per ET ($2020-21).</v>
      </c>
    </row>
    <row r="10" spans="1:17" x14ac:dyDescent="0.25">
      <c r="A10" s="89"/>
      <c r="B10" s="89"/>
      <c r="C10" s="1"/>
      <c r="D10" s="90" t="s">
        <v>101</v>
      </c>
      <c r="E10" s="1"/>
      <c r="F10" s="1"/>
      <c r="G10" s="1"/>
      <c r="H10" s="1"/>
      <c r="J10" s="135">
        <f>IF($J$8&lt;=0,0,IF('General inputs'!$H$42='General inputs'!$L$37,'MP Calculations'!F22,IF('General inputs'!$H$42='General inputs'!$L$38,'MP Calculations'!F22*1000,'MP Calculations'!F22*1000000)))</f>
        <v>0</v>
      </c>
      <c r="K10" s="1" t="s">
        <v>87</v>
      </c>
      <c r="L10" s="1"/>
      <c r="M10" s="1"/>
    </row>
    <row r="12" spans="1:17" x14ac:dyDescent="0.25">
      <c r="G12" s="1"/>
    </row>
    <row r="13" spans="1:17" x14ac:dyDescent="0.25">
      <c r="D13" s="90" t="s">
        <v>190</v>
      </c>
      <c r="G13" s="1"/>
    </row>
    <row r="14" spans="1:17" x14ac:dyDescent="0.25">
      <c r="G14" s="1"/>
    </row>
    <row r="15" spans="1:17" x14ac:dyDescent="0.25">
      <c r="G15" s="1"/>
    </row>
    <row r="17" spans="4:21" x14ac:dyDescent="0.25">
      <c r="D17" t="str">
        <f>"in $, $"&amp;'General inputs'!$I$40&amp;", where:"</f>
        <v>in $, $2020-21, where:</v>
      </c>
    </row>
    <row r="19" spans="4:21" x14ac:dyDescent="0.25">
      <c r="E19" t="s">
        <v>206</v>
      </c>
      <c r="F19" s="30" t="s">
        <v>66</v>
      </c>
      <c r="G19" s="100">
        <f>IF('General inputs'!$H$42='General inputs'!$L$37,'MP Calculations'!C22,IF('General inputs'!$H$42='General inputs'!$L$38,'MP Calculations'!C22*1000,'MP Calculations'!C22*1000000))</f>
        <v>8771.0284933483654</v>
      </c>
      <c r="H19" s="30" t="s">
        <v>66</v>
      </c>
      <c r="I19" s="148" t="s">
        <v>241</v>
      </c>
      <c r="J19" s="1"/>
      <c r="K19" s="1"/>
      <c r="L19" s="1"/>
      <c r="M19" s="1"/>
      <c r="N19" s="1"/>
      <c r="O19" s="1"/>
      <c r="P19" s="1"/>
      <c r="Q19" s="1"/>
      <c r="R19" s="1"/>
      <c r="S19" s="1"/>
      <c r="T19" s="1"/>
      <c r="U19" s="1"/>
    </row>
    <row r="20" spans="4:21" ht="13.5" x14ac:dyDescent="0.35">
      <c r="E20" t="s">
        <v>70</v>
      </c>
      <c r="F20" s="30" t="s">
        <v>66</v>
      </c>
      <c r="G20" s="100">
        <f>IF('General inputs'!$H$42='General inputs'!$L$37,'MP Calculations'!H20,IF('General inputs'!$H$42='General inputs'!$L$38,'MP Calculations'!H20*1000,'MP Calculations'!H20*1000000))</f>
        <v>18324753.103798825</v>
      </c>
      <c r="H20" s="30" t="s">
        <v>66</v>
      </c>
      <c r="I20" s="1" t="s">
        <v>169</v>
      </c>
      <c r="J20" s="1"/>
      <c r="K20" s="1"/>
      <c r="L20" s="1"/>
      <c r="M20" s="1"/>
      <c r="N20" s="1"/>
      <c r="O20" s="1"/>
      <c r="P20" s="1"/>
      <c r="Q20" s="1"/>
      <c r="R20" s="1"/>
      <c r="S20" s="1"/>
      <c r="T20" s="1"/>
      <c r="U20" s="1"/>
    </row>
    <row r="21" spans="4:21" ht="13.5" x14ac:dyDescent="0.35">
      <c r="E21" t="s">
        <v>71</v>
      </c>
      <c r="F21" s="30" t="s">
        <v>66</v>
      </c>
      <c r="G21" s="100">
        <f>IF('General inputs'!$H$42='General inputs'!$L$37,SUM('MP Calculations'!I20:K20),IF('General inputs'!$H$42='General inputs'!$L$38,SUM('MP Calculations'!I20:K20)*1000,SUM('MP Calculations'!I20:K20)*1000000))</f>
        <v>37841435.58745344</v>
      </c>
      <c r="H21" s="30" t="s">
        <v>66</v>
      </c>
      <c r="I21" s="1" t="s">
        <v>170</v>
      </c>
      <c r="J21" s="1"/>
      <c r="K21" s="1"/>
      <c r="L21" s="1"/>
      <c r="M21" s="1"/>
      <c r="N21" s="1"/>
      <c r="O21" s="1"/>
      <c r="P21" s="1"/>
      <c r="Q21" s="1"/>
      <c r="R21" s="1"/>
      <c r="S21" s="1"/>
      <c r="T21" s="1"/>
      <c r="U21" s="1"/>
    </row>
    <row r="22" spans="4:21" ht="13.5" x14ac:dyDescent="0.35">
      <c r="E22" t="s">
        <v>264</v>
      </c>
      <c r="F22" s="30" t="s">
        <v>66</v>
      </c>
      <c r="G22" s="63">
        <f>'MP Calculations'!H21</f>
        <v>6268.4389526831146</v>
      </c>
      <c r="H22" s="30" t="s">
        <v>66</v>
      </c>
      <c r="I22" s="146" t="s">
        <v>171</v>
      </c>
      <c r="J22" s="147"/>
      <c r="K22" s="147"/>
      <c r="L22" s="147"/>
      <c r="M22" s="147"/>
      <c r="N22" s="147"/>
      <c r="O22" s="147"/>
      <c r="P22" s="147"/>
      <c r="Q22" s="147"/>
      <c r="R22" s="147"/>
      <c r="S22" s="147"/>
      <c r="T22" s="147"/>
      <c r="U22" s="147"/>
    </row>
    <row r="23" spans="4:21" ht="13.5" x14ac:dyDescent="0.35">
      <c r="E23" t="s">
        <v>265</v>
      </c>
      <c r="F23" s="30" t="s">
        <v>66</v>
      </c>
      <c r="G23" s="63">
        <f>'MP Calculations'!J21</f>
        <v>6077.754364451167</v>
      </c>
      <c r="H23" s="30" t="s">
        <v>66</v>
      </c>
      <c r="I23" s="146" t="s">
        <v>172</v>
      </c>
      <c r="J23" s="147"/>
      <c r="K23" s="147"/>
      <c r="L23" s="147"/>
      <c r="M23" s="147"/>
      <c r="N23" s="147"/>
      <c r="O23" s="147"/>
      <c r="P23" s="147"/>
      <c r="Q23" s="147"/>
      <c r="R23" s="147"/>
      <c r="S23" s="147"/>
      <c r="T23" s="147"/>
      <c r="U23" s="147"/>
    </row>
    <row r="24" spans="4:21" ht="13.5" x14ac:dyDescent="0.35">
      <c r="E24" t="s">
        <v>266</v>
      </c>
      <c r="F24" s="30" t="s">
        <v>66</v>
      </c>
      <c r="G24" s="63">
        <f>'MP Calculations'!L21</f>
        <v>3208.3198913210908</v>
      </c>
      <c r="H24" s="30" t="s">
        <v>66</v>
      </c>
      <c r="I24" s="146" t="s">
        <v>173</v>
      </c>
      <c r="J24" s="147"/>
      <c r="K24" s="147"/>
      <c r="L24" s="147"/>
      <c r="M24" s="147"/>
      <c r="N24" s="147"/>
      <c r="O24" s="147"/>
      <c r="P24" s="147"/>
      <c r="Q24" s="147"/>
      <c r="R24" s="147"/>
      <c r="S24" s="147"/>
      <c r="T24" s="147"/>
      <c r="U24" s="147"/>
    </row>
    <row r="25" spans="4:21" ht="13.5" x14ac:dyDescent="0.35">
      <c r="E25" t="s">
        <v>72</v>
      </c>
      <c r="F25" s="30" t="s">
        <v>66</v>
      </c>
      <c r="G25" s="100">
        <f>'MP Calculations'!R30</f>
        <v>24214928.268417623</v>
      </c>
      <c r="H25" s="30" t="s">
        <v>66</v>
      </c>
      <c r="I25" s="1" t="s">
        <v>174</v>
      </c>
      <c r="J25" s="1"/>
      <c r="K25" s="1"/>
      <c r="L25" s="1"/>
      <c r="M25" s="1"/>
      <c r="N25" s="1"/>
      <c r="O25" s="1"/>
      <c r="P25" s="1"/>
      <c r="Q25" s="1"/>
      <c r="R25" s="1"/>
      <c r="S25" s="1"/>
      <c r="T25" s="1"/>
      <c r="U25" s="1"/>
    </row>
    <row r="26" spans="4:21" ht="13.5" x14ac:dyDescent="0.35">
      <c r="E26" t="s">
        <v>73</v>
      </c>
      <c r="F26" s="30" t="s">
        <v>66</v>
      </c>
      <c r="G26" s="100">
        <f>'MP Calculations'!U30</f>
        <v>23000491.117514648</v>
      </c>
      <c r="H26" s="30" t="s">
        <v>66</v>
      </c>
      <c r="I26" s="1" t="s">
        <v>175</v>
      </c>
      <c r="J26" s="1"/>
      <c r="K26" s="1"/>
      <c r="L26" s="1"/>
      <c r="M26" s="1"/>
      <c r="N26" s="1"/>
      <c r="O26" s="1"/>
      <c r="P26" s="1"/>
      <c r="Q26" s="1"/>
      <c r="R26" s="1"/>
      <c r="S26" s="1"/>
      <c r="T26" s="1"/>
      <c r="U26" s="1"/>
    </row>
    <row r="27" spans="4:21" x14ac:dyDescent="0.25">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F4" sqref="F4"/>
    </sheetView>
  </sheetViews>
  <sheetFormatPr defaultRowHeight="11.5" x14ac:dyDescent="0.25"/>
  <cols>
    <col min="1" max="1" width="2.69921875" customWidth="1"/>
    <col min="2" max="2" width="4.39843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61</v>
      </c>
    </row>
    <row r="3" spans="1:11" ht="20" x14ac:dyDescent="0.4">
      <c r="C3" s="50" t="s">
        <v>199</v>
      </c>
    </row>
    <row r="6" spans="1:11" ht="15.5" x14ac:dyDescent="0.35">
      <c r="C6" s="2" t="s">
        <v>34</v>
      </c>
      <c r="E6" s="35"/>
    </row>
    <row r="7" spans="1:11" x14ac:dyDescent="0.25">
      <c r="B7" s="44"/>
      <c r="C7" s="34"/>
      <c r="D7" s="34"/>
      <c r="E7" s="34"/>
      <c r="F7" s="34"/>
      <c r="G7" s="34"/>
      <c r="H7" s="34"/>
      <c r="I7" s="34"/>
      <c r="J7" s="34"/>
      <c r="K7" s="45"/>
    </row>
    <row r="8" spans="1:11" x14ac:dyDescent="0.25">
      <c r="B8" s="46"/>
      <c r="J8" s="26" t="s">
        <v>35</v>
      </c>
      <c r="K8" s="47"/>
    </row>
    <row r="9" spans="1:11" x14ac:dyDescent="0.25">
      <c r="A9" s="52">
        <v>1</v>
      </c>
      <c r="B9" s="46"/>
      <c r="C9" t="str">
        <f>"Table "&amp;A9&amp;":  Calculation of maximum price ("&amp;'General inputs'!H42&amp;", $"&amp;'General inputs'!I40&amp;")"</f>
        <v>Table 1:  Calculation of maximum price ($, $2020-21)</v>
      </c>
      <c r="J9">
        <f>ROW(C17)</f>
        <v>17</v>
      </c>
      <c r="K9" s="47"/>
    </row>
    <row r="10" spans="1:11" x14ac:dyDescent="0.25">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5">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5">
      <c r="B12" s="48"/>
      <c r="C12" s="35"/>
      <c r="D12" s="35"/>
      <c r="E12" s="35"/>
      <c r="F12" s="35"/>
      <c r="G12" s="35"/>
      <c r="H12" s="35"/>
      <c r="I12" s="35"/>
      <c r="J12" s="35"/>
      <c r="K12" s="49"/>
    </row>
    <row r="13" spans="1:11" x14ac:dyDescent="0.25">
      <c r="E13" s="34"/>
    </row>
    <row r="14" spans="1:11" x14ac:dyDescent="0.25">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5">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69" t="str">
        <f>C9</f>
        <v>Table 1:  Calculation of maximum price ($, $2020-21)</v>
      </c>
      <c r="E17" s="35"/>
    </row>
    <row r="18" spans="2:22" x14ac:dyDescent="0.25">
      <c r="B18" s="44"/>
      <c r="C18" s="113"/>
      <c r="D18" s="102"/>
      <c r="E18" s="102"/>
      <c r="F18" s="113"/>
      <c r="G18" s="113"/>
      <c r="H18" s="113"/>
      <c r="I18" s="102"/>
      <c r="J18" s="113"/>
      <c r="K18" s="113"/>
      <c r="L18" s="34"/>
      <c r="M18" s="45"/>
    </row>
    <row r="19" spans="2:22" ht="46" x14ac:dyDescent="0.25">
      <c r="B19" s="46"/>
      <c r="C19" s="40" t="s">
        <v>200</v>
      </c>
      <c r="F19" s="120" t="s">
        <v>148</v>
      </c>
      <c r="G19" s="120" t="s">
        <v>218</v>
      </c>
      <c r="H19" s="119" t="s">
        <v>132</v>
      </c>
      <c r="I19" s="121"/>
      <c r="J19" s="119" t="s">
        <v>133</v>
      </c>
      <c r="K19" s="119" t="s">
        <v>134</v>
      </c>
      <c r="L19" s="119" t="s">
        <v>150</v>
      </c>
      <c r="M19" s="47"/>
    </row>
    <row r="20" spans="2:22" x14ac:dyDescent="0.25">
      <c r="B20" s="46"/>
      <c r="E20" s="6" t="s">
        <v>147</v>
      </c>
      <c r="H20" s="122">
        <f>K30</f>
        <v>18324753.103798825</v>
      </c>
      <c r="I20" s="124"/>
      <c r="J20" s="125">
        <f>M30</f>
        <v>37841435.58745344</v>
      </c>
      <c r="K20" s="125">
        <f>O30</f>
        <v>0</v>
      </c>
      <c r="L20" s="122">
        <f>R30-U30</f>
        <v>1214437.1509029754</v>
      </c>
      <c r="M20" s="47"/>
    </row>
    <row r="21" spans="2:22" x14ac:dyDescent="0.25">
      <c r="B21" s="46"/>
      <c r="E21" s="6" t="s">
        <v>21</v>
      </c>
      <c r="F21" s="35"/>
      <c r="H21" s="122">
        <f>F30</f>
        <v>6268.4389526831146</v>
      </c>
      <c r="I21" s="124"/>
      <c r="J21" s="125">
        <f>G30</f>
        <v>6077.754364451167</v>
      </c>
      <c r="K21" s="125">
        <f>G30</f>
        <v>6077.754364451167</v>
      </c>
      <c r="L21" s="122">
        <f>H30</f>
        <v>3208.3198913210908</v>
      </c>
      <c r="M21" s="47"/>
    </row>
    <row r="22" spans="2:22" ht="12" customHeight="1" x14ac:dyDescent="0.25">
      <c r="B22" s="46"/>
      <c r="C22" s="244">
        <f>IF(SUM(F22:K22,-L22)&lt;0,0,SUM(F22:K22,-L22))</f>
        <v>8771.0284933483654</v>
      </c>
      <c r="E22" s="6" t="s">
        <v>149</v>
      </c>
      <c r="F22" s="123"/>
      <c r="G22" s="123"/>
      <c r="H22" s="75">
        <f>H20/H21</f>
        <v>2923.3359760096537</v>
      </c>
      <c r="I22" s="127"/>
      <c r="J22" s="126">
        <f>J20/J21</f>
        <v>6226.2199684785373</v>
      </c>
      <c r="K22" s="126">
        <f>K20/K21</f>
        <v>0</v>
      </c>
      <c r="L22" s="75">
        <f>L20/L21</f>
        <v>378.52745113982576</v>
      </c>
      <c r="M22" s="47"/>
    </row>
    <row r="23" spans="2:22" x14ac:dyDescent="0.25">
      <c r="B23" s="48"/>
      <c r="C23" s="51"/>
      <c r="D23" s="35"/>
      <c r="E23" s="35"/>
      <c r="F23" s="35"/>
      <c r="G23" s="35"/>
      <c r="H23" s="35"/>
      <c r="I23" s="35"/>
      <c r="J23" s="35"/>
      <c r="K23" s="35"/>
      <c r="L23" s="35"/>
      <c r="M23" s="49"/>
    </row>
    <row r="24" spans="2:22" x14ac:dyDescent="0.25">
      <c r="C24" s="188"/>
      <c r="D24" s="188"/>
      <c r="E24" s="188"/>
    </row>
    <row r="25" spans="2:22" x14ac:dyDescent="0.25">
      <c r="C25" s="243"/>
      <c r="D25" s="188"/>
      <c r="E25" s="188"/>
    </row>
    <row r="27" spans="2:22" ht="18" x14ac:dyDescent="0.4">
      <c r="C27" s="69" t="str">
        <f>C10</f>
        <v>Table 2:  Key variables used in maximum price calculation ($, $2020-21)</v>
      </c>
      <c r="D27" s="72"/>
      <c r="H27" s="63"/>
      <c r="I27" s="63"/>
      <c r="J27" s="63"/>
    </row>
    <row r="28" spans="2:22" ht="18" x14ac:dyDescent="0.4">
      <c r="B28" s="44"/>
      <c r="C28" s="73"/>
      <c r="D28" s="74"/>
      <c r="E28" s="34"/>
      <c r="F28" s="34"/>
      <c r="G28" s="34"/>
      <c r="H28" s="197"/>
      <c r="I28" s="197"/>
      <c r="J28" s="197"/>
      <c r="K28" s="34"/>
      <c r="L28" s="34"/>
      <c r="M28" s="34"/>
      <c r="N28" s="34"/>
      <c r="O28" s="34"/>
      <c r="P28" s="34"/>
      <c r="Q28" s="34"/>
      <c r="R28" s="34"/>
      <c r="S28" s="34"/>
      <c r="T28" s="34"/>
      <c r="U28" s="34"/>
      <c r="V28" s="45"/>
    </row>
    <row r="29" spans="2:22" ht="92" x14ac:dyDescent="0.25">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5">
      <c r="B30" s="46"/>
      <c r="E30" s="178">
        <f>SUM(E40:E130)</f>
        <v>7903.6933937619651</v>
      </c>
      <c r="F30" s="75">
        <f t="shared" ref="F30:H30" si="0">SUM(F40:F130)</f>
        <v>6268.4389526831146</v>
      </c>
      <c r="G30" s="75">
        <f t="shared" si="0"/>
        <v>6077.754364451167</v>
      </c>
      <c r="H30" s="71">
        <f t="shared" si="0"/>
        <v>3208.3198913210908</v>
      </c>
      <c r="K30" s="75">
        <f>K40</f>
        <v>18324753.103798825</v>
      </c>
      <c r="M30" s="75">
        <f>SUM(M40:M130)</f>
        <v>37841435.58745344</v>
      </c>
      <c r="O30" s="75">
        <f>SUM(O40:O130)</f>
        <v>0</v>
      </c>
      <c r="R30" s="75">
        <f>SUM(R40:R130)</f>
        <v>24214928.268417623</v>
      </c>
      <c r="U30" s="75">
        <f>SUM(U40:U130)</f>
        <v>23000491.117514648</v>
      </c>
      <c r="V30" s="47"/>
    </row>
    <row r="31" spans="2:22" x14ac:dyDescent="0.25">
      <c r="B31" s="48"/>
      <c r="C31" s="35"/>
      <c r="D31" s="35"/>
      <c r="E31" s="35"/>
      <c r="F31" s="35"/>
      <c r="G31" s="35"/>
      <c r="H31" s="35"/>
      <c r="I31" s="35"/>
      <c r="J31" s="35" t="s">
        <v>481</v>
      </c>
      <c r="K31" s="241">
        <f>K30-'Pre-1996 assets'!$Q$3103</f>
        <v>0</v>
      </c>
      <c r="L31" s="35"/>
      <c r="M31" s="241">
        <f>M30-'Post-1996 commissioned assets'!$Q$2530</f>
        <v>0</v>
      </c>
      <c r="N31" s="35"/>
      <c r="O31" s="241">
        <f>O30-'Uncommissioned assets'!$Q$29</f>
        <v>0</v>
      </c>
      <c r="P31" s="35"/>
      <c r="Q31" s="35"/>
      <c r="R31" s="35"/>
      <c r="S31" s="35"/>
      <c r="T31" s="35"/>
      <c r="U31" s="35"/>
      <c r="V31" s="49"/>
    </row>
    <row r="34" spans="2:27" x14ac:dyDescent="0.25">
      <c r="B34" s="104" t="str">
        <f>"Note:  inputs are required in "&amp;'Reduction amount'!D17&amp;" and "&amp;'Reduction amount'!D18&amp;" to calculate the 'Reduction amount'."</f>
        <v>Note:  inputs are required in $Q$67:$Q$96 and $T$67:$T$96 to calculate the 'Reduction amount'.</v>
      </c>
    </row>
    <row r="36" spans="2:27" ht="18" x14ac:dyDescent="0.4">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4">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4">
      <c r="B38" s="46"/>
      <c r="C38" s="69"/>
      <c r="D38" s="114"/>
      <c r="E38" s="117" t="s">
        <v>143</v>
      </c>
      <c r="F38" s="114"/>
      <c r="G38" s="114"/>
      <c r="H38" s="114"/>
      <c r="I38" s="114"/>
      <c r="J38" s="117" t="s">
        <v>144</v>
      </c>
      <c r="N38" s="62" t="s">
        <v>277</v>
      </c>
      <c r="O38" s="62"/>
      <c r="Q38" s="117" t="s">
        <v>145</v>
      </c>
      <c r="R38" s="103"/>
      <c r="T38" s="117" t="s">
        <v>146</v>
      </c>
      <c r="V38" s="47"/>
    </row>
    <row r="39" spans="2:27" ht="82" x14ac:dyDescent="0.4">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x14ac:dyDescent="0.3">
      <c r="B40" s="46"/>
      <c r="C40" s="26">
        <f>IF(D40='General inputs'!$I$16,0,IF(D40&lt;'General inputs'!$I$16,C41-1,C39+1))</f>
        <v>-27</v>
      </c>
      <c r="D40" s="137" t="str">
        <f>RIGHT(YEAR('General inputs'!$H$24),4)&amp;"-"&amp;RIGHT(YEAR('General inputs'!H24),2)+1</f>
        <v>1995-96</v>
      </c>
      <c r="E40" s="77">
        <f>IF(LEFT(D40,4)*1&gt;LEFT('General inputs'!$I$16,4)+'General inputs'!$H$38-1,"",'ET inputs'!D12)</f>
        <v>17.931578159344781</v>
      </c>
      <c r="F40" s="77">
        <f>IF(LEFT(D40,4)*1&gt;LEFT('General inputs'!$I$16,4)+'General inputs'!$H$38-1,"",E40/(1+'General inputs'!$H$30)^C40)</f>
        <v>39.831217417874491</v>
      </c>
      <c r="G40" s="77">
        <f>IF(LEFT(D40,4)*1&gt;LEFT('General inputs'!$I$16,4)+'General inputs'!$H$38-1,"",E40/(1+'General inputs'!$H$32)^C40)</f>
        <v>54.45614895644637</v>
      </c>
      <c r="H40" s="76" t="str">
        <f>IF(LEFT(D40,4)*1&lt;LEFT('General inputs'!$I$16,4)*1,"",IF(LEFT(D40,4)*1&gt;LEFT('General inputs'!$I$16,4)+'General inputs'!$H$38-1,"",E40/(1+'General inputs'!$H$34)^C40))</f>
        <v/>
      </c>
      <c r="J40" s="77">
        <f>'Pre-1996 assets'!P3103</f>
        <v>8249603.2969358116</v>
      </c>
      <c r="K40" s="77">
        <f>J40/(1+'General inputs'!$H$30)^C40</f>
        <v>18324753.103798825</v>
      </c>
      <c r="L40" s="138">
        <f>IF(LEFT(D40,4)*1&gt;LEFT('General inputs'!$I$18,4)*1,"",SUMIF('Post-1996 commissioned assets'!$F$22:$F$2529,$D40,'Post-1996 commissioned assets'!$P$22:$P$2529))</f>
        <v>0</v>
      </c>
      <c r="M40" s="138">
        <f>IF(L40="","",L40/(1+'General inputs'!$H$32)^C40)</f>
        <v>0</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x14ac:dyDescent="0.25">
      <c r="B41" s="46"/>
      <c r="C41" s="26">
        <f>IF(D41='General inputs'!$I$16,0,IF(D41&lt;'General inputs'!$I$16,C42-1,C40+1))</f>
        <v>-26</v>
      </c>
      <c r="D41" s="26" t="str">
        <f>LEFT(D40,4)+1&amp;"-"&amp;RIGHT(D40,2)+1</f>
        <v>1996-97</v>
      </c>
      <c r="E41" s="76">
        <f>IF(LEFT(D41,4)*1&gt;LEFT('General inputs'!$I$16,4)+'General inputs'!$H$38-1,"",'ET inputs'!D13)</f>
        <v>37.352983558480332</v>
      </c>
      <c r="F41" s="76">
        <f>IF(LEFT(D41,4)*1&gt;LEFT('General inputs'!$I$16,4)+'General inputs'!$H$38-1,"",E41/(1+'General inputs'!$H$30)^C41)</f>
        <v>80.555118158927328</v>
      </c>
      <c r="G41" s="76">
        <f>IF(LEFT(D41,4)*1&gt;LEFT('General inputs'!$I$16,4)+'General inputs'!$H$38-1,"",E41/(1+'General inputs'!$H$32)^C41)</f>
        <v>108.86442667254262</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5">
      <c r="B42" s="46"/>
      <c r="C42" s="26">
        <f>IF(D42='General inputs'!$I$16,0,IF(D42&lt;'General inputs'!$I$16,C43-1,C41+1))</f>
        <v>-25</v>
      </c>
      <c r="D42" s="26" t="str">
        <f t="shared" ref="D42:D100" si="1">LEFT(D41,4)+1&amp;"-"&amp;RIGHT(D41,2)+1</f>
        <v>1997-98</v>
      </c>
      <c r="E42" s="76">
        <f>IF(LEFT(D42,4)*1&gt;LEFT('General inputs'!$I$16,4)+'General inputs'!$H$38-1,"",'ET inputs'!D14)</f>
        <v>38.904701201466992</v>
      </c>
      <c r="F42" s="76">
        <f>IF(LEFT(D42,4)*1&gt;LEFT('General inputs'!$I$16,4)+'General inputs'!$H$38-1,"",E42/(1+'General inputs'!$H$30)^C42)</f>
        <v>81.457804735423366</v>
      </c>
      <c r="G42" s="76">
        <f>IF(LEFT(D42,4)*1&gt;LEFT('General inputs'!$I$16,4)+'General inputs'!$H$38-1,"",E42/(1+'General inputs'!$H$32)^C42)</f>
        <v>108.81657647348767</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x14ac:dyDescent="0.3">
      <c r="B43" s="46"/>
      <c r="C43" s="26">
        <f>IF(D43='General inputs'!$I$16,0,IF(D43&lt;'General inputs'!$I$16,C44-1,C42+1))</f>
        <v>-24</v>
      </c>
      <c r="D43" s="78" t="str">
        <f t="shared" si="1"/>
        <v>1998-99</v>
      </c>
      <c r="E43" s="76">
        <f>IF(LEFT(D43,4)*1&gt;LEFT('General inputs'!$I$16,4)+'General inputs'!$H$38-1,"",'ET inputs'!D15)</f>
        <v>40.520880298778138</v>
      </c>
      <c r="F43" s="76">
        <f>IF(LEFT(D43,4)*1&gt;LEFT('General inputs'!$I$16,4)+'General inputs'!$H$38-1,"",E43/(1+'General inputs'!$H$30)^C43)</f>
        <v>82.370606659943604</v>
      </c>
      <c r="G43" s="76">
        <f>IF(LEFT(D43,4)*1&gt;LEFT('General inputs'!$I$16,4)+'General inputs'!$H$38-1,"",E43/(1+'General inputs'!$H$32)^C43)</f>
        <v>108.76874730647673</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x14ac:dyDescent="0.3">
      <c r="B44" s="46"/>
      <c r="C44" s="26">
        <f>IF(D44='General inputs'!$I$16,0,IF(D44&lt;'General inputs'!$I$16,C45-1,C43+1))</f>
        <v>-23</v>
      </c>
      <c r="D44" s="79" t="str">
        <f>LEFT(D43,4)+1&amp;"-00"</f>
        <v>1999-00</v>
      </c>
      <c r="E44" s="76">
        <f>IF(LEFT(D44,4)*1&gt;LEFT('General inputs'!$I$16,4)+'General inputs'!$H$38-1,"",'ET inputs'!D16)</f>
        <v>42.204198708149761</v>
      </c>
      <c r="F44" s="76">
        <f>IF(LEFT(D44,4)*1&gt;LEFT('General inputs'!$I$16,4)+'General inputs'!$H$38-1,"",E44/(1+'General inputs'!$H$30)^C44)</f>
        <v>83.293637283311213</v>
      </c>
      <c r="G44" s="76">
        <f>IF(LEFT(D44,4)*1&gt;LEFT('General inputs'!$I$16,4)+'General inputs'!$H$38-1,"",E44/(1+'General inputs'!$H$32)^C44)</f>
        <v>108.72093916226657</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81343.829788834992</v>
      </c>
      <c r="M44" s="76">
        <f>IF(L44="","",L44/(1+'General inputs'!$H$32)^C44)</f>
        <v>209547.33984772791</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x14ac:dyDescent="0.25">
      <c r="B45" s="46"/>
      <c r="C45" s="26">
        <f>IF(D45='General inputs'!$I$16,0,IF(D45&lt;'General inputs'!$I$16,C46-1,C44+1))</f>
        <v>-22</v>
      </c>
      <c r="D45" s="80" t="str">
        <f>LEFT(D44,4)+1&amp;"-0"&amp;RIGHT(D44,2)+1</f>
        <v>2000-01</v>
      </c>
      <c r="E45" s="76">
        <f>IF(LEFT(D45,4)*1&gt;LEFT('General inputs'!$I$16,4)+'General inputs'!$H$38-1,"",'ET inputs'!D17)</f>
        <v>43.957445530884115</v>
      </c>
      <c r="F45" s="76">
        <f>IF(LEFT(D45,4)*1&gt;LEFT('General inputs'!$I$16,4)+'General inputs'!$H$38-1,"",E45/(1+'General inputs'!$H$30)^C45)</f>
        <v>84.227011226539133</v>
      </c>
      <c r="G45" s="76">
        <f>IF(LEFT(D45,4)*1&gt;LEFT('General inputs'!$I$16,4)+'General inputs'!$H$38-1,"",E45/(1+'General inputs'!$H$32)^C45)</f>
        <v>108.67315203161851</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5">
      <c r="B46" s="46"/>
      <c r="C46" s="26">
        <f>IF(D46='General inputs'!$I$16,0,IF(D46&lt;'General inputs'!$I$16,C47-1,C45+1))</f>
        <v>-21</v>
      </c>
      <c r="D46" s="26" t="str">
        <f t="shared" ref="D46:D53" si="2">LEFT(D45,4)+1&amp;"-0"&amp;RIGHT(D45,2)+1</f>
        <v>2001-02</v>
      </c>
      <c r="E46" s="76">
        <f>IF(LEFT(D46,4)*1&gt;LEFT('General inputs'!$I$16,4)+'General inputs'!$H$38-1,"",'ET inputs'!D18)</f>
        <v>45.783525733128045</v>
      </c>
      <c r="F46" s="76">
        <f>IF(LEFT(D46,4)*1&gt;LEFT('General inputs'!$I$16,4)+'General inputs'!$H$38-1,"",E46/(1+'General inputs'!$H$30)^C46)</f>
        <v>85.170844395060101</v>
      </c>
      <c r="G46" s="76">
        <f>IF(LEFT(D46,4)*1&gt;LEFT('General inputs'!$I$16,4)+'General inputs'!$H$38-1,"",E46/(1+'General inputs'!$H$32)^C46)</f>
        <v>108.62538590529353</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0</v>
      </c>
      <c r="M46" s="76">
        <f>IF(L46="","",L46/(1+'General inputs'!$H$32)^C46)</f>
        <v>0</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5">
      <c r="B47" s="46"/>
      <c r="C47" s="26">
        <f>IF(D47='General inputs'!$I$16,0,IF(D47&lt;'General inputs'!$I$16,C48-1,C46+1))</f>
        <v>-20</v>
      </c>
      <c r="D47" s="26" t="str">
        <f t="shared" si="2"/>
        <v>2002-03</v>
      </c>
      <c r="E47" s="76">
        <f>IF(LEFT(D47,4)*1&gt;LEFT('General inputs'!$I$16,4)+'General inputs'!$H$38-1,"",'ET inputs'!D19)</f>
        <v>47.685464959133476</v>
      </c>
      <c r="F47" s="76">
        <f>IF(LEFT(D47,4)*1&gt;LEFT('General inputs'!$I$16,4)+'General inputs'!$H$38-1,"",E47/(1+'General inputs'!$H$30)^C47)</f>
        <v>86.125253993125611</v>
      </c>
      <c r="G47" s="76">
        <f>IF(LEFT(D47,4)*1&gt;LEFT('General inputs'!$I$16,4)+'General inputs'!$H$38-1,"",E47/(1+'General inputs'!$H$32)^C47)</f>
        <v>108.5776407740603</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0</v>
      </c>
      <c r="M47" s="76">
        <f>IF(L47="","",L47/(1+'General inputs'!$H$32)^C47)</f>
        <v>0</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5">
      <c r="B48" s="46"/>
      <c r="C48" s="26">
        <f>IF(D48='General inputs'!$I$16,0,IF(D48&lt;'General inputs'!$I$16,C49-1,C47+1))</f>
        <v>-19</v>
      </c>
      <c r="D48" s="26" t="str">
        <f t="shared" si="2"/>
        <v>2003-04</v>
      </c>
      <c r="E48" s="76">
        <f>IF(LEFT(D48,4)*1&gt;LEFT('General inputs'!$I$16,4)+'General inputs'!$H$38-1,"",'ET inputs'!D20)</f>
        <v>49.666414544465852</v>
      </c>
      <c r="F48" s="76">
        <f>IF(LEFT(D48,4)*1&gt;LEFT('General inputs'!$I$16,4)+'General inputs'!$H$38-1,"",E48/(1+'General inputs'!$H$30)^C48)</f>
        <v>87.090358538357407</v>
      </c>
      <c r="G48" s="76">
        <f>IF(LEFT(D48,4)*1&gt;LEFT('General inputs'!$I$16,4)+'General inputs'!$H$38-1,"",E48/(1+'General inputs'!$H$32)^C48)</f>
        <v>108.52991662869137</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0</v>
      </c>
      <c r="M48" s="76">
        <f>IF(L48="","",L48/(1+'General inputs'!$H$32)^C48)</f>
        <v>0</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5">
      <c r="B49" s="46"/>
      <c r="C49" s="26">
        <f>IF(D49='General inputs'!$I$16,0,IF(D49&lt;'General inputs'!$I$16,C50-1,C48+1))</f>
        <v>-18</v>
      </c>
      <c r="D49" s="26" t="str">
        <f t="shared" si="2"/>
        <v>2004-05</v>
      </c>
      <c r="E49" s="76">
        <f>IF(LEFT(D49,4)*1&gt;LEFT('General inputs'!$I$16,4)+'General inputs'!$H$38-1,"",'ET inputs'!D21)</f>
        <v>51.729656737472162</v>
      </c>
      <c r="F49" s="76">
        <f>IF(LEFT(D49,4)*1&gt;LEFT('General inputs'!$I$16,4)+'General inputs'!$H$38-1,"",E49/(1+'General inputs'!$H$30)^C49)</f>
        <v>88.066277876464127</v>
      </c>
      <c r="G49" s="76">
        <f>IF(LEFT(D49,4)*1&gt;LEFT('General inputs'!$I$16,4)+'General inputs'!$H$38-1,"",E49/(1+'General inputs'!$H$32)^C49)</f>
        <v>108.48221345996228</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5">
      <c r="B50" s="46"/>
      <c r="C50" s="26">
        <f>IF(D50='General inputs'!$I$16,0,IF(D50&lt;'General inputs'!$I$16,C51-1,C49+1))</f>
        <v>-17</v>
      </c>
      <c r="D50" s="26" t="str">
        <f t="shared" si="2"/>
        <v>2005-06</v>
      </c>
      <c r="E50" s="76">
        <f>IF(LEFT(D50,4)*1&gt;LEFT('General inputs'!$I$16,4)+'General inputs'!$H$38-1,"",'ET inputs'!D22)</f>
        <v>53.878610137660189</v>
      </c>
      <c r="F50" s="76">
        <f>IF(LEFT(D50,4)*1&gt;LEFT('General inputs'!$I$16,4)+'General inputs'!$H$38-1,"",E50/(1+'General inputs'!$H$30)^C50)</f>
        <v>89.053133196124392</v>
      </c>
      <c r="G50" s="76">
        <f>IF(LEFT(D50,4)*1&gt;LEFT('General inputs'!$I$16,4)+'General inputs'!$H$38-1,"",E50/(1+'General inputs'!$H$32)^C50)</f>
        <v>108.43453125865251</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7079.3447371185948</v>
      </c>
      <c r="M50" s="76">
        <f>IF(L50="","",L50/(1+'General inputs'!$H$32)^C50)</f>
        <v>14247.684307864003</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5">
      <c r="B51" s="46"/>
      <c r="C51" s="26">
        <f>IF(D51='General inputs'!$I$16,0,IF(D51&lt;'General inputs'!$I$16,C52-1,C50+1))</f>
        <v>-16</v>
      </c>
      <c r="D51" s="26" t="str">
        <f t="shared" si="2"/>
        <v>2006-07</v>
      </c>
      <c r="E51" s="76">
        <f>IF(LEFT(D51,4)*1&gt;LEFT('General inputs'!$I$16,4)+'General inputs'!$H$38-1,"",'ET inputs'!D23)</f>
        <v>56.116835359998731</v>
      </c>
      <c r="F51" s="76">
        <f>IF(LEFT(D51,4)*1&gt;LEFT('General inputs'!$I$16,4)+'General inputs'!$H$38-1,"",E51/(1+'General inputs'!$H$30)^C51)</f>
        <v>90.051047044036466</v>
      </c>
      <c r="G51" s="76">
        <f>IF(LEFT(D51,4)*1&gt;LEFT('General inputs'!$I$16,4)+'General inputs'!$H$38-1,"",E51/(1+'General inputs'!$H$32)^C51)</f>
        <v>108.38687001554624</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197750.54615393878</v>
      </c>
      <c r="M51" s="76">
        <f>IF(L51="","",L51/(1+'General inputs'!$H$32)^C51)</f>
        <v>381945.32182704902</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5">
      <c r="B52" s="46"/>
      <c r="C52" s="26">
        <f>IF(D52='General inputs'!$I$16,0,IF(D52&lt;'General inputs'!$I$16,C53-1,C51+1))</f>
        <v>-15</v>
      </c>
      <c r="D52" s="26" t="str">
        <f t="shared" si="2"/>
        <v>2007-08</v>
      </c>
      <c r="E52" s="76">
        <f>IF(LEFT(D52,4)*1&gt;LEFT('General inputs'!$I$16,4)+'General inputs'!$H$38-1,"",'ET inputs'!D24)</f>
        <v>58.448040934523988</v>
      </c>
      <c r="F52" s="76">
        <f>IF(LEFT(D52,4)*1&gt;LEFT('General inputs'!$I$16,4)+'General inputs'!$H$38-1,"",E52/(1+'General inputs'!$H$30)^C52)</f>
        <v>91.060143340136065</v>
      </c>
      <c r="G52" s="76">
        <f>IF(LEFT(D52,4)*1&gt;LEFT('General inputs'!$I$16,4)+'General inputs'!$H$38-1,"",E52/(1+'General inputs'!$H$32)^C52)</f>
        <v>108.33922972143226</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552518.96334031818</v>
      </c>
      <c r="M52" s="76">
        <f>IF(L52="","",L52/(1+'General inputs'!$H$32)^C52)</f>
        <v>1024148.5931381603</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x14ac:dyDescent="0.3">
      <c r="B53" s="46"/>
      <c r="C53" s="26">
        <f>IF(D53='General inputs'!$I$16,0,IF(D53&lt;'General inputs'!$I$16,C54-1,C52+1))</f>
        <v>-14</v>
      </c>
      <c r="D53" s="78" t="str">
        <f t="shared" si="2"/>
        <v>2008-09</v>
      </c>
      <c r="E53" s="76">
        <f>IF(LEFT(D53,4)*1&gt;LEFT('General inputs'!$I$16,4)+'General inputs'!$H$38-1,"",'ET inputs'!D25)</f>
        <v>60.876089451025791</v>
      </c>
      <c r="F53" s="76">
        <f>IF(LEFT(D53,4)*1&gt;LEFT('General inputs'!$I$16,4)+'General inputs'!$H$38-1,"",E53/(1+'General inputs'!$H$30)^C53)</f>
        <v>92.080547392982226</v>
      </c>
      <c r="G53" s="76">
        <f>IF(LEFT(D53,4)*1&gt;LEFT('General inputs'!$I$16,4)+'General inputs'!$H$38-1,"",E53/(1+'General inputs'!$H$32)^C53)</f>
        <v>108.29161036710137</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128974.79334469211</v>
      </c>
      <c r="M53" s="76">
        <f>IF(L53="","",L53/(1+'General inputs'!$H$32)^C53)</f>
        <v>229431.42692003961</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x14ac:dyDescent="0.25">
      <c r="B54" s="46"/>
      <c r="C54" s="26">
        <f>IF(D54='General inputs'!$I$16,0,IF(D54&lt;'General inputs'!$I$16,C55-1,C53+1))</f>
        <v>-13</v>
      </c>
      <c r="D54" s="80" t="str">
        <f t="shared" si="1"/>
        <v>2009-10</v>
      </c>
      <c r="E54" s="76">
        <f>IF(LEFT(D54,4)*1&gt;LEFT('General inputs'!$I$16,4)+'General inputs'!$H$38-1,"",'ET inputs'!D26)</f>
        <v>63.405003959000624</v>
      </c>
      <c r="F54" s="76">
        <f>IF(LEFT(D54,4)*1&gt;LEFT('General inputs'!$I$16,4)+'General inputs'!$H$38-1,"",E54/(1+'General inputs'!$H$30)^C54)</f>
        <v>93.112385915322292</v>
      </c>
      <c r="G54" s="76">
        <f>IF(LEFT(D54,4)*1&gt;LEFT('General inputs'!$I$16,4)+'General inputs'!$H$38-1,"",E54/(1+'General inputs'!$H$32)^C54)</f>
        <v>108.24401194335131</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27070.171669172447</v>
      </c>
      <c r="M54" s="76">
        <f>IF(L54="","",L54/(1+'General inputs'!$H$32)^C54)</f>
        <v>46213.765515434839</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5">
      <c r="B55" s="46"/>
      <c r="C55" s="26">
        <f>IF(D55='General inputs'!$I$16,0,IF(D55&lt;'General inputs'!$I$16,C56-1,C54+1))</f>
        <v>-12</v>
      </c>
      <c r="D55" s="26" t="str">
        <f t="shared" si="1"/>
        <v>2010-11</v>
      </c>
      <c r="E55" s="76">
        <f>IF(LEFT(D55,4)*1&gt;LEFT('General inputs'!$I$16,4)+'General inputs'!$H$38-1,"",'ET inputs'!D27)</f>
        <v>66.038974633465159</v>
      </c>
      <c r="F55" s="76">
        <f>IF(LEFT(D55,4)*1&gt;LEFT('General inputs'!$I$16,4)+'General inputs'!$H$38-1,"",E55/(1+'General inputs'!$H$30)^C55)</f>
        <v>94.155787039821575</v>
      </c>
      <c r="G55" s="76">
        <f>IF(LEFT(D55,4)*1&gt;LEFT('General inputs'!$I$16,4)+'General inputs'!$H$38-1,"",E55/(1+'General inputs'!$H$32)^C55)</f>
        <v>108.19643444098035</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19686731.835247852</v>
      </c>
      <c r="M55" s="76">
        <f>IF(L55="","",L55/(1+'General inputs'!$H$32)^C55)</f>
        <v>32254198.406196378</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5">
      <c r="B56" s="46"/>
      <c r="C56" s="26">
        <f>IF(D56='General inputs'!$I$16,0,IF(D56&lt;'General inputs'!$I$16,C57-1,C55+1))</f>
        <v>-11</v>
      </c>
      <c r="D56" s="26" t="str">
        <f t="shared" si="1"/>
        <v>2011-12</v>
      </c>
      <c r="E56" s="76">
        <f>IF(LEFT(D56,4)*1&gt;LEFT('General inputs'!$I$16,4)+'General inputs'!$H$38-1,"",'ET inputs'!D28)</f>
        <v>68.782365717688435</v>
      </c>
      <c r="F56" s="76">
        <f>IF(LEFT(D56,4)*1&gt;LEFT('General inputs'!$I$16,4)+'General inputs'!$H$38-1,"",E56/(1+'General inputs'!$H$30)^C56)</f>
        <v>95.21088033498026</v>
      </c>
      <c r="G56" s="76">
        <f>IF(LEFT(D56,4)*1&gt;LEFT('General inputs'!$I$16,4)+'General inputs'!$H$38-1,"",E56/(1+'General inputs'!$H$32)^C56)</f>
        <v>108.14887785079399</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0</v>
      </c>
      <c r="M56" s="76">
        <f>IF(L56="","",L56/(1+'General inputs'!$H$32)^C56)</f>
        <v>0</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5">
      <c r="B57" s="46"/>
      <c r="C57" s="26">
        <f>IF(D57='General inputs'!$I$16,0,IF(D57&lt;'General inputs'!$I$16,C58-1,C56+1))</f>
        <v>-10</v>
      </c>
      <c r="D57" s="26" t="str">
        <f t="shared" si="1"/>
        <v>2012-13</v>
      </c>
      <c r="E57" s="76">
        <f>IF(LEFT(D57,4)*1&gt;LEFT('General inputs'!$I$16,4)+'General inputs'!$H$38-1,"",'ET inputs'!D29)</f>
        <v>71.639722754332752</v>
      </c>
      <c r="F57" s="76">
        <f>IF(LEFT(D57,4)*1&gt;LEFT('General inputs'!$I$16,4)+'General inputs'!$H$38-1,"",E57/(1+'General inputs'!$H$30)^C57)</f>
        <v>96.277796821219567</v>
      </c>
      <c r="G57" s="76">
        <f>IF(LEFT(D57,4)*1&gt;LEFT('General inputs'!$I$16,4)+'General inputs'!$H$38-1,"",E57/(1+'General inputs'!$H$32)^C57)</f>
        <v>108.10134216360061</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5">
      <c r="B58" s="46"/>
      <c r="C58" s="26">
        <f>IF(D58='General inputs'!$I$16,0,IF(D58&lt;'General inputs'!$I$16,C59-1,C57+1))</f>
        <v>-9</v>
      </c>
      <c r="D58" s="26" t="str">
        <f t="shared" si="1"/>
        <v>2013-14</v>
      </c>
      <c r="E58" s="76">
        <f>IF(LEFT(D58,4)*1&gt;LEFT('General inputs'!$I$16,4)+'General inputs'!$H$38-1,"",'ET inputs'!D30)</f>
        <v>74.615780116993392</v>
      </c>
      <c r="F58" s="76">
        <f>IF(LEFT(D58,4)*1&gt;LEFT('General inputs'!$I$16,4)+'General inputs'!$H$38-1,"",E58/(1+'General inputs'!$H$30)^C58)</f>
        <v>97.356668987152304</v>
      </c>
      <c r="G58" s="76">
        <f>IF(LEFT(D58,4)*1&gt;LEFT('General inputs'!$I$16,4)+'General inputs'!$H$38-1,"",E58/(1+'General inputs'!$H$32)^C58)</f>
        <v>108.0538273702122</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1058305.0875411152</v>
      </c>
      <c r="M58" s="76">
        <f>IF(L58="","",L58/(1+'General inputs'!$H$32)^C58)</f>
        <v>1532570.1219619282</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5">
      <c r="B59" s="46"/>
      <c r="C59" s="26">
        <f>IF(D59='General inputs'!$I$16,0,IF(D59&lt;'General inputs'!$I$16,C60-1,C58+1))</f>
        <v>-8</v>
      </c>
      <c r="D59" s="26" t="str">
        <f t="shared" si="1"/>
        <v>2014-15</v>
      </c>
      <c r="E59" s="76">
        <f>IF(LEFT(D59,4)*1&gt;LEFT('General inputs'!$I$16,4)+'General inputs'!$H$38-1,"",'ET inputs'!D31)</f>
        <v>77.715468854613391</v>
      </c>
      <c r="F59" s="76">
        <f>IF(LEFT(D59,4)*1&gt;LEFT('General inputs'!$I$16,4)+'General inputs'!$H$38-1,"",E59/(1+'General inputs'!$H$30)^C59)</f>
        <v>98.447630806035349</v>
      </c>
      <c r="G59" s="76">
        <f>IF(LEFT(D59,4)*1&gt;LEFT('General inputs'!$I$16,4)+'General inputs'!$H$38-1,"",E59/(1+'General inputs'!$H$32)^C59)</f>
        <v>108.00633346144467</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257035.06868030771</v>
      </c>
      <c r="M59" s="76">
        <f>IF(L59="","",L59/(1+'General inputs'!$H$32)^C59)</f>
        <v>357218.65605810675</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5">
      <c r="B60" s="46"/>
      <c r="C60" s="26">
        <f>IF(D60='General inputs'!$I$16,0,IF(D60&lt;'General inputs'!$I$16,C61-1,C59+1))</f>
        <v>-7</v>
      </c>
      <c r="D60" s="26" t="str">
        <f t="shared" si="1"/>
        <v>2015-16</v>
      </c>
      <c r="E60" s="76">
        <f>IF(LEFT(D60,4)*1&gt;LEFT('General inputs'!$I$16,4)+'General inputs'!$H$38-1,"",'ET inputs'!D32)</f>
        <v>80.943924861771848</v>
      </c>
      <c r="F60" s="76">
        <f>IF(LEFT(D60,4)*1&gt;LEFT('General inputs'!$I$16,4)+'General inputs'!$H$38-1,"",E60/(1+'General inputs'!$H$30)^C60)</f>
        <v>99.550817752407568</v>
      </c>
      <c r="G60" s="76">
        <f>IF(LEFT(D60,4)*1&gt;LEFT('General inputs'!$I$16,4)+'General inputs'!$H$38-1,"",E60/(1+'General inputs'!$H$32)^C60)</f>
        <v>107.95886042811915</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46292.54894150421</v>
      </c>
      <c r="M60" s="76">
        <f>IF(L60="","",L60/(1+'General inputs'!$H$32)^C60)</f>
        <v>61742.630327999264</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5">
      <c r="B61" s="46"/>
      <c r="C61" s="26">
        <f>IF(D61='General inputs'!$I$16,0,IF(D61&lt;'General inputs'!$I$16,C62-1,C60+1))</f>
        <v>-6</v>
      </c>
      <c r="D61" s="26" t="str">
        <f t="shared" si="1"/>
        <v>2016-17</v>
      </c>
      <c r="E61" s="76">
        <f>IF(LEFT(D61,4)*1&gt;LEFT('General inputs'!$I$16,4)+'General inputs'!$H$38-1,"",'ET inputs'!D33)</f>
        <v>84.306497388379739</v>
      </c>
      <c r="F61" s="76">
        <f>IF(LEFT(D61,4)*1&gt;LEFT('General inputs'!$I$16,4)+'General inputs'!$H$38-1,"",E61/(1+'General inputs'!$H$30)^C61)</f>
        <v>100.66636681891096</v>
      </c>
      <c r="G61" s="76">
        <f>IF(LEFT(D61,4)*1&gt;LEFT('General inputs'!$I$16,4)+'General inputs'!$H$38-1,"",E61/(1+'General inputs'!$H$32)^C61)</f>
        <v>107.91140826105979</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35736.153742307179</v>
      </c>
      <c r="M61" s="76">
        <f>IF(L61="","",L61/(1+'General inputs'!$H$32)^C61)</f>
        <v>45741.891735827732</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5">
      <c r="B62" s="46"/>
      <c r="C62" s="26">
        <f>IF(D62='General inputs'!$I$16,0,IF(D62&lt;'General inputs'!$I$16,C63-1,C61+1))</f>
        <v>-5</v>
      </c>
      <c r="D62" s="26" t="str">
        <f t="shared" si="1"/>
        <v>2017-18</v>
      </c>
      <c r="E62" s="76">
        <f>IF(LEFT(D62,4)*1&gt;LEFT('General inputs'!$I$16,4)+'General inputs'!$H$38-1,"",'ET inputs'!D34)</f>
        <v>87.808757902887919</v>
      </c>
      <c r="F62" s="76">
        <f>IF(LEFT(D62,4)*1&gt;LEFT('General inputs'!$I$16,4)+'General inputs'!$H$38-1,"",E62/(1+'General inputs'!$H$30)^C62)</f>
        <v>101.79441653330319</v>
      </c>
      <c r="G62" s="76">
        <f>IF(LEFT(D62,4)*1&gt;LEFT('General inputs'!$I$16,4)+'General inputs'!$H$38-1,"",E62/(1+'General inputs'!$H$32)^C62)</f>
        <v>107.86397695109486</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37524.709090666205</v>
      </c>
      <c r="M62" s="76">
        <f>IF(L62="","",L62/(1+'General inputs'!$H$32)^C62)</f>
        <v>46095.223906122927</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5">
      <c r="B63" s="46"/>
      <c r="C63" s="26">
        <f>IF(D63='General inputs'!$I$16,0,IF(D63&lt;'General inputs'!$I$16,C64-1,C62+1))</f>
        <v>-4</v>
      </c>
      <c r="D63" s="26" t="str">
        <f t="shared" si="1"/>
        <v>2018-19</v>
      </c>
      <c r="E63" s="76">
        <f>IF(LEFT(D63,4)*1&gt;LEFT('General inputs'!$I$16,4)+'General inputs'!$H$38-1,"",'ET inputs'!D35)</f>
        <v>91.456509323689275</v>
      </c>
      <c r="F63" s="76">
        <f>IF(LEFT(D63,4)*1&gt;LEFT('General inputs'!$I$16,4)+'General inputs'!$H$38-1,"",E63/(1+'General inputs'!$H$30)^C63)</f>
        <v>102.93510697565941</v>
      </c>
      <c r="G63" s="76">
        <f>IF(LEFT(D63,4)*1&gt;LEFT('General inputs'!$I$16,4)+'General inputs'!$H$38-1,"",E63/(1+'General inputs'!$H$32)^C63)</f>
        <v>107.81656648905637</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185619.38380219915</v>
      </c>
      <c r="M63" s="76">
        <f>IF(L63="","",L63/(1+'General inputs'!$H$32)^C63)</f>
        <v>218823.62210585381</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5">
      <c r="B64" s="46"/>
      <c r="C64" s="26">
        <f>IF(D64='General inputs'!$I$16,0,IF(D64&lt;'General inputs'!$I$16,C65-1,C63+1))</f>
        <v>-3</v>
      </c>
      <c r="D64" s="26" t="str">
        <f t="shared" si="1"/>
        <v>2019-20</v>
      </c>
      <c r="E64" s="76">
        <f>IF(LEFT(D64,4)*1&gt;LEFT('General inputs'!$I$16,4)+'General inputs'!$H$38-1,"",'ET inputs'!D36)</f>
        <v>95.255795634014248</v>
      </c>
      <c r="F64" s="76">
        <f>IF(LEFT(D64,4)*1&gt;LEFT('General inputs'!$I$16,4)+'General inputs'!$H$38-1,"",E64/(1+'General inputs'!$H$30)^C64)</f>
        <v>104.08857979576948</v>
      </c>
      <c r="G64" s="76">
        <f>IF(LEFT(D64,4)*1&gt;LEFT('General inputs'!$I$16,4)+'General inputs'!$H$38-1,"",E64/(1+'General inputs'!$H$32)^C64)</f>
        <v>107.76917686578221</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986436.12521635427</v>
      </c>
      <c r="M64" s="76">
        <f>IF(L64="","",L64/(1+'General inputs'!$H$32)^C64)</f>
        <v>1116020.3800479053</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5">
      <c r="B65" s="46"/>
      <c r="C65" s="26">
        <f>IF(D65='General inputs'!$I$16,0,IF(D65&lt;'General inputs'!$I$16,C66-1,C64+1))</f>
        <v>-2</v>
      </c>
      <c r="D65" s="26" t="str">
        <f t="shared" si="1"/>
        <v>2020-21</v>
      </c>
      <c r="E65" s="76">
        <f>IF(LEFT(D65,4)*1&gt;LEFT('General inputs'!$I$16,4)+'General inputs'!$H$38-1,"",'ET inputs'!D37)</f>
        <v>99.212911896242062</v>
      </c>
      <c r="F65" s="76">
        <f>IF(LEFT(D65,4)*1&gt;LEFT('General inputs'!$I$16,4)+'General inputs'!$H$38-1,"",E65/(1+'General inputs'!$H$30)^C65)</f>
        <v>105.25497823072321</v>
      </c>
      <c r="G65" s="76">
        <f>IF(LEFT(D65,4)*1&gt;LEFT('General inputs'!$I$16,4)+'General inputs'!$H$38-1,"",E65/(1+'General inputs'!$H$32)^C65)</f>
        <v>107.72180807211139</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279517.9464018367</v>
      </c>
      <c r="M65" s="76">
        <f>IF(L65="","",L65/(1+'General inputs'!$H$32)^C65)</f>
        <v>303490.52355704387</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5">
      <c r="B66" s="46"/>
      <c r="C66" s="26">
        <f>IF(D66='General inputs'!$I$16,0,IF(D66&lt;'General inputs'!$I$16,C67-1,C65+1))</f>
        <v>-1</v>
      </c>
      <c r="D66" s="26" t="str">
        <f t="shared" si="1"/>
        <v>2021-22</v>
      </c>
      <c r="E66" s="76">
        <f>IF(LEFT(D66,4)*1&gt;LEFT('General inputs'!$I$16,4)+'General inputs'!$H$38-1,"",'ET inputs'!D38)</f>
        <v>103.334414682236</v>
      </c>
      <c r="F66" s="76">
        <f>IF(LEFT(D66,4)*1&gt;LEFT('General inputs'!$I$16,4)+'General inputs'!$H$38-1,"",E66/(1+'General inputs'!$H$30)^C66)</f>
        <v>106.43444712270308</v>
      </c>
      <c r="G66" s="76">
        <f>IF(LEFT(D66,4)*1&gt;LEFT('General inputs'!$I$16,4)+'General inputs'!$H$38-1,"",E66/(1+'General inputs'!$H$32)^C66)</f>
        <v>107.67446009888991</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5">
      <c r="B67" s="46"/>
      <c r="C67" s="26">
        <f>IF(D67='General inputs'!$I$16,0,IF(D67&lt;'General inputs'!$I$16,C68-1,C66+1))</f>
        <v>0</v>
      </c>
      <c r="D67" s="26" t="str">
        <f t="shared" si="1"/>
        <v>2022-23</v>
      </c>
      <c r="E67" s="76">
        <f>IF(LEFT(D67,4)*1&gt;LEFT('General inputs'!$I$16,4)+'General inputs'!$H$38-1,"",'ET inputs'!D39)</f>
        <v>107.62713293696561</v>
      </c>
      <c r="F67" s="76">
        <f>IF(LEFT(D67,4)*1&gt;LEFT('General inputs'!$I$16,4)+'General inputs'!$H$38-1,"",E67/(1+'General inputs'!$H$30)^C67)</f>
        <v>107.62713293696561</v>
      </c>
      <c r="G67" s="76">
        <f>IF(LEFT(D67,4)*1&gt;LEFT('General inputs'!$I$16,4)+'General inputs'!$H$38-1,"",E67/(1+'General inputs'!$H$32)^C67)</f>
        <v>107.62713293696561</v>
      </c>
      <c r="H67" s="76">
        <f>IF(LEFT(D67,4)*1&lt;LEFT('General inputs'!$I$16,4)*1,"",IF(LEFT(D67,4)*1&gt;LEFT('General inputs'!$I$16,4)+'General inputs'!$H$38-1,"",E67/(1+'General inputs'!$H$34)^C67))</f>
        <v>107.62713293696561</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74739.50992541702</v>
      </c>
      <c r="R67" s="76">
        <f>IF(OR(LEFT(D67,4)*1&lt;LEFT('General inputs'!$I$16,4)*1,LEFT(D67,4)*1&gt;LEFT('General inputs'!$I$16,4)+'General inputs'!$H$38-1),"",Q67/(1+'General inputs'!$H$34)^C67)</f>
        <v>74739.50992541702</v>
      </c>
      <c r="T67" s="81">
        <f>('Reduction amount'!I40)*SUM($E$67:E67)</f>
        <v>89349.893221610109</v>
      </c>
      <c r="U67" s="76">
        <f>IF(OR(LEFT(D67,4)*1&lt;LEFT('General inputs'!$I$16,4)*1,LEFT(D67,4)*1&gt;LEFT('General inputs'!$I$16,4)+'General inputs'!$H$38-1),"",T67/(1+'General inputs'!$H$34)^C67)</f>
        <v>89349.893221610109</v>
      </c>
      <c r="V67" s="47"/>
      <c r="W67" s="31"/>
      <c r="X67" s="31"/>
    </row>
    <row r="68" spans="2:24" x14ac:dyDescent="0.25">
      <c r="B68" s="46"/>
      <c r="C68" s="26">
        <f>IF(D68='General inputs'!$I$16,0,IF(D68&lt;'General inputs'!$I$16,C69-1,C67+1))</f>
        <v>1</v>
      </c>
      <c r="D68" s="26" t="str">
        <f t="shared" si="1"/>
        <v>2023-24</v>
      </c>
      <c r="E68" s="76">
        <f>IF(LEFT(D68,4)*1&gt;LEFT('General inputs'!$I$16,4)+'General inputs'!$H$38-1,"",'ET inputs'!D40)</f>
        <v>112.09817929343262</v>
      </c>
      <c r="F68" s="76">
        <f>IF(LEFT(D68,4)*1&gt;LEFT('General inputs'!$I$16,4)+'General inputs'!$H$38-1,"",E68/(1+'General inputs'!$H$30)^C68)</f>
        <v>108.83318378003167</v>
      </c>
      <c r="G68" s="76">
        <f>IF(LEFT(D68,4)*1&gt;LEFT('General inputs'!$I$16,4)+'General inputs'!$H$38-1,"",E68/(1+'General inputs'!$H$32)^C68)</f>
        <v>107.57982657719062</v>
      </c>
      <c r="H68" s="76">
        <f>IF(LEFT(D68,4)*1&lt;LEFT('General inputs'!$I$16,4)*1,"",IF(LEFT(D68,4)*1&gt;LEFT('General inputs'!$I$16,4)+'General inputs'!$H$38-1,"",E68/(1+'General inputs'!$H$34)^C68))</f>
        <v>107.57982657719062</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152583.84857215543</v>
      </c>
      <c r="R68" s="76">
        <f>IF(OR(LEFT(D68,4)*1&lt;LEFT('General inputs'!$I$16,4)*1,LEFT(D68,4)*1&gt;LEFT('General inputs'!$I$16,4)+'General inputs'!$H$38-1),"",Q68/(1+'General inputs'!$H$34)^C68)</f>
        <v>146433.63586579217</v>
      </c>
      <c r="T68" s="81">
        <f>('Reduction amount'!I41)*SUM($E$67:E68)</f>
        <v>162522.02444433636</v>
      </c>
      <c r="U68" s="76">
        <f>IF(OR(LEFT(D68,4)*1&lt;LEFT('General inputs'!$I$16,4)*1,LEFT(D68,4)*1&gt;LEFT('General inputs'!$I$16,4)+'General inputs'!$H$38-1),"",T68/(1+'General inputs'!$H$34)^C68)</f>
        <v>155971.23267210784</v>
      </c>
      <c r="V68" s="47"/>
      <c r="W68" s="31"/>
      <c r="X68" s="31"/>
    </row>
    <row r="69" spans="2:24" x14ac:dyDescent="0.25">
      <c r="B69" s="46"/>
      <c r="C69" s="26">
        <f>IF(D69='General inputs'!$I$16,0,IF(D69&lt;'General inputs'!$I$16,C70-1,C68+1))</f>
        <v>2</v>
      </c>
      <c r="D69" s="26" t="str">
        <f t="shared" si="1"/>
        <v>2024-25</v>
      </c>
      <c r="E69" s="76">
        <f>IF(LEFT(D69,4)*1&gt;LEFT('General inputs'!$I$16,4)+'General inputs'!$H$38-1,"",'ET inputs'!D41)</f>
        <v>116.75496185764041</v>
      </c>
      <c r="F69" s="76">
        <f>IF(LEFT(D69,4)*1&gt;LEFT('General inputs'!$I$16,4)+'General inputs'!$H$38-1,"",E69/(1+'General inputs'!$H$30)^C69)</f>
        <v>110.05274941807939</v>
      </c>
      <c r="G69" s="76">
        <f>IF(LEFT(D69,4)*1&gt;LEFT('General inputs'!$I$16,4)+'General inputs'!$H$38-1,"",E69/(1+'General inputs'!$H$32)^C69)</f>
        <v>107.53254101042252</v>
      </c>
      <c r="H69" s="76">
        <f>IF(LEFT(D69,4)*1&lt;LEFT('General inputs'!$I$16,4)*1,"",IF(LEFT(D69,4)*1&gt;LEFT('General inputs'!$I$16,4)+'General inputs'!$H$38-1,"",E69/(1+'General inputs'!$H$34)^C69))</f>
        <v>107.53254101042252</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233661.99673495666</v>
      </c>
      <c r="R69" s="76">
        <f>IF(OR(LEFT(D69,4)*1&lt;LEFT('General inputs'!$I$16,4)*1,LEFT(D69,4)*1&gt;LEFT('General inputs'!$I$16,4)+'General inputs'!$H$38-1),"",Q69/(1+'General inputs'!$H$34)^C69)</f>
        <v>215205.14286249739</v>
      </c>
      <c r="T69" s="81">
        <f>('Reduction amount'!I42)*SUM($E$67:E69)</f>
        <v>245324.4030348481</v>
      </c>
      <c r="U69" s="76">
        <f>IF(OR(LEFT(D69,4)*1&lt;LEFT('General inputs'!$I$16,4)*1,LEFT(D69,4)*1&gt;LEFT('General inputs'!$I$16,4)+'General inputs'!$H$38-1),"",T69/(1+'General inputs'!$H$34)^C69)</f>
        <v>225946.34104174393</v>
      </c>
      <c r="V69" s="47"/>
      <c r="W69" s="31"/>
      <c r="X69" s="31"/>
    </row>
    <row r="70" spans="2:24" x14ac:dyDescent="0.25">
      <c r="B70" s="46"/>
      <c r="C70" s="26">
        <f>IF(D70='General inputs'!$I$16,0,IF(D70&lt;'General inputs'!$I$16,C71-1,C69+1))</f>
        <v>3</v>
      </c>
      <c r="D70" s="26" t="str">
        <f t="shared" si="1"/>
        <v>2025-26</v>
      </c>
      <c r="E70" s="76">
        <f>IF(LEFT(D70,4)*1&gt;LEFT('General inputs'!$I$16,4)+'General inputs'!$H$38-1,"",'ET inputs'!D42)</f>
        <v>121.60519648313083</v>
      </c>
      <c r="F70" s="76">
        <f>IF(LEFT(D70,4)*1&gt;LEFT('General inputs'!$I$16,4)+'General inputs'!$H$38-1,"",E70/(1+'General inputs'!$H$30)^C70)</f>
        <v>111.28598129553934</v>
      </c>
      <c r="G70" s="76">
        <f>IF(LEFT(D70,4)*1&gt;LEFT('General inputs'!$I$16,4)+'General inputs'!$H$38-1,"",E70/(1+'General inputs'!$H$32)^C70)</f>
        <v>107.48527622752185</v>
      </c>
      <c r="H70" s="76">
        <f>IF(LEFT(D70,4)*1&lt;LEFT('General inputs'!$I$16,4)*1,"",IF(LEFT(D70,4)*1&gt;LEFT('General inputs'!$I$16,4)+'General inputs'!$H$38-1,"",E70/(1+'General inputs'!$H$34)^C70))</f>
        <v>107.48527622752185</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318108.2933287372</v>
      </c>
      <c r="R70" s="76">
        <f>IF(OR(LEFT(D70,4)*1&lt;LEFT('General inputs'!$I$16,4)*1,LEFT(D70,4)*1&gt;LEFT('General inputs'!$I$16,4)+'General inputs'!$H$38-1),"",Q70/(1+'General inputs'!$H$34)^C70)</f>
        <v>281171.84764754691</v>
      </c>
      <c r="T70" s="81">
        <f>('Reduction amount'!I43)*SUM($E$67:E70)</f>
        <v>331521.03590706107</v>
      </c>
      <c r="U70" s="76">
        <f>IF(OR(LEFT(D70,4)*1&lt;LEFT('General inputs'!$I$16,4)*1,LEFT(D70,4)*1&gt;LEFT('General inputs'!$I$16,4)+'General inputs'!$H$38-1),"",T70/(1+'General inputs'!$H$34)^C70)</f>
        <v>293027.19908558985</v>
      </c>
      <c r="V70" s="47"/>
      <c r="W70" s="31"/>
      <c r="X70" s="31"/>
    </row>
    <row r="71" spans="2:24" x14ac:dyDescent="0.25">
      <c r="B71" s="46"/>
      <c r="C71" s="26">
        <f>IF(D71='General inputs'!$I$16,0,IF(D71&lt;'General inputs'!$I$16,C72-1,C70+1))</f>
        <v>4</v>
      </c>
      <c r="D71" s="26" t="str">
        <f t="shared" si="1"/>
        <v>2026-27</v>
      </c>
      <c r="E71" s="76">
        <f>IF(LEFT(D71,4)*1&gt;LEFT('General inputs'!$I$16,4)+'General inputs'!$H$38-1,"",'ET inputs'!D43)</f>
        <v>126.65691955543298</v>
      </c>
      <c r="F71" s="76">
        <f>IF(LEFT(D71,4)*1&gt;LEFT('General inputs'!$I$16,4)+'General inputs'!$H$38-1,"",E71/(1+'General inputs'!$H$30)^C71)</f>
        <v>112.53303255390155</v>
      </c>
      <c r="G71" s="76">
        <f>IF(LEFT(D71,4)*1&gt;LEFT('General inputs'!$I$16,4)+'General inputs'!$H$38-1,"",E71/(1+'General inputs'!$H$32)^C71)</f>
        <v>107.43803221935268</v>
      </c>
      <c r="H71" s="76">
        <f>IF(LEFT(D71,4)*1&lt;LEFT('General inputs'!$I$16,4)*1,"",IF(LEFT(D71,4)*1&gt;LEFT('General inputs'!$I$16,4)+'General inputs'!$H$38-1,"",E71/(1+'General inputs'!$H$34)^C71))</f>
        <v>107.43803221935268</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406062.65797561652</v>
      </c>
      <c r="R71" s="76">
        <f>IF(OR(LEFT(D71,4)*1&lt;LEFT('General inputs'!$I$16,4)*1,LEFT(D71,4)*1&gt;LEFT('General inputs'!$I$16,4)+'General inputs'!$H$38-1),"",Q71/(1+'General inputs'!$H$34)^C71)</f>
        <v>344446.81809560797</v>
      </c>
      <c r="T71" s="81">
        <f>('Reduction amount'!I44)*SUM($E$67:E71)</f>
        <v>384175.75031317782</v>
      </c>
      <c r="U71" s="76">
        <f>IF(OR(LEFT(D71,4)*1&lt;LEFT('General inputs'!$I$16,4)*1,LEFT(D71,4)*1&gt;LEFT('General inputs'!$I$16,4)+'General inputs'!$H$38-1),"",T71/(1+'General inputs'!$H$34)^C71)</f>
        <v>325881.0239891918</v>
      </c>
      <c r="V71" s="47"/>
      <c r="W71" s="31"/>
      <c r="X71" s="31"/>
    </row>
    <row r="72" spans="2:24" x14ac:dyDescent="0.25">
      <c r="B72" s="46"/>
      <c r="C72" s="26">
        <f>IF(D72='General inputs'!$I$16,0,IF(D72&lt;'General inputs'!$I$16,C73-1,C71+1))</f>
        <v>5</v>
      </c>
      <c r="D72" s="26" t="str">
        <f t="shared" si="1"/>
        <v>2027-28</v>
      </c>
      <c r="E72" s="76">
        <f>IF(LEFT(D72,4)*1&gt;LEFT('General inputs'!$I$16,4)+'General inputs'!$H$38-1,"",'ET inputs'!D44)</f>
        <v>131.91850130760486</v>
      </c>
      <c r="F72" s="76">
        <f>IF(LEFT(D72,4)*1&gt;LEFT('General inputs'!$I$16,4)+'General inputs'!$H$38-1,"",E72/(1+'General inputs'!$H$30)^C72)</f>
        <v>113.79405805073378</v>
      </c>
      <c r="G72" s="76">
        <f>IF(LEFT(D72,4)*1&gt;LEFT('General inputs'!$I$16,4)+'General inputs'!$H$38-1,"",E72/(1+'General inputs'!$H$32)^C72)</f>
        <v>107.39080897678417</v>
      </c>
      <c r="H72" s="76">
        <f>IF(LEFT(D72,4)*1&lt;LEFT('General inputs'!$I$16,4)*1,"",IF(LEFT(D72,4)*1&gt;LEFT('General inputs'!$I$16,4)+'General inputs'!$H$38-1,"",E72/(1+'General inputs'!$H$34)^C72))</f>
        <v>107.39080897678417</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497670.82283865655</v>
      </c>
      <c r="R72" s="76">
        <f>IF(OR(LEFT(D72,4)*1&lt;LEFT('General inputs'!$I$16,4)*1,LEFT(D72,4)*1&gt;LEFT('General inputs'!$I$16,4)+'General inputs'!$H$38-1),"",Q72/(1+'General inputs'!$H$34)^C72)</f>
        <v>405138.564636681</v>
      </c>
      <c r="T72" s="81">
        <f>('Reduction amount'!I45)*SUM($E$67:E72)</f>
        <v>470960.87141490367</v>
      </c>
      <c r="U72" s="76">
        <f>IF(OR(LEFT(D72,4)*1&lt;LEFT('General inputs'!$I$16,4)*1,LEFT(D72,4)*1&gt;LEFT('General inputs'!$I$16,4)+'General inputs'!$H$38-1),"",T72/(1+'General inputs'!$H$34)^C72)</f>
        <v>383394.81176884827</v>
      </c>
      <c r="V72" s="47"/>
      <c r="W72" s="31"/>
      <c r="X72" s="31"/>
    </row>
    <row r="73" spans="2:24" x14ac:dyDescent="0.25">
      <c r="B73" s="46"/>
      <c r="C73" s="26">
        <f>IF(D73='General inputs'!$I$16,0,IF(D73&lt;'General inputs'!$I$16,C74-1,C72+1))</f>
        <v>6</v>
      </c>
      <c r="D73" s="26" t="str">
        <f t="shared" si="1"/>
        <v>2028-29</v>
      </c>
      <c r="E73" s="76">
        <f>IF(LEFT(D73,4)*1&gt;LEFT('General inputs'!$I$16,4)+'General inputs'!$H$38-1,"",'ET inputs'!D45)</f>
        <v>137.39865968892536</v>
      </c>
      <c r="F73" s="76">
        <f>IF(LEFT(D73,4)*1&gt;LEFT('General inputs'!$I$16,4)+'General inputs'!$H$38-1,"",E73/(1+'General inputs'!$H$30)^C73)</f>
        <v>115.06921437891005</v>
      </c>
      <c r="G73" s="76">
        <f>IF(LEFT(D73,4)*1&gt;LEFT('General inputs'!$I$16,4)+'General inputs'!$H$38-1,"",E73/(1+'General inputs'!$H$32)^C73)</f>
        <v>107.34360649068877</v>
      </c>
      <c r="H73" s="76">
        <f>IF(LEFT(D73,4)*1&lt;LEFT('General inputs'!$I$16,4)*1,"",IF(LEFT(D73,4)*1&gt;LEFT('General inputs'!$I$16,4)+'General inputs'!$H$38-1,"",E73/(1+'General inputs'!$H$34)^C73))</f>
        <v>107.34360649068877</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593084.574086437</v>
      </c>
      <c r="R73" s="76">
        <f>IF(OR(LEFT(D73,4)*1&lt;LEFT('General inputs'!$I$16,4)*1,LEFT(D73,4)*1&gt;LEFT('General inputs'!$I$16,4)+'General inputs'!$H$38-1),"",Q73/(1+'General inputs'!$H$34)^C73)</f>
        <v>463351.22395348729</v>
      </c>
      <c r="T73" s="81">
        <f>('Reduction amount'!I46)*SUM($E$67:E73)</f>
        <v>561253.77461607789</v>
      </c>
      <c r="U73" s="76">
        <f>IF(OR(LEFT(D73,4)*1&lt;LEFT('General inputs'!$I$16,4)*1,LEFT(D73,4)*1&gt;LEFT('General inputs'!$I$16,4)+'General inputs'!$H$38-1),"",T73/(1+'General inputs'!$H$34)^C73)</f>
        <v>438483.20253052685</v>
      </c>
      <c r="V73" s="47"/>
      <c r="W73" s="31"/>
      <c r="X73" s="31"/>
    </row>
    <row r="74" spans="2:24" x14ac:dyDescent="0.25">
      <c r="B74" s="46"/>
      <c r="C74" s="26">
        <f>IF(D74='General inputs'!$I$16,0,IF(D74&lt;'General inputs'!$I$16,C75-1,C73+1))</f>
        <v>7</v>
      </c>
      <c r="D74" s="26" t="str">
        <f t="shared" si="1"/>
        <v>2029-30</v>
      </c>
      <c r="E74" s="76">
        <f>IF(LEFT(D74,4)*1&gt;LEFT('General inputs'!$I$16,4)+'General inputs'!$H$38-1,"",'ET inputs'!D46)</f>
        <v>143.10647480972239</v>
      </c>
      <c r="F74" s="76">
        <f>IF(LEFT(D74,4)*1&gt;LEFT('General inputs'!$I$16,4)+'General inputs'!$H$38-1,"",E74/(1+'General inputs'!$H$30)^C74)</f>
        <v>116.35865988605676</v>
      </c>
      <c r="G74" s="76">
        <f>IF(LEFT(D74,4)*1&gt;LEFT('General inputs'!$I$16,4)+'General inputs'!$H$38-1,"",E74/(1+'General inputs'!$H$32)^C74)</f>
        <v>107.29642475194311</v>
      </c>
      <c r="H74" s="76">
        <f>IF(LEFT(D74,4)*1&lt;LEFT('General inputs'!$I$16,4)*1,"",IF(LEFT(D74,4)*1&gt;LEFT('General inputs'!$I$16,4)+'General inputs'!$H$38-1,"",E74/(1+'General inputs'!$H$34)^C74))</f>
        <v>107.29642475194311</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692462.00338855246</v>
      </c>
      <c r="R74" s="76">
        <f>IF(OR(LEFT(D74,4)*1&lt;LEFT('General inputs'!$I$16,4)*1,LEFT(D74,4)*1&gt;LEFT('General inputs'!$I$16,4)+'General inputs'!$H$38-1),"",Q74/(1+'General inputs'!$H$34)^C74)</f>
        <v>519184.73527454876</v>
      </c>
      <c r="T74" s="81">
        <f>('Reduction amount'!I47)*SUM($E$67:E74)</f>
        <v>655297.62560203497</v>
      </c>
      <c r="U74" s="76">
        <f>IF(OR(LEFT(D74,4)*1&lt;LEFT('General inputs'!$I$16,4)*1,LEFT(D74,4)*1&gt;LEFT('General inputs'!$I$16,4)+'General inputs'!$H$38-1),"",T74/(1+'General inputs'!$H$34)^C74)</f>
        <v>491320.13397033891</v>
      </c>
      <c r="V74" s="47"/>
      <c r="W74" s="31"/>
      <c r="X74" s="31"/>
    </row>
    <row r="75" spans="2:24" x14ac:dyDescent="0.25">
      <c r="B75" s="46"/>
      <c r="C75" s="26">
        <f>IF(D75='General inputs'!$I$16,0,IF(D75&lt;'General inputs'!$I$16,C76-1,C74+1))</f>
        <v>8</v>
      </c>
      <c r="D75" s="26" t="str">
        <f t="shared" si="1"/>
        <v>2030-31</v>
      </c>
      <c r="E75" s="76">
        <f>IF(LEFT(D75,4)*1&gt;LEFT('General inputs'!$I$16,4)+'General inputs'!$H$38-1,"",'ET inputs'!D47)</f>
        <v>149.05140398626827</v>
      </c>
      <c r="F75" s="76">
        <f>IF(LEFT(D75,4)*1&gt;LEFT('General inputs'!$I$16,4)+'General inputs'!$H$38-1,"",E75/(1+'General inputs'!$H$30)^C75)</f>
        <v>117.66255469421715</v>
      </c>
      <c r="G75" s="76">
        <f>IF(LEFT(D75,4)*1&gt;LEFT('General inputs'!$I$16,4)+'General inputs'!$H$38-1,"",E75/(1+'General inputs'!$H$32)^C75)</f>
        <v>107.24926375142861</v>
      </c>
      <c r="H75" s="76">
        <f>IF(LEFT(D75,4)*1&lt;LEFT('General inputs'!$I$16,4)*1,"",IF(LEFT(D75,4)*1&gt;LEFT('General inputs'!$I$16,4)+'General inputs'!$H$38-1,"",E75/(1+'General inputs'!$H$34)^C75))</f>
        <v>107.24926375142861</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795967.76985873678</v>
      </c>
      <c r="R75" s="76">
        <f>IF(OR(LEFT(D75,4)*1&lt;LEFT('General inputs'!$I$16,4)*1,LEFT(D75,4)*1&gt;LEFT('General inputs'!$I$16,4)+'General inputs'!$H$38-1),"",Q75/(1+'General inputs'!$H$34)^C75)</f>
        <v>572735.00956140435</v>
      </c>
      <c r="T75" s="81">
        <f>('Reduction amount'!I48)*SUM($E$67:E75)</f>
        <v>753248.24624565104</v>
      </c>
      <c r="U75" s="76">
        <f>IF(OR(LEFT(D75,4)*1&lt;LEFT('General inputs'!$I$16,4)*1,LEFT(D75,4)*1&gt;LEFT('General inputs'!$I$16,4)+'General inputs'!$H$38-1),"",T75/(1+'General inputs'!$H$34)^C75)</f>
        <v>541996.3695165423</v>
      </c>
      <c r="V75" s="47"/>
      <c r="W75" s="31"/>
      <c r="X75" s="31"/>
    </row>
    <row r="76" spans="2:24" x14ac:dyDescent="0.25">
      <c r="B76" s="46"/>
      <c r="C76" s="26">
        <f>IF(D76='General inputs'!$I$16,0,IF(D76&lt;'General inputs'!$I$16,C77-1,C75+1))</f>
        <v>9</v>
      </c>
      <c r="D76" s="26" t="str">
        <f t="shared" si="1"/>
        <v>2031-32</v>
      </c>
      <c r="E76" s="76">
        <f>IF(LEFT(D76,4)*1&gt;LEFT('General inputs'!$I$16,4)+'General inputs'!$H$38-1,"",'ET inputs'!D48)</f>
        <v>155.24329741066549</v>
      </c>
      <c r="F76" s="76">
        <f>IF(LEFT(D76,4)*1&gt;LEFT('General inputs'!$I$16,4)+'General inputs'!$H$38-1,"",E76/(1+'General inputs'!$H$30)^C76)</f>
        <v>118.98106071973208</v>
      </c>
      <c r="G76" s="76">
        <f>IF(LEFT(D76,4)*1&gt;LEFT('General inputs'!$I$16,4)+'General inputs'!$H$38-1,"",E76/(1+'General inputs'!$H$32)^C76)</f>
        <v>107.202123480029</v>
      </c>
      <c r="H76" s="76">
        <f>IF(LEFT(D76,4)*1&lt;LEFT('General inputs'!$I$16,4)*1,"",IF(LEFT(D76,4)*1&gt;LEFT('General inputs'!$I$16,4)+'General inputs'!$H$38-1,"",E76/(1+'General inputs'!$H$34)^C76))</f>
        <v>107.202123480029</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903773.37287962518</v>
      </c>
      <c r="R76" s="76">
        <f>IF(OR(LEFT(D76,4)*1&lt;LEFT('General inputs'!$I$16,4)*1,LEFT(D76,4)*1&gt;LEFT('General inputs'!$I$16,4)+'General inputs'!$H$38-1),"",Q76/(1+'General inputs'!$H$34)^C76)</f>
        <v>624094.09187637886</v>
      </c>
      <c r="T76" s="81">
        <f>('Reduction amount'!I49)*SUM($E$67:E76)</f>
        <v>855267.93157204404</v>
      </c>
      <c r="U76" s="76">
        <f>IF(OR(LEFT(D76,4)*1&lt;LEFT('General inputs'!$I$16,4)*1,LEFT(D76,4)*1&gt;LEFT('General inputs'!$I$16,4)+'General inputs'!$H$38-1),"",T76/(1+'General inputs'!$H$34)^C76)</f>
        <v>590599.01418066781</v>
      </c>
      <c r="V76" s="47"/>
      <c r="W76" s="31"/>
      <c r="X76" s="31"/>
    </row>
    <row r="77" spans="2:24" x14ac:dyDescent="0.25">
      <c r="B77" s="46"/>
      <c r="C77" s="26">
        <f>IF(D77='General inputs'!$I$16,0,IF(D77&lt;'General inputs'!$I$16,C78-1,C76+1))</f>
        <v>10</v>
      </c>
      <c r="D77" s="26" t="str">
        <f t="shared" si="1"/>
        <v>2032-33</v>
      </c>
      <c r="E77" s="76">
        <f>IF(LEFT(D77,4)*1&gt;LEFT('General inputs'!$I$16,4)+'General inputs'!$H$38-1,"",'ET inputs'!D49)</f>
        <v>161.69241447169952</v>
      </c>
      <c r="F77" s="76">
        <f>IF(LEFT(D77,4)*1&gt;LEFT('General inputs'!$I$16,4)+'General inputs'!$H$38-1,"",E77/(1+'General inputs'!$H$30)^C77)</f>
        <v>120.3143416933508</v>
      </c>
      <c r="G77" s="76">
        <f>IF(LEFT(D77,4)*1&gt;LEFT('General inputs'!$I$16,4)+'General inputs'!$H$38-1,"",E77/(1+'General inputs'!$H$32)^C77)</f>
        <v>107.15500392863385</v>
      </c>
      <c r="H77" s="76">
        <f>IF(LEFT(D77,4)*1&lt;LEFT('General inputs'!$I$16,4)*1,"",IF(LEFT(D77,4)*1&gt;LEFT('General inputs'!$I$16,4)+'General inputs'!$H$38-1,"",E77/(1+'General inputs'!$H$34)^C77))</f>
        <v>107.15500392863385</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1016057.4362612074</v>
      </c>
      <c r="R77" s="76">
        <f>IF(OR(LEFT(D77,4)*1&lt;LEFT('General inputs'!$I$16,4)*1,LEFT(D77,4)*1&gt;LEFT('General inputs'!$I$16,4)+'General inputs'!$H$38-1),"",Q77/(1+'General inputs'!$H$34)^C77)</f>
        <v>673350.31720577995</v>
      </c>
      <c r="T77" s="81">
        <f>('Reduction amount'!I50)*SUM($E$67:E77)</f>
        <v>961525.71866626607</v>
      </c>
      <c r="U77" s="76">
        <f>IF(OR(LEFT(D77,4)*1&lt;LEFT('General inputs'!$I$16,4)*1,LEFT(D77,4)*1&gt;LEFT('General inputs'!$I$16,4)+'General inputs'!$H$38-1),"",T77/(1+'General inputs'!$H$34)^C77)</f>
        <v>637211.66201769852</v>
      </c>
      <c r="V77" s="47"/>
      <c r="W77" s="31"/>
      <c r="X77" s="31"/>
    </row>
    <row r="78" spans="2:24" x14ac:dyDescent="0.25">
      <c r="B78" s="46"/>
      <c r="C78" s="26">
        <f>IF(D78='General inputs'!$I$16,0,IF(D78&lt;'General inputs'!$I$16,C79-1,C77+1))</f>
        <v>11</v>
      </c>
      <c r="D78" s="26" t="str">
        <f t="shared" si="1"/>
        <v>2033-34</v>
      </c>
      <c r="E78" s="76">
        <f>IF(LEFT(D78,4)*1&gt;LEFT('General inputs'!$I$16,4)+'General inputs'!$H$38-1,"",'ET inputs'!D50)</f>
        <v>168.40944075368316</v>
      </c>
      <c r="F78" s="76">
        <f>IF(LEFT(D78,4)*1&gt;LEFT('General inputs'!$I$16,4)+'General inputs'!$H$38-1,"",E78/(1+'General inputs'!$H$30)^C78)</f>
        <v>121.66256318055942</v>
      </c>
      <c r="G78" s="76">
        <f>IF(LEFT(D78,4)*1&gt;LEFT('General inputs'!$I$16,4)+'General inputs'!$H$38-1,"",E78/(1+'General inputs'!$H$32)^C78)</f>
        <v>107.10790508813564</v>
      </c>
      <c r="H78" s="76">
        <f>IF(LEFT(D78,4)*1&lt;LEFT('General inputs'!$I$16,4)*1,"",IF(LEFT(D78,4)*1&gt;LEFT('General inputs'!$I$16,4)+'General inputs'!$H$38-1,"",E78/(1+'General inputs'!$H$34)^C78))</f>
        <v>107.10790508813564</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1133006.0042037878</v>
      </c>
      <c r="R78" s="76">
        <f>IF(OR(LEFT(D78,4)*1&lt;LEFT('General inputs'!$I$16,4)*1,LEFT(D78,4)*1&gt;LEFT('General inputs'!$I$16,4)+'General inputs'!$H$38-1),"",Q78/(1+'General inputs'!$H$34)^C78)</f>
        <v>720588.46000231185</v>
      </c>
      <c r="T78" s="81">
        <f>('Reduction amount'!I51)*SUM($E$67:E78)</f>
        <v>1072197.6667519566</v>
      </c>
      <c r="U78" s="76">
        <f>IF(OR(LEFT(D78,4)*1&lt;LEFT('General inputs'!$I$16,4)*1,LEFT(D78,4)*1&gt;LEFT('General inputs'!$I$16,4)+'General inputs'!$H$38-1),"",T78/(1+'General inputs'!$H$34)^C78)</f>
        <v>681914.53764255461</v>
      </c>
      <c r="V78" s="47"/>
      <c r="W78" s="31"/>
      <c r="X78" s="31"/>
    </row>
    <row r="79" spans="2:24" x14ac:dyDescent="0.25">
      <c r="B79" s="46"/>
      <c r="C79" s="26">
        <f>IF(D79='General inputs'!$I$16,0,IF(D79&lt;'General inputs'!$I$16,C80-1,C78+1))</f>
        <v>12</v>
      </c>
      <c r="D79" s="26" t="str">
        <f t="shared" si="1"/>
        <v>2034-35</v>
      </c>
      <c r="E79" s="76">
        <f>IF(LEFT(D79,4)*1&gt;LEFT('General inputs'!$I$16,4)+'General inputs'!$H$38-1,"",'ET inputs'!D51)</f>
        <v>175.40550574147255</v>
      </c>
      <c r="F79" s="76">
        <f>IF(LEFT(D79,4)*1&gt;LEFT('General inputs'!$I$16,4)+'General inputs'!$H$38-1,"",E79/(1+'General inputs'!$H$30)^C79)</f>
        <v>123.02589260214189</v>
      </c>
      <c r="G79" s="76">
        <f>IF(LEFT(D79,4)*1&gt;LEFT('General inputs'!$I$16,4)+'General inputs'!$H$38-1,"",E79/(1+'General inputs'!$H$32)^C79)</f>
        <v>107.0608269494308</v>
      </c>
      <c r="H79" s="76">
        <f>IF(LEFT(D79,4)*1&lt;LEFT('General inputs'!$I$16,4)*1,"",IF(LEFT(D79,4)*1&gt;LEFT('General inputs'!$I$16,4)+'General inputs'!$H$38-1,"",E79/(1+'General inputs'!$H$34)^C79))</f>
        <v>107.0608269494308</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1254812.8495558384</v>
      </c>
      <c r="R79" s="76">
        <f>IF(OR(LEFT(D79,4)*1&lt;LEFT('General inputs'!$I$16,4)*1,LEFT(D79,4)*1&gt;LEFT('General inputs'!$I$16,4)+'General inputs'!$H$38-1),"",Q79/(1+'General inputs'!$H$34)^C79)</f>
        <v>765889.87769986712</v>
      </c>
      <c r="T79" s="81">
        <f>('Reduction amount'!I52)*SUM($E$67:E79)</f>
        <v>1187467.1489050225</v>
      </c>
      <c r="U79" s="76">
        <f>IF(OR(LEFT(D79,4)*1&lt;LEFT('General inputs'!$I$16,4)*1,LEFT(D79,4)*1&gt;LEFT('General inputs'!$I$16,4)+'General inputs'!$H$38-1),"",T79/(1+'General inputs'!$H$34)^C79)</f>
        <v>724784.63204245886</v>
      </c>
      <c r="V79" s="47"/>
      <c r="W79" s="31"/>
      <c r="X79" s="31"/>
    </row>
    <row r="80" spans="2:24" x14ac:dyDescent="0.25">
      <c r="B80" s="46"/>
      <c r="C80" s="26">
        <f>IF(D80='General inputs'!$I$16,0,IF(D80&lt;'General inputs'!$I$16,C81-1,C79+1))</f>
        <v>13</v>
      </c>
      <c r="D80" s="26" t="str">
        <f t="shared" si="1"/>
        <v>2035-36</v>
      </c>
      <c r="E80" s="76">
        <f>IF(LEFT(D80,4)*1&gt;LEFT('General inputs'!$I$16,4)+'General inputs'!$H$38-1,"",'ET inputs'!D52)</f>
        <v>182.69220126098389</v>
      </c>
      <c r="F80" s="76">
        <f>IF(LEFT(D80,4)*1&gt;LEFT('General inputs'!$I$16,4)+'General inputs'!$H$38-1,"",E80/(1+'General inputs'!$H$30)^C80)</f>
        <v>124.40449925497033</v>
      </c>
      <c r="G80" s="76">
        <f>IF(LEFT(D80,4)*1&gt;LEFT('General inputs'!$I$16,4)+'General inputs'!$H$38-1,"",E80/(1+'General inputs'!$H$32)^C80)</f>
        <v>107.01376950341985</v>
      </c>
      <c r="H80" s="76">
        <f>IF(LEFT(D80,4)*1&lt;LEFT('General inputs'!$I$16,4)*1,"",IF(LEFT(D80,4)*1&gt;LEFT('General inputs'!$I$16,4)+'General inputs'!$H$38-1,"",E80/(1+'General inputs'!$H$34)^C80))</f>
        <v>107.01376950341985</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1381679.7948775035</v>
      </c>
      <c r="R80" s="76">
        <f>IF(OR(LEFT(D80,4)*1&lt;LEFT('General inputs'!$I$16,4)*1,LEFT(D80,4)*1&gt;LEFT('General inputs'!$I$16,4)+'General inputs'!$H$38-1),"",Q80/(1+'General inputs'!$H$34)^C80)</f>
        <v>809332.64844365639</v>
      </c>
      <c r="T80" s="81">
        <f>('Reduction amount'!I53)*SUM($E$67:E80)</f>
        <v>1307525.1558856908</v>
      </c>
      <c r="U80" s="76">
        <f>IF(OR(LEFT(D80,4)*1&lt;LEFT('General inputs'!$I$16,4)*1,LEFT(D80,4)*1&gt;LEFT('General inputs'!$I$16,4)+'General inputs'!$H$38-1),"",T80/(1+'General inputs'!$H$34)^C80)</f>
        <v>765895.8329151005</v>
      </c>
      <c r="V80" s="47"/>
      <c r="W80" s="31"/>
      <c r="X80" s="31"/>
    </row>
    <row r="81" spans="2:24" x14ac:dyDescent="0.25">
      <c r="B81" s="46"/>
      <c r="C81" s="26">
        <f>IF(D81='General inputs'!$I$16,0,IF(D81&lt;'General inputs'!$I$16,C82-1,C80+1))</f>
        <v>14</v>
      </c>
      <c r="D81" s="26" t="str">
        <f t="shared" si="1"/>
        <v>2036-37</v>
      </c>
      <c r="E81" s="76">
        <f>IF(LEFT(D81,4)*1&gt;LEFT('General inputs'!$I$16,4)+'General inputs'!$H$38-1,"",'ET inputs'!D53)</f>
        <v>190.28160068576835</v>
      </c>
      <c r="F81" s="76">
        <f>IF(LEFT(D81,4)*1&gt;LEFT('General inputs'!$I$16,4)+'General inputs'!$H$38-1,"",E81/(1+'General inputs'!$H$30)^C81)</f>
        <v>125.79855433302986</v>
      </c>
      <c r="G81" s="76">
        <f>IF(LEFT(D81,4)*1&gt;LEFT('General inputs'!$I$16,4)+'General inputs'!$H$38-1,"",E81/(1+'General inputs'!$H$32)^C81)</f>
        <v>106.96673274100893</v>
      </c>
      <c r="H81" s="76">
        <f>IF(LEFT(D81,4)*1&lt;LEFT('General inputs'!$I$16,4)*1,"",IF(LEFT(D81,4)*1&gt;LEFT('General inputs'!$I$16,4)+'General inputs'!$H$38-1,"",E81/(1+'General inputs'!$H$34)^C81))</f>
        <v>106.96673274100893</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1513817.0468417215</v>
      </c>
      <c r="R81" s="76">
        <f>IF(OR(LEFT(D81,4)*1&lt;LEFT('General inputs'!$I$16,4)*1,LEFT(D81,4)*1&gt;LEFT('General inputs'!$I$16,4)+'General inputs'!$H$38-1),"",Q81/(1+'General inputs'!$H$34)^C81)</f>
        <v>850991.70326883229</v>
      </c>
      <c r="T81" s="81">
        <f>('Reduction amount'!I54)*SUM($E$67:E81)</f>
        <v>1432570.6125923502</v>
      </c>
      <c r="U81" s="76">
        <f>IF(OR(LEFT(D81,4)*1&lt;LEFT('General inputs'!$I$16,4)*1,LEFT(D81,4)*1&gt;LEFT('General inputs'!$I$16,4)+'General inputs'!$H$38-1),"",T81/(1+'General inputs'!$H$34)^C81)</f>
        <v>805319.04975324485</v>
      </c>
      <c r="V81" s="47"/>
      <c r="W81" s="31"/>
      <c r="X81" s="31"/>
    </row>
    <row r="82" spans="2:24" x14ac:dyDescent="0.25">
      <c r="B82" s="46"/>
      <c r="C82" s="26">
        <f>IF(D82='General inputs'!$I$16,0,IF(D82&lt;'General inputs'!$I$16,C83-1,C81+1))</f>
        <v>15</v>
      </c>
      <c r="D82" s="26" t="str">
        <f t="shared" si="1"/>
        <v>2037-38</v>
      </c>
      <c r="E82" s="76">
        <f>IF(LEFT(D82,4)*1&gt;LEFT('General inputs'!$I$16,4)+'General inputs'!$H$38-1,"",'ET inputs'!D54)</f>
        <v>198.1862789414572</v>
      </c>
      <c r="F82" s="76">
        <f>IF(LEFT(D82,4)*1&gt;LEFT('General inputs'!$I$16,4)+'General inputs'!$H$38-1,"",E82/(1+'General inputs'!$H$30)^C82)</f>
        <v>127.20823094867282</v>
      </c>
      <c r="G82" s="76">
        <f>IF(LEFT(D82,4)*1&gt;LEFT('General inputs'!$I$16,4)+'General inputs'!$H$38-1,"",E82/(1+'General inputs'!$H$32)^C82)</f>
        <v>106.91971665310584</v>
      </c>
      <c r="H82" s="76">
        <f>IF(LEFT(D82,4)*1&lt;LEFT('General inputs'!$I$16,4)*1,"",IF(LEFT(D82,4)*1&gt;LEFT('General inputs'!$I$16,4)+'General inputs'!$H$38-1,"",E82/(1+'General inputs'!$H$34)^C82))</f>
        <v>106.91971665310584</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1651443.5445270378</v>
      </c>
      <c r="R82" s="76">
        <f>IF(OR(LEFT(D82,4)*1&lt;LEFT('General inputs'!$I$16,4)*1,LEFT(D82,4)*1&gt;LEFT('General inputs'!$I$16,4)+'General inputs'!$H$38-1),"",Q82/(1+'General inputs'!$H$34)^C82)</f>
        <v>890938.95295137819</v>
      </c>
      <c r="T82" s="81">
        <f>('Reduction amount'!I55)*SUM($E$67:E82)</f>
        <v>1562810.7076615184</v>
      </c>
      <c r="U82" s="76">
        <f>IF(OR(LEFT(D82,4)*1&lt;LEFT('General inputs'!$I$16,4)*1,LEFT(D82,4)*1&gt;LEFT('General inputs'!$I$16,4)+'General inputs'!$H$38-1),"",T82/(1+'General inputs'!$H$34)^C82)</f>
        <v>843122.33388754481</v>
      </c>
      <c r="V82" s="47"/>
      <c r="W82" s="31"/>
      <c r="X82" s="31"/>
    </row>
    <row r="83" spans="2:24" x14ac:dyDescent="0.25">
      <c r="B83" s="46"/>
      <c r="C83" s="26">
        <f>IF(D83='General inputs'!$I$16,0,IF(D83&lt;'General inputs'!$I$16,C84-1,C82+1))</f>
        <v>16</v>
      </c>
      <c r="D83" s="26" t="str">
        <f t="shared" si="1"/>
        <v>2038-39</v>
      </c>
      <c r="E83" s="76">
        <f>IF(LEFT(D83,4)*1&gt;LEFT('General inputs'!$I$16,4)+'General inputs'!$H$38-1,"",'ET inputs'!D55)</f>
        <v>206.41933334124224</v>
      </c>
      <c r="F83" s="76">
        <f>IF(LEFT(D83,4)*1&gt;LEFT('General inputs'!$I$16,4)+'General inputs'!$H$38-1,"",E83/(1+'General inputs'!$H$30)^C83)</f>
        <v>128.63370415411842</v>
      </c>
      <c r="G83" s="76">
        <f>IF(LEFT(D83,4)*1&gt;LEFT('General inputs'!$I$16,4)+'General inputs'!$H$38-1,"",E83/(1+'General inputs'!$H$32)^C83)</f>
        <v>106.87272123062247</v>
      </c>
      <c r="H83" s="76">
        <f>IF(LEFT(D83,4)*1&lt;LEFT('General inputs'!$I$16,4)*1,"",IF(LEFT(D83,4)*1&gt;LEFT('General inputs'!$I$16,4)+'General inputs'!$H$38-1,"",E83/(1+'General inputs'!$H$34)^C83))</f>
        <v>106.87272123062247</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1794787.3221791966</v>
      </c>
      <c r="R83" s="76">
        <f>IF(OR(LEFT(D83,4)*1&lt;LEFT('General inputs'!$I$16,4)*1,LEFT(D83,4)*1&gt;LEFT('General inputs'!$I$16,4)+'General inputs'!$H$38-1),"",Q83/(1+'General inputs'!$H$34)^C83)</f>
        <v>929243.40974600276</v>
      </c>
      <c r="T83" s="81">
        <f>('Reduction amount'!I56)*SUM($E$67:E83)</f>
        <v>1698461.2367600489</v>
      </c>
      <c r="U83" s="76">
        <f>IF(OR(LEFT(D83,4)*1&lt;LEFT('General inputs'!$I$16,4)*1,LEFT(D83,4)*1&gt;LEFT('General inputs'!$I$16,4)+'General inputs'!$H$38-1),"",T83/(1+'General inputs'!$H$34)^C83)</f>
        <v>879370.99369077245</v>
      </c>
      <c r="V83" s="47"/>
      <c r="W83" s="31"/>
      <c r="X83" s="31"/>
    </row>
    <row r="84" spans="2:24" x14ac:dyDescent="0.25">
      <c r="B84" s="46"/>
      <c r="C84" s="26">
        <f>IF(D84='General inputs'!$I$16,0,IF(D84&lt;'General inputs'!$I$16,C85-1,C83+1))</f>
        <v>17</v>
      </c>
      <c r="D84" s="26" t="str">
        <f t="shared" si="1"/>
        <v>2039-40</v>
      </c>
      <c r="E84" s="76">
        <f>IF(LEFT(D84,4)*1&gt;LEFT('General inputs'!$I$16,4)+'General inputs'!$H$38-1,"",'ET inputs'!D56)</f>
        <v>214.99440528690414</v>
      </c>
      <c r="F84" s="76">
        <f>IF(LEFT(D84,4)*1&gt;LEFT('General inputs'!$I$16,4)+'General inputs'!$H$38-1,"",E84/(1+'General inputs'!$H$30)^C84)</f>
        <v>130.07515096319304</v>
      </c>
      <c r="G84" s="76">
        <f>IF(LEFT(D84,4)*1&gt;LEFT('General inputs'!$I$16,4)+'General inputs'!$H$38-1,"",E84/(1+'General inputs'!$H$32)^C84)</f>
        <v>106.82574646447698</v>
      </c>
      <c r="H84" s="76">
        <f>IF(LEFT(D84,4)*1&lt;LEFT('General inputs'!$I$16,4)*1,"",IF(LEFT(D84,4)*1&gt;LEFT('General inputs'!$I$16,4)+'General inputs'!$H$38-1,"",E84/(1+'General inputs'!$H$34)^C84))</f>
        <v>106.82574646447698</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1944085.8870425813</v>
      </c>
      <c r="R84" s="76">
        <f>IF(OR(LEFT(D84,4)*1&lt;LEFT('General inputs'!$I$16,4)*1,LEFT(D84,4)*1&gt;LEFT('General inputs'!$I$16,4)+'General inputs'!$H$38-1),"",Q84/(1+'General inputs'!$H$34)^C84)</f>
        <v>965971.3042171374</v>
      </c>
      <c r="T84" s="81">
        <f>('Reduction amount'!I57)*SUM($E$67:E84)</f>
        <v>1839746.960138391</v>
      </c>
      <c r="U84" s="76">
        <f>IF(OR(LEFT(D84,4)*1&lt;LEFT('General inputs'!$I$16,4)*1,LEFT(D84,4)*1&gt;LEFT('General inputs'!$I$16,4)+'General inputs'!$H$38-1),"",T84/(1+'General inputs'!$H$34)^C84)</f>
        <v>914127.705138508</v>
      </c>
      <c r="V84" s="47"/>
      <c r="W84" s="31"/>
      <c r="X84" s="31"/>
    </row>
    <row r="85" spans="2:24" x14ac:dyDescent="0.25">
      <c r="B85" s="46"/>
      <c r="C85" s="26">
        <f>IF(D85='General inputs'!$I$16,0,IF(D85&lt;'General inputs'!$I$16,C86-1,C84+1))</f>
        <v>18</v>
      </c>
      <c r="D85" s="26" t="str">
        <f t="shared" si="1"/>
        <v>2040-41</v>
      </c>
      <c r="E85" s="76">
        <f>IF(LEFT(D85,4)*1&gt;LEFT('General inputs'!$I$16,4)+'General inputs'!$H$38-1,"",'ET inputs'!D57)</f>
        <v>223.9257028713337</v>
      </c>
      <c r="F85" s="76">
        <f>IF(LEFT(D85,4)*1&gt;LEFT('General inputs'!$I$16,4)+'General inputs'!$H$38-1,"",E85/(1+'General inputs'!$H$30)^C85)</f>
        <v>131.53275037330738</v>
      </c>
      <c r="G85" s="76">
        <f>IF(LEFT(D85,4)*1&gt;LEFT('General inputs'!$I$16,4)+'General inputs'!$H$38-1,"",E85/(1+'General inputs'!$H$32)^C85)</f>
        <v>106.77879234558996</v>
      </c>
      <c r="H85" s="76">
        <f>IF(LEFT(D85,4)*1&lt;LEFT('General inputs'!$I$16,4)*1,"",IF(LEFT(D85,4)*1&gt;LEFT('General inputs'!$I$16,4)+'General inputs'!$H$38-1,"",E85/(1+'General inputs'!$H$34)^C85))</f>
        <v>106.77879234558996</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2099586.6128875217</v>
      </c>
      <c r="R85" s="76">
        <f>IF(OR(LEFT(D85,4)*1&lt;LEFT('General inputs'!$I$16,4)*1,LEFT(D85,4)*1&gt;LEFT('General inputs'!$I$16,4)+'General inputs'!$H$38-1),"",Q85/(1+'General inputs'!$H$34)^C85)</f>
        <v>1001186.1973608102</v>
      </c>
      <c r="T85" s="81">
        <f>('Reduction amount'!I58)*SUM($E$67:E85)</f>
        <v>1986901.9750373166</v>
      </c>
      <c r="U85" s="76">
        <f>IF(OR(LEFT(D85,4)*1&lt;LEFT('General inputs'!$I$16,4)*1,LEFT(D85,4)*1&gt;LEFT('General inputs'!$I$16,4)+'General inputs'!$H$38-1),"",T85/(1+'General inputs'!$H$34)^C85)</f>
        <v>947452.61791343987</v>
      </c>
      <c r="V85" s="47"/>
      <c r="W85" s="31"/>
      <c r="X85" s="31"/>
    </row>
    <row r="86" spans="2:24" x14ac:dyDescent="0.25">
      <c r="B86" s="46"/>
      <c r="C86" s="26">
        <f>IF(D86='General inputs'!$I$16,0,IF(D86&lt;'General inputs'!$I$16,C87-1,C85+1))</f>
        <v>19</v>
      </c>
      <c r="D86" s="26" t="str">
        <f t="shared" si="1"/>
        <v>2041-42</v>
      </c>
      <c r="E86" s="76">
        <f>IF(LEFT(D86,4)*1&gt;LEFT('General inputs'!$I$16,4)+'General inputs'!$H$38-1,"",'ET inputs'!D58)</f>
        <v>233.22802442001375</v>
      </c>
      <c r="F86" s="76">
        <f>IF(LEFT(D86,4)*1&gt;LEFT('General inputs'!$I$16,4)+'General inputs'!$H$38-1,"",E86/(1+'General inputs'!$H$30)^C86)</f>
        <v>133.00668338768426</v>
      </c>
      <c r="G86" s="76">
        <f>IF(LEFT(D86,4)*1&gt;LEFT('General inputs'!$I$16,4)+'General inputs'!$H$38-1,"",E86/(1+'General inputs'!$H$32)^C86)</f>
        <v>106.73185886488487</v>
      </c>
      <c r="H86" s="76">
        <f>IF(LEFT(D86,4)*1&lt;LEFT('General inputs'!$I$16,4)*1,"",IF(LEFT(D86,4)*1&gt;LEFT('General inputs'!$I$16,4)+'General inputs'!$H$38-1,"",E86/(1+'General inputs'!$H$34)^C86))</f>
        <v>106.73185886488487</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2261547.1498855115</v>
      </c>
      <c r="R86" s="76">
        <f>IF(OR(LEFT(D86,4)*1&lt;LEFT('General inputs'!$I$16,4)*1,LEFT(D86,4)*1&gt;LEFT('General inputs'!$I$16,4)+'General inputs'!$H$38-1),"",Q86/(1+'General inputs'!$H$34)^C86)</f>
        <v>1034949.0882072138</v>
      </c>
      <c r="T86" s="81">
        <f>('Reduction amount'!I59)*SUM($E$67:E86)</f>
        <v>2140170.1035651728</v>
      </c>
      <c r="U86" s="76">
        <f>IF(OR(LEFT(D86,4)*1&lt;LEFT('General inputs'!$I$16,4)*1,LEFT(D86,4)*1&gt;LEFT('General inputs'!$I$16,4)+'General inputs'!$H$38-1),"",T86/(1+'General inputs'!$H$34)^C86)</f>
        <v>979403.4572329144</v>
      </c>
      <c r="V86" s="47"/>
      <c r="W86" s="31"/>
      <c r="X86" s="31"/>
    </row>
    <row r="87" spans="2:24" x14ac:dyDescent="0.25">
      <c r="B87" s="46"/>
      <c r="C87" s="26">
        <f>IF(D87='General inputs'!$I$16,0,IF(D87&lt;'General inputs'!$I$16,C88-1,C86+1))</f>
        <v>20</v>
      </c>
      <c r="D87" s="26" t="str">
        <f t="shared" si="1"/>
        <v>2042-43</v>
      </c>
      <c r="E87" s="76">
        <f>IF(LEFT(D87,4)*1&gt;LEFT('General inputs'!$I$16,4)+'General inputs'!$H$38-1,"",'ET inputs'!D59)</f>
        <v>242.91678301046974</v>
      </c>
      <c r="F87" s="76">
        <f>IF(LEFT(D87,4)*1&gt;LEFT('General inputs'!$I$16,4)+'General inputs'!$H$38-1,"",E87/(1+'General inputs'!$H$30)^C87)</f>
        <v>134.49713303784011</v>
      </c>
      <c r="G87" s="76">
        <f>IF(LEFT(D87,4)*1&gt;LEFT('General inputs'!$I$16,4)+'General inputs'!$H$38-1,"",E87/(1+'General inputs'!$H$32)^C87)</f>
        <v>106.68494601329155</v>
      </c>
      <c r="H87" s="76">
        <f>IF(LEFT(D87,4)*1&lt;LEFT('General inputs'!$I$16,4)*1,"",IF(LEFT(D87,4)*1&gt;LEFT('General inputs'!$I$16,4)+'General inputs'!$H$38-1,"",E87/(1+'General inputs'!$H$34)^C87))</f>
        <v>106.68494601329155</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2430235.8515114724</v>
      </c>
      <c r="R87" s="76">
        <f>IF(OR(LEFT(D87,4)*1&lt;LEFT('General inputs'!$I$16,4)*1,LEFT(D87,4)*1&gt;LEFT('General inputs'!$I$16,4)+'General inputs'!$H$38-1),"",Q87/(1+'General inputs'!$H$34)^C87)</f>
        <v>1067318.5170861271</v>
      </c>
      <c r="T87" s="81">
        <f>('Reduction amount'!I60)*SUM($E$67:E87)</f>
        <v>2299805.2966883332</v>
      </c>
      <c r="U87" s="76">
        <f>IF(OR(LEFT(D87,4)*1&lt;LEFT('General inputs'!$I$16,4)*1,LEFT(D87,4)*1&gt;LEFT('General inputs'!$I$16,4)+'General inputs'!$H$38-1),"",T87/(1+'General inputs'!$H$34)^C87)</f>
        <v>1010035.6215721084</v>
      </c>
      <c r="V87" s="47"/>
      <c r="W87" s="31"/>
      <c r="X87" s="31"/>
    </row>
    <row r="88" spans="2:24" x14ac:dyDescent="0.25">
      <c r="B88" s="46"/>
      <c r="C88" s="26">
        <f>IF(D88='General inputs'!$I$16,0,IF(D88&lt;'General inputs'!$I$16,C89-1,C87+1))</f>
        <v>21</v>
      </c>
      <c r="D88" s="26" t="str">
        <f t="shared" si="1"/>
        <v>2043-44</v>
      </c>
      <c r="E88" s="76">
        <f>IF(LEFT(D88,4)*1&gt;LEFT('General inputs'!$I$16,4)+'General inputs'!$H$38-1,"",'ET inputs'!D60)</f>
        <v>253.00803201029066</v>
      </c>
      <c r="F88" s="76">
        <f>IF(LEFT(D88,4)*1&gt;LEFT('General inputs'!$I$16,4)+'General inputs'!$H$38-1,"",E88/(1+'General inputs'!$H$30)^C88)</f>
        <v>136.00428440630881</v>
      </c>
      <c r="G88" s="76">
        <f>IF(LEFT(D88,4)*1&gt;LEFT('General inputs'!$I$16,4)+'General inputs'!$H$38-1,"",E88/(1+'General inputs'!$H$32)^C88)</f>
        <v>106.63805378174251</v>
      </c>
      <c r="H88" s="76">
        <f>IF(LEFT(D88,4)*1&lt;LEFT('General inputs'!$I$16,4)*1,"",IF(LEFT(D88,4)*1&gt;LEFT('General inputs'!$I$16,4)+'General inputs'!$H$38-1,"",E88/(1+'General inputs'!$H$34)^C88))</f>
        <v>106.63805378174251</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2605932.2191803781</v>
      </c>
      <c r="R88" s="76">
        <f>IF(OR(LEFT(D88,4)*1&lt;LEFT('General inputs'!$I$16,4)*1,LEFT(D88,4)*1&gt;LEFT('General inputs'!$I$16,4)+'General inputs'!$H$38-1),"",Q88/(1+'General inputs'!$H$34)^C88)</f>
        <v>1098350.6647300036</v>
      </c>
      <c r="T88" s="81">
        <f>('Reduction amount'!I61)*SUM($E$67:E88)</f>
        <v>2466072.0550042158</v>
      </c>
      <c r="U88" s="76">
        <f>IF(OR(LEFT(D88,4)*1&lt;LEFT('General inputs'!$I$16,4)*1,LEFT(D88,4)*1&gt;LEFT('General inputs'!$I$16,4)+'General inputs'!$H$38-1),"",T88/(1+'General inputs'!$H$34)^C88)</f>
        <v>1039402.276448266</v>
      </c>
      <c r="V88" s="47"/>
      <c r="W88" s="31"/>
      <c r="X88" s="31"/>
    </row>
    <row r="89" spans="2:24" x14ac:dyDescent="0.25">
      <c r="B89" s="46"/>
      <c r="C89" s="26">
        <f>IF(D89='General inputs'!$I$16,0,IF(D89&lt;'General inputs'!$I$16,C90-1,C88+1))</f>
        <v>22</v>
      </c>
      <c r="D89" s="26" t="str">
        <f t="shared" si="1"/>
        <v>2044-45</v>
      </c>
      <c r="E89" s="76">
        <f>IF(LEFT(D89,4)*1&gt;LEFT('General inputs'!$I$16,4)+'General inputs'!$H$38-1,"",'ET inputs'!D61)</f>
        <v>263.5184916760636</v>
      </c>
      <c r="F89" s="76">
        <f>IF(LEFT(D89,4)*1&gt;LEFT('General inputs'!$I$16,4)+'General inputs'!$H$38-1,"",E89/(1+'General inputs'!$H$30)^C89)</f>
        <v>137.52832464962762</v>
      </c>
      <c r="G89" s="76">
        <f>IF(LEFT(D89,4)*1&gt;LEFT('General inputs'!$I$16,4)+'General inputs'!$H$38-1,"",E89/(1+'General inputs'!$H$32)^C89)</f>
        <v>106.59118216117491</v>
      </c>
      <c r="H89" s="76">
        <f>IF(LEFT(D89,4)*1&lt;LEFT('General inputs'!$I$16,4)*1,"",IF(LEFT(D89,4)*1&gt;LEFT('General inputs'!$I$16,4)+'General inputs'!$H$38-1,"",E89/(1+'General inputs'!$H$34)^C89))</f>
        <v>106.59118216117491</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2788927.3653549873</v>
      </c>
      <c r="R89" s="76">
        <f>IF(OR(LEFT(D89,4)*1&lt;LEFT('General inputs'!$I$16,4)*1,LEFT(D89,4)*1&gt;LEFT('General inputs'!$I$16,4)+'General inputs'!$H$38-1),"",Q89/(1+'General inputs'!$H$34)^C89)</f>
        <v>1128099.4473825067</v>
      </c>
      <c r="T89" s="81">
        <f>('Reduction amount'!I62)*SUM($E$67:E89)</f>
        <v>2639245.8669940578</v>
      </c>
      <c r="U89" s="76">
        <f>IF(OR(LEFT(D89,4)*1&lt;LEFT('General inputs'!$I$16,4)*1,LEFT(D89,4)*1&gt;LEFT('General inputs'!$I$16,4)+'General inputs'!$H$38-1),"",T89/(1+'General inputs'!$H$34)^C89)</f>
        <v>1067554.4444247631</v>
      </c>
      <c r="V89" s="47"/>
      <c r="W89" s="31"/>
      <c r="X89" s="31"/>
    </row>
    <row r="90" spans="2:24" x14ac:dyDescent="0.25">
      <c r="B90" s="46"/>
      <c r="C90" s="26">
        <f>IF(D90='General inputs'!$I$16,0,IF(D90&lt;'General inputs'!$I$16,C91-1,C89+1))</f>
        <v>23</v>
      </c>
      <c r="D90" s="26" t="str">
        <f t="shared" si="1"/>
        <v>2045-46</v>
      </c>
      <c r="E90" s="76">
        <f>IF(LEFT(D90,4)*1&gt;LEFT('General inputs'!$I$16,4)+'General inputs'!$H$38-1,"",'ET inputs'!D62)</f>
        <v>274.4655768572693</v>
      </c>
      <c r="F90" s="76">
        <f>IF(LEFT(D90,4)*1&gt;LEFT('General inputs'!$I$16,4)+'General inputs'!$H$38-1,"",E90/(1+'General inputs'!$H$30)^C90)</f>
        <v>139.06944302157453</v>
      </c>
      <c r="G90" s="76">
        <f>IF(LEFT(D90,4)*1&gt;LEFT('General inputs'!$I$16,4)+'General inputs'!$H$38-1,"",E90/(1+'General inputs'!$H$32)^C90)</f>
        <v>106.54433114252774</v>
      </c>
      <c r="H90" s="76">
        <f>IF(LEFT(D90,4)*1&lt;LEFT('General inputs'!$I$16,4)*1,"",IF(LEFT(D90,4)*1&gt;LEFT('General inputs'!$I$16,4)+'General inputs'!$H$38-1,"",E90/(1+'General inputs'!$H$34)^C90))</f>
        <v>106.54433114252774</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2979524.4958919808</v>
      </c>
      <c r="R90" s="76">
        <f>IF(OR(LEFT(D90,4)*1&lt;LEFT('General inputs'!$I$16,4)*1,LEFT(D90,4)*1&gt;LEFT('General inputs'!$I$16,4)+'General inputs'!$H$38-1),"",Q90/(1+'General inputs'!$H$34)^C90)</f>
        <v>1156616.6080734888</v>
      </c>
      <c r="T90" s="81">
        <f>('Reduction amount'!I63)*SUM($E$67:E90)</f>
        <v>2819613.6654815809</v>
      </c>
      <c r="U90" s="76">
        <f>IF(OR(LEFT(D90,4)*1&lt;LEFT('General inputs'!$I$16,4)*1,LEFT(D90,4)*1&gt;LEFT('General inputs'!$I$16,4)+'General inputs'!$H$38-1),"",T90/(1+'General inputs'!$H$34)^C90)</f>
        <v>1094541.0914873693</v>
      </c>
      <c r="V90" s="47"/>
      <c r="W90" s="31"/>
      <c r="X90" s="31"/>
    </row>
    <row r="91" spans="2:24" x14ac:dyDescent="0.25">
      <c r="B91" s="46"/>
      <c r="C91" s="26">
        <f>IF(D91='General inputs'!$I$16,0,IF(D91&lt;'General inputs'!$I$16,C92-1,C90+1))</f>
        <v>24</v>
      </c>
      <c r="D91" s="26" t="str">
        <f t="shared" si="1"/>
        <v>2046-47</v>
      </c>
      <c r="E91" s="76">
        <f>IF(LEFT(D91,4)*1&gt;LEFT('General inputs'!$I$16,4)+'General inputs'!$H$38-1,"",'ET inputs'!D63)</f>
        <v>285.86742585107459</v>
      </c>
      <c r="F91" s="76">
        <f>IF(LEFT(D91,4)*1&gt;LEFT('General inputs'!$I$16,4)+'General inputs'!$H$38-1,"",E91/(1+'General inputs'!$H$30)^C91)</f>
        <v>140.62783089667678</v>
      </c>
      <c r="G91" s="76">
        <f>IF(LEFT(D91,4)*1&gt;LEFT('General inputs'!$I$16,4)+'General inputs'!$H$38-1,"",E91/(1+'General inputs'!$H$32)^C91)</f>
        <v>106.49750071674747</v>
      </c>
      <c r="H91" s="76">
        <f>IF(LEFT(D91,4)*1&lt;LEFT('General inputs'!$I$16,4)*1,"",IF(LEFT(D91,4)*1&gt;LEFT('General inputs'!$I$16,4)+'General inputs'!$H$38-1,"",E91/(1+'General inputs'!$H$34)^C91))</f>
        <v>106.49750071674747</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3178039.4124257425</v>
      </c>
      <c r="R91" s="76">
        <f>IF(OR(LEFT(D91,4)*1&lt;LEFT('General inputs'!$I$16,4)*1,LEFT(D91,4)*1&gt;LEFT('General inputs'!$I$16,4)+'General inputs'!$H$38-1),"",Q91/(1+'General inputs'!$H$34)^C91)</f>
        <v>1183951.8042149465</v>
      </c>
      <c r="T91" s="81">
        <f>('Reduction amount'!I64)*SUM($E$67:E91)</f>
        <v>3007474.3030538727</v>
      </c>
      <c r="U91" s="76">
        <f>IF(OR(LEFT(D91,4)*1&lt;LEFT('General inputs'!$I$16,4)*1,LEFT(D91,4)*1&gt;LEFT('General inputs'!$I$16,4)+'General inputs'!$H$38-1),"",T91/(1+'General inputs'!$H$34)^C91)</f>
        <v>1120409.2099389343</v>
      </c>
      <c r="V91" s="47"/>
      <c r="W91" s="31"/>
      <c r="X91" s="31"/>
    </row>
    <row r="92" spans="2:24" x14ac:dyDescent="0.25">
      <c r="B92" s="46"/>
      <c r="C92" s="26">
        <f>IF(D92='General inputs'!$I$16,0,IF(D92&lt;'General inputs'!$I$16,C93-1,C91+1))</f>
        <v>25</v>
      </c>
      <c r="D92" s="26" t="str">
        <f t="shared" si="1"/>
        <v>2047-48</v>
      </c>
      <c r="E92" s="76">
        <f>IF(LEFT(D92,4)*1&gt;LEFT('General inputs'!$I$16,4)+'General inputs'!$H$38-1,"",'ET inputs'!D64)</f>
        <v>297.74293045577906</v>
      </c>
      <c r="F92" s="76">
        <f>IF(LEFT(D92,4)*1&gt;LEFT('General inputs'!$I$16,4)+'General inputs'!$H$38-1,"",E92/(1+'General inputs'!$H$30)^C92)</f>
        <v>142.20368179396709</v>
      </c>
      <c r="G92" s="76">
        <f>IF(LEFT(D92,4)*1&gt;LEFT('General inputs'!$I$16,4)+'General inputs'!$H$38-1,"",E92/(1+'General inputs'!$H$32)^C92)</f>
        <v>106.45069087478144</v>
      </c>
      <c r="H92" s="76">
        <f>IF(LEFT(D92,4)*1&lt;LEFT('General inputs'!$I$16,4)*1,"",IF(LEFT(D92,4)*1&gt;LEFT('General inputs'!$I$16,4)+'General inputs'!$H$38-1,"",E92/(1+'General inputs'!$H$34)^C92))</f>
        <v>106.45069087478144</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3384801.0356221492</v>
      </c>
      <c r="R92" s="76">
        <f>IF(OR(LEFT(D92,4)*1&lt;LEFT('General inputs'!$I$16,4)*1,LEFT(D92,4)*1&gt;LEFT('General inputs'!$I$16,4)+'General inputs'!$H$38-1),"",Q92/(1+'General inputs'!$H$34)^C92)</f>
        <v>1210152.6916662345</v>
      </c>
      <c r="T92" s="81">
        <f>('Reduction amount'!I65)*SUM($E$67:E92)</f>
        <v>3203139.0472321925</v>
      </c>
      <c r="U92" s="76">
        <f>IF(OR(LEFT(D92,4)*1&lt;LEFT('General inputs'!$I$16,4)*1,LEFT(D92,4)*1&gt;LEFT('General inputs'!$I$16,4)+'General inputs'!$H$38-1),"",T92/(1+'General inputs'!$H$34)^C92)</f>
        <v>1145203.8979528283</v>
      </c>
      <c r="V92" s="47"/>
      <c r="W92" s="31"/>
      <c r="X92" s="31"/>
    </row>
    <row r="93" spans="2:24" x14ac:dyDescent="0.25">
      <c r="B93" s="46"/>
      <c r="C93" s="26">
        <f>IF(D93='General inputs'!$I$16,0,IF(D93&lt;'General inputs'!$I$16,C94-1,C92+1))</f>
        <v>26</v>
      </c>
      <c r="D93" s="26" t="str">
        <f t="shared" si="1"/>
        <v>2048-49</v>
      </c>
      <c r="E93" s="76">
        <f>IF(LEFT(D93,4)*1&gt;LEFT('General inputs'!$I$16,4)+'General inputs'!$H$38-1,"",'ET inputs'!D65)</f>
        <v>310.11176727277507</v>
      </c>
      <c r="F93" s="76">
        <f>IF(LEFT(D93,4)*1&gt;LEFT('General inputs'!$I$16,4)+'General inputs'!$H$38-1,"",E93/(1+'General inputs'!$H$30)^C93)</f>
        <v>143.79719140102236</v>
      </c>
      <c r="G93" s="76">
        <f>IF(LEFT(D93,4)*1&gt;LEFT('General inputs'!$I$16,4)+'General inputs'!$H$38-1,"",E93/(1+'General inputs'!$H$32)^C93)</f>
        <v>106.4039016075838</v>
      </c>
      <c r="H93" s="76">
        <f>IF(LEFT(D93,4)*1&lt;LEFT('General inputs'!$I$16,4)*1,"",IF(LEFT(D93,4)*1&gt;LEFT('General inputs'!$I$16,4)+'General inputs'!$H$38-1,"",E93/(1+'General inputs'!$H$34)^C93))</f>
        <v>106.4039016075838</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3600151.9501693822</v>
      </c>
      <c r="R93" s="76">
        <f>IF(OR(LEFT(D93,4)*1&lt;LEFT('General inputs'!$I$16,4)*1,LEFT(D93,4)*1&gt;LEFT('General inputs'!$I$16,4)+'General inputs'!$H$38-1),"",Q93/(1+'General inputs'!$H$34)^C93)</f>
        <v>1235265.0054108538</v>
      </c>
      <c r="T93" s="81">
        <f>('Reduction amount'!I66)*SUM($E$67:E93)</f>
        <v>3406932.0962131694</v>
      </c>
      <c r="U93" s="76">
        <f>IF(OR(LEFT(D93,4)*1&lt;LEFT('General inputs'!$I$16,4)*1,LEFT(D93,4)*1&gt;LEFT('General inputs'!$I$16,4)+'General inputs'!$H$38-1),"",T93/(1+'General inputs'!$H$34)^C93)</f>
        <v>1168968.4359198143</v>
      </c>
      <c r="V93" s="47"/>
      <c r="W93" s="31"/>
      <c r="X93" s="31"/>
    </row>
    <row r="94" spans="2:24" x14ac:dyDescent="0.25">
      <c r="B94" s="46"/>
      <c r="C94" s="26">
        <f>IF(D94='General inputs'!$I$16,0,IF(D94&lt;'General inputs'!$I$16,C95-1,C93+1))</f>
        <v>27</v>
      </c>
      <c r="D94" s="26" t="str">
        <f t="shared" si="1"/>
        <v>2049-50</v>
      </c>
      <c r="E94" s="76">
        <f>IF(LEFT(D94,4)*1&gt;LEFT('General inputs'!$I$16,4)+'General inputs'!$H$38-1,"",'ET inputs'!D66)</f>
        <v>322.99443030881866</v>
      </c>
      <c r="F94" s="76">
        <f>IF(LEFT(D94,4)*1&gt;LEFT('General inputs'!$I$16,4)+'General inputs'!$H$38-1,"",E94/(1+'General inputs'!$H$30)^C94)</f>
        <v>145.40855759825507</v>
      </c>
      <c r="G94" s="76">
        <f>IF(LEFT(D94,4)*1&gt;LEFT('General inputs'!$I$16,4)+'General inputs'!$H$38-1,"",E94/(1+'General inputs'!$H$32)^C94)</f>
        <v>106.35713290610877</v>
      </c>
      <c r="H94" s="76">
        <f>IF(LEFT(D94,4)*1&lt;LEFT('General inputs'!$I$16,4)*1,"",IF(LEFT(D94,4)*1&gt;LEFT('General inputs'!$I$16,4)+'General inputs'!$H$38-1,"",E94/(1+'General inputs'!$H$34)^C94))</f>
        <v>106.35713290610877</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3824448.9724087352</v>
      </c>
      <c r="R94" s="76">
        <f>IF(OR(LEFT(D94,4)*1&lt;LEFT('General inputs'!$I$16,4)*1,LEFT(D94,4)*1&gt;LEFT('General inputs'!$I$16,4)+'General inputs'!$H$38-1),"",Q94/(1+'General inputs'!$H$34)^C94)</f>
        <v>1259332.6369813918</v>
      </c>
      <c r="T94" s="81">
        <f>('Reduction amount'!I67)*SUM($E$67:E94)</f>
        <v>3619191.1160349129</v>
      </c>
      <c r="U94" s="76">
        <f>IF(OR(LEFT(D94,4)*1&lt;LEFT('General inputs'!$I$16,4)*1,LEFT(D94,4)*1&gt;LEFT('General inputs'!$I$16,4)+'General inputs'!$H$38-1),"",T94/(1+'General inputs'!$H$34)^C94)</f>
        <v>1191744.359717598</v>
      </c>
      <c r="V94" s="47"/>
      <c r="W94" s="31"/>
      <c r="X94" s="31"/>
    </row>
    <row r="95" spans="2:24" x14ac:dyDescent="0.25">
      <c r="B95" s="46"/>
      <c r="C95" s="26">
        <f>IF(D95='General inputs'!$I$16,0,IF(D95&lt;'General inputs'!$I$16,C96-1,C94+1))</f>
        <v>28</v>
      </c>
      <c r="D95" s="26" t="str">
        <f t="shared" si="1"/>
        <v>2050-51</v>
      </c>
      <c r="E95" s="76">
        <f>IF(LEFT(D95,4)*1&gt;LEFT('General inputs'!$I$16,4)+'General inputs'!$H$38-1,"",'ET inputs'!D67)</f>
        <v>336.41226493270915</v>
      </c>
      <c r="F95" s="76">
        <f>IF(LEFT(D95,4)*1&gt;LEFT('General inputs'!$I$16,4)+'General inputs'!$H$38-1,"",E95/(1+'General inputs'!$H$30)^C95)</f>
        <v>147.03798048349753</v>
      </c>
      <c r="G95" s="76">
        <f>IF(LEFT(D95,4)*1&gt;LEFT('General inputs'!$I$16,4)+'General inputs'!$H$38-1,"",E95/(1+'General inputs'!$H$32)^C95)</f>
        <v>106.31038476131943</v>
      </c>
      <c r="H95" s="76">
        <f>IF(LEFT(D95,4)*1&lt;LEFT('General inputs'!$I$16,4)*1,"",IF(LEFT(D95,4)*1&gt;LEFT('General inputs'!$I$16,4)+'General inputs'!$H$38-1,"",E95/(1+'General inputs'!$H$34)^C95))</f>
        <v>106.31038476131943</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4058063.7415459566</v>
      </c>
      <c r="R95" s="76">
        <f>IF(OR(LEFT(D95,4)*1&lt;LEFT('General inputs'!$I$16,4)*1,LEFT(D95,4)*1&gt;LEFT('General inputs'!$I$16,4)+'General inputs'!$H$38-1),"",Q95/(1+'General inputs'!$H$34)^C95)</f>
        <v>1282397.7087636914</v>
      </c>
      <c r="T95" s="81">
        <f>('Reduction amount'!I68)*SUM($E$67:E95)</f>
        <v>3840267.800058092</v>
      </c>
      <c r="U95" s="76">
        <f>IF(OR(LEFT(D95,4)*1&lt;LEFT('General inputs'!$I$16,4)*1,LEFT(D95,4)*1&gt;LEFT('General inputs'!$I$16,4)+'General inputs'!$H$38-1),"",T95/(1+'General inputs'!$H$34)^C95)</f>
        <v>1213571.5310270977</v>
      </c>
      <c r="V95" s="47"/>
      <c r="W95" s="31"/>
      <c r="X95" s="31"/>
    </row>
    <row r="96" spans="2:24" x14ac:dyDescent="0.25">
      <c r="B96" s="46"/>
      <c r="C96" s="26">
        <f>IF(D96='General inputs'!$I$16,0,IF(D96&lt;'General inputs'!$I$16,C97-1,C95+1))</f>
        <v>29</v>
      </c>
      <c r="D96" s="26" t="str">
        <f t="shared" si="1"/>
        <v>2051-52</v>
      </c>
      <c r="E96" s="76">
        <f>IF(LEFT(D96,4)*1&gt;LEFT('General inputs'!$I$16,4)+'General inputs'!$H$38-1,"",'ET inputs'!D68)</f>
        <v>350.38750324254033</v>
      </c>
      <c r="F96" s="76">
        <f>IF(LEFT(D96,4)*1&gt;LEFT('General inputs'!$I$16,4)+'General inputs'!$H$38-1,"",E96/(1+'General inputs'!$H$30)^C96)</f>
        <v>148.68566239683642</v>
      </c>
      <c r="G96" s="76">
        <f>IF(LEFT(D96,4)*1&gt;LEFT('General inputs'!$I$16,4)+'General inputs'!$H$38-1,"",E96/(1+'General inputs'!$H$32)^C96)</f>
        <v>106.2636571641776</v>
      </c>
      <c r="H96" s="76">
        <f>IF(LEFT(D96,4)*1&lt;LEFT('General inputs'!$I$16,4)*1,"",IF(LEFT(D96,4)*1&gt;LEFT('General inputs'!$I$16,4)+'General inputs'!$H$38-1,"",E96/(1+'General inputs'!$H$34)^C96))</f>
        <v>106.2636571641776</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4301383.3354226733</v>
      </c>
      <c r="R96" s="76">
        <f>IF(OR(LEFT(D96,4)*1&lt;LEFT('General inputs'!$I$16,4)*1,LEFT(D96,4)*1&gt;LEFT('General inputs'!$I$16,4)+'General inputs'!$H$38-1),"",Q96/(1+'General inputs'!$H$34)^C96)</f>
        <v>1304500.6453060277</v>
      </c>
      <c r="T96" s="81">
        <f>('Reduction amount'!I69)*SUM($E$67:E96)</f>
        <v>4070528.4516889597</v>
      </c>
      <c r="U96" s="76">
        <f>IF(OR(LEFT(D96,4)*1&lt;LEFT('General inputs'!$I$16,4)*1,LEFT(D96,4)*1&gt;LEFT('General inputs'!$I$16,4)+'General inputs'!$H$38-1),"",T96/(1+'General inputs'!$H$34)^C96)</f>
        <v>1234488.2048144655</v>
      </c>
      <c r="V96" s="47"/>
      <c r="W96" s="31"/>
      <c r="X96" s="31"/>
    </row>
    <row r="97" spans="2:22" x14ac:dyDescent="0.25">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5">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5">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5">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5">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5">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5">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5">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5">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5">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5">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5">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5">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5">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5">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5">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5">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5">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5">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5">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5">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5">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5">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5">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5">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5">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5">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5">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5">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5">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5">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5">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5">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5">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5">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12" priority="5" operator="containsText" text="data">
      <formula>NOT(ISERROR(SEARCH("data",Q37)))</formula>
    </cfRule>
  </conditionalFormatting>
  <conditionalFormatting sqref="T37">
    <cfRule type="containsText" dxfId="11"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J11" sqref="J11"/>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0" t="s">
        <v>57</v>
      </c>
    </row>
    <row r="5" spans="3:13" ht="15.5" x14ac:dyDescent="0.35">
      <c r="C5" s="2" t="s">
        <v>124</v>
      </c>
      <c r="H5" s="247" t="s">
        <v>128</v>
      </c>
      <c r="I5" s="248"/>
      <c r="L5" s="6" t="str">
        <f>"Do not delete - data validation for option at "&amp;ADDRESS(ROW(H5),COLUMN(H5))</f>
        <v>Do not delete - data validation for option at $H$5</v>
      </c>
    </row>
    <row r="6" spans="3:13" x14ac:dyDescent="0.25">
      <c r="L6" t="s">
        <v>125</v>
      </c>
      <c r="M6" t="s">
        <v>126</v>
      </c>
    </row>
    <row r="7" spans="3:13" ht="15.5" x14ac:dyDescent="0.35">
      <c r="C7" s="2" t="s">
        <v>75</v>
      </c>
      <c r="H7" s="249" t="s">
        <v>279</v>
      </c>
      <c r="I7" s="248"/>
      <c r="L7" s="36" t="s">
        <v>127</v>
      </c>
      <c r="M7" s="109">
        <v>0</v>
      </c>
    </row>
    <row r="8" spans="3:13" x14ac:dyDescent="0.25">
      <c r="L8" s="37" t="s">
        <v>128</v>
      </c>
      <c r="M8" s="110">
        <v>0.03</v>
      </c>
    </row>
    <row r="9" spans="3:13" ht="15.5" x14ac:dyDescent="0.35">
      <c r="C9" s="2" t="s">
        <v>138</v>
      </c>
      <c r="H9" s="249" t="s">
        <v>280</v>
      </c>
      <c r="I9" s="248"/>
      <c r="L9" s="38" t="s">
        <v>129</v>
      </c>
      <c r="M9" s="111">
        <v>0.03</v>
      </c>
    </row>
    <row r="11" spans="3:13" ht="15.5" x14ac:dyDescent="0.35">
      <c r="C11" s="2" t="s">
        <v>137</v>
      </c>
      <c r="H11" s="249" t="s">
        <v>140</v>
      </c>
      <c r="I11" s="248"/>
    </row>
    <row r="12" spans="3:13" x14ac:dyDescent="0.25">
      <c r="L12" s="6" t="str">
        <f>"Do not delete - data validation for options at "&amp;ADDRESS(ROW(H11),COLUMN(H11))</f>
        <v>Do not delete - data validation for options at $H$11</v>
      </c>
    </row>
    <row r="13" spans="3:13" x14ac:dyDescent="0.25">
      <c r="L13" s="36" t="s">
        <v>139</v>
      </c>
    </row>
    <row r="14" spans="3:13" ht="15.5" x14ac:dyDescent="0.35">
      <c r="C14" s="2" t="s">
        <v>86</v>
      </c>
      <c r="I14" s="88" t="s">
        <v>40</v>
      </c>
      <c r="L14" s="37" t="s">
        <v>140</v>
      </c>
    </row>
    <row r="15" spans="3:13" x14ac:dyDescent="0.25">
      <c r="L15" s="38" t="s">
        <v>141</v>
      </c>
    </row>
    <row r="16" spans="3:13" x14ac:dyDescent="0.25">
      <c r="D16" s="6" t="s">
        <v>219</v>
      </c>
      <c r="I16" s="42" t="s">
        <v>44</v>
      </c>
    </row>
    <row r="17" spans="3:12" x14ac:dyDescent="0.25">
      <c r="D17" s="6"/>
    </row>
    <row r="18" spans="3:12" x14ac:dyDescent="0.25">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5">
      <c r="L19" s="139" t="s">
        <v>15</v>
      </c>
    </row>
    <row r="20" spans="3:12" x14ac:dyDescent="0.25">
      <c r="L20" s="37" t="s">
        <v>99</v>
      </c>
    </row>
    <row r="21" spans="3:12" x14ac:dyDescent="0.25">
      <c r="D21" s="6" t="s">
        <v>39</v>
      </c>
      <c r="L21" s="37" t="s">
        <v>42</v>
      </c>
    </row>
    <row r="22" spans="3:12" x14ac:dyDescent="0.25">
      <c r="L22" s="37" t="s">
        <v>43</v>
      </c>
    </row>
    <row r="23" spans="3:12" x14ac:dyDescent="0.25">
      <c r="D23" s="57" t="s">
        <v>55</v>
      </c>
      <c r="H23" s="58">
        <v>25569</v>
      </c>
      <c r="L23" s="37" t="s">
        <v>44</v>
      </c>
    </row>
    <row r="24" spans="3:12" x14ac:dyDescent="0.25">
      <c r="D24" s="57" t="s">
        <v>56</v>
      </c>
      <c r="H24" s="58">
        <v>35064</v>
      </c>
      <c r="L24" s="37" t="s">
        <v>45</v>
      </c>
    </row>
    <row r="25" spans="3:12" x14ac:dyDescent="0.25">
      <c r="L25" s="37" t="s">
        <v>46</v>
      </c>
    </row>
    <row r="26" spans="3:12" x14ac:dyDescent="0.25">
      <c r="L26" s="37" t="s">
        <v>47</v>
      </c>
    </row>
    <row r="27" spans="3:12" x14ac:dyDescent="0.25">
      <c r="L27" s="37" t="s">
        <v>48</v>
      </c>
    </row>
    <row r="28" spans="3:12" ht="15.5" x14ac:dyDescent="0.35">
      <c r="C28" s="2" t="s">
        <v>85</v>
      </c>
      <c r="L28" s="37" t="s">
        <v>49</v>
      </c>
    </row>
    <row r="29" spans="3:12" x14ac:dyDescent="0.25">
      <c r="L29" s="37" t="s">
        <v>50</v>
      </c>
    </row>
    <row r="30" spans="3:12" x14ac:dyDescent="0.25">
      <c r="D30" s="6" t="s">
        <v>111</v>
      </c>
      <c r="H30" s="60">
        <f>INDEX($M$7:$M$12,MATCH($H$5,$L$7:$L$12))</f>
        <v>0.03</v>
      </c>
      <c r="L30" s="37" t="s">
        <v>51</v>
      </c>
    </row>
    <row r="31" spans="3:12" ht="12" customHeight="1" x14ac:dyDescent="0.35">
      <c r="C31" s="2"/>
      <c r="D31" s="6"/>
      <c r="H31" s="29"/>
      <c r="L31" s="38" t="s">
        <v>52</v>
      </c>
    </row>
    <row r="32" spans="3:12" ht="12" customHeight="1" x14ac:dyDescent="0.35">
      <c r="C32" s="2"/>
      <c r="D32" s="5" t="s">
        <v>112</v>
      </c>
      <c r="H32" s="141">
        <v>4.2000000000000003E-2</v>
      </c>
    </row>
    <row r="33" spans="3:12" ht="12" customHeight="1" x14ac:dyDescent="0.25">
      <c r="D33" s="6"/>
      <c r="H33" s="29"/>
    </row>
    <row r="34" spans="3:12" ht="12" customHeight="1" x14ac:dyDescent="0.25">
      <c r="D34" s="5" t="s">
        <v>92</v>
      </c>
      <c r="H34" s="141">
        <v>4.2000000000000003E-2</v>
      </c>
    </row>
    <row r="35" spans="3:12" ht="12" customHeight="1" x14ac:dyDescent="0.35">
      <c r="C35" s="2"/>
    </row>
    <row r="36" spans="3:12" ht="12" customHeight="1" x14ac:dyDescent="0.35">
      <c r="C36" s="2"/>
      <c r="D36" s="6" t="s">
        <v>113</v>
      </c>
      <c r="H36" s="55">
        <v>181</v>
      </c>
      <c r="L36" s="6" t="str">
        <f>"Do not delete - data validation for option at "&amp;ADDRESS(ROW(H42),COLUMN(H42))</f>
        <v>Do not delete - data validation for option at $H$42</v>
      </c>
    </row>
    <row r="37" spans="3:12" ht="12" customHeight="1" x14ac:dyDescent="0.35">
      <c r="C37" s="2"/>
      <c r="L37" s="36" t="s">
        <v>27</v>
      </c>
    </row>
    <row r="38" spans="3:12" ht="12" customHeight="1" x14ac:dyDescent="0.35">
      <c r="C38" s="2"/>
      <c r="D38" s="6" t="s">
        <v>23</v>
      </c>
      <c r="H38" s="61">
        <v>30</v>
      </c>
      <c r="L38" s="37" t="s">
        <v>28</v>
      </c>
    </row>
    <row r="39" spans="3:12" ht="12" customHeight="1" x14ac:dyDescent="0.35">
      <c r="C39" s="2"/>
      <c r="L39" s="38" t="s">
        <v>29</v>
      </c>
    </row>
    <row r="40" spans="3:12" ht="12" customHeight="1" x14ac:dyDescent="0.25">
      <c r="D40" s="6" t="s">
        <v>41</v>
      </c>
      <c r="I40" s="42" t="s">
        <v>42</v>
      </c>
    </row>
    <row r="42" spans="3:12" x14ac:dyDescent="0.25">
      <c r="D42" s="6" t="s">
        <v>26</v>
      </c>
      <c r="H42" s="140" t="s">
        <v>27</v>
      </c>
    </row>
    <row r="43" spans="3:12" x14ac:dyDescent="0.25">
      <c r="D43" s="6"/>
    </row>
    <row r="47" spans="3:12" ht="15.5" x14ac:dyDescent="0.35">
      <c r="C47" s="2"/>
    </row>
    <row r="49" spans="6:6" x14ac:dyDescent="0.25">
      <c r="F49" s="27"/>
    </row>
    <row r="50" spans="6:6" x14ac:dyDescent="0.25">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I22" sqref="I22"/>
    </sheetView>
  </sheetViews>
  <sheetFormatPr defaultColWidth="28" defaultRowHeight="11.5" x14ac:dyDescent="0.2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x14ac:dyDescent="0.25">
      <c r="E1" s="27"/>
    </row>
    <row r="2" spans="3:9" x14ac:dyDescent="0.25">
      <c r="E2" s="27"/>
    </row>
    <row r="3" spans="3:9" ht="20" x14ac:dyDescent="0.4">
      <c r="C3" s="50" t="s">
        <v>201</v>
      </c>
    </row>
    <row r="6" spans="3:9"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5">
      <c r="C7" s="104" t="str">
        <f ca="1">"Hyperlink to the '"&amp;MID(CELL("filename",'Asset exclusions'!A1),FIND("]",CELL("filename",'Asset exclusions'!A1))+1,255)&amp;"' worksheet:"</f>
        <v>Hyperlink to the 'Asset exclusions' worksheet:</v>
      </c>
      <c r="E7" s="134" t="s">
        <v>187</v>
      </c>
      <c r="I7" s="180"/>
    </row>
    <row r="8" spans="3:9" x14ac:dyDescent="0.25">
      <c r="C8" s="104"/>
      <c r="E8" s="134"/>
      <c r="I8" s="180"/>
    </row>
    <row r="9" spans="3:9" x14ac:dyDescent="0.25">
      <c r="C9" s="104" t="s">
        <v>242</v>
      </c>
      <c r="E9" s="134"/>
      <c r="I9" s="180"/>
    </row>
    <row r="10" spans="3:9" x14ac:dyDescent="0.25">
      <c r="C10" s="104" t="s">
        <v>245</v>
      </c>
      <c r="E10" s="134"/>
      <c r="I10" s="180"/>
    </row>
    <row r="11" spans="3:9" x14ac:dyDescent="0.25">
      <c r="C11" s="104" t="s">
        <v>244</v>
      </c>
      <c r="E11" s="134"/>
      <c r="I11" s="180"/>
    </row>
    <row r="12" spans="3:9" x14ac:dyDescent="0.25">
      <c r="C12" s="104" t="s">
        <v>243</v>
      </c>
      <c r="E12" s="134"/>
      <c r="I12" s="180"/>
    </row>
    <row r="13" spans="3:9" x14ac:dyDescent="0.25">
      <c r="H13" s="27"/>
      <c r="I13" s="180"/>
    </row>
    <row r="14" spans="3:9" x14ac:dyDescent="0.25">
      <c r="C14" s="6" t="s">
        <v>54</v>
      </c>
      <c r="H14" s="27"/>
      <c r="I14" s="180"/>
    </row>
    <row r="15" spans="3:9" x14ac:dyDescent="0.25">
      <c r="C15" s="57" t="s">
        <v>58</v>
      </c>
      <c r="E15" s="82">
        <f>'General inputs'!$H$23</f>
        <v>25569</v>
      </c>
      <c r="H15" s="27"/>
      <c r="I15" s="180"/>
    </row>
    <row r="16" spans="3:9" x14ac:dyDescent="0.25">
      <c r="C16" s="57" t="s">
        <v>59</v>
      </c>
      <c r="E16" s="83">
        <f>'General inputs'!$H$24</f>
        <v>35064</v>
      </c>
      <c r="H16" s="27"/>
      <c r="I16" s="180"/>
    </row>
    <row r="17" spans="3:18" x14ac:dyDescent="0.25">
      <c r="I17" s="180"/>
      <c r="J17" s="224"/>
    </row>
    <row r="18" spans="3:18" ht="15.5" x14ac:dyDescent="0.35">
      <c r="C18" s="2" t="s">
        <v>207</v>
      </c>
      <c r="I18" s="180"/>
    </row>
    <row r="19" spans="3:18" x14ac:dyDescent="0.25">
      <c r="I19" s="180"/>
    </row>
    <row r="20" spans="3:18" x14ac:dyDescent="0.25">
      <c r="C20" s="6" t="s">
        <v>16</v>
      </c>
      <c r="H20" s="6" t="s">
        <v>17</v>
      </c>
      <c r="I20" s="181"/>
      <c r="L20" s="6" t="s">
        <v>18</v>
      </c>
      <c r="Q20" s="214" t="s">
        <v>276</v>
      </c>
    </row>
    <row r="21" spans="3:18" ht="46" x14ac:dyDescent="0.25">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8"/>
      <c r="D22" s="165" t="s">
        <v>281</v>
      </c>
      <c r="E22" s="162">
        <v>26299</v>
      </c>
      <c r="F22" s="163" t="str">
        <f>IF(E22="","-",IF(OR(E22&lt;$E$15,E22&gt;$E$16),"ERROR - date outside of range","Date check - OK"))</f>
        <v>Date check - OK</v>
      </c>
      <c r="G22" s="68"/>
      <c r="H22" s="162" t="s">
        <v>279</v>
      </c>
      <c r="I22" s="173">
        <v>8793.8848904043734</v>
      </c>
      <c r="J22" s="168">
        <f>IFERROR(MIN('MP Calculations'!$E$30/I22,1),"-")</f>
        <v>0.89877153183870317</v>
      </c>
      <c r="K22" s="68"/>
      <c r="L22" s="158">
        <v>102.776618</v>
      </c>
      <c r="M22" s="183" t="s">
        <v>301</v>
      </c>
      <c r="N22" s="183">
        <v>480.89954999999998</v>
      </c>
      <c r="O22" s="186">
        <f>IF(N22="","-",L22*N22)</f>
        <v>49425.229346721899</v>
      </c>
      <c r="P22" s="186">
        <f t="shared" ref="P22" si="0">IF(O22="-","-",IF(OR(E22&lt;$E$15,E22&gt;$E$16),0,O22*J22))</f>
        <v>44421.989091432464</v>
      </c>
      <c r="Q22" s="215">
        <f>IF(P22="-",0,P22/(1+'General inputs'!$H$30)^'MP Calculations'!$C$40)</f>
        <v>98674.07597435631</v>
      </c>
      <c r="R22" s="201"/>
    </row>
    <row r="23" spans="3:18" x14ac:dyDescent="0.25">
      <c r="C23" s="159"/>
      <c r="D23" s="165" t="s">
        <v>282</v>
      </c>
      <c r="E23" s="162">
        <v>26299</v>
      </c>
      <c r="F23" s="166" t="str">
        <f t="shared" ref="F23:F86" si="1">IF(E23="","-",IF(OR(E23&lt;$E$15,E23&gt;$E$16),"ERROR - date outside of range","Date check - OK"))</f>
        <v>Date check - OK</v>
      </c>
      <c r="G23" s="68"/>
      <c r="H23" s="162" t="s">
        <v>279</v>
      </c>
      <c r="I23" s="173">
        <v>8793.8848904043734</v>
      </c>
      <c r="J23" s="168">
        <f>IFERROR(MIN('MP Calculations'!$E$30/I23,1),"-")</f>
        <v>0.89877153183870317</v>
      </c>
      <c r="K23" s="68"/>
      <c r="L23" s="159">
        <v>80.633446000000006</v>
      </c>
      <c r="M23" s="184" t="s">
        <v>301</v>
      </c>
      <c r="N23" s="184">
        <v>304.56971499999997</v>
      </c>
      <c r="O23" s="186">
        <f t="shared" ref="O23:O86" si="2">IF(N23="","-",L23*N23)</f>
        <v>24558.505667687888</v>
      </c>
      <c r="P23" s="186">
        <f t="shared" ref="P23:P86" si="3">IF(O23="-","-",IF(OR(E23&lt;$E$15,E23&gt;$E$16),0,O23*J23))</f>
        <v>22072.485758617317</v>
      </c>
      <c r="Q23" s="215">
        <f>IF(P23="-",0,P23/(1+'General inputs'!$H$30)^'MP Calculations'!$C$40)</f>
        <v>49029.369941220481</v>
      </c>
      <c r="R23" s="201"/>
    </row>
    <row r="24" spans="3:18" x14ac:dyDescent="0.25">
      <c r="C24" s="159"/>
      <c r="D24" s="165" t="s">
        <v>281</v>
      </c>
      <c r="E24" s="162">
        <v>26299</v>
      </c>
      <c r="F24" s="166" t="str">
        <f t="shared" si="1"/>
        <v>Date check - OK</v>
      </c>
      <c r="G24" s="68"/>
      <c r="H24" s="162" t="s">
        <v>279</v>
      </c>
      <c r="I24" s="173">
        <v>8793.8848904043734</v>
      </c>
      <c r="J24" s="168">
        <f>IFERROR(MIN('MP Calculations'!$E$30/I24,1),"-")</f>
        <v>0.89877153183870317</v>
      </c>
      <c r="K24" s="12"/>
      <c r="L24" s="159">
        <v>9.790222</v>
      </c>
      <c r="M24" s="187" t="s">
        <v>301</v>
      </c>
      <c r="N24" s="187">
        <v>480.89954999999998</v>
      </c>
      <c r="O24" s="186">
        <f t="shared" si="2"/>
        <v>4708.1133542000998</v>
      </c>
      <c r="P24" s="186">
        <f t="shared" si="3"/>
        <v>4231.518251424679</v>
      </c>
      <c r="Q24" s="215">
        <f>IF(P24="-",0,P24/(1+'General inputs'!$H$30)^'MP Calculations'!$C$40)</f>
        <v>9399.4249687590891</v>
      </c>
      <c r="R24" s="201"/>
    </row>
    <row r="25" spans="3:18" x14ac:dyDescent="0.25">
      <c r="C25" s="159"/>
      <c r="D25" s="165" t="s">
        <v>281</v>
      </c>
      <c r="E25" s="162">
        <v>26299</v>
      </c>
      <c r="F25" s="166" t="str">
        <f t="shared" si="1"/>
        <v>Date check - OK</v>
      </c>
      <c r="G25" s="68"/>
      <c r="H25" s="162" t="s">
        <v>279</v>
      </c>
      <c r="I25" s="173">
        <v>8793.8848904043734</v>
      </c>
      <c r="J25" s="168">
        <f>IFERROR(MIN('MP Calculations'!$E$30/I25,1),"-")</f>
        <v>0.89877153183870317</v>
      </c>
      <c r="K25" s="12"/>
      <c r="L25" s="159">
        <v>59.724688999999998</v>
      </c>
      <c r="M25" s="187" t="s">
        <v>301</v>
      </c>
      <c r="N25" s="187">
        <v>480.89954999999998</v>
      </c>
      <c r="O25" s="186">
        <f t="shared" si="2"/>
        <v>28721.576063989949</v>
      </c>
      <c r="P25" s="186">
        <f t="shared" si="3"/>
        <v>25814.134915854076</v>
      </c>
      <c r="Q25" s="215">
        <f>IF(P25="-",0,P25/(1+'General inputs'!$H$30)^'MP Calculations'!$C$40)</f>
        <v>57340.654076891333</v>
      </c>
      <c r="R25" s="201"/>
    </row>
    <row r="26" spans="3:18" x14ac:dyDescent="0.25">
      <c r="C26" s="159"/>
      <c r="D26" s="165" t="s">
        <v>281</v>
      </c>
      <c r="E26" s="162">
        <v>26299</v>
      </c>
      <c r="F26" s="166" t="str">
        <f t="shared" si="1"/>
        <v>Date check - OK</v>
      </c>
      <c r="G26" s="68"/>
      <c r="H26" s="162" t="s">
        <v>279</v>
      </c>
      <c r="I26" s="173">
        <v>8793.8848904043734</v>
      </c>
      <c r="J26" s="168">
        <f>IFERROR(MIN('MP Calculations'!$E$30/I26,1),"-")</f>
        <v>0.89877153183870317</v>
      </c>
      <c r="K26" s="12"/>
      <c r="L26" s="159">
        <v>3.5375209999999999</v>
      </c>
      <c r="M26" s="187" t="s">
        <v>301</v>
      </c>
      <c r="N26" s="187">
        <v>480.89954999999998</v>
      </c>
      <c r="O26" s="186">
        <f t="shared" si="2"/>
        <v>1701.1922570155498</v>
      </c>
      <c r="P26" s="186">
        <f t="shared" si="3"/>
        <v>1528.9831707900066</v>
      </c>
      <c r="Q26" s="215">
        <f>IF(P26="-",0,P26/(1+'General inputs'!$H$30)^'MP Calculations'!$C$40)</f>
        <v>3396.3135069776372</v>
      </c>
      <c r="R26" s="201"/>
    </row>
    <row r="27" spans="3:18" x14ac:dyDescent="0.25">
      <c r="C27" s="159"/>
      <c r="D27" s="165" t="s">
        <v>281</v>
      </c>
      <c r="E27" s="162">
        <v>26299</v>
      </c>
      <c r="F27" s="166" t="str">
        <f t="shared" si="1"/>
        <v>Date check - OK</v>
      </c>
      <c r="G27" s="68"/>
      <c r="H27" s="162" t="s">
        <v>279</v>
      </c>
      <c r="I27" s="173">
        <v>8793.8848904043734</v>
      </c>
      <c r="J27" s="168">
        <f>IFERROR(MIN('MP Calculations'!$E$30/I27,1),"-")</f>
        <v>0.89877153183870317</v>
      </c>
      <c r="K27" s="12"/>
      <c r="L27" s="159">
        <v>81.310288999999997</v>
      </c>
      <c r="M27" s="187" t="s">
        <v>301</v>
      </c>
      <c r="N27" s="187">
        <v>480.89954999999998</v>
      </c>
      <c r="O27" s="186">
        <f t="shared" si="2"/>
        <v>39102.081390469946</v>
      </c>
      <c r="P27" s="186">
        <f t="shared" si="3"/>
        <v>35143.837589394323</v>
      </c>
      <c r="Q27" s="215">
        <f>IF(P27="-",0,P27/(1+'General inputs'!$H$30)^'MP Calculations'!$C$40)</f>
        <v>78064.620050864774</v>
      </c>
      <c r="R27" s="201"/>
    </row>
    <row r="28" spans="3:18" x14ac:dyDescent="0.25">
      <c r="C28" s="159"/>
      <c r="D28" s="165" t="s">
        <v>283</v>
      </c>
      <c r="E28" s="162">
        <v>26299</v>
      </c>
      <c r="F28" s="166" t="str">
        <f t="shared" si="1"/>
        <v>Date check - OK</v>
      </c>
      <c r="G28" s="68"/>
      <c r="H28" s="162" t="s">
        <v>279</v>
      </c>
      <c r="I28" s="173">
        <v>8793.8848904043734</v>
      </c>
      <c r="J28" s="168">
        <f>IFERROR(MIN('MP Calculations'!$E$30/I28,1),"-")</f>
        <v>0.89877153183870317</v>
      </c>
      <c r="K28" s="12"/>
      <c r="L28" s="159">
        <v>26.818035999999999</v>
      </c>
      <c r="M28" s="187" t="s">
        <v>301</v>
      </c>
      <c r="N28" s="187">
        <v>657.22938499999998</v>
      </c>
      <c r="O28" s="186">
        <f t="shared" si="2"/>
        <v>17625.601307187859</v>
      </c>
      <c r="P28" s="186">
        <f t="shared" si="3"/>
        <v>15841.388686439481</v>
      </c>
      <c r="Q28" s="215">
        <f>IF(P28="-",0,P28/(1+'General inputs'!$H$30)^'MP Calculations'!$C$40)</f>
        <v>35188.302522151469</v>
      </c>
      <c r="R28" s="201"/>
    </row>
    <row r="29" spans="3:18" x14ac:dyDescent="0.25">
      <c r="C29" s="159"/>
      <c r="D29" s="165" t="s">
        <v>281</v>
      </c>
      <c r="E29" s="162">
        <v>26299</v>
      </c>
      <c r="F29" s="166" t="str">
        <f t="shared" si="1"/>
        <v>Date check - OK</v>
      </c>
      <c r="G29" s="68"/>
      <c r="H29" s="162" t="s">
        <v>279</v>
      </c>
      <c r="I29" s="173">
        <v>8793.8848904043734</v>
      </c>
      <c r="J29" s="168">
        <f>IFERROR(MIN('MP Calculations'!$E$30/I29,1),"-")</f>
        <v>0.89877153183870317</v>
      </c>
      <c r="K29" s="12"/>
      <c r="L29" s="159">
        <v>73.355881999999994</v>
      </c>
      <c r="M29" s="187" t="s">
        <v>301</v>
      </c>
      <c r="N29" s="187">
        <v>480.89954999999998</v>
      </c>
      <c r="O29" s="186">
        <f t="shared" si="2"/>
        <v>35276.810643653094</v>
      </c>
      <c r="P29" s="186">
        <f t="shared" si="3"/>
        <v>31705.793140579961</v>
      </c>
      <c r="Q29" s="215">
        <f>IF(P29="-",0,P29/(1+'General inputs'!$H$30)^'MP Calculations'!$C$40)</f>
        <v>70427.729716051923</v>
      </c>
      <c r="R29" s="201"/>
    </row>
    <row r="30" spans="3:18" x14ac:dyDescent="0.25">
      <c r="C30" s="159"/>
      <c r="D30" s="165" t="s">
        <v>281</v>
      </c>
      <c r="E30" s="162">
        <v>26299</v>
      </c>
      <c r="F30" s="166" t="str">
        <f t="shared" si="1"/>
        <v>Date check - OK</v>
      </c>
      <c r="G30" s="68"/>
      <c r="H30" s="162" t="s">
        <v>279</v>
      </c>
      <c r="I30" s="173">
        <v>8793.8848904043734</v>
      </c>
      <c r="J30" s="168">
        <f>IFERROR(MIN('MP Calculations'!$E$30/I30,1),"-")</f>
        <v>0.89877153183870317</v>
      </c>
      <c r="K30" s="12"/>
      <c r="L30" s="159">
        <v>19.499447</v>
      </c>
      <c r="M30" s="187" t="s">
        <v>301</v>
      </c>
      <c r="N30" s="187">
        <v>480.89954999999998</v>
      </c>
      <c r="O30" s="186">
        <f t="shared" si="2"/>
        <v>9377.2752875488495</v>
      </c>
      <c r="P30" s="186">
        <f t="shared" si="3"/>
        <v>8428.0280746634944</v>
      </c>
      <c r="Q30" s="215">
        <f>IF(P30="-",0,P30/(1+'General inputs'!$H$30)^'MP Calculations'!$C$40)</f>
        <v>18721.086100886627</v>
      </c>
    </row>
    <row r="31" spans="3:18" x14ac:dyDescent="0.25">
      <c r="C31" s="159"/>
      <c r="D31" s="165" t="s">
        <v>282</v>
      </c>
      <c r="E31" s="162">
        <v>26299</v>
      </c>
      <c r="F31" s="166" t="str">
        <f t="shared" si="1"/>
        <v>Date check - OK</v>
      </c>
      <c r="G31" s="68"/>
      <c r="H31" s="162" t="s">
        <v>279</v>
      </c>
      <c r="I31" s="173">
        <v>8793.8848904043734</v>
      </c>
      <c r="J31" s="168">
        <f>IFERROR(MIN('MP Calculations'!$E$30/I31,1),"-")</f>
        <v>0.89877153183870317</v>
      </c>
      <c r="K31" s="12"/>
      <c r="L31" s="159">
        <v>67.770121000000003</v>
      </c>
      <c r="M31" s="187" t="s">
        <v>301</v>
      </c>
      <c r="N31" s="187">
        <v>304.56971499999997</v>
      </c>
      <c r="O31" s="186">
        <f t="shared" si="2"/>
        <v>20640.726438485515</v>
      </c>
      <c r="P31" s="186">
        <f t="shared" si="3"/>
        <v>18551.297319381247</v>
      </c>
      <c r="Q31" s="215">
        <f>IF(P31="-",0,P31/(1+'General inputs'!$H$30)^'MP Calculations'!$C$40)</f>
        <v>41207.792774604663</v>
      </c>
    </row>
    <row r="32" spans="3:18" x14ac:dyDescent="0.25">
      <c r="C32" s="159"/>
      <c r="D32" s="165" t="s">
        <v>281</v>
      </c>
      <c r="E32" s="162">
        <v>26299</v>
      </c>
      <c r="F32" s="166" t="str">
        <f t="shared" si="1"/>
        <v>Date check - OK</v>
      </c>
      <c r="G32" s="68"/>
      <c r="H32" s="162" t="s">
        <v>279</v>
      </c>
      <c r="I32" s="173">
        <v>8793.8848904043734</v>
      </c>
      <c r="J32" s="168">
        <f>IFERROR(MIN('MP Calculations'!$E$30/I32,1),"-")</f>
        <v>0.89877153183870317</v>
      </c>
      <c r="K32" s="12"/>
      <c r="L32" s="159">
        <v>66.796263999999994</v>
      </c>
      <c r="M32" s="187" t="s">
        <v>301</v>
      </c>
      <c r="N32" s="187">
        <v>480.89954999999998</v>
      </c>
      <c r="O32" s="186">
        <f t="shared" si="2"/>
        <v>32122.293299281195</v>
      </c>
      <c r="P32" s="186">
        <f t="shared" si="3"/>
        <v>28870.602754767071</v>
      </c>
      <c r="Q32" s="215">
        <f>IF(P32="-",0,P32/(1+'General inputs'!$H$30)^'MP Calculations'!$C$40)</f>
        <v>64129.952483347537</v>
      </c>
    </row>
    <row r="33" spans="3:17" x14ac:dyDescent="0.25">
      <c r="C33" s="159"/>
      <c r="D33" s="165" t="s">
        <v>282</v>
      </c>
      <c r="E33" s="162">
        <v>26299</v>
      </c>
      <c r="F33" s="166" t="str">
        <f t="shared" si="1"/>
        <v>Date check - OK</v>
      </c>
      <c r="G33" s="68"/>
      <c r="H33" s="162" t="s">
        <v>279</v>
      </c>
      <c r="I33" s="173">
        <v>8793.8848904043734</v>
      </c>
      <c r="J33" s="168">
        <f>IFERROR(MIN('MP Calculations'!$E$30/I33,1),"-")</f>
        <v>0.89877153183870317</v>
      </c>
      <c r="K33" s="12"/>
      <c r="L33" s="159">
        <v>53.436717000000002</v>
      </c>
      <c r="M33" s="187" t="s">
        <v>301</v>
      </c>
      <c r="N33" s="187">
        <v>304.56971499999997</v>
      </c>
      <c r="O33" s="186">
        <f t="shared" si="2"/>
        <v>16275.205667225655</v>
      </c>
      <c r="P33" s="186">
        <f t="shared" si="3"/>
        <v>14627.691528522346</v>
      </c>
      <c r="Q33" s="215">
        <f>IF(P33="-",0,P33/(1+'General inputs'!$H$30)^'MP Calculations'!$C$40)</f>
        <v>32492.330369178391</v>
      </c>
    </row>
    <row r="34" spans="3:17" x14ac:dyDescent="0.25">
      <c r="C34" s="159"/>
      <c r="D34" s="165" t="s">
        <v>281</v>
      </c>
      <c r="E34" s="162">
        <v>26299</v>
      </c>
      <c r="F34" s="166" t="str">
        <f t="shared" si="1"/>
        <v>Date check - OK</v>
      </c>
      <c r="G34" s="68"/>
      <c r="H34" s="162" t="s">
        <v>279</v>
      </c>
      <c r="I34" s="173">
        <v>8793.8848904043734</v>
      </c>
      <c r="J34" s="168">
        <f>IFERROR(MIN('MP Calculations'!$E$30/I34,1),"-")</f>
        <v>0.89877153183870317</v>
      </c>
      <c r="K34" s="12"/>
      <c r="L34" s="159">
        <v>81.249257</v>
      </c>
      <c r="M34" s="187" t="s">
        <v>301</v>
      </c>
      <c r="N34" s="187">
        <v>480.89954999999998</v>
      </c>
      <c r="O34" s="186">
        <f t="shared" si="2"/>
        <v>39072.73112913435</v>
      </c>
      <c r="P34" s="186">
        <f t="shared" si="3"/>
        <v>35117.458410053863</v>
      </c>
      <c r="Q34" s="215">
        <f>IF(P34="-",0,P34/(1+'General inputs'!$H$30)^'MP Calculations'!$C$40)</f>
        <v>78006.024269819842</v>
      </c>
    </row>
    <row r="35" spans="3:17" x14ac:dyDescent="0.25">
      <c r="C35" s="159"/>
      <c r="D35" s="165" t="s">
        <v>284</v>
      </c>
      <c r="E35" s="162">
        <v>26299</v>
      </c>
      <c r="F35" s="166" t="str">
        <f t="shared" si="1"/>
        <v>Date check - OK</v>
      </c>
      <c r="G35" s="68"/>
      <c r="H35" s="162" t="s">
        <v>279</v>
      </c>
      <c r="I35" s="173">
        <v>8793.8848904043734</v>
      </c>
      <c r="J35" s="168">
        <f>IFERROR(MIN('MP Calculations'!$E$30/I35,1),"-")</f>
        <v>0.89877153183870317</v>
      </c>
      <c r="K35" s="12"/>
      <c r="L35" s="159">
        <v>109.123907</v>
      </c>
      <c r="M35" s="187" t="s">
        <v>301</v>
      </c>
      <c r="N35" s="187">
        <v>480.89954999999998</v>
      </c>
      <c r="O35" s="186">
        <f t="shared" si="2"/>
        <v>52477.637770541849</v>
      </c>
      <c r="P35" s="186">
        <f t="shared" si="3"/>
        <v>47165.406886306482</v>
      </c>
      <c r="Q35" s="215">
        <f>IF(P35="-",0,P35/(1+'General inputs'!$H$30)^'MP Calculations'!$C$40)</f>
        <v>104767.99975979549</v>
      </c>
    </row>
    <row r="36" spans="3:17" x14ac:dyDescent="0.25">
      <c r="C36" s="159"/>
      <c r="D36" s="165" t="s">
        <v>281</v>
      </c>
      <c r="E36" s="162">
        <v>26299</v>
      </c>
      <c r="F36" s="166" t="str">
        <f t="shared" si="1"/>
        <v>Date check - OK</v>
      </c>
      <c r="G36" s="68"/>
      <c r="H36" s="162" t="s">
        <v>279</v>
      </c>
      <c r="I36" s="173">
        <v>8793.8848904043734</v>
      </c>
      <c r="J36" s="168">
        <f>IFERROR(MIN('MP Calculations'!$E$30/I36,1),"-")</f>
        <v>0.89877153183870317</v>
      </c>
      <c r="K36" s="12"/>
      <c r="L36" s="159">
        <v>113.087211</v>
      </c>
      <c r="M36" s="187" t="s">
        <v>301</v>
      </c>
      <c r="N36" s="187">
        <v>480.89954999999998</v>
      </c>
      <c r="O36" s="186">
        <f t="shared" si="2"/>
        <v>54383.588880655043</v>
      </c>
      <c r="P36" s="186">
        <f t="shared" si="3"/>
        <v>48878.421485152598</v>
      </c>
      <c r="Q36" s="215">
        <f>IF(P36="-",0,P36/(1+'General inputs'!$H$30)^'MP Calculations'!$C$40)</f>
        <v>108573.10025459353</v>
      </c>
    </row>
    <row r="37" spans="3:17" x14ac:dyDescent="0.25">
      <c r="C37" s="159"/>
      <c r="D37" s="165" t="s">
        <v>281</v>
      </c>
      <c r="E37" s="162">
        <v>26299</v>
      </c>
      <c r="F37" s="166" t="str">
        <f t="shared" si="1"/>
        <v>Date check - OK</v>
      </c>
      <c r="G37" s="68"/>
      <c r="H37" s="162" t="s">
        <v>279</v>
      </c>
      <c r="I37" s="173">
        <v>8793.8848904043734</v>
      </c>
      <c r="J37" s="168">
        <f>IFERROR(MIN('MP Calculations'!$E$30/I37,1),"-")</f>
        <v>0.89877153183870317</v>
      </c>
      <c r="K37" s="12"/>
      <c r="L37" s="159">
        <v>84.105991000000003</v>
      </c>
      <c r="M37" s="187" t="s">
        <v>301</v>
      </c>
      <c r="N37" s="187">
        <v>480.89954999999998</v>
      </c>
      <c r="O37" s="186">
        <f t="shared" si="2"/>
        <v>40446.533224204053</v>
      </c>
      <c r="P37" s="186">
        <f t="shared" si="3"/>
        <v>36352.192623482879</v>
      </c>
      <c r="Q37" s="215">
        <f>IF(P37="-",0,P37/(1+'General inputs'!$H$30)^'MP Calculations'!$C$40)</f>
        <v>80748.725802911023</v>
      </c>
    </row>
    <row r="38" spans="3:17" x14ac:dyDescent="0.25">
      <c r="C38" s="159"/>
      <c r="D38" s="165" t="s">
        <v>281</v>
      </c>
      <c r="E38" s="162">
        <v>26299</v>
      </c>
      <c r="F38" s="166" t="str">
        <f t="shared" si="1"/>
        <v>Date check - OK</v>
      </c>
      <c r="G38" s="68"/>
      <c r="H38" s="162" t="s">
        <v>279</v>
      </c>
      <c r="I38" s="173">
        <v>8793.8848904043734</v>
      </c>
      <c r="J38" s="168">
        <f>IFERROR(MIN('MP Calculations'!$E$30/I38,1),"-")</f>
        <v>0.89877153183870317</v>
      </c>
      <c r="K38" s="12"/>
      <c r="L38" s="159">
        <v>65.278723999999997</v>
      </c>
      <c r="M38" s="187" t="s">
        <v>301</v>
      </c>
      <c r="N38" s="187">
        <v>480.89954999999998</v>
      </c>
      <c r="O38" s="186">
        <f t="shared" si="2"/>
        <v>31392.508996174198</v>
      </c>
      <c r="P38" s="186">
        <f t="shared" si="3"/>
        <v>28214.693398751755</v>
      </c>
      <c r="Q38" s="215">
        <f>IF(P38="-",0,P38/(1+'General inputs'!$H$30)^'MP Calculations'!$C$40)</f>
        <v>62672.988242180116</v>
      </c>
    </row>
    <row r="39" spans="3:17" x14ac:dyDescent="0.25">
      <c r="C39" s="159"/>
      <c r="D39" s="165" t="s">
        <v>281</v>
      </c>
      <c r="E39" s="162">
        <v>26299</v>
      </c>
      <c r="F39" s="166" t="str">
        <f t="shared" si="1"/>
        <v>Date check - OK</v>
      </c>
      <c r="G39" s="68"/>
      <c r="H39" s="162" t="s">
        <v>279</v>
      </c>
      <c r="I39" s="173">
        <v>8793.8848904043734</v>
      </c>
      <c r="J39" s="168">
        <f>IFERROR(MIN('MP Calculations'!$E$30/I39,1),"-")</f>
        <v>0.89877153183870317</v>
      </c>
      <c r="K39" s="12"/>
      <c r="L39" s="159">
        <v>5.6175430000000004</v>
      </c>
      <c r="M39" s="187" t="s">
        <v>301</v>
      </c>
      <c r="N39" s="187">
        <v>480.89954999999998</v>
      </c>
      <c r="O39" s="186">
        <f t="shared" si="2"/>
        <v>2701.4739008056499</v>
      </c>
      <c r="P39" s="186">
        <f t="shared" si="3"/>
        <v>2428.0078360493708</v>
      </c>
      <c r="Q39" s="215">
        <f>IF(P39="-",0,P39/(1+'General inputs'!$H$30)^'MP Calculations'!$C$40)</f>
        <v>5393.3071116546516</v>
      </c>
    </row>
    <row r="40" spans="3:17" x14ac:dyDescent="0.25">
      <c r="C40" s="159"/>
      <c r="D40" s="165" t="s">
        <v>281</v>
      </c>
      <c r="E40" s="162">
        <v>26299</v>
      </c>
      <c r="F40" s="166" t="str">
        <f t="shared" si="1"/>
        <v>Date check - OK</v>
      </c>
      <c r="G40" s="68"/>
      <c r="H40" s="162" t="s">
        <v>279</v>
      </c>
      <c r="I40" s="173">
        <v>8793.8848904043734</v>
      </c>
      <c r="J40" s="168">
        <f>IFERROR(MIN('MP Calculations'!$E$30/I40,1),"-")</f>
        <v>0.89877153183870317</v>
      </c>
      <c r="K40" s="12"/>
      <c r="L40" s="159">
        <v>51.999079999999999</v>
      </c>
      <c r="M40" s="187" t="s">
        <v>301</v>
      </c>
      <c r="N40" s="187">
        <v>480.89954999999998</v>
      </c>
      <c r="O40" s="186">
        <f t="shared" si="2"/>
        <v>25006.334172413997</v>
      </c>
      <c r="P40" s="186">
        <f t="shared" si="3"/>
        <v>22474.98126981104</v>
      </c>
      <c r="Q40" s="215">
        <f>IF(P40="-",0,P40/(1+'General inputs'!$H$30)^'MP Calculations'!$C$40)</f>
        <v>49923.428795026433</v>
      </c>
    </row>
    <row r="41" spans="3:17" x14ac:dyDescent="0.25">
      <c r="C41" s="159"/>
      <c r="D41" s="165" t="s">
        <v>281</v>
      </c>
      <c r="E41" s="162">
        <v>26299</v>
      </c>
      <c r="F41" s="166" t="str">
        <f t="shared" si="1"/>
        <v>Date check - OK</v>
      </c>
      <c r="G41" s="68"/>
      <c r="H41" s="162" t="s">
        <v>279</v>
      </c>
      <c r="I41" s="173">
        <v>8793.8848904043734</v>
      </c>
      <c r="J41" s="168">
        <f>IFERROR(MIN('MP Calculations'!$E$30/I41,1),"-")</f>
        <v>0.89877153183870317</v>
      </c>
      <c r="K41" s="12"/>
      <c r="L41" s="159">
        <v>33.222999999999999</v>
      </c>
      <c r="M41" s="187" t="s">
        <v>301</v>
      </c>
      <c r="N41" s="187">
        <v>480.89954999999998</v>
      </c>
      <c r="O41" s="186">
        <f t="shared" si="2"/>
        <v>15976.925749649999</v>
      </c>
      <c r="P41" s="186">
        <f t="shared" si="3"/>
        <v>14359.606030086152</v>
      </c>
      <c r="Q41" s="215">
        <f>IF(P41="-",0,P41/(1+'General inputs'!$H$30)^'MP Calculations'!$C$40)</f>
        <v>31896.834998949278</v>
      </c>
    </row>
    <row r="42" spans="3:17" x14ac:dyDescent="0.25">
      <c r="C42" s="159"/>
      <c r="D42" s="165" t="s">
        <v>283</v>
      </c>
      <c r="E42" s="162">
        <v>26299</v>
      </c>
      <c r="F42" s="166" t="str">
        <f t="shared" si="1"/>
        <v>Date check - OK</v>
      </c>
      <c r="G42" s="68"/>
      <c r="H42" s="162" t="s">
        <v>279</v>
      </c>
      <c r="I42" s="173">
        <v>8793.8848904043734</v>
      </c>
      <c r="J42" s="168">
        <f>IFERROR(MIN('MP Calculations'!$E$30/I42,1),"-")</f>
        <v>0.89877153183870317</v>
      </c>
      <c r="K42" s="12"/>
      <c r="L42" s="159">
        <v>88.818944999999999</v>
      </c>
      <c r="M42" s="187" t="s">
        <v>301</v>
      </c>
      <c r="N42" s="187">
        <v>657.22938499999998</v>
      </c>
      <c r="O42" s="186">
        <f t="shared" si="2"/>
        <v>58374.420598698824</v>
      </c>
      <c r="P42" s="186">
        <f t="shared" si="3"/>
        <v>52465.267421689292</v>
      </c>
      <c r="Q42" s="215">
        <f>IF(P42="-",0,P42/(1+'General inputs'!$H$30)^'MP Calculations'!$C$40)</f>
        <v>116540.52169809649</v>
      </c>
    </row>
    <row r="43" spans="3:17" x14ac:dyDescent="0.25">
      <c r="C43" s="159"/>
      <c r="D43" s="165" t="s">
        <v>283</v>
      </c>
      <c r="E43" s="162">
        <v>26299</v>
      </c>
      <c r="F43" s="166" t="str">
        <f t="shared" si="1"/>
        <v>Date check - OK</v>
      </c>
      <c r="G43" s="68"/>
      <c r="H43" s="162" t="s">
        <v>279</v>
      </c>
      <c r="I43" s="173">
        <v>8793.8848904043734</v>
      </c>
      <c r="J43" s="168">
        <f>IFERROR(MIN('MP Calculations'!$E$30/I43,1),"-")</f>
        <v>0.89877153183870317</v>
      </c>
      <c r="K43" s="12"/>
      <c r="L43" s="159">
        <v>40.625245999999997</v>
      </c>
      <c r="M43" s="187" t="s">
        <v>301</v>
      </c>
      <c r="N43" s="187">
        <v>657.22938499999998</v>
      </c>
      <c r="O43" s="186">
        <f t="shared" si="2"/>
        <v>26700.105444053708</v>
      </c>
      <c r="P43" s="186">
        <f t="shared" si="3"/>
        <v>23997.294670207048</v>
      </c>
      <c r="Q43" s="215">
        <f>IF(P43="-",0,P43/(1+'General inputs'!$H$30)^'MP Calculations'!$C$40)</f>
        <v>53304.926814358209</v>
      </c>
    </row>
    <row r="44" spans="3:17" x14ac:dyDescent="0.25">
      <c r="C44" s="159"/>
      <c r="D44" s="165" t="s">
        <v>284</v>
      </c>
      <c r="E44" s="162">
        <v>26299</v>
      </c>
      <c r="F44" s="166" t="str">
        <f t="shared" si="1"/>
        <v>Date check - OK</v>
      </c>
      <c r="G44" s="68"/>
      <c r="H44" s="162" t="s">
        <v>279</v>
      </c>
      <c r="I44" s="173">
        <v>8793.8848904043734</v>
      </c>
      <c r="J44" s="168">
        <f>IFERROR(MIN('MP Calculations'!$E$30/I44,1),"-")</f>
        <v>0.89877153183870317</v>
      </c>
      <c r="K44" s="12"/>
      <c r="L44" s="159">
        <v>62.425514</v>
      </c>
      <c r="M44" s="187" t="s">
        <v>301</v>
      </c>
      <c r="N44" s="187">
        <v>480.89954999999998</v>
      </c>
      <c r="O44" s="186">
        <f t="shared" si="2"/>
        <v>30020.401591118698</v>
      </c>
      <c r="P44" s="186">
        <f t="shared" si="3"/>
        <v>26981.482324462795</v>
      </c>
      <c r="Q44" s="215">
        <f>IF(P44="-",0,P44/(1+'General inputs'!$H$30)^'MP Calculations'!$C$40)</f>
        <v>59933.67004131469</v>
      </c>
    </row>
    <row r="45" spans="3:17" x14ac:dyDescent="0.25">
      <c r="C45" s="159"/>
      <c r="D45" s="165" t="s">
        <v>281</v>
      </c>
      <c r="E45" s="162">
        <v>26299</v>
      </c>
      <c r="F45" s="166" t="str">
        <f t="shared" si="1"/>
        <v>Date check - OK</v>
      </c>
      <c r="G45" s="68"/>
      <c r="H45" s="162" t="s">
        <v>279</v>
      </c>
      <c r="I45" s="173">
        <v>8793.8848904043734</v>
      </c>
      <c r="J45" s="168">
        <f>IFERROR(MIN('MP Calculations'!$E$30/I45,1),"-")</f>
        <v>0.89877153183870317</v>
      </c>
      <c r="K45" s="12"/>
      <c r="L45" s="159">
        <v>31.473732999999999</v>
      </c>
      <c r="M45" s="187" t="s">
        <v>301</v>
      </c>
      <c r="N45" s="187">
        <v>480.89954999999998</v>
      </c>
      <c r="O45" s="186">
        <f t="shared" si="2"/>
        <v>15135.704036520148</v>
      </c>
      <c r="P45" s="186">
        <f t="shared" si="3"/>
        <v>13603.539902360457</v>
      </c>
      <c r="Q45" s="215">
        <f>IF(P45="-",0,P45/(1+'General inputs'!$H$30)^'MP Calculations'!$C$40)</f>
        <v>30217.393621948191</v>
      </c>
    </row>
    <row r="46" spans="3:17" x14ac:dyDescent="0.25">
      <c r="C46" s="159"/>
      <c r="D46" s="165" t="s">
        <v>281</v>
      </c>
      <c r="E46" s="162">
        <v>26299</v>
      </c>
      <c r="F46" s="166" t="str">
        <f t="shared" si="1"/>
        <v>Date check - OK</v>
      </c>
      <c r="G46" s="68"/>
      <c r="H46" s="162" t="s">
        <v>279</v>
      </c>
      <c r="I46" s="173">
        <v>8793.8848904043734</v>
      </c>
      <c r="J46" s="168">
        <f>IFERROR(MIN('MP Calculations'!$E$30/I46,1),"-")</f>
        <v>0.89877153183870317</v>
      </c>
      <c r="K46" s="12"/>
      <c r="L46" s="159">
        <v>28.246407999999999</v>
      </c>
      <c r="M46" s="187" t="s">
        <v>301</v>
      </c>
      <c r="N46" s="187">
        <v>480.89954999999998</v>
      </c>
      <c r="O46" s="186">
        <f t="shared" si="2"/>
        <v>13583.684896316399</v>
      </c>
      <c r="P46" s="186">
        <f t="shared" si="3"/>
        <v>12208.629282276546</v>
      </c>
      <c r="Q46" s="215">
        <f>IF(P46="-",0,P46/(1+'General inputs'!$H$30)^'MP Calculations'!$C$40)</f>
        <v>27118.893997802752</v>
      </c>
    </row>
    <row r="47" spans="3:17" x14ac:dyDescent="0.25">
      <c r="C47" s="159"/>
      <c r="D47" s="165" t="s">
        <v>282</v>
      </c>
      <c r="E47" s="162">
        <v>26299</v>
      </c>
      <c r="F47" s="166" t="str">
        <f t="shared" si="1"/>
        <v>Date check - OK</v>
      </c>
      <c r="G47" s="68"/>
      <c r="H47" s="162" t="s">
        <v>279</v>
      </c>
      <c r="I47" s="173">
        <v>8793.8848904043734</v>
      </c>
      <c r="J47" s="168">
        <f>IFERROR(MIN('MP Calculations'!$E$30/I47,1),"-")</f>
        <v>0.89877153183870317</v>
      </c>
      <c r="K47" s="12"/>
      <c r="L47" s="159">
        <v>91.098127000000005</v>
      </c>
      <c r="M47" s="187" t="s">
        <v>301</v>
      </c>
      <c r="N47" s="187">
        <v>304.56971499999997</v>
      </c>
      <c r="O47" s="186">
        <f t="shared" si="2"/>
        <v>27745.730577423805</v>
      </c>
      <c r="P47" s="186">
        <f t="shared" si="3"/>
        <v>24937.072773055141</v>
      </c>
      <c r="Q47" s="215">
        <f>IF(P47="-",0,P47/(1+'General inputs'!$H$30)^'MP Calculations'!$C$40)</f>
        <v>55392.445581890257</v>
      </c>
    </row>
    <row r="48" spans="3:17" x14ac:dyDescent="0.25">
      <c r="C48" s="159"/>
      <c r="D48" s="165" t="s">
        <v>283</v>
      </c>
      <c r="E48" s="162">
        <v>26299</v>
      </c>
      <c r="F48" s="166" t="str">
        <f t="shared" si="1"/>
        <v>Date check - OK</v>
      </c>
      <c r="G48" s="68"/>
      <c r="H48" s="162" t="s">
        <v>279</v>
      </c>
      <c r="I48" s="173">
        <v>8793.8848904043734</v>
      </c>
      <c r="J48" s="168">
        <f>IFERROR(MIN('MP Calculations'!$E$30/I48,1),"-")</f>
        <v>0.89877153183870317</v>
      </c>
      <c r="K48" s="12"/>
      <c r="L48" s="159">
        <v>4.6320040000000002</v>
      </c>
      <c r="M48" s="187" t="s">
        <v>301</v>
      </c>
      <c r="N48" s="187">
        <v>657.22938499999998</v>
      </c>
      <c r="O48" s="186">
        <f t="shared" si="2"/>
        <v>3044.2891402375399</v>
      </c>
      <c r="P48" s="186">
        <f t="shared" si="3"/>
        <v>2736.1204139312222</v>
      </c>
      <c r="Q48" s="215">
        <f>IF(P48="-",0,P48/(1+'General inputs'!$H$30)^'MP Calculations'!$C$40)</f>
        <v>6077.7141933814864</v>
      </c>
    </row>
    <row r="49" spans="3:17" x14ac:dyDescent="0.25">
      <c r="C49" s="159"/>
      <c r="D49" s="165" t="s">
        <v>281</v>
      </c>
      <c r="E49" s="162">
        <v>26299</v>
      </c>
      <c r="F49" s="166" t="str">
        <f t="shared" si="1"/>
        <v>Date check - OK</v>
      </c>
      <c r="G49" s="68"/>
      <c r="H49" s="162" t="s">
        <v>279</v>
      </c>
      <c r="I49" s="173">
        <v>8793.8848904043734</v>
      </c>
      <c r="J49" s="168">
        <f>IFERROR(MIN('MP Calculations'!$E$30/I49,1),"-")</f>
        <v>0.89877153183870317</v>
      </c>
      <c r="K49" s="12"/>
      <c r="L49" s="159">
        <v>25.121988000000002</v>
      </c>
      <c r="M49" s="187" t="s">
        <v>301</v>
      </c>
      <c r="N49" s="187">
        <v>480.89954999999998</v>
      </c>
      <c r="O49" s="186">
        <f t="shared" si="2"/>
        <v>12081.152724305401</v>
      </c>
      <c r="P49" s="186">
        <f t="shared" si="3"/>
        <v>10858.196140401287</v>
      </c>
      <c r="Q49" s="215">
        <f>IF(P49="-",0,P49/(1+'General inputs'!$H$30)^'MP Calculations'!$C$40)</f>
        <v>24119.191706997677</v>
      </c>
    </row>
    <row r="50" spans="3:17" x14ac:dyDescent="0.25">
      <c r="C50" s="159"/>
      <c r="D50" s="165" t="s">
        <v>281</v>
      </c>
      <c r="E50" s="162">
        <v>26299</v>
      </c>
      <c r="F50" s="166" t="str">
        <f t="shared" si="1"/>
        <v>Date check - OK</v>
      </c>
      <c r="G50" s="68"/>
      <c r="H50" s="162" t="s">
        <v>279</v>
      </c>
      <c r="I50" s="173">
        <v>8793.8848904043734</v>
      </c>
      <c r="J50" s="168">
        <f>IFERROR(MIN('MP Calculations'!$E$30/I50,1),"-")</f>
        <v>0.89877153183870317</v>
      </c>
      <c r="K50" s="12"/>
      <c r="L50" s="159">
        <v>39.684742999999997</v>
      </c>
      <c r="M50" s="187" t="s">
        <v>301</v>
      </c>
      <c r="N50" s="187">
        <v>480.89954999999998</v>
      </c>
      <c r="O50" s="186">
        <f t="shared" si="2"/>
        <v>19084.375050565646</v>
      </c>
      <c r="P50" s="186">
        <f t="shared" si="3"/>
        <v>17152.492998381214</v>
      </c>
      <c r="Q50" s="215">
        <f>IF(P50="-",0,P50/(1+'General inputs'!$H$30)^'MP Calculations'!$C$40)</f>
        <v>38100.64411542326</v>
      </c>
    </row>
    <row r="51" spans="3:17" x14ac:dyDescent="0.25">
      <c r="C51" s="159"/>
      <c r="D51" s="165" t="s">
        <v>283</v>
      </c>
      <c r="E51" s="162">
        <v>26299</v>
      </c>
      <c r="F51" s="166" t="str">
        <f t="shared" si="1"/>
        <v>Date check - OK</v>
      </c>
      <c r="G51" s="68"/>
      <c r="H51" s="162" t="s">
        <v>279</v>
      </c>
      <c r="I51" s="173">
        <v>8793.8848904043734</v>
      </c>
      <c r="J51" s="168">
        <f>IFERROR(MIN('MP Calculations'!$E$30/I51,1),"-")</f>
        <v>0.89877153183870317</v>
      </c>
      <c r="K51" s="12"/>
      <c r="L51" s="159">
        <v>55.008425000000003</v>
      </c>
      <c r="M51" s="187" t="s">
        <v>301</v>
      </c>
      <c r="N51" s="187">
        <v>657.22938499999998</v>
      </c>
      <c r="O51" s="186">
        <f t="shared" si="2"/>
        <v>36153.153332568625</v>
      </c>
      <c r="P51" s="186">
        <f t="shared" si="3"/>
        <v>32493.42500151222</v>
      </c>
      <c r="Q51" s="215">
        <f>IF(P51="-",0,P51/(1+'General inputs'!$H$30)^'MP Calculations'!$C$40)</f>
        <v>72177.287709177515</v>
      </c>
    </row>
    <row r="52" spans="3:17" x14ac:dyDescent="0.25">
      <c r="C52" s="159"/>
      <c r="D52" s="165" t="s">
        <v>283</v>
      </c>
      <c r="E52" s="162">
        <v>26299</v>
      </c>
      <c r="F52" s="166" t="str">
        <f t="shared" si="1"/>
        <v>Date check - OK</v>
      </c>
      <c r="G52" s="68"/>
      <c r="H52" s="162" t="s">
        <v>279</v>
      </c>
      <c r="I52" s="173">
        <v>8793.8848904043734</v>
      </c>
      <c r="J52" s="168">
        <f>IFERROR(MIN('MP Calculations'!$E$30/I52,1),"-")</f>
        <v>0.89877153183870317</v>
      </c>
      <c r="K52" s="12"/>
      <c r="L52" s="159">
        <v>47.713414</v>
      </c>
      <c r="M52" s="187" t="s">
        <v>301</v>
      </c>
      <c r="N52" s="187">
        <v>657.22938499999998</v>
      </c>
      <c r="O52" s="186">
        <f t="shared" si="2"/>
        <v>31358.657739470389</v>
      </c>
      <c r="P52" s="186">
        <f t="shared" si="3"/>
        <v>28184.268852909405</v>
      </c>
      <c r="Q52" s="215">
        <f>IF(P52="-",0,P52/(1+'General inputs'!$H$30)^'MP Calculations'!$C$40)</f>
        <v>62605.406533001042</v>
      </c>
    </row>
    <row r="53" spans="3:17" x14ac:dyDescent="0.25">
      <c r="C53" s="159"/>
      <c r="D53" s="165" t="s">
        <v>283</v>
      </c>
      <c r="E53" s="162">
        <v>26299</v>
      </c>
      <c r="F53" s="166" t="str">
        <f t="shared" si="1"/>
        <v>Date check - OK</v>
      </c>
      <c r="G53" s="68"/>
      <c r="H53" s="162" t="s">
        <v>279</v>
      </c>
      <c r="I53" s="173">
        <v>8793.8848904043734</v>
      </c>
      <c r="J53" s="168">
        <f>IFERROR(MIN('MP Calculations'!$E$30/I53,1),"-")</f>
        <v>0.89877153183870317</v>
      </c>
      <c r="K53" s="12"/>
      <c r="L53" s="159">
        <v>89.579866999999993</v>
      </c>
      <c r="M53" s="187" t="s">
        <v>301</v>
      </c>
      <c r="N53" s="187">
        <v>657.22938499999998</v>
      </c>
      <c r="O53" s="186">
        <f t="shared" si="2"/>
        <v>58874.520896791786</v>
      </c>
      <c r="P53" s="186">
        <f t="shared" si="3"/>
        <v>52914.743332679296</v>
      </c>
      <c r="Q53" s="215">
        <f>IF(P53="-",0,P53/(1+'General inputs'!$H$30)^'MP Calculations'!$C$40)</f>
        <v>117538.93759744721</v>
      </c>
    </row>
    <row r="54" spans="3:17" x14ac:dyDescent="0.25">
      <c r="C54" s="159"/>
      <c r="D54" s="165" t="s">
        <v>283</v>
      </c>
      <c r="E54" s="162">
        <v>26299</v>
      </c>
      <c r="F54" s="166" t="str">
        <f t="shared" si="1"/>
        <v>Date check - OK</v>
      </c>
      <c r="G54" s="68"/>
      <c r="H54" s="162" t="s">
        <v>279</v>
      </c>
      <c r="I54" s="173">
        <v>8793.8848904043734</v>
      </c>
      <c r="J54" s="168">
        <f>IFERROR(MIN('MP Calculations'!$E$30/I54,1),"-")</f>
        <v>0.89877153183870317</v>
      </c>
      <c r="K54" s="12"/>
      <c r="L54" s="159">
        <v>77.279013000000006</v>
      </c>
      <c r="M54" s="187" t="s">
        <v>301</v>
      </c>
      <c r="N54" s="187">
        <v>657.22938499999998</v>
      </c>
      <c r="O54" s="186">
        <f t="shared" si="2"/>
        <v>50790.038187397011</v>
      </c>
      <c r="P54" s="186">
        <f t="shared" si="3"/>
        <v>45648.640423833043</v>
      </c>
      <c r="Q54" s="215">
        <f>IF(P54="-",0,P54/(1+'General inputs'!$H$30)^'MP Calculations'!$C$40)</f>
        <v>101398.82309268571</v>
      </c>
    </row>
    <row r="55" spans="3:17" x14ac:dyDescent="0.25">
      <c r="C55" s="159"/>
      <c r="D55" s="165" t="s">
        <v>283</v>
      </c>
      <c r="E55" s="162">
        <v>26299</v>
      </c>
      <c r="F55" s="166" t="str">
        <f t="shared" si="1"/>
        <v>Date check - OK</v>
      </c>
      <c r="G55" s="68"/>
      <c r="H55" s="162" t="s">
        <v>279</v>
      </c>
      <c r="I55" s="173">
        <v>8793.8848904043734</v>
      </c>
      <c r="J55" s="168">
        <f>IFERROR(MIN('MP Calculations'!$E$30/I55,1),"-")</f>
        <v>0.89877153183870317</v>
      </c>
      <c r="K55" s="12"/>
      <c r="L55" s="159">
        <v>14.999746</v>
      </c>
      <c r="M55" s="187" t="s">
        <v>301</v>
      </c>
      <c r="N55" s="187">
        <v>657.22938499999998</v>
      </c>
      <c r="O55" s="186">
        <f t="shared" si="2"/>
        <v>9858.2738387362097</v>
      </c>
      <c r="P55" s="186">
        <f t="shared" si="3"/>
        <v>8860.335879326356</v>
      </c>
      <c r="Q55" s="215">
        <f>IF(P55="-",0,P55/(1+'General inputs'!$H$30)^'MP Calculations'!$C$40)</f>
        <v>19681.36667440641</v>
      </c>
    </row>
    <row r="56" spans="3:17" x14ac:dyDescent="0.25">
      <c r="C56" s="159"/>
      <c r="D56" s="165" t="s">
        <v>283</v>
      </c>
      <c r="E56" s="162">
        <v>26299</v>
      </c>
      <c r="F56" s="166" t="str">
        <f t="shared" si="1"/>
        <v>Date check - OK</v>
      </c>
      <c r="G56" s="68"/>
      <c r="H56" s="162" t="s">
        <v>279</v>
      </c>
      <c r="I56" s="173">
        <v>8793.8848904043734</v>
      </c>
      <c r="J56" s="168">
        <f>IFERROR(MIN('MP Calculations'!$E$30/I56,1),"-")</f>
        <v>0.89877153183870317</v>
      </c>
      <c r="K56" s="12"/>
      <c r="L56" s="159">
        <v>15.239373000000001</v>
      </c>
      <c r="M56" s="187" t="s">
        <v>301</v>
      </c>
      <c r="N56" s="187">
        <v>657.22938499999998</v>
      </c>
      <c r="O56" s="186">
        <f t="shared" si="2"/>
        <v>10015.763744575605</v>
      </c>
      <c r="P56" s="186">
        <f t="shared" si="3"/>
        <v>9001.8833232467623</v>
      </c>
      <c r="Q56" s="215">
        <f>IF(P56="-",0,P56/(1+'General inputs'!$H$30)^'MP Calculations'!$C$40)</f>
        <v>19995.784455353369</v>
      </c>
    </row>
    <row r="57" spans="3:17" x14ac:dyDescent="0.25">
      <c r="C57" s="159"/>
      <c r="D57" s="165" t="s">
        <v>283</v>
      </c>
      <c r="E57" s="162">
        <v>26299</v>
      </c>
      <c r="F57" s="166" t="str">
        <f t="shared" si="1"/>
        <v>Date check - OK</v>
      </c>
      <c r="G57" s="68"/>
      <c r="H57" s="162" t="s">
        <v>279</v>
      </c>
      <c r="I57" s="173">
        <v>8793.8848904043734</v>
      </c>
      <c r="J57" s="168">
        <f>IFERROR(MIN('MP Calculations'!$E$30/I57,1),"-")</f>
        <v>0.89877153183870317</v>
      </c>
      <c r="K57" s="12"/>
      <c r="L57" s="159">
        <v>7.7372120000000004</v>
      </c>
      <c r="M57" s="187" t="s">
        <v>301</v>
      </c>
      <c r="N57" s="187">
        <v>657.22938499999998</v>
      </c>
      <c r="O57" s="186">
        <f t="shared" si="2"/>
        <v>5085.1230843746198</v>
      </c>
      <c r="P57" s="186">
        <f t="shared" si="3"/>
        <v>4570.3638641317284</v>
      </c>
      <c r="Q57" s="215">
        <f>IF(P57="-",0,P57/(1+'General inputs'!$H$30)^'MP Calculations'!$C$40)</f>
        <v>10152.09900285094</v>
      </c>
    </row>
    <row r="58" spans="3:17" x14ac:dyDescent="0.25">
      <c r="C58" s="159"/>
      <c r="D58" s="165" t="s">
        <v>283</v>
      </c>
      <c r="E58" s="162">
        <v>26299</v>
      </c>
      <c r="F58" s="166" t="str">
        <f t="shared" si="1"/>
        <v>Date check - OK</v>
      </c>
      <c r="G58" s="68"/>
      <c r="H58" s="162" t="s">
        <v>279</v>
      </c>
      <c r="I58" s="173">
        <v>8793.8848904043734</v>
      </c>
      <c r="J58" s="168">
        <f>IFERROR(MIN('MP Calculations'!$E$30/I58,1),"-")</f>
        <v>0.89877153183870317</v>
      </c>
      <c r="K58" s="12"/>
      <c r="L58" s="159">
        <v>73.624059000000003</v>
      </c>
      <c r="M58" s="187" t="s">
        <v>301</v>
      </c>
      <c r="N58" s="187">
        <v>657.22938499999998</v>
      </c>
      <c r="O58" s="186">
        <f t="shared" si="2"/>
        <v>48387.895017773713</v>
      </c>
      <c r="P58" s="186">
        <f t="shared" si="3"/>
        <v>43489.66252757483</v>
      </c>
      <c r="Q58" s="215">
        <f>IF(P58="-",0,P58/(1+'General inputs'!$H$30)^'MP Calculations'!$C$40)</f>
        <v>96603.109228458357</v>
      </c>
    </row>
    <row r="59" spans="3:17" x14ac:dyDescent="0.25">
      <c r="C59" s="159"/>
      <c r="D59" s="165" t="s">
        <v>283</v>
      </c>
      <c r="E59" s="162">
        <v>26299</v>
      </c>
      <c r="F59" s="166" t="str">
        <f t="shared" si="1"/>
        <v>Date check - OK</v>
      </c>
      <c r="G59" s="68"/>
      <c r="H59" s="162" t="s">
        <v>279</v>
      </c>
      <c r="I59" s="173">
        <v>8793.8848904043734</v>
      </c>
      <c r="J59" s="168">
        <f>IFERROR(MIN('MP Calculations'!$E$30/I59,1),"-")</f>
        <v>0.89877153183870317</v>
      </c>
      <c r="K59" s="12"/>
      <c r="L59" s="159">
        <v>39.618046999999997</v>
      </c>
      <c r="M59" s="187" t="s">
        <v>301</v>
      </c>
      <c r="N59" s="187">
        <v>657.22938499999998</v>
      </c>
      <c r="O59" s="186">
        <f t="shared" si="2"/>
        <v>26038.144664711093</v>
      </c>
      <c r="P59" s="186">
        <f t="shared" si="3"/>
        <v>23402.343166540144</v>
      </c>
      <c r="Q59" s="215">
        <f>IF(P59="-",0,P59/(1+'General inputs'!$H$30)^'MP Calculations'!$C$40)</f>
        <v>51983.367580415485</v>
      </c>
    </row>
    <row r="60" spans="3:17" x14ac:dyDescent="0.25">
      <c r="C60" s="159"/>
      <c r="D60" s="165" t="s">
        <v>283</v>
      </c>
      <c r="E60" s="162">
        <v>26299</v>
      </c>
      <c r="F60" s="166" t="str">
        <f t="shared" si="1"/>
        <v>Date check - OK</v>
      </c>
      <c r="G60" s="68"/>
      <c r="H60" s="162" t="s">
        <v>279</v>
      </c>
      <c r="I60" s="173">
        <v>8793.8848904043734</v>
      </c>
      <c r="J60" s="168">
        <f>IFERROR(MIN('MP Calculations'!$E$30/I60,1),"-")</f>
        <v>0.89877153183870317</v>
      </c>
      <c r="K60" s="12"/>
      <c r="L60" s="159">
        <v>12.189016000000001</v>
      </c>
      <c r="M60" s="187" t="s">
        <v>301</v>
      </c>
      <c r="N60" s="187">
        <v>657.22938499999998</v>
      </c>
      <c r="O60" s="186">
        <f t="shared" si="2"/>
        <v>8010.9794894351598</v>
      </c>
      <c r="P60" s="186">
        <f t="shared" si="3"/>
        <v>7200.0403072480713</v>
      </c>
      <c r="Q60" s="215">
        <f>IF(P60="-",0,P60/(1+'General inputs'!$H$30)^'MP Calculations'!$C$40)</f>
        <v>15993.370374152106</v>
      </c>
    </row>
    <row r="61" spans="3:17" x14ac:dyDescent="0.25">
      <c r="C61" s="159"/>
      <c r="D61" s="165" t="s">
        <v>283</v>
      </c>
      <c r="E61" s="162">
        <v>26299</v>
      </c>
      <c r="F61" s="166" t="str">
        <f t="shared" si="1"/>
        <v>Date check - OK</v>
      </c>
      <c r="G61" s="68"/>
      <c r="H61" s="162" t="s">
        <v>279</v>
      </c>
      <c r="I61" s="173">
        <v>8793.8848904043734</v>
      </c>
      <c r="J61" s="168">
        <f>IFERROR(MIN('MP Calculations'!$E$30/I61,1),"-")</f>
        <v>0.89877153183870317</v>
      </c>
      <c r="K61" s="12"/>
      <c r="L61" s="159">
        <v>17.752092999999999</v>
      </c>
      <c r="M61" s="187" t="s">
        <v>301</v>
      </c>
      <c r="N61" s="187">
        <v>657.22938499999998</v>
      </c>
      <c r="O61" s="186">
        <f t="shared" si="2"/>
        <v>11667.197164852803</v>
      </c>
      <c r="P61" s="186">
        <f t="shared" si="3"/>
        <v>10486.144668118928</v>
      </c>
      <c r="Q61" s="215">
        <f>IF(P61="-",0,P61/(1+'General inputs'!$H$30)^'MP Calculations'!$C$40)</f>
        <v>23292.757862110684</v>
      </c>
    </row>
    <row r="62" spans="3:17" x14ac:dyDescent="0.25">
      <c r="C62" s="159"/>
      <c r="D62" s="165" t="s">
        <v>283</v>
      </c>
      <c r="E62" s="162">
        <v>26299</v>
      </c>
      <c r="F62" s="166" t="str">
        <f t="shared" si="1"/>
        <v>Date check - OK</v>
      </c>
      <c r="G62" s="68"/>
      <c r="H62" s="162" t="s">
        <v>279</v>
      </c>
      <c r="I62" s="173">
        <v>8793.8848904043734</v>
      </c>
      <c r="J62" s="168">
        <f>IFERROR(MIN('MP Calculations'!$E$30/I62,1),"-")</f>
        <v>0.89877153183870317</v>
      </c>
      <c r="K62" s="12"/>
      <c r="L62" s="159">
        <v>85.392200000000003</v>
      </c>
      <c r="M62" s="187" t="s">
        <v>301</v>
      </c>
      <c r="N62" s="187">
        <v>657.22938499999998</v>
      </c>
      <c r="O62" s="186">
        <f t="shared" si="2"/>
        <v>56122.263089797001</v>
      </c>
      <c r="P62" s="186">
        <f t="shared" si="3"/>
        <v>50441.09236747156</v>
      </c>
      <c r="Q62" s="215">
        <f>IF(P62="-",0,P62/(1+'General inputs'!$H$30)^'MP Calculations'!$C$40)</f>
        <v>112044.24390481327</v>
      </c>
    </row>
    <row r="63" spans="3:17" x14ac:dyDescent="0.25">
      <c r="C63" s="159"/>
      <c r="D63" s="165" t="s">
        <v>283</v>
      </c>
      <c r="E63" s="162">
        <v>26299</v>
      </c>
      <c r="F63" s="166" t="str">
        <f t="shared" si="1"/>
        <v>Date check - OK</v>
      </c>
      <c r="G63" s="68"/>
      <c r="H63" s="162" t="s">
        <v>279</v>
      </c>
      <c r="I63" s="173">
        <v>8793.8848904043734</v>
      </c>
      <c r="J63" s="168">
        <f>IFERROR(MIN('MP Calculations'!$E$30/I63,1),"-")</f>
        <v>0.89877153183870317</v>
      </c>
      <c r="K63" s="12"/>
      <c r="L63" s="159">
        <v>9.4190109999999994</v>
      </c>
      <c r="M63" s="187" t="s">
        <v>301</v>
      </c>
      <c r="N63" s="187">
        <v>657.22938499999998</v>
      </c>
      <c r="O63" s="186">
        <f t="shared" si="2"/>
        <v>6190.4508068382347</v>
      </c>
      <c r="P63" s="186">
        <f t="shared" si="3"/>
        <v>5563.8009544341367</v>
      </c>
      <c r="Q63" s="215">
        <f>IF(P63="-",0,P63/(1+'General inputs'!$H$30)^'MP Calculations'!$C$40)</f>
        <v>12358.809889265285</v>
      </c>
    </row>
    <row r="64" spans="3:17" x14ac:dyDescent="0.25">
      <c r="C64" s="159"/>
      <c r="D64" s="165" t="s">
        <v>283</v>
      </c>
      <c r="E64" s="162">
        <v>26299</v>
      </c>
      <c r="F64" s="166" t="str">
        <f t="shared" si="1"/>
        <v>Date check - OK</v>
      </c>
      <c r="G64" s="68"/>
      <c r="H64" s="162" t="s">
        <v>279</v>
      </c>
      <c r="I64" s="173">
        <v>8793.8848904043734</v>
      </c>
      <c r="J64" s="168">
        <f>IFERROR(MIN('MP Calculations'!$E$30/I64,1),"-")</f>
        <v>0.89877153183870317</v>
      </c>
      <c r="K64" s="12"/>
      <c r="L64" s="159">
        <v>13.924493</v>
      </c>
      <c r="M64" s="187" t="s">
        <v>301</v>
      </c>
      <c r="N64" s="187">
        <v>657.22938499999998</v>
      </c>
      <c r="O64" s="186">
        <f t="shared" si="2"/>
        <v>9151.5859708268054</v>
      </c>
      <c r="P64" s="186">
        <f t="shared" si="3"/>
        <v>8225.1849417535941</v>
      </c>
      <c r="Q64" s="215">
        <f>IF(P64="-",0,P64/(1+'General inputs'!$H$30)^'MP Calculations'!$C$40)</f>
        <v>18270.512879898459</v>
      </c>
    </row>
    <row r="65" spans="3:17" x14ac:dyDescent="0.25">
      <c r="C65" s="159"/>
      <c r="D65" s="165" t="s">
        <v>282</v>
      </c>
      <c r="E65" s="162">
        <v>26299</v>
      </c>
      <c r="F65" s="166" t="str">
        <f t="shared" si="1"/>
        <v>Date check - OK</v>
      </c>
      <c r="G65" s="68"/>
      <c r="H65" s="162" t="s">
        <v>279</v>
      </c>
      <c r="I65" s="173">
        <v>8793.8848904043734</v>
      </c>
      <c r="J65" s="168">
        <f>IFERROR(MIN('MP Calculations'!$E$30/I65,1),"-")</f>
        <v>0.89877153183870317</v>
      </c>
      <c r="K65" s="12"/>
      <c r="L65" s="159">
        <v>0.84976399999999996</v>
      </c>
      <c r="M65" s="187" t="s">
        <v>301</v>
      </c>
      <c r="N65" s="187">
        <v>304.56971499999997</v>
      </c>
      <c r="O65" s="186">
        <f t="shared" si="2"/>
        <v>258.81237929725995</v>
      </c>
      <c r="P65" s="186">
        <f t="shared" si="3"/>
        <v>232.61319859981779</v>
      </c>
      <c r="Q65" s="215">
        <f>IF(P65="-",0,P65/(1+'General inputs'!$H$30)^'MP Calculations'!$C$40)</f>
        <v>516.70114060028232</v>
      </c>
    </row>
    <row r="66" spans="3:17" x14ac:dyDescent="0.25">
      <c r="C66" s="159"/>
      <c r="D66" s="165" t="s">
        <v>282</v>
      </c>
      <c r="E66" s="162">
        <v>26299</v>
      </c>
      <c r="F66" s="166" t="str">
        <f t="shared" si="1"/>
        <v>Date check - OK</v>
      </c>
      <c r="G66" s="68"/>
      <c r="H66" s="162" t="s">
        <v>279</v>
      </c>
      <c r="I66" s="173">
        <v>8793.8848904043734</v>
      </c>
      <c r="J66" s="168">
        <f>IFERROR(MIN('MP Calculations'!$E$30/I66,1),"-")</f>
        <v>0.89877153183870317</v>
      </c>
      <c r="K66" s="12"/>
      <c r="L66" s="159">
        <v>1.2532449999999999</v>
      </c>
      <c r="M66" s="187" t="s">
        <v>301</v>
      </c>
      <c r="N66" s="187">
        <v>304.56971499999997</v>
      </c>
      <c r="O66" s="186">
        <f t="shared" si="2"/>
        <v>381.70047247517493</v>
      </c>
      <c r="P66" s="186">
        <f t="shared" si="3"/>
        <v>343.06151835006972</v>
      </c>
      <c r="Q66" s="215">
        <f>IF(P66="-",0,P66/(1+'General inputs'!$H$30)^'MP Calculations'!$C$40)</f>
        <v>762.03877894521406</v>
      </c>
    </row>
    <row r="67" spans="3:17" x14ac:dyDescent="0.25">
      <c r="C67" s="159"/>
      <c r="D67" s="165" t="s">
        <v>285</v>
      </c>
      <c r="E67" s="162">
        <v>26299</v>
      </c>
      <c r="F67" s="166" t="str">
        <f t="shared" si="1"/>
        <v>Date check - OK</v>
      </c>
      <c r="G67" s="68"/>
      <c r="H67" s="162" t="s">
        <v>279</v>
      </c>
      <c r="I67" s="173">
        <v>8793.8848904043734</v>
      </c>
      <c r="J67" s="168">
        <f>IFERROR(MIN('MP Calculations'!$E$30/I67,1),"-")</f>
        <v>0.89877153183870317</v>
      </c>
      <c r="K67" s="12"/>
      <c r="L67" s="159">
        <v>214.96439899999999</v>
      </c>
      <c r="M67" s="187" t="s">
        <v>301</v>
      </c>
      <c r="N67" s="187">
        <v>83.712143999999995</v>
      </c>
      <c r="O67" s="186">
        <f t="shared" si="2"/>
        <v>17995.130723961454</v>
      </c>
      <c r="P67" s="186">
        <f t="shared" si="3"/>
        <v>16173.511206412548</v>
      </c>
      <c r="Q67" s="215">
        <f>IF(P67="-",0,P67/(1+'General inputs'!$H$30)^'MP Calculations'!$C$40)</f>
        <v>35926.042624269896</v>
      </c>
    </row>
    <row r="68" spans="3:17" x14ac:dyDescent="0.25">
      <c r="C68" s="159"/>
      <c r="D68" s="165" t="s">
        <v>285</v>
      </c>
      <c r="E68" s="162">
        <v>26299</v>
      </c>
      <c r="F68" s="166" t="str">
        <f t="shared" si="1"/>
        <v>Date check - OK</v>
      </c>
      <c r="G68" s="68"/>
      <c r="H68" s="162" t="s">
        <v>279</v>
      </c>
      <c r="I68" s="173">
        <v>8793.8848904043734</v>
      </c>
      <c r="J68" s="168">
        <f>IFERROR(MIN('MP Calculations'!$E$30/I68,1),"-")</f>
        <v>0.89877153183870317</v>
      </c>
      <c r="K68" s="12"/>
      <c r="L68" s="159">
        <v>3.844957</v>
      </c>
      <c r="M68" s="187" t="s">
        <v>301</v>
      </c>
      <c r="N68" s="187">
        <v>83.712143999999995</v>
      </c>
      <c r="O68" s="186">
        <f t="shared" si="2"/>
        <v>321.869594057808</v>
      </c>
      <c r="P68" s="186">
        <f t="shared" si="3"/>
        <v>289.28722810363763</v>
      </c>
      <c r="Q68" s="215">
        <f>IF(P68="-",0,P68/(1+'General inputs'!$H$30)^'MP Calculations'!$C$40)</f>
        <v>642.59053923847603</v>
      </c>
    </row>
    <row r="69" spans="3:17" x14ac:dyDescent="0.25">
      <c r="C69" s="159"/>
      <c r="D69" s="165" t="s">
        <v>285</v>
      </c>
      <c r="E69" s="162">
        <v>26299</v>
      </c>
      <c r="F69" s="166" t="str">
        <f t="shared" si="1"/>
        <v>Date check - OK</v>
      </c>
      <c r="G69" s="68"/>
      <c r="H69" s="162" t="s">
        <v>279</v>
      </c>
      <c r="I69" s="173">
        <v>8793.8848904043734</v>
      </c>
      <c r="J69" s="168">
        <f>IFERROR(MIN('MP Calculations'!$E$30/I69,1),"-")</f>
        <v>0.89877153183870317</v>
      </c>
      <c r="K69" s="12"/>
      <c r="L69" s="159">
        <v>4.0743739999999997</v>
      </c>
      <c r="M69" s="187" t="s">
        <v>301</v>
      </c>
      <c r="N69" s="187">
        <v>83.712143999999995</v>
      </c>
      <c r="O69" s="186">
        <f t="shared" si="2"/>
        <v>341.07458299785594</v>
      </c>
      <c r="P69" s="186">
        <f t="shared" si="3"/>
        <v>306.54812543222988</v>
      </c>
      <c r="Q69" s="215">
        <f>IF(P69="-",0,P69/(1+'General inputs'!$H$30)^'MP Calculations'!$C$40)</f>
        <v>680.93198070075323</v>
      </c>
    </row>
    <row r="70" spans="3:17" x14ac:dyDescent="0.25">
      <c r="C70" s="159"/>
      <c r="D70" s="165" t="s">
        <v>285</v>
      </c>
      <c r="E70" s="162">
        <v>26299</v>
      </c>
      <c r="F70" s="166" t="str">
        <f t="shared" si="1"/>
        <v>Date check - OK</v>
      </c>
      <c r="G70" s="68"/>
      <c r="H70" s="162" t="s">
        <v>279</v>
      </c>
      <c r="I70" s="173">
        <v>8793.8848904043734</v>
      </c>
      <c r="J70" s="168">
        <f>IFERROR(MIN('MP Calculations'!$E$30/I70,1),"-")</f>
        <v>0.89877153183870317</v>
      </c>
      <c r="K70" s="12"/>
      <c r="L70" s="159">
        <v>15.122389999999999</v>
      </c>
      <c r="M70" s="187" t="s">
        <v>301</v>
      </c>
      <c r="N70" s="187">
        <v>83.712143999999995</v>
      </c>
      <c r="O70" s="186">
        <f t="shared" si="2"/>
        <v>1265.9276893041599</v>
      </c>
      <c r="P70" s="186">
        <f t="shared" si="3"/>
        <v>1137.7797685129296</v>
      </c>
      <c r="Q70" s="215">
        <f>IF(P70="-",0,P70/(1+'General inputs'!$H$30)^'MP Calculations'!$C$40)</f>
        <v>2527.3376905579271</v>
      </c>
    </row>
    <row r="71" spans="3:17" x14ac:dyDescent="0.25">
      <c r="C71" s="159"/>
      <c r="D71" s="165" t="s">
        <v>285</v>
      </c>
      <c r="E71" s="162">
        <v>26299</v>
      </c>
      <c r="F71" s="166" t="str">
        <f t="shared" si="1"/>
        <v>Date check - OK</v>
      </c>
      <c r="G71" s="68"/>
      <c r="H71" s="162" t="s">
        <v>279</v>
      </c>
      <c r="I71" s="173">
        <v>8793.8848904043734</v>
      </c>
      <c r="J71" s="168">
        <f>IFERROR(MIN('MP Calculations'!$E$30/I71,1),"-")</f>
        <v>0.89877153183870317</v>
      </c>
      <c r="K71" s="12"/>
      <c r="L71" s="159">
        <v>0.201435</v>
      </c>
      <c r="M71" s="187" t="s">
        <v>301</v>
      </c>
      <c r="N71" s="187">
        <v>83.712143999999995</v>
      </c>
      <c r="O71" s="186">
        <f t="shared" si="2"/>
        <v>16.86255572664</v>
      </c>
      <c r="P71" s="186">
        <f t="shared" si="3"/>
        <v>15.155585041147729</v>
      </c>
      <c r="Q71" s="215">
        <f>IF(P71="-",0,P71/(1+'General inputs'!$H$30)^'MP Calculations'!$C$40)</f>
        <v>33.664934424884962</v>
      </c>
    </row>
    <row r="72" spans="3:17" x14ac:dyDescent="0.25">
      <c r="C72" s="159"/>
      <c r="D72" s="165" t="s">
        <v>285</v>
      </c>
      <c r="E72" s="162">
        <v>26299</v>
      </c>
      <c r="F72" s="166" t="str">
        <f t="shared" si="1"/>
        <v>Date check - OK</v>
      </c>
      <c r="G72" s="68"/>
      <c r="H72" s="162" t="s">
        <v>279</v>
      </c>
      <c r="I72" s="173">
        <v>8793.8848904043734</v>
      </c>
      <c r="J72" s="168">
        <f>IFERROR(MIN('MP Calculations'!$E$30/I72,1),"-")</f>
        <v>0.89877153183870317</v>
      </c>
      <c r="K72" s="12"/>
      <c r="L72" s="159">
        <v>5.050611</v>
      </c>
      <c r="M72" s="187" t="s">
        <v>301</v>
      </c>
      <c r="N72" s="187">
        <v>83.712143999999995</v>
      </c>
      <c r="O72" s="186">
        <f t="shared" si="2"/>
        <v>422.79747531998396</v>
      </c>
      <c r="P72" s="186">
        <f t="shared" si="3"/>
        <v>379.99833455087827</v>
      </c>
      <c r="Q72" s="215">
        <f>IF(P72="-",0,P72/(1+'General inputs'!$H$30)^'MP Calculations'!$C$40)</f>
        <v>844.0861226728357</v>
      </c>
    </row>
    <row r="73" spans="3:17" x14ac:dyDescent="0.25">
      <c r="C73" s="159"/>
      <c r="D73" s="165" t="s">
        <v>285</v>
      </c>
      <c r="E73" s="162">
        <v>26299</v>
      </c>
      <c r="F73" s="166" t="str">
        <f t="shared" si="1"/>
        <v>Date check - OK</v>
      </c>
      <c r="G73" s="68"/>
      <c r="H73" s="162" t="s">
        <v>279</v>
      </c>
      <c r="I73" s="173">
        <v>8793.8848904043734</v>
      </c>
      <c r="J73" s="168">
        <f>IFERROR(MIN('MP Calculations'!$E$30/I73,1),"-")</f>
        <v>0.89877153183870317</v>
      </c>
      <c r="K73" s="12"/>
      <c r="L73" s="159">
        <v>5.0520949999999996</v>
      </c>
      <c r="M73" s="187" t="s">
        <v>301</v>
      </c>
      <c r="N73" s="187">
        <v>83.712143999999995</v>
      </c>
      <c r="O73" s="186">
        <f t="shared" si="2"/>
        <v>422.92170414167992</v>
      </c>
      <c r="P73" s="186">
        <f t="shared" si="3"/>
        <v>380.10998787925246</v>
      </c>
      <c r="Q73" s="215">
        <f>IF(P73="-",0,P73/(1+'General inputs'!$H$30)^'MP Calculations'!$C$40)</f>
        <v>844.33413698358856</v>
      </c>
    </row>
    <row r="74" spans="3:17" x14ac:dyDescent="0.25">
      <c r="C74" s="159"/>
      <c r="D74" s="165" t="s">
        <v>285</v>
      </c>
      <c r="E74" s="162">
        <v>26299</v>
      </c>
      <c r="F74" s="166" t="str">
        <f t="shared" si="1"/>
        <v>Date check - OK</v>
      </c>
      <c r="G74" s="68"/>
      <c r="H74" s="162" t="s">
        <v>279</v>
      </c>
      <c r="I74" s="173">
        <v>8793.8848904043734</v>
      </c>
      <c r="J74" s="168">
        <f>IFERROR(MIN('MP Calculations'!$E$30/I74,1),"-")</f>
        <v>0.89877153183870317</v>
      </c>
      <c r="K74" s="12"/>
      <c r="L74" s="159">
        <v>0.201435</v>
      </c>
      <c r="M74" s="187" t="s">
        <v>301</v>
      </c>
      <c r="N74" s="187">
        <v>83.712143999999995</v>
      </c>
      <c r="O74" s="186">
        <f t="shared" si="2"/>
        <v>16.86255572664</v>
      </c>
      <c r="P74" s="186">
        <f t="shared" si="3"/>
        <v>15.155585041147729</v>
      </c>
      <c r="Q74" s="215">
        <f>IF(P74="-",0,P74/(1+'General inputs'!$H$30)^'MP Calculations'!$C$40)</f>
        <v>33.664934424884962</v>
      </c>
    </row>
    <row r="75" spans="3:17" x14ac:dyDescent="0.25">
      <c r="C75" s="159"/>
      <c r="D75" s="165" t="s">
        <v>286</v>
      </c>
      <c r="E75" s="162">
        <v>26480</v>
      </c>
      <c r="F75" s="166" t="str">
        <f t="shared" si="1"/>
        <v>Date check - OK</v>
      </c>
      <c r="G75" s="68"/>
      <c r="H75" s="162" t="s">
        <v>279</v>
      </c>
      <c r="I75" s="173">
        <v>8793.8848904043734</v>
      </c>
      <c r="J75" s="168">
        <f>IFERROR(MIN('MP Calculations'!$E$30/I75,1),"-")</f>
        <v>0.89877153183870317</v>
      </c>
      <c r="K75" s="12"/>
      <c r="L75" s="159">
        <v>1</v>
      </c>
      <c r="M75" s="187" t="s">
        <v>302</v>
      </c>
      <c r="N75" s="187">
        <v>0</v>
      </c>
      <c r="O75" s="186">
        <f t="shared" si="2"/>
        <v>0</v>
      </c>
      <c r="P75" s="186">
        <f t="shared" si="3"/>
        <v>0</v>
      </c>
      <c r="Q75" s="215">
        <f>IF(P75="-",0,P75/(1+'General inputs'!$H$30)^'MP Calculations'!$C$40)</f>
        <v>0</v>
      </c>
    </row>
    <row r="76" spans="3:17" x14ac:dyDescent="0.25">
      <c r="C76" s="159"/>
      <c r="D76" s="165" t="s">
        <v>287</v>
      </c>
      <c r="E76" s="162">
        <v>26480</v>
      </c>
      <c r="F76" s="166" t="str">
        <f t="shared" si="1"/>
        <v>Date check - OK</v>
      </c>
      <c r="G76" s="68"/>
      <c r="H76" s="162" t="s">
        <v>279</v>
      </c>
      <c r="I76" s="173">
        <v>8793.8848904043734</v>
      </c>
      <c r="J76" s="168">
        <f>IFERROR(MIN('MP Calculations'!$E$30/I76,1),"-")</f>
        <v>0.89877153183870317</v>
      </c>
      <c r="K76" s="12"/>
      <c r="L76" s="159">
        <v>1</v>
      </c>
      <c r="M76" s="187" t="s">
        <v>302</v>
      </c>
      <c r="N76" s="187">
        <v>0</v>
      </c>
      <c r="O76" s="186">
        <f t="shared" si="2"/>
        <v>0</v>
      </c>
      <c r="P76" s="186">
        <f t="shared" si="3"/>
        <v>0</v>
      </c>
      <c r="Q76" s="215">
        <f>IF(P76="-",0,P76/(1+'General inputs'!$H$30)^'MP Calculations'!$C$40)</f>
        <v>0</v>
      </c>
    </row>
    <row r="77" spans="3:17" x14ac:dyDescent="0.25">
      <c r="C77" s="159"/>
      <c r="D77" s="165" t="s">
        <v>288</v>
      </c>
      <c r="E77" s="162">
        <v>26480</v>
      </c>
      <c r="F77" s="166" t="str">
        <f t="shared" si="1"/>
        <v>Date check - OK</v>
      </c>
      <c r="G77" s="68"/>
      <c r="H77" s="162" t="s">
        <v>279</v>
      </c>
      <c r="I77" s="173">
        <v>8793.8848904043734</v>
      </c>
      <c r="J77" s="168">
        <f>IFERROR(MIN('MP Calculations'!$E$30/I77,1),"-")</f>
        <v>0.89877153183870317</v>
      </c>
      <c r="K77" s="12"/>
      <c r="L77" s="159">
        <v>1</v>
      </c>
      <c r="M77" s="187" t="s">
        <v>302</v>
      </c>
      <c r="N77" s="187">
        <v>0</v>
      </c>
      <c r="O77" s="186">
        <f t="shared" si="2"/>
        <v>0</v>
      </c>
      <c r="P77" s="186">
        <f t="shared" si="3"/>
        <v>0</v>
      </c>
      <c r="Q77" s="215">
        <f>IF(P77="-",0,P77/(1+'General inputs'!$H$30)^'MP Calculations'!$C$40)</f>
        <v>0</v>
      </c>
    </row>
    <row r="78" spans="3:17" x14ac:dyDescent="0.25">
      <c r="C78" s="159"/>
      <c r="D78" s="165" t="s">
        <v>289</v>
      </c>
      <c r="E78" s="162">
        <v>26480</v>
      </c>
      <c r="F78" s="166" t="str">
        <f t="shared" si="1"/>
        <v>Date check - OK</v>
      </c>
      <c r="G78" s="68"/>
      <c r="H78" s="162" t="s">
        <v>279</v>
      </c>
      <c r="I78" s="173">
        <v>8793.8848904043734</v>
      </c>
      <c r="J78" s="168">
        <f>IFERROR(MIN('MP Calculations'!$E$30/I78,1),"-")</f>
        <v>0.89877153183870317</v>
      </c>
      <c r="K78" s="12"/>
      <c r="L78" s="159">
        <v>1</v>
      </c>
      <c r="M78" s="187" t="s">
        <v>302</v>
      </c>
      <c r="N78" s="187">
        <v>0</v>
      </c>
      <c r="O78" s="186">
        <f t="shared" si="2"/>
        <v>0</v>
      </c>
      <c r="P78" s="186">
        <f t="shared" si="3"/>
        <v>0</v>
      </c>
      <c r="Q78" s="215">
        <f>IF(P78="-",0,P78/(1+'General inputs'!$H$30)^'MP Calculations'!$C$40)</f>
        <v>0</v>
      </c>
    </row>
    <row r="79" spans="3:17" x14ac:dyDescent="0.25">
      <c r="C79" s="159"/>
      <c r="D79" s="165" t="s">
        <v>283</v>
      </c>
      <c r="E79" s="162">
        <v>26665</v>
      </c>
      <c r="F79" s="166" t="str">
        <f t="shared" si="1"/>
        <v>Date check - OK</v>
      </c>
      <c r="G79" s="68"/>
      <c r="H79" s="162" t="s">
        <v>279</v>
      </c>
      <c r="I79" s="173">
        <v>8793.8848904043734</v>
      </c>
      <c r="J79" s="168">
        <f>IFERROR(MIN('MP Calculations'!$E$30/I79,1),"-")</f>
        <v>0.89877153183870317</v>
      </c>
      <c r="K79" s="12"/>
      <c r="L79" s="159">
        <v>10.849572999999999</v>
      </c>
      <c r="M79" s="187" t="s">
        <v>301</v>
      </c>
      <c r="N79" s="187">
        <v>657.22938499999998</v>
      </c>
      <c r="O79" s="186">
        <f t="shared" si="2"/>
        <v>7130.6581903026045</v>
      </c>
      <c r="P79" s="186">
        <f t="shared" si="3"/>
        <v>6408.832584716467</v>
      </c>
      <c r="Q79" s="215">
        <f>IF(P79="-",0,P79/(1+'General inputs'!$H$30)^'MP Calculations'!$C$40)</f>
        <v>14235.869358970451</v>
      </c>
    </row>
    <row r="80" spans="3:17" x14ac:dyDescent="0.25">
      <c r="C80" s="159"/>
      <c r="D80" s="165" t="s">
        <v>290</v>
      </c>
      <c r="E80" s="162">
        <v>26665</v>
      </c>
      <c r="F80" s="166" t="str">
        <f t="shared" si="1"/>
        <v>Date check - OK</v>
      </c>
      <c r="G80" s="68"/>
      <c r="H80" s="162" t="s">
        <v>279</v>
      </c>
      <c r="I80" s="173">
        <v>8793.8848904043734</v>
      </c>
      <c r="J80" s="168">
        <f>IFERROR(MIN('MP Calculations'!$E$30/I80,1),"-")</f>
        <v>0.89877153183870317</v>
      </c>
      <c r="K80" s="12"/>
      <c r="L80" s="159">
        <v>805.06100900000001</v>
      </c>
      <c r="M80" s="187" t="s">
        <v>301</v>
      </c>
      <c r="N80" s="187">
        <v>219.07646199999999</v>
      </c>
      <c r="O80" s="186">
        <f t="shared" si="2"/>
        <v>176369.91754587015</v>
      </c>
      <c r="P80" s="186">
        <f t="shared" si="3"/>
        <v>158516.2609629675</v>
      </c>
      <c r="Q80" s="215">
        <f>IF(P80="-",0,P80/(1+'General inputs'!$H$30)^'MP Calculations'!$C$40)</f>
        <v>352110.42768112937</v>
      </c>
    </row>
    <row r="81" spans="3:17" x14ac:dyDescent="0.25">
      <c r="C81" s="159"/>
      <c r="D81" s="165" t="s">
        <v>290</v>
      </c>
      <c r="E81" s="162">
        <v>26665</v>
      </c>
      <c r="F81" s="166" t="str">
        <f t="shared" si="1"/>
        <v>Date check - OK</v>
      </c>
      <c r="G81" s="68"/>
      <c r="H81" s="162" t="s">
        <v>279</v>
      </c>
      <c r="I81" s="173">
        <v>8793.8848904043734</v>
      </c>
      <c r="J81" s="168">
        <f>IFERROR(MIN('MP Calculations'!$E$30/I81,1),"-")</f>
        <v>0.89877153183870317</v>
      </c>
      <c r="K81" s="12"/>
      <c r="L81" s="159">
        <v>29.646007000000001</v>
      </c>
      <c r="M81" s="187" t="s">
        <v>301</v>
      </c>
      <c r="N81" s="187">
        <v>219.07646199999999</v>
      </c>
      <c r="O81" s="186">
        <f t="shared" si="2"/>
        <v>6494.7423259872339</v>
      </c>
      <c r="P81" s="186">
        <f t="shared" si="3"/>
        <v>5837.2895092252083</v>
      </c>
      <c r="Q81" s="215">
        <f>IF(P81="-",0,P81/(1+'General inputs'!$H$30)^'MP Calculations'!$C$40)</f>
        <v>12966.307009171964</v>
      </c>
    </row>
    <row r="82" spans="3:17" x14ac:dyDescent="0.25">
      <c r="C82" s="159"/>
      <c r="D82" s="165" t="s">
        <v>290</v>
      </c>
      <c r="E82" s="162">
        <v>26665</v>
      </c>
      <c r="F82" s="166" t="str">
        <f t="shared" si="1"/>
        <v>Date check - OK</v>
      </c>
      <c r="G82" s="68"/>
      <c r="H82" s="162" t="s">
        <v>279</v>
      </c>
      <c r="I82" s="173">
        <v>8793.8848904043734</v>
      </c>
      <c r="J82" s="168">
        <f>IFERROR(MIN('MP Calculations'!$E$30/I82,1),"-")</f>
        <v>0.89877153183870317</v>
      </c>
      <c r="K82" s="12"/>
      <c r="L82" s="159">
        <v>19.368957000000002</v>
      </c>
      <c r="M82" s="187" t="s">
        <v>301</v>
      </c>
      <c r="N82" s="187">
        <v>219.07646199999999</v>
      </c>
      <c r="O82" s="186">
        <f t="shared" si="2"/>
        <v>4243.2825721901345</v>
      </c>
      <c r="P82" s="186">
        <f t="shared" si="3"/>
        <v>3813.7415774317997</v>
      </c>
      <c r="Q82" s="215">
        <f>IF(P82="-",0,P82/(1+'General inputs'!$H$30)^'MP Calculations'!$C$40)</f>
        <v>8471.4222360350395</v>
      </c>
    </row>
    <row r="83" spans="3:17" x14ac:dyDescent="0.25">
      <c r="C83" s="159"/>
      <c r="D83" s="165" t="s">
        <v>290</v>
      </c>
      <c r="E83" s="162">
        <v>26665</v>
      </c>
      <c r="F83" s="166" t="str">
        <f t="shared" si="1"/>
        <v>Date check - OK</v>
      </c>
      <c r="G83" s="68"/>
      <c r="H83" s="162" t="s">
        <v>279</v>
      </c>
      <c r="I83" s="173">
        <v>8793.8848904043734</v>
      </c>
      <c r="J83" s="168">
        <f>IFERROR(MIN('MP Calculations'!$E$30/I83,1),"-")</f>
        <v>0.89877153183870317</v>
      </c>
      <c r="K83" s="12"/>
      <c r="L83" s="159">
        <v>15.000003</v>
      </c>
      <c r="M83" s="187" t="s">
        <v>301</v>
      </c>
      <c r="N83" s="187">
        <v>219.07646199999999</v>
      </c>
      <c r="O83" s="186">
        <f t="shared" si="2"/>
        <v>3286.1475872293859</v>
      </c>
      <c r="P83" s="186">
        <f t="shared" si="3"/>
        <v>2953.4959008222136</v>
      </c>
      <c r="Q83" s="215">
        <f>IF(P83="-",0,P83/(1+'General inputs'!$H$30)^'MP Calculations'!$C$40)</f>
        <v>6560.5679724929059</v>
      </c>
    </row>
    <row r="84" spans="3:17" x14ac:dyDescent="0.25">
      <c r="C84" s="159"/>
      <c r="D84" s="165" t="s">
        <v>291</v>
      </c>
      <c r="E84" s="162">
        <v>26665</v>
      </c>
      <c r="F84" s="166" t="str">
        <f t="shared" si="1"/>
        <v>Date check - OK</v>
      </c>
      <c r="G84" s="68"/>
      <c r="H84" s="162" t="s">
        <v>279</v>
      </c>
      <c r="I84" s="173">
        <v>8793.8848904043734</v>
      </c>
      <c r="J84" s="168">
        <f>IFERROR(MIN('MP Calculations'!$E$30/I84,1),"-")</f>
        <v>0.89877153183870317</v>
      </c>
      <c r="K84" s="12"/>
      <c r="L84" s="159">
        <v>1.4911110000000001</v>
      </c>
      <c r="M84" s="187" t="s">
        <v>301</v>
      </c>
      <c r="N84" s="187">
        <v>178.11094499999999</v>
      </c>
      <c r="O84" s="186">
        <f t="shared" si="2"/>
        <v>265.58318930989498</v>
      </c>
      <c r="P84" s="186">
        <f t="shared" si="3"/>
        <v>238.69860988666261</v>
      </c>
      <c r="Q84" s="215">
        <f>IF(P84="-",0,P84/(1+'General inputs'!$H$30)^'MP Calculations'!$C$40)</f>
        <v>530.21859778612327</v>
      </c>
    </row>
    <row r="85" spans="3:17" x14ac:dyDescent="0.25">
      <c r="C85" s="159"/>
      <c r="D85" s="165" t="s">
        <v>291</v>
      </c>
      <c r="E85" s="162">
        <v>26665</v>
      </c>
      <c r="F85" s="166" t="str">
        <f t="shared" si="1"/>
        <v>Date check - OK</v>
      </c>
      <c r="G85" s="68"/>
      <c r="H85" s="162" t="s">
        <v>279</v>
      </c>
      <c r="I85" s="173">
        <v>8793.8848904043734</v>
      </c>
      <c r="J85" s="168">
        <f>IFERROR(MIN('MP Calculations'!$E$30/I85,1),"-")</f>
        <v>0.89877153183870317</v>
      </c>
      <c r="K85" s="12"/>
      <c r="L85" s="159">
        <v>1.733439</v>
      </c>
      <c r="M85" s="187" t="s">
        <v>301</v>
      </c>
      <c r="N85" s="187">
        <v>178.11094499999999</v>
      </c>
      <c r="O85" s="186">
        <f t="shared" si="2"/>
        <v>308.74445838985497</v>
      </c>
      <c r="P85" s="186">
        <f t="shared" si="3"/>
        <v>277.49072981376071</v>
      </c>
      <c r="Q85" s="215">
        <f>IF(P85="-",0,P85/(1+'General inputs'!$H$30)^'MP Calculations'!$C$40)</f>
        <v>616.38710728294518</v>
      </c>
    </row>
    <row r="86" spans="3:17" x14ac:dyDescent="0.25">
      <c r="C86" s="159"/>
      <c r="D86" s="165" t="s">
        <v>291</v>
      </c>
      <c r="E86" s="162">
        <v>26665</v>
      </c>
      <c r="F86" s="166" t="str">
        <f t="shared" si="1"/>
        <v>Date check - OK</v>
      </c>
      <c r="G86" s="68"/>
      <c r="H86" s="162" t="s">
        <v>279</v>
      </c>
      <c r="I86" s="173">
        <v>8793.8848904043734</v>
      </c>
      <c r="J86" s="168">
        <f>IFERROR(MIN('MP Calculations'!$E$30/I86,1),"-")</f>
        <v>0.89877153183870317</v>
      </c>
      <c r="K86" s="12"/>
      <c r="L86" s="159">
        <v>5.5862090000000002</v>
      </c>
      <c r="M86" s="187" t="s">
        <v>301</v>
      </c>
      <c r="N86" s="187">
        <v>178.11094499999999</v>
      </c>
      <c r="O86" s="186">
        <f t="shared" si="2"/>
        <v>994.96496395750501</v>
      </c>
      <c r="P86" s="186">
        <f t="shared" si="3"/>
        <v>894.2461847819269</v>
      </c>
      <c r="Q86" s="215">
        <f>IF(P86="-",0,P86/(1+'General inputs'!$H$30)^'MP Calculations'!$C$40)</f>
        <v>1986.379218529152</v>
      </c>
    </row>
    <row r="87" spans="3:17" x14ac:dyDescent="0.25">
      <c r="C87" s="159"/>
      <c r="D87" s="165" t="s">
        <v>291</v>
      </c>
      <c r="E87" s="162">
        <v>26665</v>
      </c>
      <c r="F87" s="166" t="str">
        <f t="shared" ref="F87:F150" si="4">IF(E87="","-",IF(OR(E87&lt;$E$15,E87&gt;$E$16),"ERROR - date outside of range","Date check - OK"))</f>
        <v>Date check - OK</v>
      </c>
      <c r="G87" s="68"/>
      <c r="H87" s="162" t="s">
        <v>279</v>
      </c>
      <c r="I87" s="173">
        <v>8793.8848904043734</v>
      </c>
      <c r="J87" s="168">
        <f>IFERROR(MIN('MP Calculations'!$E$30/I87,1),"-")</f>
        <v>0.89877153183870317</v>
      </c>
      <c r="K87" s="12"/>
      <c r="L87" s="159">
        <v>5.6393659999999999</v>
      </c>
      <c r="M87" s="187" t="s">
        <v>301</v>
      </c>
      <c r="N87" s="187">
        <v>178.11094499999999</v>
      </c>
      <c r="O87" s="186">
        <f t="shared" ref="O87:O150" si="5">IF(N87="","-",L87*N87)</f>
        <v>1004.4328074608699</v>
      </c>
      <c r="P87" s="186">
        <f t="shared" ref="P87:P150" si="6">IF(O87="-","-",IF(OR(E87&lt;$E$15,E87&gt;$E$16),0,O87*J87))</f>
        <v>902.75561299065521</v>
      </c>
      <c r="Q87" s="215">
        <f>IF(P87="-",0,P87/(1+'General inputs'!$H$30)^'MP Calculations'!$C$40)</f>
        <v>2005.2811178528887</v>
      </c>
    </row>
    <row r="88" spans="3:17" x14ac:dyDescent="0.25">
      <c r="C88" s="159"/>
      <c r="D88" s="165" t="s">
        <v>290</v>
      </c>
      <c r="E88" s="162">
        <v>26665</v>
      </c>
      <c r="F88" s="166" t="str">
        <f t="shared" si="4"/>
        <v>Date check - OK</v>
      </c>
      <c r="G88" s="68"/>
      <c r="H88" s="162" t="s">
        <v>279</v>
      </c>
      <c r="I88" s="173">
        <v>8793.8848904043734</v>
      </c>
      <c r="J88" s="168">
        <f>IFERROR(MIN('MP Calculations'!$E$30/I88,1),"-")</f>
        <v>0.89877153183870317</v>
      </c>
      <c r="K88" s="12"/>
      <c r="L88" s="159">
        <v>44.718010999999997</v>
      </c>
      <c r="M88" s="187" t="s">
        <v>301</v>
      </c>
      <c r="N88" s="187">
        <v>219.07646199999999</v>
      </c>
      <c r="O88" s="186">
        <f t="shared" si="5"/>
        <v>9796.6636375570815</v>
      </c>
      <c r="P88" s="186">
        <f t="shared" si="6"/>
        <v>8804.9623844356993</v>
      </c>
      <c r="Q88" s="215">
        <f>IF(P88="-",0,P88/(1+'General inputs'!$H$30)^'MP Calculations'!$C$40)</f>
        <v>19558.366139005801</v>
      </c>
    </row>
    <row r="89" spans="3:17" x14ac:dyDescent="0.25">
      <c r="C89" s="159"/>
      <c r="D89" s="165" t="s">
        <v>291</v>
      </c>
      <c r="E89" s="162">
        <v>26665</v>
      </c>
      <c r="F89" s="166" t="str">
        <f t="shared" si="4"/>
        <v>Date check - OK</v>
      </c>
      <c r="G89" s="68"/>
      <c r="H89" s="162" t="s">
        <v>279</v>
      </c>
      <c r="I89" s="173">
        <v>8793.8848904043734</v>
      </c>
      <c r="J89" s="168">
        <f>IFERROR(MIN('MP Calculations'!$E$30/I89,1),"-")</f>
        <v>0.89877153183870317</v>
      </c>
      <c r="K89" s="12"/>
      <c r="L89" s="159">
        <v>0.98660499999999995</v>
      </c>
      <c r="M89" s="187" t="s">
        <v>301</v>
      </c>
      <c r="N89" s="187">
        <v>178.11094499999999</v>
      </c>
      <c r="O89" s="186">
        <f t="shared" si="5"/>
        <v>175.72514889172498</v>
      </c>
      <c r="P89" s="186">
        <f t="shared" si="6"/>
        <v>157.93676125199985</v>
      </c>
      <c r="Q89" s="215">
        <f>IF(P89="-",0,P89/(1+'General inputs'!$H$30)^'MP Calculations'!$C$40)</f>
        <v>350.82319134442582</v>
      </c>
    </row>
    <row r="90" spans="3:17" x14ac:dyDescent="0.25">
      <c r="C90" s="159"/>
      <c r="D90" s="165" t="s">
        <v>291</v>
      </c>
      <c r="E90" s="162">
        <v>26665</v>
      </c>
      <c r="F90" s="166" t="str">
        <f t="shared" si="4"/>
        <v>Date check - OK</v>
      </c>
      <c r="G90" s="68"/>
      <c r="H90" s="162" t="s">
        <v>279</v>
      </c>
      <c r="I90" s="173">
        <v>8793.8848904043734</v>
      </c>
      <c r="J90" s="168">
        <f>IFERROR(MIN('MP Calculations'!$E$30/I90,1),"-")</f>
        <v>0.89877153183870317</v>
      </c>
      <c r="K90" s="12"/>
      <c r="L90" s="159">
        <v>0.97570500000000004</v>
      </c>
      <c r="M90" s="187" t="s">
        <v>301</v>
      </c>
      <c r="N90" s="187">
        <v>178.11094499999999</v>
      </c>
      <c r="O90" s="186">
        <f t="shared" si="5"/>
        <v>173.78373959122499</v>
      </c>
      <c r="P90" s="186">
        <f t="shared" si="6"/>
        <v>156.19187784106356</v>
      </c>
      <c r="Q90" s="215">
        <f>IF(P90="-",0,P90/(1+'General inputs'!$H$30)^'MP Calculations'!$C$40)</f>
        <v>346.9473010077113</v>
      </c>
    </row>
    <row r="91" spans="3:17" x14ac:dyDescent="0.25">
      <c r="C91" s="159"/>
      <c r="D91" s="165" t="s">
        <v>290</v>
      </c>
      <c r="E91" s="162">
        <v>32874</v>
      </c>
      <c r="F91" s="166" t="str">
        <f t="shared" si="4"/>
        <v>Date check - OK</v>
      </c>
      <c r="G91" s="68"/>
      <c r="H91" s="162" t="s">
        <v>279</v>
      </c>
      <c r="I91" s="173">
        <v>8793.8848904043734</v>
      </c>
      <c r="J91" s="168">
        <f>IFERROR(MIN('MP Calculations'!$E$30/I91,1),"-")</f>
        <v>0.89877153183870317</v>
      </c>
      <c r="K91" s="12"/>
      <c r="L91" s="159">
        <v>791.460376</v>
      </c>
      <c r="M91" s="187" t="s">
        <v>301</v>
      </c>
      <c r="N91" s="187">
        <v>219.07646199999999</v>
      </c>
      <c r="O91" s="186">
        <f t="shared" si="5"/>
        <v>173390.3389872697</v>
      </c>
      <c r="P91" s="186">
        <f t="shared" si="6"/>
        <v>155838.30057762039</v>
      </c>
      <c r="Q91" s="215">
        <f>IF(P91="-",0,P91/(1+'General inputs'!$H$30)^'MP Calculations'!$C$40)</f>
        <v>346161.90371980541</v>
      </c>
    </row>
    <row r="92" spans="3:17" x14ac:dyDescent="0.25">
      <c r="C92" s="159"/>
      <c r="D92" s="165" t="s">
        <v>290</v>
      </c>
      <c r="E92" s="162">
        <v>32874</v>
      </c>
      <c r="F92" s="166" t="str">
        <f t="shared" si="4"/>
        <v>Date check - OK</v>
      </c>
      <c r="G92" s="68"/>
      <c r="H92" s="162" t="s">
        <v>279</v>
      </c>
      <c r="I92" s="173">
        <v>8793.8848904043734</v>
      </c>
      <c r="J92" s="168">
        <f>IFERROR(MIN('MP Calculations'!$E$30/I92,1),"-")</f>
        <v>0.89877153183870317</v>
      </c>
      <c r="K92" s="12"/>
      <c r="L92" s="159">
        <v>17.018280000000001</v>
      </c>
      <c r="M92" s="187" t="s">
        <v>301</v>
      </c>
      <c r="N92" s="187">
        <v>219.07646199999999</v>
      </c>
      <c r="O92" s="186">
        <f t="shared" si="5"/>
        <v>3728.3045717253599</v>
      </c>
      <c r="P92" s="186">
        <f t="shared" si="6"/>
        <v>3350.894011090842</v>
      </c>
      <c r="Q92" s="215">
        <f>IF(P92="-",0,P92/(1+'General inputs'!$H$30)^'MP Calculations'!$C$40)</f>
        <v>7443.3040256669665</v>
      </c>
    </row>
    <row r="93" spans="3:17" x14ac:dyDescent="0.25">
      <c r="C93" s="159"/>
      <c r="D93" s="165" t="s">
        <v>290</v>
      </c>
      <c r="E93" s="162">
        <v>32874</v>
      </c>
      <c r="F93" s="166" t="str">
        <f t="shared" si="4"/>
        <v>Date check - OK</v>
      </c>
      <c r="G93" s="68"/>
      <c r="H93" s="162" t="s">
        <v>279</v>
      </c>
      <c r="I93" s="173">
        <v>8793.8848904043734</v>
      </c>
      <c r="J93" s="168">
        <f>IFERROR(MIN('MP Calculations'!$E$30/I93,1),"-")</f>
        <v>0.89877153183870317</v>
      </c>
      <c r="K93" s="12"/>
      <c r="L93" s="159">
        <v>15.340975</v>
      </c>
      <c r="M93" s="187" t="s">
        <v>301</v>
      </c>
      <c r="N93" s="187">
        <v>219.07646199999999</v>
      </c>
      <c r="O93" s="186">
        <f t="shared" si="5"/>
        <v>3360.8465266304497</v>
      </c>
      <c r="P93" s="186">
        <f t="shared" si="6"/>
        <v>3020.6331810144343</v>
      </c>
      <c r="Q93" s="215">
        <f>IF(P93="-",0,P93/(1+'General inputs'!$H$30)^'MP Calculations'!$C$40)</f>
        <v>6709.6992748477687</v>
      </c>
    </row>
    <row r="94" spans="3:17" x14ac:dyDescent="0.25">
      <c r="C94" s="159"/>
      <c r="D94" s="165" t="s">
        <v>290</v>
      </c>
      <c r="E94" s="162">
        <v>32874</v>
      </c>
      <c r="F94" s="166" t="str">
        <f t="shared" si="4"/>
        <v>Date check - OK</v>
      </c>
      <c r="G94" s="68"/>
      <c r="H94" s="162" t="s">
        <v>279</v>
      </c>
      <c r="I94" s="173">
        <v>8793.8848904043734</v>
      </c>
      <c r="J94" s="168">
        <f>IFERROR(MIN('MP Calculations'!$E$30/I94,1),"-")</f>
        <v>0.89877153183870317</v>
      </c>
      <c r="K94" s="12"/>
      <c r="L94" s="159">
        <v>11.269513999999999</v>
      </c>
      <c r="M94" s="187" t="s">
        <v>301</v>
      </c>
      <c r="N94" s="187">
        <v>219.07646199999999</v>
      </c>
      <c r="O94" s="186">
        <f t="shared" si="5"/>
        <v>2468.8852555794679</v>
      </c>
      <c r="P94" s="186">
        <f t="shared" si="6"/>
        <v>2218.9637830911465</v>
      </c>
      <c r="Q94" s="215">
        <f>IF(P94="-",0,P94/(1+'General inputs'!$H$30)^'MP Calculations'!$C$40)</f>
        <v>4928.9598551387235</v>
      </c>
    </row>
    <row r="95" spans="3:17" x14ac:dyDescent="0.25">
      <c r="C95" s="159"/>
      <c r="D95" s="165" t="s">
        <v>290</v>
      </c>
      <c r="E95" s="162">
        <v>32874</v>
      </c>
      <c r="F95" s="166" t="str">
        <f t="shared" si="4"/>
        <v>Date check - OK</v>
      </c>
      <c r="G95" s="68"/>
      <c r="H95" s="162" t="s">
        <v>279</v>
      </c>
      <c r="I95" s="173">
        <v>8793.8848904043734</v>
      </c>
      <c r="J95" s="168">
        <f>IFERROR(MIN('MP Calculations'!$E$30/I95,1),"-")</f>
        <v>0.89877153183870317</v>
      </c>
      <c r="K95" s="12"/>
      <c r="L95" s="159">
        <v>1.4503680000000001</v>
      </c>
      <c r="M95" s="187" t="s">
        <v>301</v>
      </c>
      <c r="N95" s="187">
        <v>219.07646199999999</v>
      </c>
      <c r="O95" s="186">
        <f t="shared" si="5"/>
        <v>317.74149003801602</v>
      </c>
      <c r="P95" s="186">
        <f t="shared" si="6"/>
        <v>285.57700573017974</v>
      </c>
      <c r="Q95" s="215">
        <f>IF(P95="-",0,P95/(1+'General inputs'!$H$30)^'MP Calculations'!$C$40)</f>
        <v>634.3490630720936</v>
      </c>
    </row>
    <row r="96" spans="3:17" x14ac:dyDescent="0.25">
      <c r="C96" s="159"/>
      <c r="D96" s="165" t="s">
        <v>290</v>
      </c>
      <c r="E96" s="162">
        <v>32874</v>
      </c>
      <c r="F96" s="166" t="str">
        <f t="shared" si="4"/>
        <v>Date check - OK</v>
      </c>
      <c r="G96" s="68"/>
      <c r="H96" s="162" t="s">
        <v>279</v>
      </c>
      <c r="I96" s="173">
        <v>8793.8848904043734</v>
      </c>
      <c r="J96" s="168">
        <f>IFERROR(MIN('MP Calculations'!$E$30/I96,1),"-")</f>
        <v>0.89877153183870317</v>
      </c>
      <c r="K96" s="12"/>
      <c r="L96" s="159">
        <v>155.767899</v>
      </c>
      <c r="M96" s="187" t="s">
        <v>301</v>
      </c>
      <c r="N96" s="187">
        <v>219.07646199999999</v>
      </c>
      <c r="O96" s="186">
        <f t="shared" si="5"/>
        <v>34125.080206093335</v>
      </c>
      <c r="P96" s="186">
        <f t="shared" si="6"/>
        <v>30670.650610949117</v>
      </c>
      <c r="Q96" s="215">
        <f>IF(P96="-",0,P96/(1+'General inputs'!$H$30)^'MP Calculations'!$C$40)</f>
        <v>68128.378995784849</v>
      </c>
    </row>
    <row r="97" spans="3:17" x14ac:dyDescent="0.25">
      <c r="C97" s="159"/>
      <c r="D97" s="165" t="s">
        <v>290</v>
      </c>
      <c r="E97" s="162">
        <v>32874</v>
      </c>
      <c r="F97" s="166" t="str">
        <f t="shared" si="4"/>
        <v>Date check - OK</v>
      </c>
      <c r="G97" s="68"/>
      <c r="H97" s="162" t="s">
        <v>279</v>
      </c>
      <c r="I97" s="173">
        <v>8793.8848904043734</v>
      </c>
      <c r="J97" s="168">
        <f>IFERROR(MIN('MP Calculations'!$E$30/I97,1),"-")</f>
        <v>0.89877153183870317</v>
      </c>
      <c r="K97" s="12"/>
      <c r="L97" s="159">
        <v>2.6262279999999998</v>
      </c>
      <c r="M97" s="187" t="s">
        <v>301</v>
      </c>
      <c r="N97" s="187">
        <v>219.07646199999999</v>
      </c>
      <c r="O97" s="186">
        <f t="shared" si="5"/>
        <v>575.34473864533595</v>
      </c>
      <c r="P97" s="186">
        <f t="shared" si="6"/>
        <v>517.10347208760697</v>
      </c>
      <c r="Q97" s="215">
        <f>IF(P97="-",0,P97/(1+'General inputs'!$H$30)^'MP Calculations'!$C$40)</f>
        <v>1148.6362572903552</v>
      </c>
    </row>
    <row r="98" spans="3:17" x14ac:dyDescent="0.25">
      <c r="C98" s="159"/>
      <c r="D98" s="165" t="s">
        <v>290</v>
      </c>
      <c r="E98" s="162">
        <v>32874</v>
      </c>
      <c r="F98" s="166" t="str">
        <f t="shared" si="4"/>
        <v>Date check - OK</v>
      </c>
      <c r="G98" s="68"/>
      <c r="H98" s="162" t="s">
        <v>279</v>
      </c>
      <c r="I98" s="173">
        <v>8793.8848904043734</v>
      </c>
      <c r="J98" s="168">
        <f>IFERROR(MIN('MP Calculations'!$E$30/I98,1),"-")</f>
        <v>0.89877153183870317</v>
      </c>
      <c r="K98" s="12"/>
      <c r="L98" s="159">
        <v>2.8895940000000002</v>
      </c>
      <c r="M98" s="187" t="s">
        <v>301</v>
      </c>
      <c r="N98" s="187">
        <v>219.07646199999999</v>
      </c>
      <c r="O98" s="186">
        <f t="shared" si="5"/>
        <v>633.04203013642802</v>
      </c>
      <c r="P98" s="186">
        <f t="shared" si="6"/>
        <v>568.96015514399994</v>
      </c>
      <c r="Q98" s="215">
        <f>IF(P98="-",0,P98/(1+'General inputs'!$H$30)^'MP Calculations'!$C$40)</f>
        <v>1263.8249372288572</v>
      </c>
    </row>
    <row r="99" spans="3:17" x14ac:dyDescent="0.25">
      <c r="C99" s="159"/>
      <c r="D99" s="165" t="s">
        <v>290</v>
      </c>
      <c r="E99" s="162">
        <v>32874</v>
      </c>
      <c r="F99" s="166" t="str">
        <f t="shared" si="4"/>
        <v>Date check - OK</v>
      </c>
      <c r="G99" s="68"/>
      <c r="H99" s="162" t="s">
        <v>279</v>
      </c>
      <c r="I99" s="173">
        <v>8793.8848904043734</v>
      </c>
      <c r="J99" s="168">
        <f>IFERROR(MIN('MP Calculations'!$E$30/I99,1),"-")</f>
        <v>0.89877153183870317</v>
      </c>
      <c r="K99" s="12"/>
      <c r="L99" s="159">
        <v>0.52223799999999998</v>
      </c>
      <c r="M99" s="187" t="s">
        <v>301</v>
      </c>
      <c r="N99" s="187">
        <v>219.07646199999999</v>
      </c>
      <c r="O99" s="186">
        <f t="shared" si="5"/>
        <v>114.41005336195599</v>
      </c>
      <c r="P99" s="186">
        <f t="shared" si="6"/>
        <v>102.82849891787295</v>
      </c>
      <c r="Q99" s="215">
        <f>IF(P99="-",0,P99/(1+'General inputs'!$H$30)^'MP Calculations'!$C$40)</f>
        <v>228.41181410555382</v>
      </c>
    </row>
    <row r="100" spans="3:17" x14ac:dyDescent="0.25">
      <c r="C100" s="159"/>
      <c r="D100" s="165" t="s">
        <v>290</v>
      </c>
      <c r="E100" s="162">
        <v>32874</v>
      </c>
      <c r="F100" s="166" t="str">
        <f t="shared" si="4"/>
        <v>Date check - OK</v>
      </c>
      <c r="G100" s="68"/>
      <c r="H100" s="162" t="s">
        <v>279</v>
      </c>
      <c r="I100" s="173">
        <v>8793.8848904043734</v>
      </c>
      <c r="J100" s="168">
        <f>IFERROR(MIN('MP Calculations'!$E$30/I100,1),"-")</f>
        <v>0.89877153183870317</v>
      </c>
      <c r="K100" s="12"/>
      <c r="L100" s="159">
        <v>0.51196200000000003</v>
      </c>
      <c r="M100" s="187" t="s">
        <v>301</v>
      </c>
      <c r="N100" s="187">
        <v>219.07646199999999</v>
      </c>
      <c r="O100" s="186">
        <f t="shared" si="5"/>
        <v>112.15882363844401</v>
      </c>
      <c r="P100" s="186">
        <f t="shared" si="6"/>
        <v>100.80515773075128</v>
      </c>
      <c r="Q100" s="215">
        <f>IF(P100="-",0,P100/(1+'General inputs'!$H$30)^'MP Calculations'!$C$40)</f>
        <v>223.91738857208318</v>
      </c>
    </row>
    <row r="101" spans="3:17" x14ac:dyDescent="0.25">
      <c r="C101" s="159"/>
      <c r="D101" s="165" t="s">
        <v>281</v>
      </c>
      <c r="E101" s="162">
        <v>32932</v>
      </c>
      <c r="F101" s="166" t="str">
        <f t="shared" si="4"/>
        <v>Date check - OK</v>
      </c>
      <c r="G101" s="68"/>
      <c r="H101" s="162" t="s">
        <v>279</v>
      </c>
      <c r="I101" s="173">
        <v>8793.8848904043734</v>
      </c>
      <c r="J101" s="168">
        <f>IFERROR(MIN('MP Calculations'!$E$30/I101,1),"-")</f>
        <v>0.89877153183870317</v>
      </c>
      <c r="K101" s="12"/>
      <c r="L101" s="159">
        <v>30.999798999999999</v>
      </c>
      <c r="M101" s="187" t="s">
        <v>301</v>
      </c>
      <c r="N101" s="187">
        <v>480.89954999999998</v>
      </c>
      <c r="O101" s="186">
        <f t="shared" si="5"/>
        <v>14907.78938919045</v>
      </c>
      <c r="P101" s="186">
        <f t="shared" si="6"/>
        <v>13398.696705651466</v>
      </c>
      <c r="Q101" s="215">
        <f>IF(P101="-",0,P101/(1+'General inputs'!$H$30)^'MP Calculations'!$C$40)</f>
        <v>29762.377681232665</v>
      </c>
    </row>
    <row r="102" spans="3:17" x14ac:dyDescent="0.25">
      <c r="C102" s="159"/>
      <c r="D102" s="165" t="s">
        <v>281</v>
      </c>
      <c r="E102" s="162">
        <v>32932</v>
      </c>
      <c r="F102" s="166" t="str">
        <f t="shared" si="4"/>
        <v>Date check - OK</v>
      </c>
      <c r="G102" s="68"/>
      <c r="H102" s="162" t="s">
        <v>279</v>
      </c>
      <c r="I102" s="173">
        <v>8793.8848904043734</v>
      </c>
      <c r="J102" s="168">
        <f>IFERROR(MIN('MP Calculations'!$E$30/I102,1),"-")</f>
        <v>0.89877153183870317</v>
      </c>
      <c r="K102" s="12"/>
      <c r="L102" s="159">
        <v>61.335444000000003</v>
      </c>
      <c r="M102" s="187" t="s">
        <v>301</v>
      </c>
      <c r="N102" s="187">
        <v>480.89954999999998</v>
      </c>
      <c r="O102" s="186">
        <f t="shared" si="5"/>
        <v>29496.187418650199</v>
      </c>
      <c r="P102" s="186">
        <f t="shared" si="6"/>
        <v>26510.333549661722</v>
      </c>
      <c r="Q102" s="215">
        <f>IF(P102="-",0,P102/(1+'General inputs'!$H$30)^'MP Calculations'!$C$40)</f>
        <v>58887.112447861218</v>
      </c>
    </row>
    <row r="103" spans="3:17" x14ac:dyDescent="0.25">
      <c r="C103" s="159"/>
      <c r="D103" s="165" t="s">
        <v>281</v>
      </c>
      <c r="E103" s="162">
        <v>32932</v>
      </c>
      <c r="F103" s="166" t="str">
        <f t="shared" si="4"/>
        <v>Date check - OK</v>
      </c>
      <c r="G103" s="68"/>
      <c r="H103" s="162" t="s">
        <v>279</v>
      </c>
      <c r="I103" s="173">
        <v>8793.8848904043734</v>
      </c>
      <c r="J103" s="168">
        <f>IFERROR(MIN('MP Calculations'!$E$30/I103,1),"-")</f>
        <v>0.89877153183870317</v>
      </c>
      <c r="K103" s="12"/>
      <c r="L103" s="159">
        <v>123.31599799999999</v>
      </c>
      <c r="M103" s="187" t="s">
        <v>301</v>
      </c>
      <c r="N103" s="187">
        <v>480.89954999999998</v>
      </c>
      <c r="O103" s="186">
        <f t="shared" si="5"/>
        <v>59302.607946000891</v>
      </c>
      <c r="P103" s="186">
        <f t="shared" si="6"/>
        <v>53299.495785657273</v>
      </c>
      <c r="Q103" s="215">
        <f>IF(P103="-",0,P103/(1+'General inputs'!$H$30)^'MP Calculations'!$C$40)</f>
        <v>118393.58399111334</v>
      </c>
    </row>
    <row r="104" spans="3:17" x14ac:dyDescent="0.25">
      <c r="C104" s="159"/>
      <c r="D104" s="165" t="s">
        <v>281</v>
      </c>
      <c r="E104" s="162">
        <v>32932</v>
      </c>
      <c r="F104" s="166" t="str">
        <f t="shared" si="4"/>
        <v>Date check - OK</v>
      </c>
      <c r="G104" s="68"/>
      <c r="H104" s="162" t="s">
        <v>279</v>
      </c>
      <c r="I104" s="173">
        <v>8793.8848904043734</v>
      </c>
      <c r="J104" s="168">
        <f>IFERROR(MIN('MP Calculations'!$E$30/I104,1),"-")</f>
        <v>0.89877153183870317</v>
      </c>
      <c r="K104" s="12"/>
      <c r="L104" s="159">
        <v>49.937448000000003</v>
      </c>
      <c r="M104" s="187" t="s">
        <v>301</v>
      </c>
      <c r="N104" s="187">
        <v>480.89954999999998</v>
      </c>
      <c r="O104" s="186">
        <f t="shared" si="5"/>
        <v>24014.8962713484</v>
      </c>
      <c r="P104" s="186">
        <f t="shared" si="6"/>
        <v>21583.905108747364</v>
      </c>
      <c r="Q104" s="215">
        <f>IF(P104="-",0,P104/(1+'General inputs'!$H$30)^'MP Calculations'!$C$40)</f>
        <v>47944.091115330033</v>
      </c>
    </row>
    <row r="105" spans="3:17" x14ac:dyDescent="0.25">
      <c r="C105" s="159"/>
      <c r="D105" s="165" t="s">
        <v>281</v>
      </c>
      <c r="E105" s="162">
        <v>32932</v>
      </c>
      <c r="F105" s="166" t="str">
        <f t="shared" si="4"/>
        <v>Date check - OK</v>
      </c>
      <c r="G105" s="68"/>
      <c r="H105" s="162" t="s">
        <v>279</v>
      </c>
      <c r="I105" s="173">
        <v>8793.8848904043734</v>
      </c>
      <c r="J105" s="168">
        <f>IFERROR(MIN('MP Calculations'!$E$30/I105,1),"-")</f>
        <v>0.89877153183870317</v>
      </c>
      <c r="K105" s="12"/>
      <c r="L105" s="159">
        <v>75.888053999999997</v>
      </c>
      <c r="M105" s="187" t="s">
        <v>301</v>
      </c>
      <c r="N105" s="187">
        <v>480.89954999999998</v>
      </c>
      <c r="O105" s="186">
        <f t="shared" si="5"/>
        <v>36494.5310189757</v>
      </c>
      <c r="P105" s="186">
        <f t="shared" si="6"/>
        <v>32800.245547659862</v>
      </c>
      <c r="Q105" s="215">
        <f>IF(P105="-",0,P105/(1+'General inputs'!$H$30)^'MP Calculations'!$C$40)</f>
        <v>72858.824815018292</v>
      </c>
    </row>
    <row r="106" spans="3:17" x14ac:dyDescent="0.25">
      <c r="C106" s="159"/>
      <c r="D106" s="165" t="s">
        <v>281</v>
      </c>
      <c r="E106" s="162">
        <v>32932</v>
      </c>
      <c r="F106" s="166" t="str">
        <f t="shared" si="4"/>
        <v>Date check - OK</v>
      </c>
      <c r="G106" s="68"/>
      <c r="H106" s="162" t="s">
        <v>279</v>
      </c>
      <c r="I106" s="173">
        <v>8793.8848904043734</v>
      </c>
      <c r="J106" s="168">
        <f>IFERROR(MIN('MP Calculations'!$E$30/I106,1),"-")</f>
        <v>0.89877153183870317</v>
      </c>
      <c r="K106" s="12"/>
      <c r="L106" s="159">
        <v>67.008685</v>
      </c>
      <c r="M106" s="187" t="s">
        <v>301</v>
      </c>
      <c r="N106" s="187">
        <v>480.89954999999998</v>
      </c>
      <c r="O106" s="186">
        <f t="shared" si="5"/>
        <v>32224.44646259175</v>
      </c>
      <c r="P106" s="186">
        <f t="shared" si="6"/>
        <v>28962.415109837868</v>
      </c>
      <c r="Q106" s="215">
        <f>IF(P106="-",0,P106/(1+'General inputs'!$H$30)^'MP Calculations'!$C$40)</f>
        <v>64333.894258241802</v>
      </c>
    </row>
    <row r="107" spans="3:17" x14ac:dyDescent="0.25">
      <c r="C107" s="159"/>
      <c r="D107" s="165" t="s">
        <v>281</v>
      </c>
      <c r="E107" s="162">
        <v>32932</v>
      </c>
      <c r="F107" s="166" t="str">
        <f t="shared" si="4"/>
        <v>Date check - OK</v>
      </c>
      <c r="G107" s="68"/>
      <c r="H107" s="162" t="s">
        <v>279</v>
      </c>
      <c r="I107" s="173">
        <v>8793.8848904043734</v>
      </c>
      <c r="J107" s="168">
        <f>IFERROR(MIN('MP Calculations'!$E$30/I107,1),"-")</f>
        <v>0.89877153183870317</v>
      </c>
      <c r="K107" s="12"/>
      <c r="L107" s="159">
        <v>62.908535999999998</v>
      </c>
      <c r="M107" s="187" t="s">
        <v>301</v>
      </c>
      <c r="N107" s="187">
        <v>480.89954999999998</v>
      </c>
      <c r="O107" s="186">
        <f t="shared" si="5"/>
        <v>30252.686653558798</v>
      </c>
      <c r="P107" s="186">
        <f t="shared" si="6"/>
        <v>27190.253525855333</v>
      </c>
      <c r="Q107" s="215">
        <f>IF(P107="-",0,P107/(1+'General inputs'!$H$30)^'MP Calculations'!$C$40)</f>
        <v>60397.411215647604</v>
      </c>
    </row>
    <row r="108" spans="3:17" x14ac:dyDescent="0.25">
      <c r="C108" s="159"/>
      <c r="D108" s="165" t="s">
        <v>281</v>
      </c>
      <c r="E108" s="162">
        <v>32932</v>
      </c>
      <c r="F108" s="166" t="str">
        <f t="shared" si="4"/>
        <v>Date check - OK</v>
      </c>
      <c r="G108" s="68"/>
      <c r="H108" s="162" t="s">
        <v>279</v>
      </c>
      <c r="I108" s="173">
        <v>8793.8848904043734</v>
      </c>
      <c r="J108" s="168">
        <f>IFERROR(MIN('MP Calculations'!$E$30/I108,1),"-")</f>
        <v>0.89877153183870317</v>
      </c>
      <c r="K108" s="12"/>
      <c r="L108" s="159">
        <v>73.927693000000005</v>
      </c>
      <c r="M108" s="187" t="s">
        <v>301</v>
      </c>
      <c r="N108" s="187">
        <v>480.89954999999998</v>
      </c>
      <c r="O108" s="186">
        <f t="shared" si="5"/>
        <v>35551.794296238149</v>
      </c>
      <c r="P108" s="186">
        <f t="shared" si="6"/>
        <v>31952.940619244433</v>
      </c>
      <c r="Q108" s="215">
        <f>IF(P108="-",0,P108/(1+'General inputs'!$H$30)^'MP Calculations'!$C$40)</f>
        <v>70976.7156931637</v>
      </c>
    </row>
    <row r="109" spans="3:17" x14ac:dyDescent="0.25">
      <c r="C109" s="159"/>
      <c r="D109" s="165" t="s">
        <v>281</v>
      </c>
      <c r="E109" s="162">
        <v>32932</v>
      </c>
      <c r="F109" s="166" t="str">
        <f t="shared" si="4"/>
        <v>Date check - OK</v>
      </c>
      <c r="G109" s="68"/>
      <c r="H109" s="162" t="s">
        <v>279</v>
      </c>
      <c r="I109" s="173">
        <v>8793.8848904043734</v>
      </c>
      <c r="J109" s="168">
        <f>IFERROR(MIN('MP Calculations'!$E$30/I109,1),"-")</f>
        <v>0.89877153183870317</v>
      </c>
      <c r="K109" s="12"/>
      <c r="L109" s="159">
        <v>92.495254000000003</v>
      </c>
      <c r="M109" s="187" t="s">
        <v>301</v>
      </c>
      <c r="N109" s="187">
        <v>480.89954999999998</v>
      </c>
      <c r="O109" s="186">
        <f t="shared" si="5"/>
        <v>44480.926025735702</v>
      </c>
      <c r="P109" s="186">
        <f t="shared" si="6"/>
        <v>39978.190021754519</v>
      </c>
      <c r="Q109" s="215">
        <f>IF(P109="-",0,P109/(1+'General inputs'!$H$30)^'MP Calculations'!$C$40)</f>
        <v>88803.113957917813</v>
      </c>
    </row>
    <row r="110" spans="3:17" x14ac:dyDescent="0.25">
      <c r="C110" s="159"/>
      <c r="D110" s="165" t="s">
        <v>281</v>
      </c>
      <c r="E110" s="162">
        <v>32932</v>
      </c>
      <c r="F110" s="166" t="str">
        <f t="shared" si="4"/>
        <v>Date check - OK</v>
      </c>
      <c r="G110" s="68"/>
      <c r="H110" s="162" t="s">
        <v>279</v>
      </c>
      <c r="I110" s="173">
        <v>8793.8848904043734</v>
      </c>
      <c r="J110" s="168">
        <f>IFERROR(MIN('MP Calculations'!$E$30/I110,1),"-")</f>
        <v>0.89877153183870317</v>
      </c>
      <c r="K110" s="12"/>
      <c r="L110" s="159">
        <v>101.19716699999999</v>
      </c>
      <c r="M110" s="187" t="s">
        <v>301</v>
      </c>
      <c r="N110" s="187">
        <v>480.89954999999998</v>
      </c>
      <c r="O110" s="186">
        <f t="shared" si="5"/>
        <v>48665.672071574845</v>
      </c>
      <c r="P110" s="186">
        <f t="shared" si="6"/>
        <v>43739.320635729317</v>
      </c>
      <c r="Q110" s="215">
        <f>IF(P110="-",0,P110/(1+'General inputs'!$H$30)^'MP Calculations'!$C$40)</f>
        <v>97157.672039253361</v>
      </c>
    </row>
    <row r="111" spans="3:17" x14ac:dyDescent="0.25">
      <c r="C111" s="159"/>
      <c r="D111" s="165" t="s">
        <v>281</v>
      </c>
      <c r="E111" s="162">
        <v>32932</v>
      </c>
      <c r="F111" s="166" t="str">
        <f t="shared" si="4"/>
        <v>Date check - OK</v>
      </c>
      <c r="G111" s="68"/>
      <c r="H111" s="162" t="s">
        <v>279</v>
      </c>
      <c r="I111" s="173">
        <v>8793.8848904043734</v>
      </c>
      <c r="J111" s="168">
        <f>IFERROR(MIN('MP Calculations'!$E$30/I111,1),"-")</f>
        <v>0.89877153183870317</v>
      </c>
      <c r="K111" s="12"/>
      <c r="L111" s="159">
        <v>39.023864000000003</v>
      </c>
      <c r="M111" s="187" t="s">
        <v>301</v>
      </c>
      <c r="N111" s="187">
        <v>480.89954999999998</v>
      </c>
      <c r="O111" s="186">
        <f t="shared" si="5"/>
        <v>18766.558636861202</v>
      </c>
      <c r="P111" s="186">
        <f t="shared" si="6"/>
        <v>16866.84865339259</v>
      </c>
      <c r="Q111" s="215">
        <f>IF(P111="-",0,P111/(1+'General inputs'!$H$30)^'MP Calculations'!$C$40)</f>
        <v>37466.14547239674</v>
      </c>
    </row>
    <row r="112" spans="3:17" x14ac:dyDescent="0.25">
      <c r="C112" s="159"/>
      <c r="D112" s="165" t="s">
        <v>281</v>
      </c>
      <c r="E112" s="162">
        <v>32932</v>
      </c>
      <c r="F112" s="166" t="str">
        <f t="shared" si="4"/>
        <v>Date check - OK</v>
      </c>
      <c r="G112" s="68"/>
      <c r="H112" s="162" t="s">
        <v>279</v>
      </c>
      <c r="I112" s="173">
        <v>8793.8848904043734</v>
      </c>
      <c r="J112" s="168">
        <f>IFERROR(MIN('MP Calculations'!$E$30/I112,1),"-")</f>
        <v>0.89877153183870317</v>
      </c>
      <c r="K112" s="12"/>
      <c r="L112" s="159">
        <v>4.3649699999999996</v>
      </c>
      <c r="M112" s="187" t="s">
        <v>301</v>
      </c>
      <c r="N112" s="187">
        <v>480.89954999999998</v>
      </c>
      <c r="O112" s="186">
        <f t="shared" si="5"/>
        <v>2099.1121087634997</v>
      </c>
      <c r="P112" s="186">
        <f t="shared" si="6"/>
        <v>1886.622205494541</v>
      </c>
      <c r="Q112" s="215">
        <f>IF(P112="-",0,P112/(1+'General inputs'!$H$30)^'MP Calculations'!$C$40)</f>
        <v>4190.7331627295425</v>
      </c>
    </row>
    <row r="113" spans="3:17" x14ac:dyDescent="0.25">
      <c r="C113" s="159"/>
      <c r="D113" s="165" t="s">
        <v>281</v>
      </c>
      <c r="E113" s="162">
        <v>32932</v>
      </c>
      <c r="F113" s="166" t="str">
        <f t="shared" si="4"/>
        <v>Date check - OK</v>
      </c>
      <c r="G113" s="68"/>
      <c r="H113" s="162" t="s">
        <v>279</v>
      </c>
      <c r="I113" s="173">
        <v>8793.8848904043734</v>
      </c>
      <c r="J113" s="168">
        <f>IFERROR(MIN('MP Calculations'!$E$30/I113,1),"-")</f>
        <v>0.89877153183870317</v>
      </c>
      <c r="K113" s="12"/>
      <c r="L113" s="159">
        <v>32.544673000000003</v>
      </c>
      <c r="M113" s="187" t="s">
        <v>301</v>
      </c>
      <c r="N113" s="187">
        <v>480.89954999999998</v>
      </c>
      <c r="O113" s="186">
        <f t="shared" si="5"/>
        <v>15650.718600597151</v>
      </c>
      <c r="P113" s="186">
        <f t="shared" si="6"/>
        <v>14066.420331035186</v>
      </c>
      <c r="Q113" s="215">
        <f>IF(P113="-",0,P113/(1+'General inputs'!$H$30)^'MP Calculations'!$C$40)</f>
        <v>31245.584829056967</v>
      </c>
    </row>
    <row r="114" spans="3:17" x14ac:dyDescent="0.25">
      <c r="C114" s="159"/>
      <c r="D114" s="165" t="s">
        <v>281</v>
      </c>
      <c r="E114" s="162">
        <v>32932</v>
      </c>
      <c r="F114" s="166" t="str">
        <f t="shared" si="4"/>
        <v>Date check - OK</v>
      </c>
      <c r="G114" s="68"/>
      <c r="H114" s="162" t="s">
        <v>279</v>
      </c>
      <c r="I114" s="173">
        <v>8793.8848904043734</v>
      </c>
      <c r="J114" s="168">
        <f>IFERROR(MIN('MP Calculations'!$E$30/I114,1),"-")</f>
        <v>0.89877153183870317</v>
      </c>
      <c r="K114" s="12"/>
      <c r="L114" s="159">
        <v>118.54134000000001</v>
      </c>
      <c r="M114" s="187" t="s">
        <v>301</v>
      </c>
      <c r="N114" s="187">
        <v>480.89954999999998</v>
      </c>
      <c r="O114" s="186">
        <f t="shared" si="5"/>
        <v>57006.477062396996</v>
      </c>
      <c r="P114" s="186">
        <f t="shared" si="6"/>
        <v>51235.798714098441</v>
      </c>
      <c r="Q114" s="215">
        <f>IF(P114="-",0,P114/(1+'General inputs'!$H$30)^'MP Calculations'!$C$40)</f>
        <v>113809.51637523239</v>
      </c>
    </row>
    <row r="115" spans="3:17" x14ac:dyDescent="0.25">
      <c r="C115" s="159"/>
      <c r="D115" s="165" t="s">
        <v>292</v>
      </c>
      <c r="E115" s="162">
        <v>32941</v>
      </c>
      <c r="F115" s="166" t="str">
        <f t="shared" si="4"/>
        <v>Date check - OK</v>
      </c>
      <c r="G115" s="68"/>
      <c r="H115" s="162" t="s">
        <v>279</v>
      </c>
      <c r="I115" s="173">
        <v>8793.8848904043734</v>
      </c>
      <c r="J115" s="168">
        <f>IFERROR(MIN('MP Calculations'!$E$30/I115,1),"-")</f>
        <v>0.89877153183870317</v>
      </c>
      <c r="K115" s="12"/>
      <c r="L115" s="159">
        <v>139.32763299999999</v>
      </c>
      <c r="M115" s="187" t="s">
        <v>301</v>
      </c>
      <c r="N115" s="187">
        <v>833.55921999999998</v>
      </c>
      <c r="O115" s="186">
        <f t="shared" si="5"/>
        <v>116137.83308792625</v>
      </c>
      <c r="P115" s="186">
        <f t="shared" si="6"/>
        <v>104381.37814886311</v>
      </c>
      <c r="Q115" s="215">
        <f>IF(P115="-",0,P115/(1+'General inputs'!$H$30)^'MP Calculations'!$C$40)</f>
        <v>231861.20766833049</v>
      </c>
    </row>
    <row r="116" spans="3:17" x14ac:dyDescent="0.25">
      <c r="C116" s="159"/>
      <c r="D116" s="165" t="s">
        <v>292</v>
      </c>
      <c r="E116" s="162">
        <v>32941</v>
      </c>
      <c r="F116" s="166" t="str">
        <f t="shared" si="4"/>
        <v>Date check - OK</v>
      </c>
      <c r="G116" s="68"/>
      <c r="H116" s="162" t="s">
        <v>279</v>
      </c>
      <c r="I116" s="173">
        <v>8793.8848904043734</v>
      </c>
      <c r="J116" s="168">
        <f>IFERROR(MIN('MP Calculations'!$E$30/I116,1),"-")</f>
        <v>0.89877153183870317</v>
      </c>
      <c r="K116" s="12"/>
      <c r="L116" s="159">
        <v>46.551251999999998</v>
      </c>
      <c r="M116" s="187" t="s">
        <v>301</v>
      </c>
      <c r="N116" s="187">
        <v>833.55921999999998</v>
      </c>
      <c r="O116" s="186">
        <f t="shared" si="5"/>
        <v>38803.225307143439</v>
      </c>
      <c r="P116" s="186">
        <f t="shared" si="6"/>
        <v>34875.234249583642</v>
      </c>
      <c r="Q116" s="215">
        <f>IF(P116="-",0,P116/(1+'General inputs'!$H$30)^'MP Calculations'!$C$40)</f>
        <v>77467.97440528388</v>
      </c>
    </row>
    <row r="117" spans="3:17" x14ac:dyDescent="0.25">
      <c r="C117" s="159"/>
      <c r="D117" s="165" t="s">
        <v>281</v>
      </c>
      <c r="E117" s="162">
        <v>32941</v>
      </c>
      <c r="F117" s="166" t="str">
        <f t="shared" si="4"/>
        <v>Date check - OK</v>
      </c>
      <c r="G117" s="68"/>
      <c r="H117" s="162" t="s">
        <v>279</v>
      </c>
      <c r="I117" s="173">
        <v>8793.8848904043734</v>
      </c>
      <c r="J117" s="168">
        <f>IFERROR(MIN('MP Calculations'!$E$30/I117,1),"-")</f>
        <v>0.89877153183870317</v>
      </c>
      <c r="K117" s="12"/>
      <c r="L117" s="159">
        <v>83.052991000000006</v>
      </c>
      <c r="M117" s="187" t="s">
        <v>301</v>
      </c>
      <c r="N117" s="187">
        <v>480.89954999999998</v>
      </c>
      <c r="O117" s="186">
        <f t="shared" si="5"/>
        <v>39940.145998054053</v>
      </c>
      <c r="P117" s="186">
        <f t="shared" si="6"/>
        <v>35897.066200532492</v>
      </c>
      <c r="Q117" s="215">
        <f>IF(P117="-",0,P117/(1+'General inputs'!$H$30)^'MP Calculations'!$C$40)</f>
        <v>79737.758483466867</v>
      </c>
    </row>
    <row r="118" spans="3:17" x14ac:dyDescent="0.25">
      <c r="C118" s="159"/>
      <c r="D118" s="165" t="s">
        <v>281</v>
      </c>
      <c r="E118" s="162">
        <v>32941</v>
      </c>
      <c r="F118" s="166" t="str">
        <f t="shared" si="4"/>
        <v>Date check - OK</v>
      </c>
      <c r="G118" s="68"/>
      <c r="H118" s="162" t="s">
        <v>279</v>
      </c>
      <c r="I118" s="173">
        <v>8793.8848904043734</v>
      </c>
      <c r="J118" s="168">
        <f>IFERROR(MIN('MP Calculations'!$E$30/I118,1),"-")</f>
        <v>0.89877153183870317</v>
      </c>
      <c r="K118" s="12"/>
      <c r="L118" s="159">
        <v>99.261007000000006</v>
      </c>
      <c r="M118" s="187" t="s">
        <v>301</v>
      </c>
      <c r="N118" s="187">
        <v>480.89954999999998</v>
      </c>
      <c r="O118" s="186">
        <f t="shared" si="5"/>
        <v>47734.573598846851</v>
      </c>
      <c r="P118" s="186">
        <f t="shared" si="6"/>
        <v>42902.475835102901</v>
      </c>
      <c r="Q118" s="215">
        <f>IF(P118="-",0,P118/(1+'General inputs'!$H$30)^'MP Calculations'!$C$40)</f>
        <v>95298.797884253348</v>
      </c>
    </row>
    <row r="119" spans="3:17" x14ac:dyDescent="0.25">
      <c r="C119" s="159"/>
      <c r="D119" s="165" t="s">
        <v>281</v>
      </c>
      <c r="E119" s="162">
        <v>32941</v>
      </c>
      <c r="F119" s="166" t="str">
        <f t="shared" si="4"/>
        <v>Date check - OK</v>
      </c>
      <c r="G119" s="68"/>
      <c r="H119" s="162" t="s">
        <v>279</v>
      </c>
      <c r="I119" s="173">
        <v>8793.8848904043734</v>
      </c>
      <c r="J119" s="168">
        <f>IFERROR(MIN('MP Calculations'!$E$30/I119,1),"-")</f>
        <v>0.89877153183870317</v>
      </c>
      <c r="K119" s="12"/>
      <c r="L119" s="159">
        <v>97.420316</v>
      </c>
      <c r="M119" s="187" t="s">
        <v>301</v>
      </c>
      <c r="N119" s="187">
        <v>480.89954999999998</v>
      </c>
      <c r="O119" s="186">
        <f t="shared" si="5"/>
        <v>46849.386125257799</v>
      </c>
      <c r="P119" s="186">
        <f t="shared" si="6"/>
        <v>42106.894533500839</v>
      </c>
      <c r="Q119" s="215">
        <f>IF(P119="-",0,P119/(1+'General inputs'!$H$30)^'MP Calculations'!$C$40)</f>
        <v>93531.581885967491</v>
      </c>
    </row>
    <row r="120" spans="3:17" x14ac:dyDescent="0.25">
      <c r="C120" s="159"/>
      <c r="D120" s="165" t="s">
        <v>292</v>
      </c>
      <c r="E120" s="162">
        <v>32941</v>
      </c>
      <c r="F120" s="166" t="str">
        <f t="shared" si="4"/>
        <v>Date check - OK</v>
      </c>
      <c r="G120" s="68"/>
      <c r="H120" s="162" t="s">
        <v>279</v>
      </c>
      <c r="I120" s="173">
        <v>8793.8848904043734</v>
      </c>
      <c r="J120" s="168">
        <f>IFERROR(MIN('MP Calculations'!$E$30/I120,1),"-")</f>
        <v>0.89877153183870317</v>
      </c>
      <c r="K120" s="12"/>
      <c r="L120" s="159">
        <v>149.81820099999999</v>
      </c>
      <c r="M120" s="187" t="s">
        <v>301</v>
      </c>
      <c r="N120" s="187">
        <v>833.55921999999998</v>
      </c>
      <c r="O120" s="186">
        <f t="shared" si="5"/>
        <v>124882.34276736321</v>
      </c>
      <c r="P120" s="186">
        <f t="shared" si="6"/>
        <v>112240.69450862902</v>
      </c>
      <c r="Q120" s="215">
        <f>IF(P120="-",0,P120/(1+'General inputs'!$H$30)^'MP Calculations'!$C$40)</f>
        <v>249319.02068957617</v>
      </c>
    </row>
    <row r="121" spans="3:17" x14ac:dyDescent="0.25">
      <c r="C121" s="159"/>
      <c r="D121" s="165" t="s">
        <v>281</v>
      </c>
      <c r="E121" s="162">
        <v>32941</v>
      </c>
      <c r="F121" s="166" t="str">
        <f t="shared" si="4"/>
        <v>Date check - OK</v>
      </c>
      <c r="G121" s="68"/>
      <c r="H121" s="162" t="s">
        <v>279</v>
      </c>
      <c r="I121" s="173">
        <v>8793.8848904043734</v>
      </c>
      <c r="J121" s="168">
        <f>IFERROR(MIN('MP Calculations'!$E$30/I121,1),"-")</f>
        <v>0.89877153183870317</v>
      </c>
      <c r="K121" s="12"/>
      <c r="L121" s="159">
        <v>47.434787</v>
      </c>
      <c r="M121" s="187" t="s">
        <v>301</v>
      </c>
      <c r="N121" s="187">
        <v>480.89954999999998</v>
      </c>
      <c r="O121" s="186">
        <f t="shared" si="5"/>
        <v>22811.367722645849</v>
      </c>
      <c r="P121" s="186">
        <f t="shared" si="6"/>
        <v>20502.207911418362</v>
      </c>
      <c r="Q121" s="215">
        <f>IF(P121="-",0,P121/(1+'General inputs'!$H$30)^'MP Calculations'!$C$40)</f>
        <v>45541.32902354707</v>
      </c>
    </row>
    <row r="122" spans="3:17" x14ac:dyDescent="0.25">
      <c r="C122" s="159"/>
      <c r="D122" s="165" t="s">
        <v>292</v>
      </c>
      <c r="E122" s="162">
        <v>32941</v>
      </c>
      <c r="F122" s="166" t="str">
        <f t="shared" si="4"/>
        <v>Date check - OK</v>
      </c>
      <c r="G122" s="68"/>
      <c r="H122" s="162" t="s">
        <v>279</v>
      </c>
      <c r="I122" s="173">
        <v>8793.8848904043734</v>
      </c>
      <c r="J122" s="168">
        <f>IFERROR(MIN('MP Calculations'!$E$30/I122,1),"-")</f>
        <v>0.89877153183870317</v>
      </c>
      <c r="K122" s="12"/>
      <c r="L122" s="159">
        <v>149.70599200000001</v>
      </c>
      <c r="M122" s="187" t="s">
        <v>301</v>
      </c>
      <c r="N122" s="187">
        <v>833.55921999999998</v>
      </c>
      <c r="O122" s="186">
        <f t="shared" si="5"/>
        <v>124788.80992084625</v>
      </c>
      <c r="P122" s="186">
        <f t="shared" si="6"/>
        <v>112156.62984888775</v>
      </c>
      <c r="Q122" s="215">
        <f>IF(P122="-",0,P122/(1+'General inputs'!$H$30)^'MP Calculations'!$C$40)</f>
        <v>249132.2887851359</v>
      </c>
    </row>
    <row r="123" spans="3:17" x14ac:dyDescent="0.25">
      <c r="C123" s="159"/>
      <c r="D123" s="165" t="s">
        <v>284</v>
      </c>
      <c r="E123" s="162">
        <v>32941</v>
      </c>
      <c r="F123" s="166" t="str">
        <f t="shared" si="4"/>
        <v>Date check - OK</v>
      </c>
      <c r="G123" s="68"/>
      <c r="H123" s="162" t="s">
        <v>279</v>
      </c>
      <c r="I123" s="173">
        <v>8793.8848904043734</v>
      </c>
      <c r="J123" s="168">
        <f>IFERROR(MIN('MP Calculations'!$E$30/I123,1),"-")</f>
        <v>0.89877153183870317</v>
      </c>
      <c r="K123" s="12"/>
      <c r="L123" s="159">
        <v>23.172167000000002</v>
      </c>
      <c r="M123" s="187" t="s">
        <v>301</v>
      </c>
      <c r="N123" s="187">
        <v>480.89954999999998</v>
      </c>
      <c r="O123" s="186">
        <f t="shared" si="5"/>
        <v>11143.48468282485</v>
      </c>
      <c r="P123" s="186">
        <f t="shared" si="6"/>
        <v>10015.446798403616</v>
      </c>
      <c r="Q123" s="215">
        <f>IF(P123="-",0,P123/(1+'General inputs'!$H$30)^'MP Calculations'!$C$40)</f>
        <v>22247.201859166766</v>
      </c>
    </row>
    <row r="124" spans="3:17" x14ac:dyDescent="0.25">
      <c r="C124" s="159"/>
      <c r="D124" s="165" t="s">
        <v>281</v>
      </c>
      <c r="E124" s="162">
        <v>32941</v>
      </c>
      <c r="F124" s="166" t="str">
        <f t="shared" si="4"/>
        <v>Date check - OK</v>
      </c>
      <c r="G124" s="68"/>
      <c r="H124" s="162" t="s">
        <v>279</v>
      </c>
      <c r="I124" s="173">
        <v>8793.8848904043734</v>
      </c>
      <c r="J124" s="168">
        <f>IFERROR(MIN('MP Calculations'!$E$30/I124,1),"-")</f>
        <v>0.89877153183870317</v>
      </c>
      <c r="K124" s="12"/>
      <c r="L124" s="159">
        <v>59.145138000000003</v>
      </c>
      <c r="M124" s="187" t="s">
        <v>301</v>
      </c>
      <c r="N124" s="187">
        <v>480.89954999999998</v>
      </c>
      <c r="O124" s="186">
        <f t="shared" si="5"/>
        <v>28442.870248887899</v>
      </c>
      <c r="P124" s="186">
        <f t="shared" si="6"/>
        <v>25563.642063482454</v>
      </c>
      <c r="Q124" s="215">
        <f>IF(P124="-",0,P124/(1+'General inputs'!$H$30)^'MP Calculations'!$C$40)</f>
        <v>56784.237057944338</v>
      </c>
    </row>
    <row r="125" spans="3:17" x14ac:dyDescent="0.25">
      <c r="C125" s="159"/>
      <c r="D125" s="165" t="s">
        <v>292</v>
      </c>
      <c r="E125" s="162">
        <v>32941</v>
      </c>
      <c r="F125" s="166" t="str">
        <f t="shared" si="4"/>
        <v>Date check - OK</v>
      </c>
      <c r="G125" s="68"/>
      <c r="H125" s="162" t="s">
        <v>279</v>
      </c>
      <c r="I125" s="173">
        <v>8793.8848904043734</v>
      </c>
      <c r="J125" s="168">
        <f>IFERROR(MIN('MP Calculations'!$E$30/I125,1),"-")</f>
        <v>0.89877153183870317</v>
      </c>
      <c r="K125" s="12"/>
      <c r="L125" s="159">
        <v>21.10032</v>
      </c>
      <c r="M125" s="187" t="s">
        <v>301</v>
      </c>
      <c r="N125" s="187">
        <v>833.55921999999998</v>
      </c>
      <c r="O125" s="186">
        <f t="shared" si="5"/>
        <v>17588.366280950399</v>
      </c>
      <c r="P125" s="186">
        <f t="shared" si="6"/>
        <v>15807.922904869984</v>
      </c>
      <c r="Q125" s="215">
        <f>IF(P125="-",0,P125/(1+'General inputs'!$H$30)^'MP Calculations'!$C$40)</f>
        <v>35113.965349488331</v>
      </c>
    </row>
    <row r="126" spans="3:17" x14ac:dyDescent="0.25">
      <c r="C126" s="159"/>
      <c r="D126" s="165" t="s">
        <v>281</v>
      </c>
      <c r="E126" s="162">
        <v>32941</v>
      </c>
      <c r="F126" s="166" t="str">
        <f t="shared" si="4"/>
        <v>Date check - OK</v>
      </c>
      <c r="G126" s="68"/>
      <c r="H126" s="162" t="s">
        <v>279</v>
      </c>
      <c r="I126" s="173">
        <v>8793.8848904043734</v>
      </c>
      <c r="J126" s="168">
        <f>IFERROR(MIN('MP Calculations'!$E$30/I126,1),"-")</f>
        <v>0.89877153183870317</v>
      </c>
      <c r="K126" s="12"/>
      <c r="L126" s="159">
        <v>106.363033</v>
      </c>
      <c r="M126" s="187" t="s">
        <v>301</v>
      </c>
      <c r="N126" s="187">
        <v>480.89954999999998</v>
      </c>
      <c r="O126" s="186">
        <f t="shared" si="5"/>
        <v>51149.934706335145</v>
      </c>
      <c r="P126" s="186">
        <f t="shared" si="6"/>
        <v>45972.105169462484</v>
      </c>
      <c r="Q126" s="215">
        <f>IF(P126="-",0,P126/(1+'General inputs'!$H$30)^'MP Calculations'!$C$40)</f>
        <v>102117.33177584193</v>
      </c>
    </row>
    <row r="127" spans="3:17" x14ac:dyDescent="0.25">
      <c r="C127" s="159"/>
      <c r="D127" s="165" t="s">
        <v>292</v>
      </c>
      <c r="E127" s="162">
        <v>32941</v>
      </c>
      <c r="F127" s="166" t="str">
        <f t="shared" si="4"/>
        <v>Date check - OK</v>
      </c>
      <c r="G127" s="68"/>
      <c r="H127" s="162" t="s">
        <v>279</v>
      </c>
      <c r="I127" s="173">
        <v>8793.8848904043734</v>
      </c>
      <c r="J127" s="168">
        <f>IFERROR(MIN('MP Calculations'!$E$30/I127,1),"-")</f>
        <v>0.89877153183870317</v>
      </c>
      <c r="K127" s="12"/>
      <c r="L127" s="159">
        <v>149.14030500000001</v>
      </c>
      <c r="M127" s="187" t="s">
        <v>301</v>
      </c>
      <c r="N127" s="187">
        <v>833.55921999999998</v>
      </c>
      <c r="O127" s="186">
        <f t="shared" si="5"/>
        <v>124317.27630636211</v>
      </c>
      <c r="P127" s="186">
        <f t="shared" si="6"/>
        <v>111732.82885988439</v>
      </c>
      <c r="Q127" s="215">
        <f>IF(P127="-",0,P127/(1+'General inputs'!$H$30)^'MP Calculations'!$C$40)</f>
        <v>248190.90430771298</v>
      </c>
    </row>
    <row r="128" spans="3:17" x14ac:dyDescent="0.25">
      <c r="C128" s="159"/>
      <c r="D128" s="165" t="s">
        <v>292</v>
      </c>
      <c r="E128" s="162">
        <v>32941</v>
      </c>
      <c r="F128" s="166" t="str">
        <f t="shared" si="4"/>
        <v>Date check - OK</v>
      </c>
      <c r="G128" s="68"/>
      <c r="H128" s="162" t="s">
        <v>279</v>
      </c>
      <c r="I128" s="173">
        <v>8793.8848904043734</v>
      </c>
      <c r="J128" s="168">
        <f>IFERROR(MIN('MP Calculations'!$E$30/I128,1),"-")</f>
        <v>0.89877153183870317</v>
      </c>
      <c r="K128" s="12"/>
      <c r="L128" s="159">
        <v>150.965126</v>
      </c>
      <c r="M128" s="187" t="s">
        <v>301</v>
      </c>
      <c r="N128" s="187">
        <v>833.55921999999998</v>
      </c>
      <c r="O128" s="186">
        <f t="shared" si="5"/>
        <v>125838.37267576171</v>
      </c>
      <c r="P128" s="186">
        <f t="shared" si="6"/>
        <v>113099.94697388397</v>
      </c>
      <c r="Q128" s="215">
        <f>IF(P128="-",0,P128/(1+'General inputs'!$H$30)^'MP Calculations'!$C$40)</f>
        <v>251227.66874365605</v>
      </c>
    </row>
    <row r="129" spans="3:17" x14ac:dyDescent="0.25">
      <c r="C129" s="159"/>
      <c r="D129" s="165" t="s">
        <v>284</v>
      </c>
      <c r="E129" s="162">
        <v>32941</v>
      </c>
      <c r="F129" s="166" t="str">
        <f t="shared" si="4"/>
        <v>Date check - OK</v>
      </c>
      <c r="G129" s="68"/>
      <c r="H129" s="162" t="s">
        <v>279</v>
      </c>
      <c r="I129" s="173">
        <v>8793.8848904043734</v>
      </c>
      <c r="J129" s="168">
        <f>IFERROR(MIN('MP Calculations'!$E$30/I129,1),"-")</f>
        <v>0.89877153183870317</v>
      </c>
      <c r="K129" s="12"/>
      <c r="L129" s="159">
        <v>17.997501</v>
      </c>
      <c r="M129" s="187" t="s">
        <v>301</v>
      </c>
      <c r="N129" s="187">
        <v>480.89954999999998</v>
      </c>
      <c r="O129" s="186">
        <f t="shared" si="5"/>
        <v>8654.9901320245499</v>
      </c>
      <c r="P129" s="186">
        <f t="shared" si="6"/>
        <v>7778.858739008565</v>
      </c>
      <c r="Q129" s="215">
        <f>IF(P129="-",0,P129/(1+'General inputs'!$H$30)^'MP Calculations'!$C$40)</f>
        <v>17279.09339284305</v>
      </c>
    </row>
    <row r="130" spans="3:17" x14ac:dyDescent="0.25">
      <c r="C130" s="159"/>
      <c r="D130" s="165" t="s">
        <v>292</v>
      </c>
      <c r="E130" s="162">
        <v>32941</v>
      </c>
      <c r="F130" s="166" t="str">
        <f t="shared" si="4"/>
        <v>Date check - OK</v>
      </c>
      <c r="G130" s="68"/>
      <c r="H130" s="162" t="s">
        <v>279</v>
      </c>
      <c r="I130" s="173">
        <v>8793.8848904043734</v>
      </c>
      <c r="J130" s="168">
        <f>IFERROR(MIN('MP Calculations'!$E$30/I130,1),"-")</f>
        <v>0.89877153183870317</v>
      </c>
      <c r="K130" s="12"/>
      <c r="L130" s="159">
        <v>131.883331</v>
      </c>
      <c r="M130" s="187" t="s">
        <v>301</v>
      </c>
      <c r="N130" s="187">
        <v>833.55921999999998</v>
      </c>
      <c r="O130" s="186">
        <f t="shared" si="5"/>
        <v>109932.56651936182</v>
      </c>
      <c r="P130" s="186">
        <f t="shared" si="6"/>
        <v>98804.261209566961</v>
      </c>
      <c r="Q130" s="215">
        <f>IF(P130="-",0,P130/(1+'General inputs'!$H$30)^'MP Calculations'!$C$40)</f>
        <v>219472.81912829287</v>
      </c>
    </row>
    <row r="131" spans="3:17" x14ac:dyDescent="0.25">
      <c r="C131" s="159"/>
      <c r="D131" s="165" t="s">
        <v>292</v>
      </c>
      <c r="E131" s="162">
        <v>32941</v>
      </c>
      <c r="F131" s="166" t="str">
        <f t="shared" si="4"/>
        <v>Date check - OK</v>
      </c>
      <c r="G131" s="68"/>
      <c r="H131" s="162" t="s">
        <v>279</v>
      </c>
      <c r="I131" s="173">
        <v>8793.8848904043734</v>
      </c>
      <c r="J131" s="168">
        <f>IFERROR(MIN('MP Calculations'!$E$30/I131,1),"-")</f>
        <v>0.89877153183870317</v>
      </c>
      <c r="K131" s="12"/>
      <c r="L131" s="159">
        <v>148.816553</v>
      </c>
      <c r="M131" s="187" t="s">
        <v>301</v>
      </c>
      <c r="N131" s="187">
        <v>833.55921999999998</v>
      </c>
      <c r="O131" s="186">
        <f t="shared" si="5"/>
        <v>124047.40984176866</v>
      </c>
      <c r="P131" s="186">
        <f t="shared" si="6"/>
        <v>111490.28056410984</v>
      </c>
      <c r="Q131" s="215">
        <f>IF(P131="-",0,P131/(1+'General inputs'!$H$30)^'MP Calculations'!$C$40)</f>
        <v>247652.13444498918</v>
      </c>
    </row>
    <row r="132" spans="3:17" x14ac:dyDescent="0.25">
      <c r="C132" s="159"/>
      <c r="D132" s="165" t="s">
        <v>281</v>
      </c>
      <c r="E132" s="162">
        <v>32941</v>
      </c>
      <c r="F132" s="166" t="str">
        <f t="shared" si="4"/>
        <v>Date check - OK</v>
      </c>
      <c r="G132" s="68"/>
      <c r="H132" s="162" t="s">
        <v>279</v>
      </c>
      <c r="I132" s="173">
        <v>8793.8848904043734</v>
      </c>
      <c r="J132" s="168">
        <f>IFERROR(MIN('MP Calculations'!$E$30/I132,1),"-")</f>
        <v>0.89877153183870317</v>
      </c>
      <c r="K132" s="12"/>
      <c r="L132" s="159">
        <v>93.175753999999998</v>
      </c>
      <c r="M132" s="187" t="s">
        <v>301</v>
      </c>
      <c r="N132" s="187">
        <v>480.89954999999998</v>
      </c>
      <c r="O132" s="186">
        <f t="shared" si="5"/>
        <v>44808.178169510698</v>
      </c>
      <c r="P132" s="186">
        <f t="shared" si="6"/>
        <v>40272.314932312671</v>
      </c>
      <c r="Q132" s="215">
        <f>IF(P132="-",0,P132/(1+'General inputs'!$H$30)^'MP Calculations'!$C$40)</f>
        <v>89456.450388004945</v>
      </c>
    </row>
    <row r="133" spans="3:17" x14ac:dyDescent="0.25">
      <c r="C133" s="159"/>
      <c r="D133" s="165" t="s">
        <v>292</v>
      </c>
      <c r="E133" s="162">
        <v>32941</v>
      </c>
      <c r="F133" s="166" t="str">
        <f t="shared" si="4"/>
        <v>Date check - OK</v>
      </c>
      <c r="G133" s="68"/>
      <c r="H133" s="162" t="s">
        <v>279</v>
      </c>
      <c r="I133" s="173">
        <v>8793.8848904043734</v>
      </c>
      <c r="J133" s="168">
        <f>IFERROR(MIN('MP Calculations'!$E$30/I133,1),"-")</f>
        <v>0.89877153183870317</v>
      </c>
      <c r="K133" s="12"/>
      <c r="L133" s="159">
        <v>3.0050140000000001</v>
      </c>
      <c r="M133" s="187" t="s">
        <v>301</v>
      </c>
      <c r="N133" s="187">
        <v>833.55921999999998</v>
      </c>
      <c r="O133" s="186">
        <f t="shared" si="5"/>
        <v>2504.8571259290802</v>
      </c>
      <c r="P133" s="186">
        <f t="shared" si="6"/>
        <v>2251.2942761083709</v>
      </c>
      <c r="Q133" s="215">
        <f>IF(P133="-",0,P133/(1+'General inputs'!$H$30)^'MP Calculations'!$C$40)</f>
        <v>5000.7752238225466</v>
      </c>
    </row>
    <row r="134" spans="3:17" x14ac:dyDescent="0.25">
      <c r="C134" s="159"/>
      <c r="D134" s="165" t="s">
        <v>281</v>
      </c>
      <c r="E134" s="162">
        <v>32941</v>
      </c>
      <c r="F134" s="166" t="str">
        <f t="shared" si="4"/>
        <v>Date check - OK</v>
      </c>
      <c r="G134" s="68"/>
      <c r="H134" s="162" t="s">
        <v>279</v>
      </c>
      <c r="I134" s="173">
        <v>8793.8848904043734</v>
      </c>
      <c r="J134" s="168">
        <f>IFERROR(MIN('MP Calculations'!$E$30/I134,1),"-")</f>
        <v>0.89877153183870317</v>
      </c>
      <c r="K134" s="12"/>
      <c r="L134" s="159">
        <v>37.771994999999997</v>
      </c>
      <c r="M134" s="187" t="s">
        <v>301</v>
      </c>
      <c r="N134" s="187">
        <v>480.89954999999998</v>
      </c>
      <c r="O134" s="186">
        <f t="shared" si="5"/>
        <v>18164.535398102249</v>
      </c>
      <c r="P134" s="186">
        <f t="shared" si="6"/>
        <v>16325.767304890707</v>
      </c>
      <c r="Q134" s="215">
        <f>IF(P134="-",0,P134/(1+'General inputs'!$H$30)^'MP Calculations'!$C$40)</f>
        <v>36264.247421850436</v>
      </c>
    </row>
    <row r="135" spans="3:17" x14ac:dyDescent="0.25">
      <c r="C135" s="159"/>
      <c r="D135" s="165" t="s">
        <v>281</v>
      </c>
      <c r="E135" s="162">
        <v>32941</v>
      </c>
      <c r="F135" s="166" t="str">
        <f t="shared" si="4"/>
        <v>Date check - OK</v>
      </c>
      <c r="G135" s="68"/>
      <c r="H135" s="162" t="s">
        <v>279</v>
      </c>
      <c r="I135" s="173">
        <v>8793.8848904043734</v>
      </c>
      <c r="J135" s="168">
        <f>IFERROR(MIN('MP Calculations'!$E$30/I135,1),"-")</f>
        <v>0.89877153183870317</v>
      </c>
      <c r="K135" s="12"/>
      <c r="L135" s="159">
        <v>110.00687499999999</v>
      </c>
      <c r="M135" s="187" t="s">
        <v>301</v>
      </c>
      <c r="N135" s="187">
        <v>480.89954999999998</v>
      </c>
      <c r="O135" s="186">
        <f t="shared" si="5"/>
        <v>52902.256684406246</v>
      </c>
      <c r="P135" s="186">
        <f t="shared" si="6"/>
        <v>47547.042277968074</v>
      </c>
      <c r="Q135" s="215">
        <f>IF(P135="-",0,P135/(1+'General inputs'!$H$30)^'MP Calculations'!$C$40)</f>
        <v>105615.72225942985</v>
      </c>
    </row>
    <row r="136" spans="3:17" x14ac:dyDescent="0.25">
      <c r="C136" s="159"/>
      <c r="D136" s="165" t="s">
        <v>281</v>
      </c>
      <c r="E136" s="162">
        <v>32941</v>
      </c>
      <c r="F136" s="166" t="str">
        <f t="shared" si="4"/>
        <v>Date check - OK</v>
      </c>
      <c r="G136" s="68"/>
      <c r="H136" s="162" t="s">
        <v>279</v>
      </c>
      <c r="I136" s="173">
        <v>8793.8848904043734</v>
      </c>
      <c r="J136" s="168">
        <f>IFERROR(MIN('MP Calculations'!$E$30/I136,1),"-")</f>
        <v>0.89877153183870317</v>
      </c>
      <c r="K136" s="12"/>
      <c r="L136" s="159">
        <v>48.697828000000001</v>
      </c>
      <c r="M136" s="187" t="s">
        <v>301</v>
      </c>
      <c r="N136" s="187">
        <v>480.89954999999998</v>
      </c>
      <c r="O136" s="186">
        <f t="shared" si="5"/>
        <v>23418.763571177398</v>
      </c>
      <c r="P136" s="186">
        <f t="shared" si="6"/>
        <v>21048.118008635531</v>
      </c>
      <c r="Q136" s="215">
        <f>IF(P136="-",0,P136/(1+'General inputs'!$H$30)^'MP Calculations'!$C$40)</f>
        <v>46753.953120525301</v>
      </c>
    </row>
    <row r="137" spans="3:17" x14ac:dyDescent="0.25">
      <c r="C137" s="159"/>
      <c r="D137" s="165" t="s">
        <v>281</v>
      </c>
      <c r="E137" s="162">
        <v>32941</v>
      </c>
      <c r="F137" s="166" t="str">
        <f t="shared" si="4"/>
        <v>Date check - OK</v>
      </c>
      <c r="G137" s="68"/>
      <c r="H137" s="162" t="s">
        <v>279</v>
      </c>
      <c r="I137" s="173">
        <v>8793.8848904043734</v>
      </c>
      <c r="J137" s="168">
        <f>IFERROR(MIN('MP Calculations'!$E$30/I137,1),"-")</f>
        <v>0.89877153183870317</v>
      </c>
      <c r="K137" s="12"/>
      <c r="L137" s="159">
        <v>70.780634000000006</v>
      </c>
      <c r="M137" s="187" t="s">
        <v>301</v>
      </c>
      <c r="N137" s="187">
        <v>480.89954999999998</v>
      </c>
      <c r="O137" s="186">
        <f t="shared" si="5"/>
        <v>34038.375039314698</v>
      </c>
      <c r="P137" s="186">
        <f t="shared" si="6"/>
        <v>30592.722475385151</v>
      </c>
      <c r="Q137" s="215">
        <f>IF(P137="-",0,P137/(1+'General inputs'!$H$30)^'MP Calculations'!$C$40)</f>
        <v>67955.278085032027</v>
      </c>
    </row>
    <row r="138" spans="3:17" x14ac:dyDescent="0.25">
      <c r="C138" s="159"/>
      <c r="D138" s="165" t="s">
        <v>281</v>
      </c>
      <c r="E138" s="162">
        <v>32941</v>
      </c>
      <c r="F138" s="166" t="str">
        <f t="shared" si="4"/>
        <v>Date check - OK</v>
      </c>
      <c r="G138" s="68"/>
      <c r="H138" s="162" t="s">
        <v>279</v>
      </c>
      <c r="I138" s="173">
        <v>8793.8848904043734</v>
      </c>
      <c r="J138" s="168">
        <f>IFERROR(MIN('MP Calculations'!$E$30/I138,1),"-")</f>
        <v>0.89877153183870317</v>
      </c>
      <c r="K138" s="12"/>
      <c r="L138" s="159">
        <v>1.4010009999999999</v>
      </c>
      <c r="M138" s="187" t="s">
        <v>301</v>
      </c>
      <c r="N138" s="187">
        <v>480.89954999999998</v>
      </c>
      <c r="O138" s="186">
        <f t="shared" si="5"/>
        <v>673.74075044954998</v>
      </c>
      <c r="P138" s="186">
        <f t="shared" si="6"/>
        <v>605.5390063436995</v>
      </c>
      <c r="Q138" s="215">
        <f>IF(P138="-",0,P138/(1+'General inputs'!$H$30)^'MP Calculations'!$C$40)</f>
        <v>1345.0771372351364</v>
      </c>
    </row>
    <row r="139" spans="3:17" x14ac:dyDescent="0.25">
      <c r="C139" s="159"/>
      <c r="D139" s="165" t="s">
        <v>281</v>
      </c>
      <c r="E139" s="162">
        <v>32941</v>
      </c>
      <c r="F139" s="166" t="str">
        <f t="shared" si="4"/>
        <v>Date check - OK</v>
      </c>
      <c r="G139" s="68"/>
      <c r="H139" s="162" t="s">
        <v>279</v>
      </c>
      <c r="I139" s="173">
        <v>8793.8848904043734</v>
      </c>
      <c r="J139" s="168">
        <f>IFERROR(MIN('MP Calculations'!$E$30/I139,1),"-")</f>
        <v>0.89877153183870317</v>
      </c>
      <c r="K139" s="12"/>
      <c r="L139" s="159">
        <v>18.654374000000001</v>
      </c>
      <c r="M139" s="187" t="s">
        <v>301</v>
      </c>
      <c r="N139" s="187">
        <v>480.89954999999998</v>
      </c>
      <c r="O139" s="186">
        <f t="shared" si="5"/>
        <v>8970.8800621317005</v>
      </c>
      <c r="P139" s="186">
        <f t="shared" si="6"/>
        <v>8062.771615383389</v>
      </c>
      <c r="Q139" s="215">
        <f>IF(P139="-",0,P139/(1+'General inputs'!$H$30)^'MP Calculations'!$C$40)</f>
        <v>17909.745943674243</v>
      </c>
    </row>
    <row r="140" spans="3:17" x14ac:dyDescent="0.25">
      <c r="C140" s="159"/>
      <c r="D140" s="165" t="s">
        <v>281</v>
      </c>
      <c r="E140" s="162">
        <v>32941</v>
      </c>
      <c r="F140" s="166" t="str">
        <f t="shared" si="4"/>
        <v>Date check - OK</v>
      </c>
      <c r="G140" s="68"/>
      <c r="H140" s="162" t="s">
        <v>279</v>
      </c>
      <c r="I140" s="173">
        <v>8793.8848904043734</v>
      </c>
      <c r="J140" s="168">
        <f>IFERROR(MIN('MP Calculations'!$E$30/I140,1),"-")</f>
        <v>0.89877153183870317</v>
      </c>
      <c r="K140" s="12"/>
      <c r="L140" s="159">
        <v>111.407231</v>
      </c>
      <c r="M140" s="187" t="s">
        <v>301</v>
      </c>
      <c r="N140" s="187">
        <v>480.89954999999998</v>
      </c>
      <c r="O140" s="186">
        <f t="shared" si="5"/>
        <v>53575.687254646044</v>
      </c>
      <c r="P140" s="186">
        <f t="shared" si="6"/>
        <v>48152.302503169507</v>
      </c>
      <c r="Q140" s="215">
        <f>IF(P140="-",0,P140/(1+'General inputs'!$H$30)^'MP Calculations'!$C$40)</f>
        <v>106960.1801431787</v>
      </c>
    </row>
    <row r="141" spans="3:17" x14ac:dyDescent="0.25">
      <c r="C141" s="159"/>
      <c r="D141" s="165" t="s">
        <v>281</v>
      </c>
      <c r="E141" s="162">
        <v>32941</v>
      </c>
      <c r="F141" s="166" t="str">
        <f t="shared" si="4"/>
        <v>Date check - OK</v>
      </c>
      <c r="G141" s="68"/>
      <c r="H141" s="162" t="s">
        <v>279</v>
      </c>
      <c r="I141" s="173">
        <v>8793.8848904043734</v>
      </c>
      <c r="J141" s="168">
        <f>IFERROR(MIN('MP Calculations'!$E$30/I141,1),"-")</f>
        <v>0.89877153183870317</v>
      </c>
      <c r="K141" s="12"/>
      <c r="L141" s="159">
        <v>72.372462999999996</v>
      </c>
      <c r="M141" s="187" t="s">
        <v>301</v>
      </c>
      <c r="N141" s="187">
        <v>480.89954999999998</v>
      </c>
      <c r="O141" s="186">
        <f t="shared" si="5"/>
        <v>34803.884889091649</v>
      </c>
      <c r="P141" s="186">
        <f t="shared" si="6"/>
        <v>31280.740935706795</v>
      </c>
      <c r="Q141" s="215">
        <f>IF(P141="-",0,P141/(1+'General inputs'!$H$30)^'MP Calculations'!$C$40)</f>
        <v>69483.565926573807</v>
      </c>
    </row>
    <row r="142" spans="3:17" x14ac:dyDescent="0.25">
      <c r="C142" s="159"/>
      <c r="D142" s="165" t="s">
        <v>281</v>
      </c>
      <c r="E142" s="162">
        <v>32941</v>
      </c>
      <c r="F142" s="166" t="str">
        <f t="shared" si="4"/>
        <v>Date check - OK</v>
      </c>
      <c r="G142" s="68"/>
      <c r="H142" s="162" t="s">
        <v>279</v>
      </c>
      <c r="I142" s="173">
        <v>8793.8848904043734</v>
      </c>
      <c r="J142" s="168">
        <f>IFERROR(MIN('MP Calculations'!$E$30/I142,1),"-")</f>
        <v>0.89877153183870317</v>
      </c>
      <c r="K142" s="12"/>
      <c r="L142" s="159">
        <v>39.016419999999997</v>
      </c>
      <c r="M142" s="187" t="s">
        <v>301</v>
      </c>
      <c r="N142" s="187">
        <v>480.89954999999998</v>
      </c>
      <c r="O142" s="186">
        <f t="shared" si="5"/>
        <v>18762.978820610999</v>
      </c>
      <c r="P142" s="186">
        <f t="shared" si="6"/>
        <v>16863.631216457692</v>
      </c>
      <c r="Q142" s="215">
        <f>IF(P142="-",0,P142/(1+'General inputs'!$H$30)^'MP Calculations'!$C$40)</f>
        <v>37458.998615107143</v>
      </c>
    </row>
    <row r="143" spans="3:17" x14ac:dyDescent="0.25">
      <c r="C143" s="159"/>
      <c r="D143" s="165" t="s">
        <v>281</v>
      </c>
      <c r="E143" s="162">
        <v>32941</v>
      </c>
      <c r="F143" s="166" t="str">
        <f t="shared" si="4"/>
        <v>Date check - OK</v>
      </c>
      <c r="G143" s="68"/>
      <c r="H143" s="162" t="s">
        <v>279</v>
      </c>
      <c r="I143" s="173">
        <v>8793.8848904043734</v>
      </c>
      <c r="J143" s="168">
        <f>IFERROR(MIN('MP Calculations'!$E$30/I143,1),"-")</f>
        <v>0.89877153183870317</v>
      </c>
      <c r="K143" s="12"/>
      <c r="L143" s="159">
        <v>12.198810999999999</v>
      </c>
      <c r="M143" s="187" t="s">
        <v>301</v>
      </c>
      <c r="N143" s="187">
        <v>480.89954999999998</v>
      </c>
      <c r="O143" s="186">
        <f t="shared" si="5"/>
        <v>5866.4027204350496</v>
      </c>
      <c r="P143" s="186">
        <f t="shared" si="6"/>
        <v>5272.5557594281454</v>
      </c>
      <c r="Q143" s="215">
        <f>IF(P143="-",0,P143/(1+'General inputs'!$H$30)^'MP Calculations'!$C$40)</f>
        <v>11711.870139673341</v>
      </c>
    </row>
    <row r="144" spans="3:17" x14ac:dyDescent="0.25">
      <c r="C144" s="159"/>
      <c r="D144" s="165" t="s">
        <v>281</v>
      </c>
      <c r="E144" s="162">
        <v>32941</v>
      </c>
      <c r="F144" s="166" t="str">
        <f t="shared" si="4"/>
        <v>Date check - OK</v>
      </c>
      <c r="G144" s="68"/>
      <c r="H144" s="162" t="s">
        <v>279</v>
      </c>
      <c r="I144" s="173">
        <v>8793.8848904043734</v>
      </c>
      <c r="J144" s="168">
        <f>IFERROR(MIN('MP Calculations'!$E$30/I144,1),"-")</f>
        <v>0.89877153183870317</v>
      </c>
      <c r="K144" s="12"/>
      <c r="L144" s="159">
        <v>45.666336999999999</v>
      </c>
      <c r="M144" s="187" t="s">
        <v>301</v>
      </c>
      <c r="N144" s="187">
        <v>480.89954999999998</v>
      </c>
      <c r="O144" s="186">
        <f t="shared" si="5"/>
        <v>21960.92091344835</v>
      </c>
      <c r="P144" s="186">
        <f t="shared" si="6"/>
        <v>19737.850529968586</v>
      </c>
      <c r="Q144" s="215">
        <f>IF(P144="-",0,P144/(1+'General inputs'!$H$30)^'MP Calculations'!$C$40)</f>
        <v>43843.47037580629</v>
      </c>
    </row>
    <row r="145" spans="3:17" x14ac:dyDescent="0.25">
      <c r="C145" s="159"/>
      <c r="D145" s="165" t="s">
        <v>281</v>
      </c>
      <c r="E145" s="162">
        <v>32941</v>
      </c>
      <c r="F145" s="166" t="str">
        <f t="shared" si="4"/>
        <v>Date check - OK</v>
      </c>
      <c r="G145" s="68"/>
      <c r="H145" s="162" t="s">
        <v>279</v>
      </c>
      <c r="I145" s="173">
        <v>8793.8848904043734</v>
      </c>
      <c r="J145" s="168">
        <f>IFERROR(MIN('MP Calculations'!$E$30/I145,1),"-")</f>
        <v>0.89877153183870317</v>
      </c>
      <c r="K145" s="12"/>
      <c r="L145" s="159">
        <v>13.46719</v>
      </c>
      <c r="M145" s="187" t="s">
        <v>301</v>
      </c>
      <c r="N145" s="187">
        <v>480.89954999999998</v>
      </c>
      <c r="O145" s="186">
        <f t="shared" si="5"/>
        <v>6476.3656107645002</v>
      </c>
      <c r="P145" s="186">
        <f t="shared" si="6"/>
        <v>5820.7730407343079</v>
      </c>
      <c r="Q145" s="215">
        <f>IF(P145="-",0,P145/(1+'General inputs'!$H$30)^'MP Calculations'!$C$40)</f>
        <v>12929.619159302281</v>
      </c>
    </row>
    <row r="146" spans="3:17" x14ac:dyDescent="0.25">
      <c r="C146" s="159"/>
      <c r="D146" s="165" t="s">
        <v>281</v>
      </c>
      <c r="E146" s="162">
        <v>32941</v>
      </c>
      <c r="F146" s="166" t="str">
        <f t="shared" si="4"/>
        <v>Date check - OK</v>
      </c>
      <c r="G146" s="68"/>
      <c r="H146" s="162" t="s">
        <v>279</v>
      </c>
      <c r="I146" s="173">
        <v>8793.8848904043734</v>
      </c>
      <c r="J146" s="168">
        <f>IFERROR(MIN('MP Calculations'!$E$30/I146,1),"-")</f>
        <v>0.89877153183870317</v>
      </c>
      <c r="K146" s="12"/>
      <c r="L146" s="159">
        <v>40.416981</v>
      </c>
      <c r="M146" s="187" t="s">
        <v>301</v>
      </c>
      <c r="N146" s="187">
        <v>480.89954999999998</v>
      </c>
      <c r="O146" s="186">
        <f t="shared" si="5"/>
        <v>19436.507975258548</v>
      </c>
      <c r="P146" s="186">
        <f t="shared" si="6"/>
        <v>17468.980046518296</v>
      </c>
      <c r="Q146" s="215">
        <f>IF(P146="-",0,P146/(1+'General inputs'!$H$30)^'MP Calculations'!$C$40)</f>
        <v>38803.653315855518</v>
      </c>
    </row>
    <row r="147" spans="3:17" x14ac:dyDescent="0.25">
      <c r="C147" s="159"/>
      <c r="D147" s="165" t="s">
        <v>292</v>
      </c>
      <c r="E147" s="162">
        <v>32941</v>
      </c>
      <c r="F147" s="166" t="str">
        <f t="shared" si="4"/>
        <v>Date check - OK</v>
      </c>
      <c r="G147" s="68"/>
      <c r="H147" s="162" t="s">
        <v>279</v>
      </c>
      <c r="I147" s="173">
        <v>8793.8848904043734</v>
      </c>
      <c r="J147" s="168">
        <f>IFERROR(MIN('MP Calculations'!$E$30/I147,1),"-")</f>
        <v>0.89877153183870317</v>
      </c>
      <c r="K147" s="12"/>
      <c r="L147" s="159">
        <v>129.01012700000001</v>
      </c>
      <c r="M147" s="187" t="s">
        <v>301</v>
      </c>
      <c r="N147" s="187">
        <v>833.55921999999998</v>
      </c>
      <c r="O147" s="186">
        <f t="shared" si="5"/>
        <v>107537.58083422095</v>
      </c>
      <c r="P147" s="186">
        <f t="shared" si="6"/>
        <v>96651.716256601125</v>
      </c>
      <c r="Q147" s="215">
        <f>IF(P147="-",0,P147/(1+'General inputs'!$H$30)^'MP Calculations'!$C$40)</f>
        <v>214691.39469027435</v>
      </c>
    </row>
    <row r="148" spans="3:17" x14ac:dyDescent="0.25">
      <c r="C148" s="159"/>
      <c r="D148" s="165" t="s">
        <v>292</v>
      </c>
      <c r="E148" s="162">
        <v>32941</v>
      </c>
      <c r="F148" s="166" t="str">
        <f t="shared" si="4"/>
        <v>Date check - OK</v>
      </c>
      <c r="G148" s="68"/>
      <c r="H148" s="162" t="s">
        <v>279</v>
      </c>
      <c r="I148" s="173">
        <v>8793.8848904043734</v>
      </c>
      <c r="J148" s="168">
        <f>IFERROR(MIN('MP Calculations'!$E$30/I148,1),"-")</f>
        <v>0.89877153183870317</v>
      </c>
      <c r="K148" s="12"/>
      <c r="L148" s="159">
        <v>135.771953</v>
      </c>
      <c r="M148" s="187" t="s">
        <v>301</v>
      </c>
      <c r="N148" s="187">
        <v>833.55921999999998</v>
      </c>
      <c r="O148" s="186">
        <f t="shared" si="5"/>
        <v>113173.96324055665</v>
      </c>
      <c r="P148" s="186">
        <f t="shared" si="6"/>
        <v>101717.53630597219</v>
      </c>
      <c r="Q148" s="215">
        <f>IF(P148="-",0,P148/(1+'General inputs'!$H$30)^'MP Calculations'!$C$40)</f>
        <v>225944.04507013914</v>
      </c>
    </row>
    <row r="149" spans="3:17" x14ac:dyDescent="0.25">
      <c r="C149" s="159"/>
      <c r="D149" s="165" t="s">
        <v>283</v>
      </c>
      <c r="E149" s="162">
        <v>32941</v>
      </c>
      <c r="F149" s="166" t="str">
        <f t="shared" si="4"/>
        <v>Date check - OK</v>
      </c>
      <c r="G149" s="68"/>
      <c r="H149" s="162" t="s">
        <v>279</v>
      </c>
      <c r="I149" s="173">
        <v>8793.8848904043734</v>
      </c>
      <c r="J149" s="168">
        <f>IFERROR(MIN('MP Calculations'!$E$30/I149,1),"-")</f>
        <v>0.89877153183870317</v>
      </c>
      <c r="K149" s="12"/>
      <c r="L149" s="159">
        <v>13.798291000000001</v>
      </c>
      <c r="M149" s="187" t="s">
        <v>301</v>
      </c>
      <c r="N149" s="187">
        <v>657.22938499999998</v>
      </c>
      <c r="O149" s="186">
        <f t="shared" si="5"/>
        <v>9068.6423079810356</v>
      </c>
      <c r="P149" s="186">
        <f t="shared" si="6"/>
        <v>8150.6375388413881</v>
      </c>
      <c r="Q149" s="215">
        <f>IF(P149="-",0,P149/(1+'General inputs'!$H$30)^'MP Calculations'!$C$40)</f>
        <v>18104.921553415767</v>
      </c>
    </row>
    <row r="150" spans="3:17" x14ac:dyDescent="0.25">
      <c r="C150" s="159"/>
      <c r="D150" s="165" t="s">
        <v>283</v>
      </c>
      <c r="E150" s="162">
        <v>32941</v>
      </c>
      <c r="F150" s="166" t="str">
        <f t="shared" si="4"/>
        <v>Date check - OK</v>
      </c>
      <c r="G150" s="68"/>
      <c r="H150" s="162" t="s">
        <v>279</v>
      </c>
      <c r="I150" s="173">
        <v>8793.8848904043734</v>
      </c>
      <c r="J150" s="168">
        <f>IFERROR(MIN('MP Calculations'!$E$30/I150,1),"-")</f>
        <v>0.89877153183870317</v>
      </c>
      <c r="K150" s="12"/>
      <c r="L150" s="159">
        <v>22.787647</v>
      </c>
      <c r="M150" s="187" t="s">
        <v>301</v>
      </c>
      <c r="N150" s="187">
        <v>657.22938499999998</v>
      </c>
      <c r="O150" s="186">
        <f t="shared" si="5"/>
        <v>14976.711223407094</v>
      </c>
      <c r="P150" s="186">
        <f t="shared" si="6"/>
        <v>13460.641688167492</v>
      </c>
      <c r="Q150" s="215">
        <f>IF(P150="-",0,P150/(1+'General inputs'!$H$30)^'MP Calculations'!$C$40)</f>
        <v>29899.975389845749</v>
      </c>
    </row>
    <row r="151" spans="3:17" x14ac:dyDescent="0.25">
      <c r="C151" s="159"/>
      <c r="D151" s="165" t="s">
        <v>292</v>
      </c>
      <c r="E151" s="162">
        <v>32941</v>
      </c>
      <c r="F151" s="166" t="str">
        <f t="shared" ref="F151:F214" si="7">IF(E151="","-",IF(OR(E151&lt;$E$15,E151&gt;$E$16),"ERROR - date outside of range","Date check - OK"))</f>
        <v>Date check - OK</v>
      </c>
      <c r="G151" s="68"/>
      <c r="H151" s="162" t="s">
        <v>279</v>
      </c>
      <c r="I151" s="173">
        <v>8793.8848904043734</v>
      </c>
      <c r="J151" s="168">
        <f>IFERROR(MIN('MP Calculations'!$E$30/I151,1),"-")</f>
        <v>0.89877153183870317</v>
      </c>
      <c r="K151" s="12"/>
      <c r="L151" s="159">
        <v>123.71818</v>
      </c>
      <c r="M151" s="187" t="s">
        <v>301</v>
      </c>
      <c r="N151" s="187">
        <v>833.55921999999998</v>
      </c>
      <c r="O151" s="186">
        <f t="shared" ref="O151:O214" si="8">IF(N151="","-",L151*N151)</f>
        <v>103126.4296206196</v>
      </c>
      <c r="P151" s="186">
        <f t="shared" ref="P151:P214" si="9">IF(O151="-","-",IF(OR(E151&lt;$E$15,E151&gt;$E$16),0,O151*J151))</f>
        <v>92687.099123180495</v>
      </c>
      <c r="Q151" s="215">
        <f>IF(P151="-",0,P151/(1+'General inputs'!$H$30)^'MP Calculations'!$C$40)</f>
        <v>205884.83424051205</v>
      </c>
    </row>
    <row r="152" spans="3:17" x14ac:dyDescent="0.25">
      <c r="C152" s="159"/>
      <c r="D152" s="165" t="s">
        <v>281</v>
      </c>
      <c r="E152" s="162">
        <v>32941</v>
      </c>
      <c r="F152" s="166" t="str">
        <f t="shared" si="7"/>
        <v>Date check - OK</v>
      </c>
      <c r="G152" s="68"/>
      <c r="H152" s="162" t="s">
        <v>279</v>
      </c>
      <c r="I152" s="173">
        <v>8793.8848904043734</v>
      </c>
      <c r="J152" s="168">
        <f>IFERROR(MIN('MP Calculations'!$E$30/I152,1),"-")</f>
        <v>0.89877153183870317</v>
      </c>
      <c r="K152" s="12"/>
      <c r="L152" s="159">
        <v>18.998287000000001</v>
      </c>
      <c r="M152" s="187" t="s">
        <v>301</v>
      </c>
      <c r="N152" s="187">
        <v>480.89954999999998</v>
      </c>
      <c r="O152" s="186">
        <f t="shared" si="8"/>
        <v>9136.2676690708504</v>
      </c>
      <c r="P152" s="186">
        <f t="shared" si="9"/>
        <v>8211.417288219227</v>
      </c>
      <c r="Q152" s="215">
        <f>IF(P152="-",0,P152/(1+'General inputs'!$H$30)^'MP Calculations'!$C$40)</f>
        <v>18239.93094247007</v>
      </c>
    </row>
    <row r="153" spans="3:17" x14ac:dyDescent="0.25">
      <c r="C153" s="159"/>
      <c r="D153" s="165" t="s">
        <v>282</v>
      </c>
      <c r="E153" s="162">
        <v>32941</v>
      </c>
      <c r="F153" s="166" t="str">
        <f t="shared" si="7"/>
        <v>Date check - OK</v>
      </c>
      <c r="G153" s="68"/>
      <c r="H153" s="162" t="s">
        <v>279</v>
      </c>
      <c r="I153" s="173">
        <v>8793.8848904043734</v>
      </c>
      <c r="J153" s="168">
        <f>IFERROR(MIN('MP Calculations'!$E$30/I153,1),"-")</f>
        <v>0.89877153183870317</v>
      </c>
      <c r="K153" s="12"/>
      <c r="L153" s="159">
        <v>4.7045789999999998</v>
      </c>
      <c r="M153" s="187" t="s">
        <v>301</v>
      </c>
      <c r="N153" s="187">
        <v>304.56971499999997</v>
      </c>
      <c r="O153" s="186">
        <f t="shared" si="8"/>
        <v>1432.8722852249848</v>
      </c>
      <c r="P153" s="186">
        <f t="shared" si="9"/>
        <v>1287.8248187208828</v>
      </c>
      <c r="Q153" s="215">
        <f>IF(P153="-",0,P153/(1+'General inputs'!$H$30)^'MP Calculations'!$C$40)</f>
        <v>2860.6311109250755</v>
      </c>
    </row>
    <row r="154" spans="3:17" x14ac:dyDescent="0.25">
      <c r="C154" s="159"/>
      <c r="D154" s="165" t="s">
        <v>292</v>
      </c>
      <c r="E154" s="162">
        <v>32941</v>
      </c>
      <c r="F154" s="166" t="str">
        <f t="shared" si="7"/>
        <v>Date check - OK</v>
      </c>
      <c r="G154" s="68"/>
      <c r="H154" s="162" t="s">
        <v>279</v>
      </c>
      <c r="I154" s="173">
        <v>8793.8848904043734</v>
      </c>
      <c r="J154" s="168">
        <f>IFERROR(MIN('MP Calculations'!$E$30/I154,1),"-")</f>
        <v>0.89877153183870317</v>
      </c>
      <c r="K154" s="12"/>
      <c r="L154" s="159">
        <v>128.824152</v>
      </c>
      <c r="M154" s="187" t="s">
        <v>301</v>
      </c>
      <c r="N154" s="187">
        <v>833.55921999999998</v>
      </c>
      <c r="O154" s="186">
        <f t="shared" si="8"/>
        <v>107382.55965828143</v>
      </c>
      <c r="P154" s="186">
        <f t="shared" si="9"/>
        <v>96512.387636834537</v>
      </c>
      <c r="Q154" s="215">
        <f>IF(P154="-",0,P154/(1+'General inputs'!$H$30)^'MP Calculations'!$C$40)</f>
        <v>214381.90555902556</v>
      </c>
    </row>
    <row r="155" spans="3:17" x14ac:dyDescent="0.25">
      <c r="C155" s="159"/>
      <c r="D155" s="165" t="s">
        <v>292</v>
      </c>
      <c r="E155" s="162">
        <v>32941</v>
      </c>
      <c r="F155" s="166" t="str">
        <f t="shared" si="7"/>
        <v>Date check - OK</v>
      </c>
      <c r="G155" s="68"/>
      <c r="H155" s="162" t="s">
        <v>279</v>
      </c>
      <c r="I155" s="173">
        <v>8793.8848904043734</v>
      </c>
      <c r="J155" s="168">
        <f>IFERROR(MIN('MP Calculations'!$E$30/I155,1),"-")</f>
        <v>0.89877153183870317</v>
      </c>
      <c r="K155" s="12"/>
      <c r="L155" s="159">
        <v>43.341526000000002</v>
      </c>
      <c r="M155" s="187" t="s">
        <v>301</v>
      </c>
      <c r="N155" s="187">
        <v>833.55921999999998</v>
      </c>
      <c r="O155" s="186">
        <f t="shared" si="8"/>
        <v>36127.728606169723</v>
      </c>
      <c r="P155" s="186">
        <f t="shared" si="9"/>
        <v>32470.573981220099</v>
      </c>
      <c r="Q155" s="215">
        <f>IF(P155="-",0,P155/(1+'General inputs'!$H$30)^'MP Calculations'!$C$40)</f>
        <v>72126.528989036553</v>
      </c>
    </row>
    <row r="156" spans="3:17" x14ac:dyDescent="0.25">
      <c r="C156" s="159"/>
      <c r="D156" s="165" t="s">
        <v>283</v>
      </c>
      <c r="E156" s="162">
        <v>32941</v>
      </c>
      <c r="F156" s="166" t="str">
        <f t="shared" si="7"/>
        <v>Date check - OK</v>
      </c>
      <c r="G156" s="68"/>
      <c r="H156" s="162" t="s">
        <v>279</v>
      </c>
      <c r="I156" s="173">
        <v>8793.8848904043734</v>
      </c>
      <c r="J156" s="168">
        <f>IFERROR(MIN('MP Calculations'!$E$30/I156,1),"-")</f>
        <v>0.89877153183870317</v>
      </c>
      <c r="K156" s="12"/>
      <c r="L156" s="159">
        <v>93.667468999999997</v>
      </c>
      <c r="M156" s="187" t="s">
        <v>301</v>
      </c>
      <c r="N156" s="187">
        <v>657.22938499999998</v>
      </c>
      <c r="O156" s="186">
        <f t="shared" si="8"/>
        <v>61561.01304537656</v>
      </c>
      <c r="P156" s="186">
        <f t="shared" si="9"/>
        <v>55329.285996335479</v>
      </c>
      <c r="Q156" s="215">
        <f>IF(P156="-",0,P156/(1+'General inputs'!$H$30)^'MP Calculations'!$C$40)</f>
        <v>122902.33466970676</v>
      </c>
    </row>
    <row r="157" spans="3:17" x14ac:dyDescent="0.25">
      <c r="C157" s="159"/>
      <c r="D157" s="165" t="s">
        <v>283</v>
      </c>
      <c r="E157" s="162">
        <v>32941</v>
      </c>
      <c r="F157" s="166" t="str">
        <f t="shared" si="7"/>
        <v>Date check - OK</v>
      </c>
      <c r="G157" s="68"/>
      <c r="H157" s="162" t="s">
        <v>279</v>
      </c>
      <c r="I157" s="173">
        <v>8793.8848904043734</v>
      </c>
      <c r="J157" s="168">
        <f>IFERROR(MIN('MP Calculations'!$E$30/I157,1),"-")</f>
        <v>0.89877153183870317</v>
      </c>
      <c r="K157" s="12"/>
      <c r="L157" s="159">
        <v>26.794944000000001</v>
      </c>
      <c r="M157" s="187" t="s">
        <v>301</v>
      </c>
      <c r="N157" s="187">
        <v>657.22938499999998</v>
      </c>
      <c r="O157" s="186">
        <f t="shared" si="8"/>
        <v>17610.424566229442</v>
      </c>
      <c r="P157" s="186">
        <f t="shared" si="9"/>
        <v>15827.748263719965</v>
      </c>
      <c r="Q157" s="215">
        <f>IF(P157="-",0,P157/(1+'General inputs'!$H$30)^'MP Calculations'!$C$40)</f>
        <v>35158.003201133273</v>
      </c>
    </row>
    <row r="158" spans="3:17" x14ac:dyDescent="0.25">
      <c r="C158" s="159"/>
      <c r="D158" s="165" t="s">
        <v>292</v>
      </c>
      <c r="E158" s="162">
        <v>32941</v>
      </c>
      <c r="F158" s="166" t="str">
        <f t="shared" si="7"/>
        <v>Date check - OK</v>
      </c>
      <c r="G158" s="68"/>
      <c r="H158" s="162" t="s">
        <v>279</v>
      </c>
      <c r="I158" s="173">
        <v>8793.8848904043734</v>
      </c>
      <c r="J158" s="168">
        <f>IFERROR(MIN('MP Calculations'!$E$30/I158,1),"-")</f>
        <v>0.89877153183870317</v>
      </c>
      <c r="K158" s="12"/>
      <c r="L158" s="159">
        <v>73.601566000000005</v>
      </c>
      <c r="M158" s="187" t="s">
        <v>301</v>
      </c>
      <c r="N158" s="187">
        <v>833.55921999999998</v>
      </c>
      <c r="O158" s="186">
        <f t="shared" si="8"/>
        <v>61351.263945738523</v>
      </c>
      <c r="P158" s="186">
        <f t="shared" si="9"/>
        <v>55140.769476752015</v>
      </c>
      <c r="Q158" s="215">
        <f>IF(P158="-",0,P158/(1+'General inputs'!$H$30)^'MP Calculations'!$C$40)</f>
        <v>122483.58499738768</v>
      </c>
    </row>
    <row r="159" spans="3:17" x14ac:dyDescent="0.25">
      <c r="C159" s="159"/>
      <c r="D159" s="165" t="s">
        <v>281</v>
      </c>
      <c r="E159" s="162">
        <v>32941</v>
      </c>
      <c r="F159" s="166" t="str">
        <f t="shared" si="7"/>
        <v>Date check - OK</v>
      </c>
      <c r="G159" s="68"/>
      <c r="H159" s="162" t="s">
        <v>279</v>
      </c>
      <c r="I159" s="173">
        <v>8793.8848904043734</v>
      </c>
      <c r="J159" s="168">
        <f>IFERROR(MIN('MP Calculations'!$E$30/I159,1),"-")</f>
        <v>0.89877153183870317</v>
      </c>
      <c r="K159" s="12"/>
      <c r="L159" s="159">
        <v>27.886922999999999</v>
      </c>
      <c r="M159" s="187" t="s">
        <v>301</v>
      </c>
      <c r="N159" s="187">
        <v>480.89954999999998</v>
      </c>
      <c r="O159" s="186">
        <f t="shared" si="8"/>
        <v>13410.80872158465</v>
      </c>
      <c r="P159" s="186">
        <f t="shared" si="9"/>
        <v>12053.253097894476</v>
      </c>
      <c r="Q159" s="215">
        <f>IF(P159="-",0,P159/(1+'General inputs'!$H$30)^'MP Calculations'!$C$40)</f>
        <v>26773.758587707416</v>
      </c>
    </row>
    <row r="160" spans="3:17" x14ac:dyDescent="0.25">
      <c r="C160" s="159"/>
      <c r="D160" s="165" t="s">
        <v>281</v>
      </c>
      <c r="E160" s="162">
        <v>32941</v>
      </c>
      <c r="F160" s="166" t="str">
        <f t="shared" si="7"/>
        <v>Date check - OK</v>
      </c>
      <c r="G160" s="68"/>
      <c r="H160" s="162" t="s">
        <v>279</v>
      </c>
      <c r="I160" s="173">
        <v>8793.8848904043734</v>
      </c>
      <c r="J160" s="168">
        <f>IFERROR(MIN('MP Calculations'!$E$30/I160,1),"-")</f>
        <v>0.89877153183870317</v>
      </c>
      <c r="K160" s="12"/>
      <c r="L160" s="159">
        <v>63.789858000000002</v>
      </c>
      <c r="M160" s="187" t="s">
        <v>301</v>
      </c>
      <c r="N160" s="187">
        <v>480.89954999999998</v>
      </c>
      <c r="O160" s="186">
        <f t="shared" si="8"/>
        <v>30676.5140067639</v>
      </c>
      <c r="P160" s="186">
        <f t="shared" si="9"/>
        <v>27571.177485330623</v>
      </c>
      <c r="Q160" s="215">
        <f>IF(P160="-",0,P160/(1+'General inputs'!$H$30)^'MP Calculations'!$C$40)</f>
        <v>61243.553418788324</v>
      </c>
    </row>
    <row r="161" spans="3:17" x14ac:dyDescent="0.25">
      <c r="C161" s="159"/>
      <c r="D161" s="165" t="s">
        <v>281</v>
      </c>
      <c r="E161" s="162">
        <v>32941</v>
      </c>
      <c r="F161" s="166" t="str">
        <f t="shared" si="7"/>
        <v>Date check - OK</v>
      </c>
      <c r="G161" s="68"/>
      <c r="H161" s="162" t="s">
        <v>279</v>
      </c>
      <c r="I161" s="173">
        <v>8793.8848904043734</v>
      </c>
      <c r="J161" s="168">
        <f>IFERROR(MIN('MP Calculations'!$E$30/I161,1),"-")</f>
        <v>0.89877153183870317</v>
      </c>
      <c r="K161" s="12"/>
      <c r="L161" s="159">
        <v>9.3995029999999993</v>
      </c>
      <c r="M161" s="187" t="s">
        <v>301</v>
      </c>
      <c r="N161" s="187">
        <v>480.89954999999998</v>
      </c>
      <c r="O161" s="186">
        <f t="shared" si="8"/>
        <v>4520.2167629236492</v>
      </c>
      <c r="P161" s="186">
        <f t="shared" si="9"/>
        <v>4062.6421442558722</v>
      </c>
      <c r="Q161" s="215">
        <f>IF(P161="-",0,P161/(1+'General inputs'!$H$30)^'MP Calculations'!$C$40)</f>
        <v>9024.3023286015305</v>
      </c>
    </row>
    <row r="162" spans="3:17" x14ac:dyDescent="0.25">
      <c r="C162" s="159"/>
      <c r="D162" s="165" t="s">
        <v>281</v>
      </c>
      <c r="E162" s="162">
        <v>32941</v>
      </c>
      <c r="F162" s="166" t="str">
        <f t="shared" si="7"/>
        <v>Date check - OK</v>
      </c>
      <c r="G162" s="68"/>
      <c r="H162" s="162" t="s">
        <v>279</v>
      </c>
      <c r="I162" s="173">
        <v>8793.8848904043734</v>
      </c>
      <c r="J162" s="168">
        <f>IFERROR(MIN('MP Calculations'!$E$30/I162,1),"-")</f>
        <v>0.89877153183870317</v>
      </c>
      <c r="K162" s="12"/>
      <c r="L162" s="159">
        <v>37.676513</v>
      </c>
      <c r="M162" s="187" t="s">
        <v>301</v>
      </c>
      <c r="N162" s="187">
        <v>480.89954999999998</v>
      </c>
      <c r="O162" s="186">
        <f t="shared" si="8"/>
        <v>18118.61814726915</v>
      </c>
      <c r="P162" s="186">
        <f t="shared" si="9"/>
        <v>16284.49818702162</v>
      </c>
      <c r="Q162" s="215">
        <f>IF(P162="-",0,P162/(1+'General inputs'!$H$30)^'MP Calculations'!$C$40)</f>
        <v>36172.576784058256</v>
      </c>
    </row>
    <row r="163" spans="3:17" x14ac:dyDescent="0.25">
      <c r="C163" s="159"/>
      <c r="D163" s="165" t="s">
        <v>281</v>
      </c>
      <c r="E163" s="162">
        <v>32941</v>
      </c>
      <c r="F163" s="166" t="str">
        <f t="shared" si="7"/>
        <v>Date check - OK</v>
      </c>
      <c r="G163" s="68"/>
      <c r="H163" s="162" t="s">
        <v>279</v>
      </c>
      <c r="I163" s="173">
        <v>8793.8848904043734</v>
      </c>
      <c r="J163" s="168">
        <f>IFERROR(MIN('MP Calculations'!$E$30/I163,1),"-")</f>
        <v>0.89877153183870317</v>
      </c>
      <c r="K163" s="12"/>
      <c r="L163" s="159">
        <v>40.739111000000001</v>
      </c>
      <c r="M163" s="187" t="s">
        <v>301</v>
      </c>
      <c r="N163" s="187">
        <v>480.89954999999998</v>
      </c>
      <c r="O163" s="186">
        <f t="shared" si="8"/>
        <v>19591.42014730005</v>
      </c>
      <c r="P163" s="186">
        <f t="shared" si="9"/>
        <v>17608.210696684499</v>
      </c>
      <c r="Q163" s="215">
        <f>IF(P163="-",0,P163/(1+'General inputs'!$H$30)^'MP Calculations'!$C$40)</f>
        <v>39112.924828308089</v>
      </c>
    </row>
    <row r="164" spans="3:17" x14ac:dyDescent="0.25">
      <c r="C164" s="159"/>
      <c r="D164" s="165" t="s">
        <v>281</v>
      </c>
      <c r="E164" s="162">
        <v>32941</v>
      </c>
      <c r="F164" s="166" t="str">
        <f t="shared" si="7"/>
        <v>Date check - OK</v>
      </c>
      <c r="G164" s="68"/>
      <c r="H164" s="162" t="s">
        <v>279</v>
      </c>
      <c r="I164" s="173">
        <v>8793.8848904043734</v>
      </c>
      <c r="J164" s="168">
        <f>IFERROR(MIN('MP Calculations'!$E$30/I164,1),"-")</f>
        <v>0.89877153183870317</v>
      </c>
      <c r="K164" s="12"/>
      <c r="L164" s="159">
        <v>111.50676799999999</v>
      </c>
      <c r="M164" s="187" t="s">
        <v>301</v>
      </c>
      <c r="N164" s="187">
        <v>480.89954999999998</v>
      </c>
      <c r="O164" s="186">
        <f t="shared" si="8"/>
        <v>53623.554553154398</v>
      </c>
      <c r="P164" s="186">
        <f t="shared" si="9"/>
        <v>48195.324268374847</v>
      </c>
      <c r="Q164" s="215">
        <f>IF(P164="-",0,P164/(1+'General inputs'!$H$30)^'MP Calculations'!$C$40)</f>
        <v>107055.74391722954</v>
      </c>
    </row>
    <row r="165" spans="3:17" x14ac:dyDescent="0.25">
      <c r="C165" s="159"/>
      <c r="D165" s="165" t="s">
        <v>281</v>
      </c>
      <c r="E165" s="162">
        <v>32941</v>
      </c>
      <c r="F165" s="166" t="str">
        <f t="shared" si="7"/>
        <v>Date check - OK</v>
      </c>
      <c r="G165" s="68"/>
      <c r="H165" s="162" t="s">
        <v>279</v>
      </c>
      <c r="I165" s="173">
        <v>8793.8848904043734</v>
      </c>
      <c r="J165" s="168">
        <f>IFERROR(MIN('MP Calculations'!$E$30/I165,1),"-")</f>
        <v>0.89877153183870317</v>
      </c>
      <c r="K165" s="12"/>
      <c r="L165" s="159">
        <v>84.291376999999997</v>
      </c>
      <c r="M165" s="187" t="s">
        <v>301</v>
      </c>
      <c r="N165" s="187">
        <v>480.89954999999998</v>
      </c>
      <c r="O165" s="186">
        <f t="shared" si="8"/>
        <v>40535.68526818035</v>
      </c>
      <c r="P165" s="186">
        <f t="shared" si="9"/>
        <v>36432.319942614005</v>
      </c>
      <c r="Q165" s="215">
        <f>IF(P165="-",0,P165/(1+'General inputs'!$H$30)^'MP Calculations'!$C$40)</f>
        <v>80926.711735942808</v>
      </c>
    </row>
    <row r="166" spans="3:17" x14ac:dyDescent="0.25">
      <c r="C166" s="159"/>
      <c r="D166" s="165" t="s">
        <v>283</v>
      </c>
      <c r="E166" s="162">
        <v>32941</v>
      </c>
      <c r="F166" s="166" t="str">
        <f t="shared" si="7"/>
        <v>Date check - OK</v>
      </c>
      <c r="G166" s="68"/>
      <c r="H166" s="162" t="s">
        <v>279</v>
      </c>
      <c r="I166" s="173">
        <v>8793.8848904043734</v>
      </c>
      <c r="J166" s="168">
        <f>IFERROR(MIN('MP Calculations'!$E$30/I166,1),"-")</f>
        <v>0.89877153183870317</v>
      </c>
      <c r="K166" s="12"/>
      <c r="L166" s="159">
        <v>122.528577</v>
      </c>
      <c r="M166" s="187" t="s">
        <v>301</v>
      </c>
      <c r="N166" s="187">
        <v>657.22938499999998</v>
      </c>
      <c r="O166" s="186">
        <f t="shared" si="8"/>
        <v>80529.381306635143</v>
      </c>
      <c r="P166" s="186">
        <f t="shared" si="9"/>
        <v>72377.515394987495</v>
      </c>
      <c r="Q166" s="215">
        <f>IF(P166="-",0,P166/(1+'General inputs'!$H$30)^'MP Calculations'!$C$40)</f>
        <v>160771.37919737041</v>
      </c>
    </row>
    <row r="167" spans="3:17" x14ac:dyDescent="0.25">
      <c r="C167" s="159"/>
      <c r="D167" s="165" t="s">
        <v>292</v>
      </c>
      <c r="E167" s="162">
        <v>32941</v>
      </c>
      <c r="F167" s="166" t="str">
        <f t="shared" si="7"/>
        <v>Date check - OK</v>
      </c>
      <c r="G167" s="68"/>
      <c r="H167" s="162" t="s">
        <v>279</v>
      </c>
      <c r="I167" s="173">
        <v>8793.8848904043734</v>
      </c>
      <c r="J167" s="168">
        <f>IFERROR(MIN('MP Calculations'!$E$30/I167,1),"-")</f>
        <v>0.89877153183870317</v>
      </c>
      <c r="K167" s="12"/>
      <c r="L167" s="159">
        <v>71.476774000000006</v>
      </c>
      <c r="M167" s="187" t="s">
        <v>301</v>
      </c>
      <c r="N167" s="187">
        <v>833.55921999999998</v>
      </c>
      <c r="O167" s="186">
        <f t="shared" si="8"/>
        <v>59580.123983556281</v>
      </c>
      <c r="P167" s="186">
        <f t="shared" si="9"/>
        <v>53548.919299840738</v>
      </c>
      <c r="Q167" s="215">
        <f>IF(P167="-",0,P167/(1+'General inputs'!$H$30)^'MP Calculations'!$C$40)</f>
        <v>118947.62570089975</v>
      </c>
    </row>
    <row r="168" spans="3:17" x14ac:dyDescent="0.25">
      <c r="C168" s="159"/>
      <c r="D168" s="165" t="s">
        <v>281</v>
      </c>
      <c r="E168" s="162">
        <v>32941</v>
      </c>
      <c r="F168" s="166" t="str">
        <f t="shared" si="7"/>
        <v>Date check - OK</v>
      </c>
      <c r="G168" s="68"/>
      <c r="H168" s="162" t="s">
        <v>279</v>
      </c>
      <c r="I168" s="173">
        <v>8793.8848904043734</v>
      </c>
      <c r="J168" s="168">
        <f>IFERROR(MIN('MP Calculations'!$E$30/I168,1),"-")</f>
        <v>0.89877153183870317</v>
      </c>
      <c r="K168" s="12"/>
      <c r="L168" s="159">
        <v>10.400033000000001</v>
      </c>
      <c r="M168" s="187" t="s">
        <v>301</v>
      </c>
      <c r="N168" s="187">
        <v>480.89954999999998</v>
      </c>
      <c r="O168" s="186">
        <f t="shared" si="8"/>
        <v>5001.3711896851501</v>
      </c>
      <c r="P168" s="186">
        <f t="shared" si="9"/>
        <v>4495.0900454472794</v>
      </c>
      <c r="Q168" s="215">
        <f>IF(P168="-",0,P168/(1+'General inputs'!$H$30)^'MP Calculations'!$C$40)</f>
        <v>9984.894096999893</v>
      </c>
    </row>
    <row r="169" spans="3:17" x14ac:dyDescent="0.25">
      <c r="C169" s="159"/>
      <c r="D169" s="165" t="s">
        <v>281</v>
      </c>
      <c r="E169" s="162">
        <v>32941</v>
      </c>
      <c r="F169" s="166" t="str">
        <f t="shared" si="7"/>
        <v>Date check - OK</v>
      </c>
      <c r="G169" s="68"/>
      <c r="H169" s="162" t="s">
        <v>279</v>
      </c>
      <c r="I169" s="173">
        <v>8793.8848904043734</v>
      </c>
      <c r="J169" s="168">
        <f>IFERROR(MIN('MP Calculations'!$E$30/I169,1),"-")</f>
        <v>0.89877153183870317</v>
      </c>
      <c r="K169" s="12"/>
      <c r="L169" s="159">
        <v>121.56516499999999</v>
      </c>
      <c r="M169" s="187" t="s">
        <v>301</v>
      </c>
      <c r="N169" s="187">
        <v>480.89954999999998</v>
      </c>
      <c r="O169" s="186">
        <f t="shared" si="8"/>
        <v>58460.633144175743</v>
      </c>
      <c r="P169" s="186">
        <f t="shared" si="9"/>
        <v>52542.752803251293</v>
      </c>
      <c r="Q169" s="215">
        <f>IF(P169="-",0,P169/(1+'General inputs'!$H$30)^'MP Calculations'!$C$40)</f>
        <v>116712.63912425257</v>
      </c>
    </row>
    <row r="170" spans="3:17" x14ac:dyDescent="0.25">
      <c r="C170" s="159"/>
      <c r="D170" s="165" t="s">
        <v>281</v>
      </c>
      <c r="E170" s="162">
        <v>32941</v>
      </c>
      <c r="F170" s="166" t="str">
        <f t="shared" si="7"/>
        <v>Date check - OK</v>
      </c>
      <c r="G170" s="68"/>
      <c r="H170" s="162" t="s">
        <v>279</v>
      </c>
      <c r="I170" s="173">
        <v>8793.8848904043734</v>
      </c>
      <c r="J170" s="168">
        <f>IFERROR(MIN('MP Calculations'!$E$30/I170,1),"-")</f>
        <v>0.89877153183870317</v>
      </c>
      <c r="K170" s="12"/>
      <c r="L170" s="159">
        <v>21.546499000000001</v>
      </c>
      <c r="M170" s="187" t="s">
        <v>301</v>
      </c>
      <c r="N170" s="187">
        <v>480.89954999999998</v>
      </c>
      <c r="O170" s="186">
        <f t="shared" si="8"/>
        <v>10361.70167317545</v>
      </c>
      <c r="P170" s="186">
        <f t="shared" si="9"/>
        <v>9312.8024852555536</v>
      </c>
      <c r="Q170" s="215">
        <f>IF(P170="-",0,P170/(1+'General inputs'!$H$30)^'MP Calculations'!$C$40)</f>
        <v>20686.425771544582</v>
      </c>
    </row>
    <row r="171" spans="3:17" x14ac:dyDescent="0.25">
      <c r="C171" s="159"/>
      <c r="D171" s="165" t="s">
        <v>281</v>
      </c>
      <c r="E171" s="162">
        <v>32941</v>
      </c>
      <c r="F171" s="166" t="str">
        <f t="shared" si="7"/>
        <v>Date check - OK</v>
      </c>
      <c r="G171" s="68"/>
      <c r="H171" s="162" t="s">
        <v>279</v>
      </c>
      <c r="I171" s="173">
        <v>8793.8848904043734</v>
      </c>
      <c r="J171" s="168">
        <f>IFERROR(MIN('MP Calculations'!$E$30/I171,1),"-")</f>
        <v>0.89877153183870317</v>
      </c>
      <c r="K171" s="12"/>
      <c r="L171" s="159">
        <v>23.363285000000001</v>
      </c>
      <c r="M171" s="187" t="s">
        <v>301</v>
      </c>
      <c r="N171" s="187">
        <v>480.89954999999998</v>
      </c>
      <c r="O171" s="186">
        <f t="shared" si="8"/>
        <v>11235.39324302175</v>
      </c>
      <c r="P171" s="186">
        <f t="shared" si="9"/>
        <v>10098.051595840874</v>
      </c>
      <c r="Q171" s="215">
        <f>IF(P171="-",0,P171/(1+'General inputs'!$H$30)^'MP Calculations'!$C$40)</f>
        <v>22430.690987521499</v>
      </c>
    </row>
    <row r="172" spans="3:17" x14ac:dyDescent="0.25">
      <c r="C172" s="159"/>
      <c r="D172" s="165" t="s">
        <v>281</v>
      </c>
      <c r="E172" s="162">
        <v>32941</v>
      </c>
      <c r="F172" s="166" t="str">
        <f t="shared" si="7"/>
        <v>Date check - OK</v>
      </c>
      <c r="G172" s="68"/>
      <c r="H172" s="162" t="s">
        <v>279</v>
      </c>
      <c r="I172" s="173">
        <v>8793.8848904043734</v>
      </c>
      <c r="J172" s="168">
        <f>IFERROR(MIN('MP Calculations'!$E$30/I172,1),"-")</f>
        <v>0.89877153183870317</v>
      </c>
      <c r="K172" s="12"/>
      <c r="L172" s="159">
        <v>47.046056</v>
      </c>
      <c r="M172" s="187" t="s">
        <v>301</v>
      </c>
      <c r="N172" s="187">
        <v>480.89954999999998</v>
      </c>
      <c r="O172" s="186">
        <f t="shared" si="8"/>
        <v>22624.4271596748</v>
      </c>
      <c r="P172" s="186">
        <f t="shared" si="9"/>
        <v>20334.191055274081</v>
      </c>
      <c r="Q172" s="215">
        <f>IF(P172="-",0,P172/(1+'General inputs'!$H$30)^'MP Calculations'!$C$40)</f>
        <v>45168.115028243315</v>
      </c>
    </row>
    <row r="173" spans="3:17" x14ac:dyDescent="0.25">
      <c r="C173" s="159"/>
      <c r="D173" s="165" t="s">
        <v>281</v>
      </c>
      <c r="E173" s="162">
        <v>32941</v>
      </c>
      <c r="F173" s="166" t="str">
        <f t="shared" si="7"/>
        <v>Date check - OK</v>
      </c>
      <c r="G173" s="68"/>
      <c r="H173" s="162" t="s">
        <v>279</v>
      </c>
      <c r="I173" s="173">
        <v>8793.8848904043734</v>
      </c>
      <c r="J173" s="168">
        <f>IFERROR(MIN('MP Calculations'!$E$30/I173,1),"-")</f>
        <v>0.89877153183870317</v>
      </c>
      <c r="K173" s="12"/>
      <c r="L173" s="159">
        <v>19.628015000000001</v>
      </c>
      <c r="M173" s="187" t="s">
        <v>301</v>
      </c>
      <c r="N173" s="187">
        <v>480.89954999999998</v>
      </c>
      <c r="O173" s="186">
        <f t="shared" si="8"/>
        <v>9439.1035808932502</v>
      </c>
      <c r="P173" s="186">
        <f t="shared" si="9"/>
        <v>8483.5975845836147</v>
      </c>
      <c r="Q173" s="215">
        <f>IF(P173="-",0,P173/(1+'General inputs'!$H$30)^'MP Calculations'!$C$40)</f>
        <v>18844.522042317112</v>
      </c>
    </row>
    <row r="174" spans="3:17" x14ac:dyDescent="0.25">
      <c r="C174" s="159"/>
      <c r="D174" s="165" t="s">
        <v>281</v>
      </c>
      <c r="E174" s="162">
        <v>32941</v>
      </c>
      <c r="F174" s="166" t="str">
        <f t="shared" si="7"/>
        <v>Date check - OK</v>
      </c>
      <c r="G174" s="68"/>
      <c r="H174" s="162" t="s">
        <v>279</v>
      </c>
      <c r="I174" s="173">
        <v>8793.8848904043734</v>
      </c>
      <c r="J174" s="168">
        <f>IFERROR(MIN('MP Calculations'!$E$30/I174,1),"-")</f>
        <v>0.89877153183870317</v>
      </c>
      <c r="K174" s="12"/>
      <c r="L174" s="159">
        <v>32.915522000000003</v>
      </c>
      <c r="M174" s="187" t="s">
        <v>301</v>
      </c>
      <c r="N174" s="187">
        <v>480.89954999999998</v>
      </c>
      <c r="O174" s="186">
        <f t="shared" si="8"/>
        <v>15829.0597178151</v>
      </c>
      <c r="P174" s="186">
        <f t="shared" si="9"/>
        <v>14226.708250146989</v>
      </c>
      <c r="Q174" s="215">
        <f>IF(P174="-",0,P174/(1+'General inputs'!$H$30)^'MP Calculations'!$C$40)</f>
        <v>31601.63062150573</v>
      </c>
    </row>
    <row r="175" spans="3:17" x14ac:dyDescent="0.25">
      <c r="C175" s="159"/>
      <c r="D175" s="165" t="s">
        <v>281</v>
      </c>
      <c r="E175" s="162">
        <v>32941</v>
      </c>
      <c r="F175" s="166" t="str">
        <f t="shared" si="7"/>
        <v>Date check - OK</v>
      </c>
      <c r="G175" s="68"/>
      <c r="H175" s="162" t="s">
        <v>279</v>
      </c>
      <c r="I175" s="173">
        <v>8793.8848904043734</v>
      </c>
      <c r="J175" s="168">
        <f>IFERROR(MIN('MP Calculations'!$E$30/I175,1),"-")</f>
        <v>0.89877153183870317</v>
      </c>
      <c r="K175" s="12"/>
      <c r="L175" s="159">
        <v>48.787348000000001</v>
      </c>
      <c r="M175" s="187" t="s">
        <v>301</v>
      </c>
      <c r="N175" s="187">
        <v>480.89954999999998</v>
      </c>
      <c r="O175" s="186">
        <f t="shared" si="8"/>
        <v>23461.813698893398</v>
      </c>
      <c r="P175" s="186">
        <f t="shared" si="9"/>
        <v>21086.810237868689</v>
      </c>
      <c r="Q175" s="215">
        <f>IF(P175="-",0,P175/(1+'General inputs'!$H$30)^'MP Calculations'!$C$40)</f>
        <v>46839.899743921917</v>
      </c>
    </row>
    <row r="176" spans="3:17" x14ac:dyDescent="0.25">
      <c r="C176" s="159"/>
      <c r="D176" s="165" t="s">
        <v>281</v>
      </c>
      <c r="E176" s="162">
        <v>32941</v>
      </c>
      <c r="F176" s="166" t="str">
        <f t="shared" si="7"/>
        <v>Date check - OK</v>
      </c>
      <c r="G176" s="68"/>
      <c r="H176" s="162" t="s">
        <v>279</v>
      </c>
      <c r="I176" s="173">
        <v>8793.8848904043734</v>
      </c>
      <c r="J176" s="168">
        <f>IFERROR(MIN('MP Calculations'!$E$30/I176,1),"-")</f>
        <v>0.89877153183870317</v>
      </c>
      <c r="K176" s="12"/>
      <c r="L176" s="159">
        <v>75.111756999999997</v>
      </c>
      <c r="M176" s="187" t="s">
        <v>301</v>
      </c>
      <c r="N176" s="187">
        <v>480.89954999999998</v>
      </c>
      <c r="O176" s="186">
        <f t="shared" si="8"/>
        <v>36121.210141009346</v>
      </c>
      <c r="P176" s="186">
        <f t="shared" si="9"/>
        <v>32464.715370302671</v>
      </c>
      <c r="Q176" s="215">
        <f>IF(P176="-",0,P176/(1+'General inputs'!$H$30)^'MP Calculations'!$C$40)</f>
        <v>72113.515321017767</v>
      </c>
    </row>
    <row r="177" spans="3:17" x14ac:dyDescent="0.25">
      <c r="C177" s="159"/>
      <c r="D177" s="165" t="s">
        <v>283</v>
      </c>
      <c r="E177" s="162">
        <v>32941</v>
      </c>
      <c r="F177" s="166" t="str">
        <f t="shared" si="7"/>
        <v>Date check - OK</v>
      </c>
      <c r="G177" s="68"/>
      <c r="H177" s="162" t="s">
        <v>279</v>
      </c>
      <c r="I177" s="173">
        <v>8793.8848904043734</v>
      </c>
      <c r="J177" s="168">
        <f>IFERROR(MIN('MP Calculations'!$E$30/I177,1),"-")</f>
        <v>0.89877153183870317</v>
      </c>
      <c r="K177" s="12"/>
      <c r="L177" s="159">
        <v>140.71630500000001</v>
      </c>
      <c r="M177" s="187" t="s">
        <v>301</v>
      </c>
      <c r="N177" s="187">
        <v>657.22938499999998</v>
      </c>
      <c r="O177" s="186">
        <f t="shared" si="8"/>
        <v>92482.890594622426</v>
      </c>
      <c r="P177" s="186">
        <f t="shared" si="9"/>
        <v>83120.989248599988</v>
      </c>
      <c r="Q177" s="215">
        <f>IF(P177="-",0,P177/(1+'General inputs'!$H$30)^'MP Calculations'!$C$40)</f>
        <v>184635.73955003027</v>
      </c>
    </row>
    <row r="178" spans="3:17" x14ac:dyDescent="0.25">
      <c r="C178" s="159"/>
      <c r="D178" s="165" t="s">
        <v>281</v>
      </c>
      <c r="E178" s="162">
        <v>32941</v>
      </c>
      <c r="F178" s="166" t="str">
        <f t="shared" si="7"/>
        <v>Date check - OK</v>
      </c>
      <c r="G178" s="68"/>
      <c r="H178" s="162" t="s">
        <v>279</v>
      </c>
      <c r="I178" s="173">
        <v>8793.8848904043734</v>
      </c>
      <c r="J178" s="168">
        <f>IFERROR(MIN('MP Calculations'!$E$30/I178,1),"-")</f>
        <v>0.89877153183870317</v>
      </c>
      <c r="K178" s="12"/>
      <c r="L178" s="159">
        <v>98.179703000000003</v>
      </c>
      <c r="M178" s="187" t="s">
        <v>301</v>
      </c>
      <c r="N178" s="187">
        <v>480.89954999999998</v>
      </c>
      <c r="O178" s="186">
        <f t="shared" si="8"/>
        <v>47214.574991833651</v>
      </c>
      <c r="P178" s="186">
        <f t="shared" si="9"/>
        <v>42435.115890523659</v>
      </c>
      <c r="Q178" s="215">
        <f>IF(P178="-",0,P178/(1+'General inputs'!$H$30)^'MP Calculations'!$C$40)</f>
        <v>94260.656377715597</v>
      </c>
    </row>
    <row r="179" spans="3:17" x14ac:dyDescent="0.25">
      <c r="C179" s="159"/>
      <c r="D179" s="165" t="s">
        <v>292</v>
      </c>
      <c r="E179" s="162">
        <v>32941</v>
      </c>
      <c r="F179" s="166" t="str">
        <f t="shared" si="7"/>
        <v>Date check - OK</v>
      </c>
      <c r="G179" s="68"/>
      <c r="H179" s="162" t="s">
        <v>279</v>
      </c>
      <c r="I179" s="173">
        <v>8793.8848904043734</v>
      </c>
      <c r="J179" s="168">
        <f>IFERROR(MIN('MP Calculations'!$E$30/I179,1),"-")</f>
        <v>0.89877153183870317</v>
      </c>
      <c r="K179" s="12"/>
      <c r="L179" s="159">
        <v>125.98894199999999</v>
      </c>
      <c r="M179" s="187" t="s">
        <v>301</v>
      </c>
      <c r="N179" s="187">
        <v>833.55921999999998</v>
      </c>
      <c r="O179" s="186">
        <f t="shared" si="8"/>
        <v>105019.24422214524</v>
      </c>
      <c r="P179" s="186">
        <f t="shared" si="9"/>
        <v>94388.307002080357</v>
      </c>
      <c r="Q179" s="215">
        <f>IF(P179="-",0,P179/(1+'General inputs'!$H$30)^'MP Calculations'!$C$40)</f>
        <v>209663.70859810163</v>
      </c>
    </row>
    <row r="180" spans="3:17" x14ac:dyDescent="0.25">
      <c r="C180" s="159"/>
      <c r="D180" s="165" t="s">
        <v>283</v>
      </c>
      <c r="E180" s="162">
        <v>32941</v>
      </c>
      <c r="F180" s="166" t="str">
        <f t="shared" si="7"/>
        <v>Date check - OK</v>
      </c>
      <c r="G180" s="68"/>
      <c r="H180" s="162" t="s">
        <v>279</v>
      </c>
      <c r="I180" s="173">
        <v>8793.8848904043734</v>
      </c>
      <c r="J180" s="168">
        <f>IFERROR(MIN('MP Calculations'!$E$30/I180,1),"-")</f>
        <v>0.89877153183870317</v>
      </c>
      <c r="K180" s="12"/>
      <c r="L180" s="159">
        <v>27.165831000000001</v>
      </c>
      <c r="M180" s="187" t="s">
        <v>301</v>
      </c>
      <c r="N180" s="187">
        <v>657.22938499999998</v>
      </c>
      <c r="O180" s="186">
        <f t="shared" si="8"/>
        <v>17854.182401143935</v>
      </c>
      <c r="P180" s="186">
        <f t="shared" si="9"/>
        <v>16046.83086640375</v>
      </c>
      <c r="Q180" s="215">
        <f>IF(P180="-",0,P180/(1+'General inputs'!$H$30)^'MP Calculations'!$C$40)</f>
        <v>35644.648977786463</v>
      </c>
    </row>
    <row r="181" spans="3:17" x14ac:dyDescent="0.25">
      <c r="C181" s="159"/>
      <c r="D181" s="165" t="s">
        <v>281</v>
      </c>
      <c r="E181" s="162">
        <v>32941</v>
      </c>
      <c r="F181" s="166" t="str">
        <f t="shared" si="7"/>
        <v>Date check - OK</v>
      </c>
      <c r="G181" s="68"/>
      <c r="H181" s="162" t="s">
        <v>279</v>
      </c>
      <c r="I181" s="173">
        <v>8793.8848904043734</v>
      </c>
      <c r="J181" s="168">
        <f>IFERROR(MIN('MP Calculations'!$E$30/I181,1),"-")</f>
        <v>0.89877153183870317</v>
      </c>
      <c r="K181" s="12"/>
      <c r="L181" s="159">
        <v>4.4996179999999999</v>
      </c>
      <c r="M181" s="187" t="s">
        <v>301</v>
      </c>
      <c r="N181" s="187">
        <v>480.89954999999998</v>
      </c>
      <c r="O181" s="186">
        <f t="shared" si="8"/>
        <v>2163.8642713719</v>
      </c>
      <c r="P181" s="186">
        <f t="shared" si="9"/>
        <v>1944.8196058719618</v>
      </c>
      <c r="Q181" s="215">
        <f>IF(P181="-",0,P181/(1+'General inputs'!$H$30)^'MP Calculations'!$C$40)</f>
        <v>4320.0064083406714</v>
      </c>
    </row>
    <row r="182" spans="3:17" x14ac:dyDescent="0.25">
      <c r="C182" s="159"/>
      <c r="D182" s="165" t="s">
        <v>283</v>
      </c>
      <c r="E182" s="162">
        <v>32941</v>
      </c>
      <c r="F182" s="166" t="str">
        <f t="shared" si="7"/>
        <v>Date check - OK</v>
      </c>
      <c r="G182" s="68"/>
      <c r="H182" s="162" t="s">
        <v>279</v>
      </c>
      <c r="I182" s="173">
        <v>8793.8848904043734</v>
      </c>
      <c r="J182" s="168">
        <f>IFERROR(MIN('MP Calculations'!$E$30/I182,1),"-")</f>
        <v>0.89877153183870317</v>
      </c>
      <c r="K182" s="12"/>
      <c r="L182" s="159">
        <v>85.222443999999996</v>
      </c>
      <c r="M182" s="187" t="s">
        <v>301</v>
      </c>
      <c r="N182" s="187">
        <v>657.22938499999998</v>
      </c>
      <c r="O182" s="186">
        <f t="shared" si="8"/>
        <v>56010.694458316939</v>
      </c>
      <c r="P182" s="186">
        <f t="shared" si="9"/>
        <v>50340.817657651081</v>
      </c>
      <c r="Q182" s="215">
        <f>IF(P182="-",0,P182/(1+'General inputs'!$H$30)^'MP Calculations'!$C$40)</f>
        <v>111821.50479435229</v>
      </c>
    </row>
    <row r="183" spans="3:17" x14ac:dyDescent="0.25">
      <c r="C183" s="159"/>
      <c r="D183" s="165" t="s">
        <v>281</v>
      </c>
      <c r="E183" s="162">
        <v>32941</v>
      </c>
      <c r="F183" s="166" t="str">
        <f t="shared" si="7"/>
        <v>Date check - OK</v>
      </c>
      <c r="G183" s="68"/>
      <c r="H183" s="162" t="s">
        <v>279</v>
      </c>
      <c r="I183" s="173">
        <v>8793.8848904043734</v>
      </c>
      <c r="J183" s="168">
        <f>IFERROR(MIN('MP Calculations'!$E$30/I183,1),"-")</f>
        <v>0.89877153183870317</v>
      </c>
      <c r="K183" s="12"/>
      <c r="L183" s="159">
        <v>38.606572999999997</v>
      </c>
      <c r="M183" s="187" t="s">
        <v>301</v>
      </c>
      <c r="N183" s="187">
        <v>480.89954999999998</v>
      </c>
      <c r="O183" s="186">
        <f t="shared" si="8"/>
        <v>18565.883582742146</v>
      </c>
      <c r="P183" s="186">
        <f t="shared" si="9"/>
        <v>16686.487627600189</v>
      </c>
      <c r="Q183" s="215">
        <f>IF(P183="-",0,P183/(1+'General inputs'!$H$30)^'MP Calculations'!$C$40)</f>
        <v>37065.511508770724</v>
      </c>
    </row>
    <row r="184" spans="3:17" x14ac:dyDescent="0.25">
      <c r="C184" s="159"/>
      <c r="D184" s="165" t="s">
        <v>292</v>
      </c>
      <c r="E184" s="162">
        <v>32941</v>
      </c>
      <c r="F184" s="166" t="str">
        <f t="shared" si="7"/>
        <v>Date check - OK</v>
      </c>
      <c r="G184" s="68"/>
      <c r="H184" s="162" t="s">
        <v>279</v>
      </c>
      <c r="I184" s="173">
        <v>8793.8848904043734</v>
      </c>
      <c r="J184" s="168">
        <f>IFERROR(MIN('MP Calculations'!$E$30/I184,1),"-")</f>
        <v>0.89877153183870317</v>
      </c>
      <c r="K184" s="12"/>
      <c r="L184" s="159">
        <v>83.553578999999999</v>
      </c>
      <c r="M184" s="187" t="s">
        <v>301</v>
      </c>
      <c r="N184" s="187">
        <v>833.55921999999998</v>
      </c>
      <c r="O184" s="186">
        <f t="shared" si="8"/>
        <v>69646.856139448384</v>
      </c>
      <c r="P184" s="186">
        <f t="shared" si="9"/>
        <v>62596.61158020181</v>
      </c>
      <c r="Q184" s="215">
        <f>IF(P184="-",0,P184/(1+'General inputs'!$H$30)^'MP Calculations'!$C$40)</f>
        <v>139045.16508904778</v>
      </c>
    </row>
    <row r="185" spans="3:17" x14ac:dyDescent="0.25">
      <c r="C185" s="159"/>
      <c r="D185" s="165" t="s">
        <v>281</v>
      </c>
      <c r="E185" s="162">
        <v>32941</v>
      </c>
      <c r="F185" s="166" t="str">
        <f t="shared" si="7"/>
        <v>Date check - OK</v>
      </c>
      <c r="G185" s="68"/>
      <c r="H185" s="162" t="s">
        <v>279</v>
      </c>
      <c r="I185" s="173">
        <v>8793.8848904043734</v>
      </c>
      <c r="J185" s="168">
        <f>IFERROR(MIN('MP Calculations'!$E$30/I185,1),"-")</f>
        <v>0.89877153183870317</v>
      </c>
      <c r="K185" s="12"/>
      <c r="L185" s="159">
        <v>90.018934999999999</v>
      </c>
      <c r="M185" s="187" t="s">
        <v>301</v>
      </c>
      <c r="N185" s="187">
        <v>480.89954999999998</v>
      </c>
      <c r="O185" s="186">
        <f t="shared" si="8"/>
        <v>43290.065332979248</v>
      </c>
      <c r="P185" s="186">
        <f t="shared" si="9"/>
        <v>38907.878332719301</v>
      </c>
      <c r="Q185" s="215">
        <f>IF(P185="-",0,P185/(1+'General inputs'!$H$30)^'MP Calculations'!$C$40)</f>
        <v>86425.642370530652</v>
      </c>
    </row>
    <row r="186" spans="3:17" x14ac:dyDescent="0.25">
      <c r="C186" s="159"/>
      <c r="D186" s="165" t="s">
        <v>281</v>
      </c>
      <c r="E186" s="162">
        <v>32941</v>
      </c>
      <c r="F186" s="166" t="str">
        <f t="shared" si="7"/>
        <v>Date check - OK</v>
      </c>
      <c r="G186" s="68"/>
      <c r="H186" s="162" t="s">
        <v>279</v>
      </c>
      <c r="I186" s="173">
        <v>8793.8848904043734</v>
      </c>
      <c r="J186" s="168">
        <f>IFERROR(MIN('MP Calculations'!$E$30/I186,1),"-")</f>
        <v>0.89877153183870317</v>
      </c>
      <c r="K186" s="12"/>
      <c r="L186" s="159">
        <v>96.671752999999995</v>
      </c>
      <c r="M186" s="187" t="s">
        <v>301</v>
      </c>
      <c r="N186" s="187">
        <v>480.89954999999998</v>
      </c>
      <c r="O186" s="186">
        <f t="shared" si="8"/>
        <v>46489.402515411144</v>
      </c>
      <c r="P186" s="186">
        <f t="shared" si="9"/>
        <v>41783.351513042137</v>
      </c>
      <c r="Q186" s="215">
        <f>IF(P186="-",0,P186/(1+'General inputs'!$H$30)^'MP Calculations'!$C$40)</f>
        <v>92812.899331793626</v>
      </c>
    </row>
    <row r="187" spans="3:17" x14ac:dyDescent="0.25">
      <c r="C187" s="159"/>
      <c r="D187" s="165" t="s">
        <v>281</v>
      </c>
      <c r="E187" s="162">
        <v>32941</v>
      </c>
      <c r="F187" s="166" t="str">
        <f t="shared" si="7"/>
        <v>Date check - OK</v>
      </c>
      <c r="G187" s="68"/>
      <c r="H187" s="162" t="s">
        <v>279</v>
      </c>
      <c r="I187" s="173">
        <v>8793.8848904043734</v>
      </c>
      <c r="J187" s="168">
        <f>IFERROR(MIN('MP Calculations'!$E$30/I187,1),"-")</f>
        <v>0.89877153183870317</v>
      </c>
      <c r="K187" s="12"/>
      <c r="L187" s="159">
        <v>63.865009999999998</v>
      </c>
      <c r="M187" s="187" t="s">
        <v>301</v>
      </c>
      <c r="N187" s="187">
        <v>480.89954999999998</v>
      </c>
      <c r="O187" s="186">
        <f t="shared" si="8"/>
        <v>30712.654569745497</v>
      </c>
      <c r="P187" s="186">
        <f t="shared" si="9"/>
        <v>27603.659594483106</v>
      </c>
      <c r="Q187" s="215">
        <f>IF(P187="-",0,P187/(1+'General inputs'!$H$30)^'MP Calculations'!$C$40)</f>
        <v>61315.705570726459</v>
      </c>
    </row>
    <row r="188" spans="3:17" x14ac:dyDescent="0.25">
      <c r="C188" s="159"/>
      <c r="D188" s="165" t="s">
        <v>292</v>
      </c>
      <c r="E188" s="162">
        <v>32941</v>
      </c>
      <c r="F188" s="166" t="str">
        <f t="shared" si="7"/>
        <v>Date check - OK</v>
      </c>
      <c r="G188" s="68"/>
      <c r="H188" s="162" t="s">
        <v>279</v>
      </c>
      <c r="I188" s="173">
        <v>8793.8848904043734</v>
      </c>
      <c r="J188" s="168">
        <f>IFERROR(MIN('MP Calculations'!$E$30/I188,1),"-")</f>
        <v>0.89877153183870317</v>
      </c>
      <c r="K188" s="12"/>
      <c r="L188" s="159">
        <v>76.278951000000006</v>
      </c>
      <c r="M188" s="187" t="s">
        <v>301</v>
      </c>
      <c r="N188" s="187">
        <v>833.55921999999998</v>
      </c>
      <c r="O188" s="186">
        <f t="shared" si="8"/>
        <v>63583.022897978226</v>
      </c>
      <c r="P188" s="186">
        <f t="shared" si="9"/>
        <v>57146.610888951232</v>
      </c>
      <c r="Q188" s="215">
        <f>IF(P188="-",0,P188/(1+'General inputs'!$H$30)^'MP Calculations'!$C$40)</f>
        <v>126939.13847322311</v>
      </c>
    </row>
    <row r="189" spans="3:17" x14ac:dyDescent="0.25">
      <c r="C189" s="159"/>
      <c r="D189" s="165" t="s">
        <v>283</v>
      </c>
      <c r="E189" s="162">
        <v>32941</v>
      </c>
      <c r="F189" s="166" t="str">
        <f t="shared" si="7"/>
        <v>Date check - OK</v>
      </c>
      <c r="G189" s="68"/>
      <c r="H189" s="162" t="s">
        <v>279</v>
      </c>
      <c r="I189" s="173">
        <v>8793.8848904043734</v>
      </c>
      <c r="J189" s="168">
        <f>IFERROR(MIN('MP Calculations'!$E$30/I189,1),"-")</f>
        <v>0.89877153183870317</v>
      </c>
      <c r="K189" s="12"/>
      <c r="L189" s="159">
        <v>34.997059</v>
      </c>
      <c r="M189" s="187" t="s">
        <v>301</v>
      </c>
      <c r="N189" s="187">
        <v>657.22938499999998</v>
      </c>
      <c r="O189" s="186">
        <f t="shared" si="8"/>
        <v>23001.095563378716</v>
      </c>
      <c r="P189" s="186">
        <f t="shared" si="9"/>
        <v>20672.729893466287</v>
      </c>
      <c r="Q189" s="215">
        <f>IF(P189="-",0,P189/(1+'General inputs'!$H$30)^'MP Calculations'!$C$40)</f>
        <v>45920.107627478159</v>
      </c>
    </row>
    <row r="190" spans="3:17" x14ac:dyDescent="0.25">
      <c r="C190" s="159"/>
      <c r="D190" s="165" t="s">
        <v>281</v>
      </c>
      <c r="E190" s="162">
        <v>32941</v>
      </c>
      <c r="F190" s="166" t="str">
        <f t="shared" si="7"/>
        <v>Date check - OK</v>
      </c>
      <c r="G190" s="68"/>
      <c r="H190" s="162" t="s">
        <v>279</v>
      </c>
      <c r="I190" s="173">
        <v>8793.8848904043734</v>
      </c>
      <c r="J190" s="168">
        <f>IFERROR(MIN('MP Calculations'!$E$30/I190,1),"-")</f>
        <v>0.89877153183870317</v>
      </c>
      <c r="K190" s="12"/>
      <c r="L190" s="159">
        <v>116.952172</v>
      </c>
      <c r="M190" s="187" t="s">
        <v>301</v>
      </c>
      <c r="N190" s="187">
        <v>480.89954999999998</v>
      </c>
      <c r="O190" s="186">
        <f t="shared" si="8"/>
        <v>56242.246886322602</v>
      </c>
      <c r="P190" s="186">
        <f t="shared" si="9"/>
        <v>50548.930388070701</v>
      </c>
      <c r="Q190" s="215">
        <f>IF(P190="-",0,P190/(1+'General inputs'!$H$30)^'MP Calculations'!$C$40)</f>
        <v>112283.78331435258</v>
      </c>
    </row>
    <row r="191" spans="3:17" x14ac:dyDescent="0.25">
      <c r="C191" s="159"/>
      <c r="D191" s="165" t="s">
        <v>281</v>
      </c>
      <c r="E191" s="162">
        <v>32941</v>
      </c>
      <c r="F191" s="166" t="str">
        <f t="shared" si="7"/>
        <v>Date check - OK</v>
      </c>
      <c r="G191" s="68"/>
      <c r="H191" s="162" t="s">
        <v>279</v>
      </c>
      <c r="I191" s="173">
        <v>8793.8848904043734</v>
      </c>
      <c r="J191" s="168">
        <f>IFERROR(MIN('MP Calculations'!$E$30/I191,1),"-")</f>
        <v>0.89877153183870317</v>
      </c>
      <c r="K191" s="12"/>
      <c r="L191" s="159">
        <v>22.845065999999999</v>
      </c>
      <c r="M191" s="187" t="s">
        <v>301</v>
      </c>
      <c r="N191" s="187">
        <v>480.89954999999998</v>
      </c>
      <c r="O191" s="186">
        <f t="shared" si="8"/>
        <v>10986.181959120298</v>
      </c>
      <c r="P191" s="186">
        <f t="shared" si="9"/>
        <v>9874.0675884572756</v>
      </c>
      <c r="Q191" s="215">
        <f>IF(P191="-",0,P191/(1+'General inputs'!$H$30)^'MP Calculations'!$C$40)</f>
        <v>21933.157774496765</v>
      </c>
    </row>
    <row r="192" spans="3:17" x14ac:dyDescent="0.25">
      <c r="C192" s="159"/>
      <c r="D192" s="165" t="s">
        <v>281</v>
      </c>
      <c r="E192" s="162">
        <v>32941</v>
      </c>
      <c r="F192" s="166" t="str">
        <f t="shared" si="7"/>
        <v>Date check - OK</v>
      </c>
      <c r="G192" s="68"/>
      <c r="H192" s="162" t="s">
        <v>279</v>
      </c>
      <c r="I192" s="173">
        <v>8793.8848904043734</v>
      </c>
      <c r="J192" s="168">
        <f>IFERROR(MIN('MP Calculations'!$E$30/I192,1),"-")</f>
        <v>0.89877153183870317</v>
      </c>
      <c r="K192" s="12"/>
      <c r="L192" s="159">
        <v>99.893499000000006</v>
      </c>
      <c r="M192" s="187" t="s">
        <v>301</v>
      </c>
      <c r="N192" s="187">
        <v>480.89954999999998</v>
      </c>
      <c r="O192" s="186">
        <f t="shared" si="8"/>
        <v>48038.738717025451</v>
      </c>
      <c r="P192" s="186">
        <f t="shared" si="9"/>
        <v>43175.850784300186</v>
      </c>
      <c r="Q192" s="215">
        <f>IF(P192="-",0,P192/(1+'General inputs'!$H$30)^'MP Calculations'!$C$40)</f>
        <v>95906.042653303579</v>
      </c>
    </row>
    <row r="193" spans="3:17" x14ac:dyDescent="0.25">
      <c r="C193" s="159"/>
      <c r="D193" s="165" t="s">
        <v>292</v>
      </c>
      <c r="E193" s="162">
        <v>32941</v>
      </c>
      <c r="F193" s="166" t="str">
        <f t="shared" si="7"/>
        <v>Date check - OK</v>
      </c>
      <c r="G193" s="68"/>
      <c r="H193" s="162" t="s">
        <v>279</v>
      </c>
      <c r="I193" s="173">
        <v>8793.8848904043734</v>
      </c>
      <c r="J193" s="168">
        <f>IFERROR(MIN('MP Calculations'!$E$30/I193,1),"-")</f>
        <v>0.89877153183870317</v>
      </c>
      <c r="K193" s="12"/>
      <c r="L193" s="159">
        <v>148.498391</v>
      </c>
      <c r="M193" s="187" t="s">
        <v>301</v>
      </c>
      <c r="N193" s="187">
        <v>833.55921999999998</v>
      </c>
      <c r="O193" s="186">
        <f t="shared" si="8"/>
        <v>123782.20297321501</v>
      </c>
      <c r="P193" s="186">
        <f t="shared" si="9"/>
        <v>111251.92018060574</v>
      </c>
      <c r="Q193" s="215">
        <f>IF(P193="-",0,P193/(1+'General inputs'!$H$30)^'MP Calculations'!$C$40)</f>
        <v>247122.66714574804</v>
      </c>
    </row>
    <row r="194" spans="3:17" x14ac:dyDescent="0.25">
      <c r="C194" s="159"/>
      <c r="D194" s="165" t="s">
        <v>292</v>
      </c>
      <c r="E194" s="162">
        <v>32941</v>
      </c>
      <c r="F194" s="166" t="str">
        <f t="shared" si="7"/>
        <v>Date check - OK</v>
      </c>
      <c r="G194" s="68"/>
      <c r="H194" s="162" t="s">
        <v>279</v>
      </c>
      <c r="I194" s="173">
        <v>8793.8848904043734</v>
      </c>
      <c r="J194" s="168">
        <f>IFERROR(MIN('MP Calculations'!$E$30/I194,1),"-")</f>
        <v>0.89877153183870317</v>
      </c>
      <c r="K194" s="12"/>
      <c r="L194" s="159">
        <v>143.72056699999999</v>
      </c>
      <c r="M194" s="187" t="s">
        <v>301</v>
      </c>
      <c r="N194" s="187">
        <v>833.55921999999998</v>
      </c>
      <c r="O194" s="186">
        <f t="shared" si="8"/>
        <v>119799.60372647773</v>
      </c>
      <c r="P194" s="186">
        <f t="shared" si="9"/>
        <v>107672.473354916</v>
      </c>
      <c r="Q194" s="215">
        <f>IF(P194="-",0,P194/(1+'General inputs'!$H$30)^'MP Calculations'!$C$40)</f>
        <v>239171.68126582043</v>
      </c>
    </row>
    <row r="195" spans="3:17" x14ac:dyDescent="0.25">
      <c r="C195" s="159"/>
      <c r="D195" s="165" t="s">
        <v>281</v>
      </c>
      <c r="E195" s="162">
        <v>32941</v>
      </c>
      <c r="F195" s="166" t="str">
        <f t="shared" si="7"/>
        <v>Date check - OK</v>
      </c>
      <c r="G195" s="68"/>
      <c r="H195" s="162" t="s">
        <v>279</v>
      </c>
      <c r="I195" s="173">
        <v>8793.8848904043734</v>
      </c>
      <c r="J195" s="168">
        <f>IFERROR(MIN('MP Calculations'!$E$30/I195,1),"-")</f>
        <v>0.89877153183870317</v>
      </c>
      <c r="K195" s="12"/>
      <c r="L195" s="159">
        <v>61.158191000000002</v>
      </c>
      <c r="M195" s="187" t="s">
        <v>301</v>
      </c>
      <c r="N195" s="187">
        <v>480.89954999999998</v>
      </c>
      <c r="O195" s="186">
        <f t="shared" si="8"/>
        <v>29410.946530714049</v>
      </c>
      <c r="P195" s="186">
        <f t="shared" si="9"/>
        <v>26433.72146623606</v>
      </c>
      <c r="Q195" s="215">
        <f>IF(P195="-",0,P195/(1+'General inputs'!$H$30)^'MP Calculations'!$C$40)</f>
        <v>58716.934869253972</v>
      </c>
    </row>
    <row r="196" spans="3:17" x14ac:dyDescent="0.25">
      <c r="C196" s="159"/>
      <c r="D196" s="165" t="s">
        <v>281</v>
      </c>
      <c r="E196" s="162">
        <v>32941</v>
      </c>
      <c r="F196" s="166" t="str">
        <f t="shared" si="7"/>
        <v>Date check - OK</v>
      </c>
      <c r="G196" s="68"/>
      <c r="H196" s="162" t="s">
        <v>279</v>
      </c>
      <c r="I196" s="173">
        <v>8793.8848904043734</v>
      </c>
      <c r="J196" s="168">
        <f>IFERROR(MIN('MP Calculations'!$E$30/I196,1),"-")</f>
        <v>0.89877153183870317</v>
      </c>
      <c r="K196" s="12"/>
      <c r="L196" s="159">
        <v>47.304628999999998</v>
      </c>
      <c r="M196" s="187" t="s">
        <v>301</v>
      </c>
      <c r="N196" s="187">
        <v>480.89954999999998</v>
      </c>
      <c r="O196" s="186">
        <f t="shared" si="8"/>
        <v>22748.774799016948</v>
      </c>
      <c r="P196" s="186">
        <f t="shared" si="9"/>
        <v>20445.951173566151</v>
      </c>
      <c r="Q196" s="215">
        <f>IF(P196="-",0,P196/(1+'General inputs'!$H$30)^'MP Calculations'!$C$40)</f>
        <v>45416.366550266706</v>
      </c>
    </row>
    <row r="197" spans="3:17" x14ac:dyDescent="0.25">
      <c r="C197" s="159"/>
      <c r="D197" s="165" t="s">
        <v>281</v>
      </c>
      <c r="E197" s="162">
        <v>32941</v>
      </c>
      <c r="F197" s="166" t="str">
        <f t="shared" si="7"/>
        <v>Date check - OK</v>
      </c>
      <c r="G197" s="68"/>
      <c r="H197" s="162" t="s">
        <v>279</v>
      </c>
      <c r="I197" s="173">
        <v>8793.8848904043734</v>
      </c>
      <c r="J197" s="168">
        <f>IFERROR(MIN('MP Calculations'!$E$30/I197,1),"-")</f>
        <v>0.89877153183870317</v>
      </c>
      <c r="K197" s="12"/>
      <c r="L197" s="159">
        <v>101.108914</v>
      </c>
      <c r="M197" s="187" t="s">
        <v>301</v>
      </c>
      <c r="N197" s="187">
        <v>480.89954999999998</v>
      </c>
      <c r="O197" s="186">
        <f t="shared" si="8"/>
        <v>48623.2312435887</v>
      </c>
      <c r="P197" s="186">
        <f t="shared" si="9"/>
        <v>43701.176027747708</v>
      </c>
      <c r="Q197" s="215">
        <f>IF(P197="-",0,P197/(1+'General inputs'!$H$30)^'MP Calculations'!$C$40)</f>
        <v>97072.941840922023</v>
      </c>
    </row>
    <row r="198" spans="3:17" x14ac:dyDescent="0.25">
      <c r="C198" s="159"/>
      <c r="D198" s="165" t="s">
        <v>281</v>
      </c>
      <c r="E198" s="162">
        <v>32941</v>
      </c>
      <c r="F198" s="166" t="str">
        <f t="shared" si="7"/>
        <v>Date check - OK</v>
      </c>
      <c r="G198" s="68"/>
      <c r="H198" s="162" t="s">
        <v>279</v>
      </c>
      <c r="I198" s="173">
        <v>8793.8848904043734</v>
      </c>
      <c r="J198" s="168">
        <f>IFERROR(MIN('MP Calculations'!$E$30/I198,1),"-")</f>
        <v>0.89877153183870317</v>
      </c>
      <c r="K198" s="12"/>
      <c r="L198" s="159">
        <v>13.246917</v>
      </c>
      <c r="M198" s="187" t="s">
        <v>301</v>
      </c>
      <c r="N198" s="187">
        <v>480.89954999999998</v>
      </c>
      <c r="O198" s="186">
        <f t="shared" si="8"/>
        <v>6370.43642418735</v>
      </c>
      <c r="P198" s="186">
        <f t="shared" si="9"/>
        <v>5725.5669034479351</v>
      </c>
      <c r="Q198" s="215">
        <f>IF(P198="-",0,P198/(1+'General inputs'!$H$30)^'MP Calculations'!$C$40)</f>
        <v>12718.138813285259</v>
      </c>
    </row>
    <row r="199" spans="3:17" x14ac:dyDescent="0.25">
      <c r="C199" s="159"/>
      <c r="D199" s="165" t="s">
        <v>283</v>
      </c>
      <c r="E199" s="162">
        <v>32941</v>
      </c>
      <c r="F199" s="166" t="str">
        <f t="shared" si="7"/>
        <v>Date check - OK</v>
      </c>
      <c r="G199" s="68"/>
      <c r="H199" s="162" t="s">
        <v>279</v>
      </c>
      <c r="I199" s="173">
        <v>8793.8848904043734</v>
      </c>
      <c r="J199" s="168">
        <f>IFERROR(MIN('MP Calculations'!$E$30/I199,1),"-")</f>
        <v>0.89877153183870317</v>
      </c>
      <c r="K199" s="12"/>
      <c r="L199" s="159">
        <v>115.764628</v>
      </c>
      <c r="M199" s="187" t="s">
        <v>301</v>
      </c>
      <c r="N199" s="187">
        <v>657.22938499999998</v>
      </c>
      <c r="O199" s="186">
        <f t="shared" si="8"/>
        <v>76083.915265193777</v>
      </c>
      <c r="P199" s="186">
        <f t="shared" si="9"/>
        <v>68382.057071184303</v>
      </c>
      <c r="Q199" s="215">
        <f>IF(P199="-",0,P199/(1+'General inputs'!$H$30)^'MP Calculations'!$C$40)</f>
        <v>151896.3115504926</v>
      </c>
    </row>
    <row r="200" spans="3:17" x14ac:dyDescent="0.25">
      <c r="C200" s="159"/>
      <c r="D200" s="165" t="s">
        <v>281</v>
      </c>
      <c r="E200" s="162">
        <v>32941</v>
      </c>
      <c r="F200" s="166" t="str">
        <f t="shared" si="7"/>
        <v>Date check - OK</v>
      </c>
      <c r="G200" s="68"/>
      <c r="H200" s="162" t="s">
        <v>279</v>
      </c>
      <c r="I200" s="173">
        <v>8793.8848904043734</v>
      </c>
      <c r="J200" s="168">
        <f>IFERROR(MIN('MP Calculations'!$E$30/I200,1),"-")</f>
        <v>0.89877153183870317</v>
      </c>
      <c r="K200" s="12"/>
      <c r="L200" s="159">
        <v>19.301017999999999</v>
      </c>
      <c r="M200" s="187" t="s">
        <v>301</v>
      </c>
      <c r="N200" s="187">
        <v>480.89954999999998</v>
      </c>
      <c r="O200" s="186">
        <f t="shared" si="8"/>
        <v>9281.8508707418987</v>
      </c>
      <c r="P200" s="186">
        <f t="shared" si="9"/>
        <v>8342.2633253950971</v>
      </c>
      <c r="Q200" s="215">
        <f>IF(P200="-",0,P200/(1+'General inputs'!$H$30)^'MP Calculations'!$C$40)</f>
        <v>18530.577806271252</v>
      </c>
    </row>
    <row r="201" spans="3:17" x14ac:dyDescent="0.25">
      <c r="C201" s="159"/>
      <c r="D201" s="165" t="s">
        <v>281</v>
      </c>
      <c r="E201" s="162">
        <v>32941</v>
      </c>
      <c r="F201" s="166" t="str">
        <f t="shared" si="7"/>
        <v>Date check - OK</v>
      </c>
      <c r="G201" s="68"/>
      <c r="H201" s="162" t="s">
        <v>279</v>
      </c>
      <c r="I201" s="173">
        <v>8793.8848904043734</v>
      </c>
      <c r="J201" s="168">
        <f>IFERROR(MIN('MP Calculations'!$E$30/I201,1),"-")</f>
        <v>0.89877153183870317</v>
      </c>
      <c r="K201" s="12"/>
      <c r="L201" s="159">
        <v>72.416961999999998</v>
      </c>
      <c r="M201" s="187" t="s">
        <v>301</v>
      </c>
      <c r="N201" s="187">
        <v>480.89954999999998</v>
      </c>
      <c r="O201" s="186">
        <f t="shared" si="8"/>
        <v>34825.284438167095</v>
      </c>
      <c r="P201" s="186">
        <f t="shared" si="9"/>
        <v>31299.974241209991</v>
      </c>
      <c r="Q201" s="215">
        <f>IF(P201="-",0,P201/(1+'General inputs'!$H$30)^'MP Calculations'!$C$40)</f>
        <v>69526.288656628822</v>
      </c>
    </row>
    <row r="202" spans="3:17" x14ac:dyDescent="0.25">
      <c r="C202" s="159"/>
      <c r="D202" s="165" t="s">
        <v>292</v>
      </c>
      <c r="E202" s="162">
        <v>32941</v>
      </c>
      <c r="F202" s="166" t="str">
        <f t="shared" si="7"/>
        <v>Date check - OK</v>
      </c>
      <c r="G202" s="68"/>
      <c r="H202" s="162" t="s">
        <v>279</v>
      </c>
      <c r="I202" s="173">
        <v>8793.8848904043734</v>
      </c>
      <c r="J202" s="168">
        <f>IFERROR(MIN('MP Calculations'!$E$30/I202,1),"-")</f>
        <v>0.89877153183870317</v>
      </c>
      <c r="K202" s="12"/>
      <c r="L202" s="159">
        <v>40.447856000000002</v>
      </c>
      <c r="M202" s="187" t="s">
        <v>301</v>
      </c>
      <c r="N202" s="187">
        <v>833.55921999999998</v>
      </c>
      <c r="O202" s="186">
        <f t="shared" si="8"/>
        <v>33715.683298032323</v>
      </c>
      <c r="P202" s="186">
        <f t="shared" si="9"/>
        <v>30302.696324761091</v>
      </c>
      <c r="Q202" s="215">
        <f>IF(P202="-",0,P202/(1+'General inputs'!$H$30)^'MP Calculations'!$C$40)</f>
        <v>67311.046185322964</v>
      </c>
    </row>
    <row r="203" spans="3:17" x14ac:dyDescent="0.25">
      <c r="C203" s="159"/>
      <c r="D203" s="165" t="s">
        <v>281</v>
      </c>
      <c r="E203" s="162">
        <v>32941</v>
      </c>
      <c r="F203" s="166" t="str">
        <f t="shared" si="7"/>
        <v>Date check - OK</v>
      </c>
      <c r="G203" s="68"/>
      <c r="H203" s="162" t="s">
        <v>279</v>
      </c>
      <c r="I203" s="173">
        <v>8793.8848904043734</v>
      </c>
      <c r="J203" s="168">
        <f>IFERROR(MIN('MP Calculations'!$E$30/I203,1),"-")</f>
        <v>0.89877153183870317</v>
      </c>
      <c r="K203" s="12"/>
      <c r="L203" s="159">
        <v>58.634512999999998</v>
      </c>
      <c r="M203" s="187" t="s">
        <v>301</v>
      </c>
      <c r="N203" s="187">
        <v>480.89954999999998</v>
      </c>
      <c r="O203" s="186">
        <f t="shared" si="8"/>
        <v>28197.310916169146</v>
      </c>
      <c r="P203" s="186">
        <f t="shared" si="9"/>
        <v>25342.940325857529</v>
      </c>
      <c r="Q203" s="215">
        <f>IF(P203="-",0,P203/(1+'General inputs'!$H$30)^'MP Calculations'!$C$40)</f>
        <v>56293.994714647866</v>
      </c>
    </row>
    <row r="204" spans="3:17" x14ac:dyDescent="0.25">
      <c r="C204" s="159"/>
      <c r="D204" s="165" t="s">
        <v>281</v>
      </c>
      <c r="E204" s="162">
        <v>32941</v>
      </c>
      <c r="F204" s="166" t="str">
        <f t="shared" si="7"/>
        <v>Date check - OK</v>
      </c>
      <c r="G204" s="68"/>
      <c r="H204" s="162" t="s">
        <v>279</v>
      </c>
      <c r="I204" s="173">
        <v>8793.8848904043734</v>
      </c>
      <c r="J204" s="168">
        <f>IFERROR(MIN('MP Calculations'!$E$30/I204,1),"-")</f>
        <v>0.89877153183870317</v>
      </c>
      <c r="K204" s="12"/>
      <c r="L204" s="159">
        <v>9.995749</v>
      </c>
      <c r="M204" s="187" t="s">
        <v>301</v>
      </c>
      <c r="N204" s="187">
        <v>480.89954999999998</v>
      </c>
      <c r="O204" s="186">
        <f t="shared" si="8"/>
        <v>4806.9511960129494</v>
      </c>
      <c r="P204" s="186">
        <f t="shared" si="9"/>
        <v>4320.3508899144445</v>
      </c>
      <c r="Q204" s="215">
        <f>IF(P204="-",0,P204/(1+'General inputs'!$H$30)^'MP Calculations'!$C$40)</f>
        <v>9596.7479319721933</v>
      </c>
    </row>
    <row r="205" spans="3:17" x14ac:dyDescent="0.25">
      <c r="C205" s="159"/>
      <c r="D205" s="165" t="s">
        <v>292</v>
      </c>
      <c r="E205" s="162">
        <v>32941</v>
      </c>
      <c r="F205" s="166" t="str">
        <f t="shared" si="7"/>
        <v>Date check - OK</v>
      </c>
      <c r="G205" s="68"/>
      <c r="H205" s="162" t="s">
        <v>279</v>
      </c>
      <c r="I205" s="173">
        <v>8793.8848904043734</v>
      </c>
      <c r="J205" s="168">
        <f>IFERROR(MIN('MP Calculations'!$E$30/I205,1),"-")</f>
        <v>0.89877153183870317</v>
      </c>
      <c r="K205" s="12"/>
      <c r="L205" s="159">
        <v>128.339269</v>
      </c>
      <c r="M205" s="187" t="s">
        <v>301</v>
      </c>
      <c r="N205" s="187">
        <v>833.55921999999998</v>
      </c>
      <c r="O205" s="186">
        <f t="shared" si="8"/>
        <v>106978.38096301018</v>
      </c>
      <c r="P205" s="186">
        <f t="shared" si="9"/>
        <v>96149.123331749011</v>
      </c>
      <c r="Q205" s="215">
        <f>IF(P205="-",0,P205/(1+'General inputs'!$H$30)^'MP Calculations'!$C$40)</f>
        <v>213574.99055202299</v>
      </c>
    </row>
    <row r="206" spans="3:17" x14ac:dyDescent="0.25">
      <c r="C206" s="159"/>
      <c r="D206" s="165" t="s">
        <v>292</v>
      </c>
      <c r="E206" s="162">
        <v>32941</v>
      </c>
      <c r="F206" s="166" t="str">
        <f t="shared" si="7"/>
        <v>Date check - OK</v>
      </c>
      <c r="G206" s="68"/>
      <c r="H206" s="162" t="s">
        <v>279</v>
      </c>
      <c r="I206" s="173">
        <v>8793.8848904043734</v>
      </c>
      <c r="J206" s="168">
        <f>IFERROR(MIN('MP Calculations'!$E$30/I206,1),"-")</f>
        <v>0.89877153183870317</v>
      </c>
      <c r="K206" s="12"/>
      <c r="L206" s="159">
        <v>99.599632999999997</v>
      </c>
      <c r="M206" s="187" t="s">
        <v>301</v>
      </c>
      <c r="N206" s="187">
        <v>833.55921999999998</v>
      </c>
      <c r="O206" s="186">
        <f t="shared" si="8"/>
        <v>83022.192395766251</v>
      </c>
      <c r="P206" s="186">
        <f t="shared" si="9"/>
        <v>74617.98303615037</v>
      </c>
      <c r="Q206" s="215">
        <f>IF(P206="-",0,P206/(1+'General inputs'!$H$30)^'MP Calculations'!$C$40)</f>
        <v>165748.1053360212</v>
      </c>
    </row>
    <row r="207" spans="3:17" x14ac:dyDescent="0.25">
      <c r="C207" s="159"/>
      <c r="D207" s="165" t="s">
        <v>281</v>
      </c>
      <c r="E207" s="162">
        <v>32941</v>
      </c>
      <c r="F207" s="166" t="str">
        <f t="shared" si="7"/>
        <v>Date check - OK</v>
      </c>
      <c r="G207" s="68"/>
      <c r="H207" s="162" t="s">
        <v>279</v>
      </c>
      <c r="I207" s="173">
        <v>8793.8848904043734</v>
      </c>
      <c r="J207" s="168">
        <f>IFERROR(MIN('MP Calculations'!$E$30/I207,1),"-")</f>
        <v>0.89877153183870317</v>
      </c>
      <c r="K207" s="12"/>
      <c r="L207" s="159">
        <v>22.366612</v>
      </c>
      <c r="M207" s="187" t="s">
        <v>301</v>
      </c>
      <c r="N207" s="187">
        <v>480.89954999999998</v>
      </c>
      <c r="O207" s="186">
        <f t="shared" si="8"/>
        <v>10756.0936458246</v>
      </c>
      <c r="P207" s="186">
        <f t="shared" si="9"/>
        <v>9667.2707626583178</v>
      </c>
      <c r="Q207" s="215">
        <f>IF(P207="-",0,P207/(1+'General inputs'!$H$30)^'MP Calculations'!$C$40)</f>
        <v>21473.802258962733</v>
      </c>
    </row>
    <row r="208" spans="3:17" x14ac:dyDescent="0.25">
      <c r="C208" s="159"/>
      <c r="D208" s="165" t="s">
        <v>281</v>
      </c>
      <c r="E208" s="162">
        <v>32941</v>
      </c>
      <c r="F208" s="166" t="str">
        <f t="shared" si="7"/>
        <v>Date check - OK</v>
      </c>
      <c r="G208" s="68"/>
      <c r="H208" s="162" t="s">
        <v>279</v>
      </c>
      <c r="I208" s="173">
        <v>8793.8848904043734</v>
      </c>
      <c r="J208" s="168">
        <f>IFERROR(MIN('MP Calculations'!$E$30/I208,1),"-")</f>
        <v>0.89877153183870317</v>
      </c>
      <c r="K208" s="12"/>
      <c r="L208" s="159">
        <v>43.977018999999999</v>
      </c>
      <c r="M208" s="187" t="s">
        <v>301</v>
      </c>
      <c r="N208" s="187">
        <v>480.89954999999998</v>
      </c>
      <c r="O208" s="186">
        <f t="shared" si="8"/>
        <v>21148.52864744145</v>
      </c>
      <c r="P208" s="186">
        <f t="shared" si="9"/>
        <v>19007.695488595647</v>
      </c>
      <c r="Q208" s="215">
        <f>IF(P208="-",0,P208/(1+'General inputs'!$H$30)^'MP Calculations'!$C$40)</f>
        <v>42221.58501004296</v>
      </c>
    </row>
    <row r="209" spans="3:17" x14ac:dyDescent="0.25">
      <c r="C209" s="159"/>
      <c r="D209" s="165" t="s">
        <v>281</v>
      </c>
      <c r="E209" s="162">
        <v>32941</v>
      </c>
      <c r="F209" s="166" t="str">
        <f t="shared" si="7"/>
        <v>Date check - OK</v>
      </c>
      <c r="G209" s="68"/>
      <c r="H209" s="162" t="s">
        <v>279</v>
      </c>
      <c r="I209" s="173">
        <v>8793.8848904043734</v>
      </c>
      <c r="J209" s="168">
        <f>IFERROR(MIN('MP Calculations'!$E$30/I209,1),"-")</f>
        <v>0.89877153183870317</v>
      </c>
      <c r="K209" s="12"/>
      <c r="L209" s="159">
        <v>5.4064610000000002</v>
      </c>
      <c r="M209" s="187" t="s">
        <v>301</v>
      </c>
      <c r="N209" s="187">
        <v>480.89954999999998</v>
      </c>
      <c r="O209" s="186">
        <f t="shared" si="8"/>
        <v>2599.9646619925497</v>
      </c>
      <c r="P209" s="186">
        <f t="shared" si="9"/>
        <v>2336.77422198554</v>
      </c>
      <c r="Q209" s="215">
        <f>IF(P209="-",0,P209/(1+'General inputs'!$H$30)^'MP Calculations'!$C$40)</f>
        <v>5190.6508877962342</v>
      </c>
    </row>
    <row r="210" spans="3:17" x14ac:dyDescent="0.25">
      <c r="C210" s="159"/>
      <c r="D210" s="165" t="s">
        <v>281</v>
      </c>
      <c r="E210" s="162">
        <v>32941</v>
      </c>
      <c r="F210" s="166" t="str">
        <f t="shared" si="7"/>
        <v>Date check - OK</v>
      </c>
      <c r="G210" s="68"/>
      <c r="H210" s="162" t="s">
        <v>279</v>
      </c>
      <c r="I210" s="173">
        <v>8793.8848904043734</v>
      </c>
      <c r="J210" s="168">
        <f>IFERROR(MIN('MP Calculations'!$E$30/I210,1),"-")</f>
        <v>0.89877153183870317</v>
      </c>
      <c r="K210" s="12"/>
      <c r="L210" s="159">
        <v>3.583313</v>
      </c>
      <c r="M210" s="187" t="s">
        <v>301</v>
      </c>
      <c r="N210" s="187">
        <v>480.89954999999998</v>
      </c>
      <c r="O210" s="186">
        <f t="shared" si="8"/>
        <v>1723.2136092091498</v>
      </c>
      <c r="P210" s="186">
        <f t="shared" si="9"/>
        <v>1548.7753352342079</v>
      </c>
      <c r="Q210" s="215">
        <f>IF(P210="-",0,P210/(1+'General inputs'!$H$30)^'MP Calculations'!$C$40)</f>
        <v>3440.277624253978</v>
      </c>
    </row>
    <row r="211" spans="3:17" x14ac:dyDescent="0.25">
      <c r="C211" s="159"/>
      <c r="D211" s="165" t="s">
        <v>281</v>
      </c>
      <c r="E211" s="162">
        <v>32941</v>
      </c>
      <c r="F211" s="166" t="str">
        <f t="shared" si="7"/>
        <v>Date check - OK</v>
      </c>
      <c r="G211" s="68"/>
      <c r="H211" s="162" t="s">
        <v>279</v>
      </c>
      <c r="I211" s="173">
        <v>8793.8848904043734</v>
      </c>
      <c r="J211" s="168">
        <f>IFERROR(MIN('MP Calculations'!$E$30/I211,1),"-")</f>
        <v>0.89877153183870317</v>
      </c>
      <c r="K211" s="12"/>
      <c r="L211" s="159">
        <v>23.88092</v>
      </c>
      <c r="M211" s="187" t="s">
        <v>301</v>
      </c>
      <c r="N211" s="187">
        <v>480.89954999999998</v>
      </c>
      <c r="O211" s="186">
        <f t="shared" si="8"/>
        <v>11484.323681586</v>
      </c>
      <c r="P211" s="186">
        <f t="shared" si="9"/>
        <v>10321.783187430545</v>
      </c>
      <c r="Q211" s="215">
        <f>IF(P211="-",0,P211/(1+'General inputs'!$H$30)^'MP Calculations'!$C$40)</f>
        <v>22927.663512118346</v>
      </c>
    </row>
    <row r="212" spans="3:17" x14ac:dyDescent="0.25">
      <c r="C212" s="159"/>
      <c r="D212" s="165" t="s">
        <v>293</v>
      </c>
      <c r="E212" s="162">
        <v>33054</v>
      </c>
      <c r="F212" s="166" t="str">
        <f t="shared" si="7"/>
        <v>Date check - OK</v>
      </c>
      <c r="G212" s="68"/>
      <c r="H212" s="162" t="s">
        <v>279</v>
      </c>
      <c r="I212" s="173">
        <v>8793.8848904043734</v>
      </c>
      <c r="J212" s="168">
        <f>IFERROR(MIN('MP Calculations'!$E$30/I212,1),"-")</f>
        <v>0.89877153183870317</v>
      </c>
      <c r="K212" s="12"/>
      <c r="L212" s="159">
        <v>1</v>
      </c>
      <c r="M212" s="187" t="s">
        <v>302</v>
      </c>
      <c r="N212" s="187">
        <v>246541.60705600001</v>
      </c>
      <c r="O212" s="186">
        <f t="shared" si="8"/>
        <v>246541.60705600001</v>
      </c>
      <c r="P212" s="186">
        <f t="shared" si="9"/>
        <v>221584.57783569675</v>
      </c>
      <c r="Q212" s="215">
        <f>IF(P212="-",0,P212/(1+'General inputs'!$H$30)^'MP Calculations'!$C$40)</f>
        <v>492203.38655033754</v>
      </c>
    </row>
    <row r="213" spans="3:17" x14ac:dyDescent="0.25">
      <c r="C213" s="159"/>
      <c r="D213" s="165" t="s">
        <v>294</v>
      </c>
      <c r="E213" s="162">
        <v>33419</v>
      </c>
      <c r="F213" s="166" t="str">
        <f t="shared" si="7"/>
        <v>Date check - OK</v>
      </c>
      <c r="G213" s="68"/>
      <c r="H213" s="162" t="s">
        <v>279</v>
      </c>
      <c r="I213" s="173">
        <v>8793.8848904043734</v>
      </c>
      <c r="J213" s="168">
        <f>IFERROR(MIN('MP Calculations'!$E$30/I213,1),"-")</f>
        <v>0.89877153183870317</v>
      </c>
      <c r="K213" s="12"/>
      <c r="L213" s="159">
        <v>1</v>
      </c>
      <c r="M213" s="187" t="s">
        <v>302</v>
      </c>
      <c r="N213" s="187">
        <v>195891.56261299999</v>
      </c>
      <c r="O213" s="186">
        <f t="shared" si="8"/>
        <v>195891.56261299999</v>
      </c>
      <c r="P213" s="186">
        <f t="shared" si="9"/>
        <v>176061.75980396324</v>
      </c>
      <c r="Q213" s="215">
        <f>IF(P213="-",0,P213/(1+'General inputs'!$H$30)^'MP Calculations'!$C$40)</f>
        <v>391084.05135387712</v>
      </c>
    </row>
    <row r="214" spans="3:17" x14ac:dyDescent="0.25">
      <c r="C214" s="159"/>
      <c r="D214" s="165" t="s">
        <v>295</v>
      </c>
      <c r="E214" s="162">
        <v>33419</v>
      </c>
      <c r="F214" s="166" t="str">
        <f t="shared" si="7"/>
        <v>Date check - OK</v>
      </c>
      <c r="G214" s="68"/>
      <c r="H214" s="162" t="s">
        <v>279</v>
      </c>
      <c r="I214" s="173">
        <v>8793.8848904043734</v>
      </c>
      <c r="J214" s="168">
        <f>IFERROR(MIN('MP Calculations'!$E$30/I214,1),"-")</f>
        <v>0.89877153183870317</v>
      </c>
      <c r="K214" s="12"/>
      <c r="L214" s="159">
        <v>1</v>
      </c>
      <c r="M214" s="187" t="s">
        <v>302</v>
      </c>
      <c r="N214" s="187">
        <v>0</v>
      </c>
      <c r="O214" s="186">
        <f t="shared" si="8"/>
        <v>0</v>
      </c>
      <c r="P214" s="186">
        <f t="shared" si="9"/>
        <v>0</v>
      </c>
      <c r="Q214" s="215">
        <f>IF(P214="-",0,P214/(1+'General inputs'!$H$30)^'MP Calculations'!$C$40)</f>
        <v>0</v>
      </c>
    </row>
    <row r="215" spans="3:17" x14ac:dyDescent="0.25">
      <c r="C215" s="159"/>
      <c r="D215" s="165" t="s">
        <v>296</v>
      </c>
      <c r="E215" s="162">
        <v>33419</v>
      </c>
      <c r="F215" s="166" t="str">
        <f t="shared" ref="F215:F278" si="10">IF(E215="","-",IF(OR(E215&lt;$E$15,E215&gt;$E$16),"ERROR - date outside of range","Date check - OK"))</f>
        <v>Date check - OK</v>
      </c>
      <c r="G215" s="68"/>
      <c r="H215" s="162" t="s">
        <v>279</v>
      </c>
      <c r="I215" s="173">
        <v>8793.8848904043734</v>
      </c>
      <c r="J215" s="168">
        <f>IFERROR(MIN('MP Calculations'!$E$30/I215,1),"-")</f>
        <v>0.89877153183870317</v>
      </c>
      <c r="K215" s="12"/>
      <c r="L215" s="159">
        <v>1</v>
      </c>
      <c r="M215" s="187" t="s">
        <v>302</v>
      </c>
      <c r="N215" s="187">
        <v>40587.121705999998</v>
      </c>
      <c r="O215" s="186">
        <f t="shared" ref="O215:O278" si="11">IF(N215="","-",L215*N215)</f>
        <v>40587.121705999998</v>
      </c>
      <c r="P215" s="186">
        <f t="shared" ref="P215:P278" si="12">IF(O215="-","-",IF(OR(E215&lt;$E$15,E215&gt;$E$16),0,O215*J215))</f>
        <v>36478.549548625495</v>
      </c>
      <c r="Q215" s="215">
        <f>IF(P215="-",0,P215/(1+'General inputs'!$H$30)^'MP Calculations'!$C$40)</f>
        <v>81029.401051507972</v>
      </c>
    </row>
    <row r="216" spans="3:17" x14ac:dyDescent="0.25">
      <c r="C216" s="159"/>
      <c r="D216" s="165" t="s">
        <v>287</v>
      </c>
      <c r="E216" s="162">
        <v>33419</v>
      </c>
      <c r="F216" s="166" t="str">
        <f t="shared" si="10"/>
        <v>Date check - OK</v>
      </c>
      <c r="G216" s="68"/>
      <c r="H216" s="162" t="s">
        <v>279</v>
      </c>
      <c r="I216" s="173">
        <v>8793.8848904043734</v>
      </c>
      <c r="J216" s="168">
        <f>IFERROR(MIN('MP Calculations'!$E$30/I216,1),"-")</f>
        <v>0.89877153183870317</v>
      </c>
      <c r="K216" s="12"/>
      <c r="L216" s="159">
        <v>1</v>
      </c>
      <c r="M216" s="187" t="s">
        <v>302</v>
      </c>
      <c r="N216" s="187">
        <v>482207.83899000002</v>
      </c>
      <c r="O216" s="186">
        <f t="shared" si="11"/>
        <v>482207.83899000002</v>
      </c>
      <c r="P216" s="186">
        <f t="shared" si="12"/>
        <v>433394.67811367306</v>
      </c>
      <c r="Q216" s="215">
        <f>IF(P216="-",0,P216/(1+'General inputs'!$H$30)^'MP Calculations'!$C$40)</f>
        <v>962694.8335665185</v>
      </c>
    </row>
    <row r="217" spans="3:17" x14ac:dyDescent="0.25">
      <c r="C217" s="159"/>
      <c r="D217" s="165" t="s">
        <v>289</v>
      </c>
      <c r="E217" s="162">
        <v>33419</v>
      </c>
      <c r="F217" s="166" t="str">
        <f t="shared" si="10"/>
        <v>Date check - OK</v>
      </c>
      <c r="G217" s="68"/>
      <c r="H217" s="162" t="s">
        <v>279</v>
      </c>
      <c r="I217" s="173">
        <v>8793.8848904043734</v>
      </c>
      <c r="J217" s="168">
        <f>IFERROR(MIN('MP Calculations'!$E$30/I217,1),"-")</f>
        <v>0.89877153183870317</v>
      </c>
      <c r="K217" s="12"/>
      <c r="L217" s="159">
        <v>1</v>
      </c>
      <c r="M217" s="187" t="s">
        <v>302</v>
      </c>
      <c r="N217" s="187">
        <v>1814387.3788069999</v>
      </c>
      <c r="O217" s="186">
        <f t="shared" si="11"/>
        <v>1814387.3788069999</v>
      </c>
      <c r="P217" s="186">
        <f t="shared" si="12"/>
        <v>1630719.7237991767</v>
      </c>
      <c r="Q217" s="215">
        <f>IF(P217="-",0,P217/(1+'General inputs'!$H$30)^'MP Calculations'!$C$40)</f>
        <v>3622299.7936415118</v>
      </c>
    </row>
    <row r="218" spans="3:17" x14ac:dyDescent="0.25">
      <c r="C218" s="159"/>
      <c r="D218" s="165" t="s">
        <v>297</v>
      </c>
      <c r="E218" s="162">
        <v>33603</v>
      </c>
      <c r="F218" s="166" t="str">
        <f t="shared" si="10"/>
        <v>Date check - OK</v>
      </c>
      <c r="G218" s="68"/>
      <c r="H218" s="162" t="s">
        <v>279</v>
      </c>
      <c r="I218" s="173">
        <v>8793.8848904043734</v>
      </c>
      <c r="J218" s="168">
        <f>IFERROR(MIN('MP Calculations'!$E$30/I218,1),"-")</f>
        <v>0.89877153183870317</v>
      </c>
      <c r="K218" s="12"/>
      <c r="L218" s="159">
        <v>1</v>
      </c>
      <c r="M218" s="187" t="s">
        <v>302</v>
      </c>
      <c r="N218" s="187">
        <v>112515.154257</v>
      </c>
      <c r="O218" s="186">
        <f t="shared" si="11"/>
        <v>112515.154257</v>
      </c>
      <c r="P218" s="186">
        <f t="shared" si="12"/>
        <v>101125.41754663187</v>
      </c>
      <c r="Q218" s="215">
        <f>IF(P218="-",0,P218/(1+'General inputs'!$H$30)^'MP Calculations'!$C$40)</f>
        <v>224628.77818002467</v>
      </c>
    </row>
    <row r="219" spans="3:17" x14ac:dyDescent="0.25">
      <c r="C219" s="159"/>
      <c r="D219" s="165" t="s">
        <v>298</v>
      </c>
      <c r="E219" s="162">
        <v>34150</v>
      </c>
      <c r="F219" s="166" t="str">
        <f t="shared" si="10"/>
        <v>Date check - OK</v>
      </c>
      <c r="G219" s="68"/>
      <c r="H219" s="162" t="s">
        <v>279</v>
      </c>
      <c r="I219" s="173">
        <v>8793.8848904043734</v>
      </c>
      <c r="J219" s="168">
        <f>IFERROR(MIN('MP Calculations'!$E$30/I219,1),"-")</f>
        <v>0.89877153183870317</v>
      </c>
      <c r="K219" s="12"/>
      <c r="L219" s="159">
        <v>1</v>
      </c>
      <c r="M219" s="187" t="s">
        <v>302</v>
      </c>
      <c r="N219" s="187">
        <v>7698.135894</v>
      </c>
      <c r="O219" s="186">
        <f t="shared" si="11"/>
        <v>7698.135894</v>
      </c>
      <c r="P219" s="186">
        <f t="shared" si="12"/>
        <v>6918.8653897528848</v>
      </c>
      <c r="Q219" s="215">
        <f>IF(P219="-",0,P219/(1+'General inputs'!$H$30)^'MP Calculations'!$C$40)</f>
        <v>15368.799621277953</v>
      </c>
    </row>
    <row r="220" spans="3:17" x14ac:dyDescent="0.25">
      <c r="C220" s="159"/>
      <c r="D220" s="165" t="s">
        <v>299</v>
      </c>
      <c r="E220" s="162">
        <v>34150</v>
      </c>
      <c r="F220" s="166" t="str">
        <f t="shared" si="10"/>
        <v>Date check - OK</v>
      </c>
      <c r="G220" s="68"/>
      <c r="H220" s="162" t="s">
        <v>279</v>
      </c>
      <c r="I220" s="173">
        <v>8793.8848904043734</v>
      </c>
      <c r="J220" s="168">
        <f>IFERROR(MIN('MP Calculations'!$E$30/I220,1),"-")</f>
        <v>0.89877153183870317</v>
      </c>
      <c r="K220" s="12"/>
      <c r="L220" s="159">
        <v>1</v>
      </c>
      <c r="M220" s="187" t="s">
        <v>302</v>
      </c>
      <c r="N220" s="187">
        <v>7966.4804999999997</v>
      </c>
      <c r="O220" s="186">
        <f t="shared" si="11"/>
        <v>7966.4804999999997</v>
      </c>
      <c r="P220" s="186">
        <f t="shared" si="12"/>
        <v>7160.0458823481576</v>
      </c>
      <c r="Q220" s="215">
        <f>IF(P220="-",0,P220/(1+'General inputs'!$H$30)^'MP Calculations'!$C$40)</f>
        <v>15904.531197837827</v>
      </c>
    </row>
    <row r="221" spans="3:17" x14ac:dyDescent="0.25">
      <c r="C221" s="159"/>
      <c r="D221" s="165" t="s">
        <v>300</v>
      </c>
      <c r="E221" s="162">
        <v>34881</v>
      </c>
      <c r="F221" s="166" t="str">
        <f t="shared" si="10"/>
        <v>Date check - OK</v>
      </c>
      <c r="G221" s="68"/>
      <c r="H221" s="162" t="s">
        <v>279</v>
      </c>
      <c r="I221" s="173">
        <v>8793.8848904043734</v>
      </c>
      <c r="J221" s="168">
        <f>IFERROR(MIN('MP Calculations'!$E$30/I221,1),"-")</f>
        <v>0.89877153183870317</v>
      </c>
      <c r="K221" s="12"/>
      <c r="L221" s="159">
        <v>1</v>
      </c>
      <c r="M221" s="187" t="s">
        <v>302</v>
      </c>
      <c r="N221" s="187">
        <v>85369.59</v>
      </c>
      <c r="O221" s="186">
        <f t="shared" si="11"/>
        <v>85369.59</v>
      </c>
      <c r="P221" s="186">
        <f t="shared" si="12"/>
        <v>76727.75717674203</v>
      </c>
      <c r="Q221" s="215">
        <f>IF(P221="-",0,P221/(1+'General inputs'!$H$30)^'MP Calculations'!$C$40)</f>
        <v>170434.52343875368</v>
      </c>
    </row>
    <row r="222" spans="3:17" x14ac:dyDescent="0.25">
      <c r="C222" s="159"/>
      <c r="D222" s="165"/>
      <c r="E222" s="162"/>
      <c r="F222" s="166" t="str">
        <f t="shared" si="10"/>
        <v>-</v>
      </c>
      <c r="G222" s="68"/>
      <c r="H222" s="162"/>
      <c r="I222" s="173"/>
      <c r="J222" s="168" t="str">
        <f>IFERROR(MIN('MP Calculations'!$E$30/I222,1),"-")</f>
        <v>-</v>
      </c>
      <c r="K222" s="12"/>
      <c r="L222" s="159"/>
      <c r="M222" s="187"/>
      <c r="N222" s="187"/>
      <c r="O222" s="186" t="str">
        <f t="shared" si="11"/>
        <v>-</v>
      </c>
      <c r="P222" s="186" t="str">
        <f t="shared" si="12"/>
        <v>-</v>
      </c>
      <c r="Q222" s="215">
        <f>IF(P222="-",0,P222/(1+'General inputs'!$H$30)^'MP Calculations'!$C$40)</f>
        <v>0</v>
      </c>
    </row>
    <row r="223" spans="3:17" x14ac:dyDescent="0.25">
      <c r="C223" s="159"/>
      <c r="D223" s="165"/>
      <c r="E223" s="162"/>
      <c r="F223" s="166" t="str">
        <f t="shared" si="10"/>
        <v>-</v>
      </c>
      <c r="G223" s="68"/>
      <c r="H223" s="162"/>
      <c r="I223" s="173"/>
      <c r="J223" s="168" t="str">
        <f>IFERROR(MIN('MP Calculations'!$E$30/I223,1),"-")</f>
        <v>-</v>
      </c>
      <c r="K223" s="12"/>
      <c r="L223" s="159"/>
      <c r="M223" s="187"/>
      <c r="N223" s="187"/>
      <c r="O223" s="186" t="str">
        <f t="shared" si="11"/>
        <v>-</v>
      </c>
      <c r="P223" s="186" t="str">
        <f t="shared" si="12"/>
        <v>-</v>
      </c>
      <c r="Q223" s="215">
        <f>IF(P223="-",0,P223/(1+'General inputs'!$H$30)^'MP Calculations'!$C$40)</f>
        <v>0</v>
      </c>
    </row>
    <row r="224" spans="3:17" x14ac:dyDescent="0.25">
      <c r="C224" s="159"/>
      <c r="D224" s="165"/>
      <c r="E224" s="162"/>
      <c r="F224" s="166" t="str">
        <f t="shared" si="10"/>
        <v>-</v>
      </c>
      <c r="G224" s="68"/>
      <c r="H224" s="162"/>
      <c r="I224" s="173"/>
      <c r="J224" s="168" t="str">
        <f>IFERROR(MIN('MP Calculations'!$E$30/I224,1),"-")</f>
        <v>-</v>
      </c>
      <c r="K224" s="12"/>
      <c r="L224" s="159"/>
      <c r="M224" s="187"/>
      <c r="N224" s="187"/>
      <c r="O224" s="186" t="str">
        <f t="shared" si="11"/>
        <v>-</v>
      </c>
      <c r="P224" s="186" t="str">
        <f t="shared" si="12"/>
        <v>-</v>
      </c>
      <c r="Q224" s="215">
        <f>IF(P224="-",0,P224/(1+'General inputs'!$H$30)^'MP Calculations'!$C$40)</f>
        <v>0</v>
      </c>
    </row>
    <row r="225" spans="3:17" x14ac:dyDescent="0.25">
      <c r="C225" s="159"/>
      <c r="D225" s="165"/>
      <c r="E225" s="162"/>
      <c r="F225" s="166" t="str">
        <f t="shared" si="10"/>
        <v>-</v>
      </c>
      <c r="G225" s="68"/>
      <c r="H225" s="162"/>
      <c r="I225" s="173"/>
      <c r="J225" s="168" t="str">
        <f>IFERROR(MIN('MP Calculations'!$E$30/I225,1),"-")</f>
        <v>-</v>
      </c>
      <c r="K225" s="12"/>
      <c r="L225" s="159"/>
      <c r="M225" s="187"/>
      <c r="N225" s="187"/>
      <c r="O225" s="186" t="str">
        <f t="shared" si="11"/>
        <v>-</v>
      </c>
      <c r="P225" s="186" t="str">
        <f t="shared" si="12"/>
        <v>-</v>
      </c>
      <c r="Q225" s="215">
        <f>IF(P225="-",0,P225/(1+'General inputs'!$H$30)^'MP Calculations'!$C$40)</f>
        <v>0</v>
      </c>
    </row>
    <row r="226" spans="3:17" x14ac:dyDescent="0.25">
      <c r="C226" s="159"/>
      <c r="D226" s="165"/>
      <c r="E226" s="162"/>
      <c r="F226" s="166" t="str">
        <f t="shared" si="10"/>
        <v>-</v>
      </c>
      <c r="G226" s="68"/>
      <c r="H226" s="162"/>
      <c r="I226" s="173"/>
      <c r="J226" s="168" t="str">
        <f>IFERROR(MIN('MP Calculations'!$E$30/I226,1),"-")</f>
        <v>-</v>
      </c>
      <c r="K226" s="12"/>
      <c r="L226" s="159"/>
      <c r="M226" s="187"/>
      <c r="N226" s="187"/>
      <c r="O226" s="186" t="str">
        <f t="shared" si="11"/>
        <v>-</v>
      </c>
      <c r="P226" s="186" t="str">
        <f t="shared" si="12"/>
        <v>-</v>
      </c>
      <c r="Q226" s="215">
        <f>IF(P226="-",0,P226/(1+'General inputs'!$H$30)^'MP Calculations'!$C$40)</f>
        <v>0</v>
      </c>
    </row>
    <row r="227" spans="3:17" x14ac:dyDescent="0.25">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x14ac:dyDescent="0.25">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x14ac:dyDescent="0.25">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x14ac:dyDescent="0.25">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x14ac:dyDescent="0.25">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x14ac:dyDescent="0.25">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x14ac:dyDescent="0.25">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x14ac:dyDescent="0.25">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x14ac:dyDescent="0.25">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x14ac:dyDescent="0.25">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x14ac:dyDescent="0.25">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x14ac:dyDescent="0.25">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x14ac:dyDescent="0.25">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x14ac:dyDescent="0.25">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x14ac:dyDescent="0.25">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x14ac:dyDescent="0.25">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x14ac:dyDescent="0.25">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x14ac:dyDescent="0.25">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x14ac:dyDescent="0.25">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x14ac:dyDescent="0.25">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x14ac:dyDescent="0.25">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x14ac:dyDescent="0.25">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x14ac:dyDescent="0.25">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x14ac:dyDescent="0.25">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x14ac:dyDescent="0.25">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x14ac:dyDescent="0.25">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x14ac:dyDescent="0.25">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x14ac:dyDescent="0.25">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x14ac:dyDescent="0.25">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x14ac:dyDescent="0.25">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x14ac:dyDescent="0.25">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x14ac:dyDescent="0.25">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x14ac:dyDescent="0.25">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x14ac:dyDescent="0.25">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x14ac:dyDescent="0.25">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x14ac:dyDescent="0.25">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x14ac:dyDescent="0.25">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x14ac:dyDescent="0.25">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x14ac:dyDescent="0.25">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x14ac:dyDescent="0.25">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x14ac:dyDescent="0.25">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x14ac:dyDescent="0.25">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x14ac:dyDescent="0.25">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x14ac:dyDescent="0.25">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x14ac:dyDescent="0.25">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x14ac:dyDescent="0.25">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x14ac:dyDescent="0.25">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x14ac:dyDescent="0.25">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x14ac:dyDescent="0.25">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x14ac:dyDescent="0.25">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x14ac:dyDescent="0.25">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x14ac:dyDescent="0.25">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x14ac:dyDescent="0.25">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x14ac:dyDescent="0.25">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x14ac:dyDescent="0.25">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x14ac:dyDescent="0.25">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x14ac:dyDescent="0.25">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x14ac:dyDescent="0.25">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x14ac:dyDescent="0.25">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x14ac:dyDescent="0.25">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x14ac:dyDescent="0.25">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x14ac:dyDescent="0.25">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x14ac:dyDescent="0.25">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x14ac:dyDescent="0.25">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x14ac:dyDescent="0.25">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x14ac:dyDescent="0.25">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x14ac:dyDescent="0.25">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x14ac:dyDescent="0.25">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x14ac:dyDescent="0.25">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x14ac:dyDescent="0.25">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x14ac:dyDescent="0.25">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x14ac:dyDescent="0.25">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x14ac:dyDescent="0.25">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x14ac:dyDescent="0.25">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x14ac:dyDescent="0.25">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x14ac:dyDescent="0.25">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x14ac:dyDescent="0.25">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x14ac:dyDescent="0.25">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x14ac:dyDescent="0.25">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x14ac:dyDescent="0.25">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x14ac:dyDescent="0.25">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x14ac:dyDescent="0.25">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x14ac:dyDescent="0.25">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x14ac:dyDescent="0.25">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x14ac:dyDescent="0.25">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x14ac:dyDescent="0.25">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x14ac:dyDescent="0.25">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x14ac:dyDescent="0.25">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x14ac:dyDescent="0.25">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x14ac:dyDescent="0.25">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x14ac:dyDescent="0.25">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x14ac:dyDescent="0.25">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x14ac:dyDescent="0.25">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x14ac:dyDescent="0.25">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x14ac:dyDescent="0.25">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x14ac:dyDescent="0.25">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x14ac:dyDescent="0.25">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x14ac:dyDescent="0.25">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x14ac:dyDescent="0.25">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x14ac:dyDescent="0.25">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x14ac:dyDescent="0.25">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x14ac:dyDescent="0.25">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x14ac:dyDescent="0.25">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x14ac:dyDescent="0.25">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x14ac:dyDescent="0.25">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x14ac:dyDescent="0.25">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x14ac:dyDescent="0.25">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x14ac:dyDescent="0.25">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x14ac:dyDescent="0.25">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x14ac:dyDescent="0.25">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x14ac:dyDescent="0.25">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x14ac:dyDescent="0.25">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x14ac:dyDescent="0.25">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x14ac:dyDescent="0.25">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x14ac:dyDescent="0.25">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x14ac:dyDescent="0.25">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x14ac:dyDescent="0.25">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x14ac:dyDescent="0.25">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x14ac:dyDescent="0.25">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x14ac:dyDescent="0.25">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x14ac:dyDescent="0.25">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x14ac:dyDescent="0.25">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x14ac:dyDescent="0.25">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x14ac:dyDescent="0.25">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x14ac:dyDescent="0.25">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x14ac:dyDescent="0.25">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x14ac:dyDescent="0.25">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x14ac:dyDescent="0.25">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x14ac:dyDescent="0.25">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x14ac:dyDescent="0.25">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x14ac:dyDescent="0.25">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x14ac:dyDescent="0.25">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x14ac:dyDescent="0.25">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x14ac:dyDescent="0.25">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x14ac:dyDescent="0.25">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x14ac:dyDescent="0.25">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x14ac:dyDescent="0.25">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x14ac:dyDescent="0.25">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x14ac:dyDescent="0.25">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x14ac:dyDescent="0.25">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x14ac:dyDescent="0.25">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x14ac:dyDescent="0.25">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x14ac:dyDescent="0.25">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x14ac:dyDescent="0.25">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x14ac:dyDescent="0.25">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x14ac:dyDescent="0.25">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x14ac:dyDescent="0.25">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x14ac:dyDescent="0.25">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x14ac:dyDescent="0.25">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x14ac:dyDescent="0.25">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x14ac:dyDescent="0.25">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x14ac:dyDescent="0.25">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x14ac:dyDescent="0.25">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x14ac:dyDescent="0.25">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x14ac:dyDescent="0.25">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x14ac:dyDescent="0.25">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x14ac:dyDescent="0.25">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x14ac:dyDescent="0.25">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x14ac:dyDescent="0.25">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x14ac:dyDescent="0.25">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x14ac:dyDescent="0.25">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x14ac:dyDescent="0.25">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x14ac:dyDescent="0.25">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x14ac:dyDescent="0.25">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x14ac:dyDescent="0.25">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x14ac:dyDescent="0.25">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x14ac:dyDescent="0.25">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x14ac:dyDescent="0.25">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x14ac:dyDescent="0.25">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x14ac:dyDescent="0.25">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x14ac:dyDescent="0.25">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x14ac:dyDescent="0.25">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x14ac:dyDescent="0.25">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x14ac:dyDescent="0.25">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x14ac:dyDescent="0.25">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x14ac:dyDescent="0.25">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x14ac:dyDescent="0.25">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x14ac:dyDescent="0.25">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5">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5">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5">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5">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5">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5">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5">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5">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5">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5">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5">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5">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5">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5">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5">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5">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5">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5">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5">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5">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5">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5">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5">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5">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5">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5">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5">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5">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5">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5">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5">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5">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5">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5">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5">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5">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5">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5">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5">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5">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5">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5">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5">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5">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5">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5">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5">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5">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5">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5">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5">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5">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5">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5">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5">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5">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5">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5">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5">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5">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5">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5">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5">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5">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5">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5">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5">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5">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5">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5">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5">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5">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5">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5">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5">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5">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5">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5">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5">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5">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5">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5">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5">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5">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5">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5">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5">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5">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5">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5">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5">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5">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5">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5">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5">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5">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5">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5">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5">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5">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5">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5">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5">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5">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5">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5">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5">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5">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5">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5">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5">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5">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5">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5">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5">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5">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5">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5">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5">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5">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5">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5">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5">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5">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5">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5">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5">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5">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5">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5">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5">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5">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5">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5">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5">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5">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5">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5">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5">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5">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5">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5">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5">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5">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5">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5">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5">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5">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5">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5">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5">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5">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5">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5">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5">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5">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5">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5">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5">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5">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5">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5">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5">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5">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5">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5">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5">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5">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5">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5">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5">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5">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5">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5">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5">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5">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5">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5">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5">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5">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5">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5">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5">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5">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5">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5">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5">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5">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5">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5">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5">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5">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5">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5">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5">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5">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5">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5">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5">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5">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5">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5">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5">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5">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5">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5">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5">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5">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5">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5">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5">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5">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5">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5">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5">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5">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5">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5">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5">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5">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5">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5">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5">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5">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5">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5">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5">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5">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5">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5">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5">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5">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5">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5">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5">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5">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5">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5">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5">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5">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5">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5">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5">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5">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5">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5">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5">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5">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5">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5">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5">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5">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5">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5">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5">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5">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5">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5">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5">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5">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5">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5">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5">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5">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5">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5">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5">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5">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5">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5">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5">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5">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5">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5">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5">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5">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5">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5">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5">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5">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5">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5">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5">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5">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5">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5">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5">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5">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5">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5">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5">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5">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5">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5">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5">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5">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5">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5">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5">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5">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5">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5">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5">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5">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5">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5">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5">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5">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5">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5">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5">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5">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5">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5">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5">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5">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5">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5">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5">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5">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5">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5">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5">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5">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5">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5">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5">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5">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5">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5">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5">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5">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5">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5">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5">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5">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5">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5">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5">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5">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5">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5">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5">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5">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5">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5">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5">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5">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5">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5">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5">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5">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5">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5">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5">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5">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5">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5">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5">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5">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5">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5">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5">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5">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5">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5">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5">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5">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5">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5">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5">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5">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5">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5">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5">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5">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5">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5">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5">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5">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5">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5">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5">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5">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5">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5">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5">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5">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5">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5">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5">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5">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5">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5">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5">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5">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5">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5">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5">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5">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5">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5">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5">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5">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5">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5">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5">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5">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5">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5">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5">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5">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5">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5">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5">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5">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5">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5">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5">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5">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5">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5">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5">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5">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5">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5">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5">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5">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5">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5">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5">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5">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5">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5">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5">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5">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5">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5">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5">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5">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5">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5">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5">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5">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5">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5">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5">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5">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5">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5">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5">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5">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5">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5">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5">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5">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5">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5">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5">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5">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5">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5">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5">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5">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5">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5">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5">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5">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5">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5">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5">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5">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5">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5">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5">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5">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5">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5">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5">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5">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5">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5">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5">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5">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5">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5">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5">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5">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5">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5">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5">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5">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5">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5">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5">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5">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5">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5">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5">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5">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5">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5">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5">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5">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5">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5">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5">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5">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5">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5">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5">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5">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5">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5">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5">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5">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5">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5">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5">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5">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5">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5">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5">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5">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5">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5">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5">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5">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5">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5">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5">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5">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5">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5">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5">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5">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5">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5">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5">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5">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5">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5">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5">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5">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5">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5">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5">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5">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5">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5">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5">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5">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5">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5">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5">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5">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5">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5">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5">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5">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5">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5">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5">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5">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5">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5">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5">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5">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5">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5">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5">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5">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5">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5">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5">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5">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5">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5">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5">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5">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5">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5">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5">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5">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5">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5">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5">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5">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5">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5">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5">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5">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5">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5">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5">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5">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5">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5">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5">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5">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5">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5">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5">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5">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5">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5">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5">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5">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5">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5">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5">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5">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5">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5">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5">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5">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5">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5">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5">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5">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5">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5">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5">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5">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5">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5">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5">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5">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5">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5">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5">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5">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5">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5">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5">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5">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5">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5">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5">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5">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5">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5">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5">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5">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5">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5">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5">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5">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5">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5">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5">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5">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5">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5">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5">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5">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5">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5">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5">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5">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5">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5">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5">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5">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5">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5">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5">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5">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5">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5">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5">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5">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5">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5">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5">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5">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5">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5">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5">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5">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5">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5">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5">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5">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5">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5">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5">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5">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5">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5">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5">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5">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5">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5">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5">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5">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5">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5">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5">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5">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5">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5">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5">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5">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5">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5">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5">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5">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5">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5">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5">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5">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5">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5">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5">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5">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5">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5">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5">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5">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5">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5">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5">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5">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5">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5">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5">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5">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5">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5">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5">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5">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5">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5">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5">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5">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5">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5">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5">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5">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5">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5">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5">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5">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5">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5">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5">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5">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5">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5">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5">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5">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5">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5">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5">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5">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5">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5">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5">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5">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5">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5">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5">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5">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5">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5">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5">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5">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5">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5">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5">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5">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5">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5">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5">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5">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5">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5">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5">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5">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5">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5">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5">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5">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5">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5">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5">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5">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5">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5">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5">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5">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5">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5">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5">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5">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5">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5">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5">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5">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5">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5">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5">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5">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5">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5">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5">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5">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5">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5">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5">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5">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5">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5">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5">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5">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5">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5">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5">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5">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5">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5">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5">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5">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5">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5">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5">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5">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5">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5">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5">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5">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5">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5">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5">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5">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5">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5">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5">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5">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5">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5">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5">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5">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5">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5">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5">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5">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5">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5">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5">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5">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5">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5">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5">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5">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5">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5">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5">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5">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5">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5">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5">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5">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5">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5">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5">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5">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5">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5">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5">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5">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5">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5">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5">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5">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5">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5">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5">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5">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5">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5">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5">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5">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5">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5">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5">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5">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5">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5">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5">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5">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5">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5">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5">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5">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5">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5">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5">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5">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5">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5">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5">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5">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5">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5">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5">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5">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5">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5">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5">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5">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5">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5">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5">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5">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5">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5">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5">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5">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5">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5">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5">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5">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5">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5">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5">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5">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5">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5">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5">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5">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5">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5">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5">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5">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5">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5">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5">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5">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5">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5">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5">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5">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5">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5">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5">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5">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5">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5">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5">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5">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5">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5">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5">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5">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5">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5">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5">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5">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5">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5">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5">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5">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5">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5">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5">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5">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5">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5">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5">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5">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5">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5">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5">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5">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5">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5">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5">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5">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5">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5">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5">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5">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5">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5">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5">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5">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5">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5">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5">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5">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5">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5">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5">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5">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5">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5">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5">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5">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5">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5">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5">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5">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5">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5">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5">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5">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5">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5">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5">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5">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5">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5">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5">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5">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5">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5">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5">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5">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5">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5">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5">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5">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5">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5">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5">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5">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5">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5">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5">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5">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5">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5">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5">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5">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5">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5">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5">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5">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5">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5">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5">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5">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5">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5">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5">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5">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5">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5">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5">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5">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5">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5">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5">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5">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5">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5">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5">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5">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5">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5">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5">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5">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5">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5">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5">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5">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5">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5">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5">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5">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5">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5">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5">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5">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5">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5">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5">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5">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5">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5">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5">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5">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5">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5">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5">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5">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5">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5">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5">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5">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5">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5">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5">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5">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5">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5">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5">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5">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5">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5">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5">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5">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5">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5">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5">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5">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5">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5">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5">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5">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5">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5">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5">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5">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5">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5">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5">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5">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5">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5">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5">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5">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5">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5">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5">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5">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5">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5">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5">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5">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5">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5">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5">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5">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5">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5">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5">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5">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5">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5">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5">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5">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5">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5">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5">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5">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5">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5">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5">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5">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5">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5">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5">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5">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5">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5">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5">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5">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5">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5">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5">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5">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5">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5">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5">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5">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5">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5">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5">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5">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5">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5">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5">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5">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5">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5">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5">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5">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5">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5">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5">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5">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5">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5">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5">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5">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5">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5">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5">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5">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5">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5">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5">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5">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5">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5">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5">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5">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5">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5">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5">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5">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5">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5">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5">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5">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5">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5">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5">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5">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5">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5">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5">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5">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5">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5">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5">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5">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5">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5">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5">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5">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5">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5">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5">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5">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5">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5">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5">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5">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5">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5">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5">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5">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5">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5">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5">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5">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5">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5">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5">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5">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5">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5">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5">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5">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5">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5">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5">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5">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5">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5">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5">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5">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5">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5">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5">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5">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5">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5">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5">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5">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5">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5">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5">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5">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5">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5">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5">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5">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5">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5">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5">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5">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5">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5">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5">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5">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5">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5">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5">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5">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5">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5">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5">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5">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5">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5">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5">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5">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5">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5">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5">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5">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5">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5">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5">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5">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5">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5">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5">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5">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5">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5">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5">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5">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5">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5">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5">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5">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5">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5">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5">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5">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5">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5">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5">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5">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5">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5">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5">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5">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5">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5">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5">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5">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5">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5">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5">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5">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5">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5">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5">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5">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5">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5">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5">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5">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5">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5">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5">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5">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5">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5">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5">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5">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5">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5">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5">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5">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5">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5">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5">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5">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5">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5">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5">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5">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5">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5">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5">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5">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5">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5">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5">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5">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5">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5">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5">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5">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5">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5">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5">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5">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5">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5">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5">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5">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5">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5">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5">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5">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5">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5">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5">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5">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5">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5">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5">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5">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5">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5">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5">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5">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5">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5">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5">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5">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5">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5">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5">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5">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5">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5">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5">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5">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5">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5">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5">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5">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5">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5">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5">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5">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5">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5">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5">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5">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5">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5">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5">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5">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5">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5">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5">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5">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5">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5">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5">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5">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5">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5">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5">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5">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5">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5">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5">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5">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5">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5">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5">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5">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5">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5">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5">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5">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5">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5">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5">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5">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5">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5">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5">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5">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5">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5">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5">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5">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5">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5">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5">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5">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5">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5">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5">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5">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5">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5">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5">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5">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5">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5">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5">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5">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5">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5">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5">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5">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5">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5">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5">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5">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5">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5">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5">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5">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5">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5">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5">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5">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5">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5">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5">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5">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5">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5">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5">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5">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5">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5">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5">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5">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5">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5">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5">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5">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5">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5">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5">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5">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5">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5">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5">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5">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5">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5">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5">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5">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5">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5">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5">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5">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5">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5">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5">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5">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5">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5">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5">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5">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5">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5">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5">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5">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5">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5">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5">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5">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5">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5">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5">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5">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5">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5">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5">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5">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5">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5">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5">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5">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5">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5">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5">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5">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5">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5">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5">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5">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5">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5">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5">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5">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5">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5">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5">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5">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5">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5">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5">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5">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5">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5">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5">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5">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5">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5">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5">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5">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5">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5">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5">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5">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5">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5">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5">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5">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5">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5">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5">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5">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5">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5">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5">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5">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5">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5">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5">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5">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5">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5">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5">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5">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5">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5">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5">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5">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5">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5">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5">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5">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5">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5">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5">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5">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5">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5">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5">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5">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5">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5">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5">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5">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5">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5">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5">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5">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5">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5">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5">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5">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5">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5">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5">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5">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5">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5">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5">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5">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5">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5">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5">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5">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5">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5">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5">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5">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5">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5">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5">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5">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5">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5">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5">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5">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5">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5">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5">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5">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5">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5">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5">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5">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5">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5">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5">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5">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5">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5">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5">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5">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5">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5">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5">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5">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5">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5">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5">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5">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5">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5">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5">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5">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5">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5">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5">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5">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5">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5">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5">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5">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5">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5">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5">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5">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5">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5">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5">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5">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5">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5">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5">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5">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5">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5">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5">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5">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5">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5">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5">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5">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5">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5">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5">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5">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5">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5">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5">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5">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5">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5">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5">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5">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5">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5">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5">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5">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5">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5">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5">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5">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5">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5">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5">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5">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5">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5">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5">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5">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5">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5">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5">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5">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5">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5">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5">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5">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5">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5">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5">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5">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5">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5">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5">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5">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5">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5">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5">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5">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5">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5">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5">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5">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5">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5">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5">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5">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5">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5">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5">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5">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5">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5">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5">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5">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5">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5">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5">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5">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5">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5">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5">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5">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5">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5">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5">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5">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5">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5">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5">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5">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5">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5">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5">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5">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5">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5">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5">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5">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5">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5">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5">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5">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5">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5">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5">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5">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5">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5">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5">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5">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5">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5">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5">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5">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5">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5">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5">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5">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5">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5">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5">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5">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5">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5">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5">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5">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5">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5">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5">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5">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5">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5">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5">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5">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5">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5">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5">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5">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5">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5">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5">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5">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5">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5">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5">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5">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5">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5">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5">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5">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5">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5">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5">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5">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5">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5">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5">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5">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5">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5">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5">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5">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5">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5">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5">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5">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5">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5">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5">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5">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5">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5">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5">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5">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5">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5">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5">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5">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5">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5">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5">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5">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5">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5">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5">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5">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5">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5">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5">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5">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5">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5">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5">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5">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5">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5">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5">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5">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5">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5">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5">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5">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5">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5">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5">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5">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5">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5">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5">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5">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5">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5">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5">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5">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5">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5">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5">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5">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5">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5">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5">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5">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5">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5">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5">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5">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5">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5">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5">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5">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5">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5">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5">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5">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5">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5">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5">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5">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5">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5">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5">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5">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5">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5">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5">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5">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5">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5">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5">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5">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5">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5">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5">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5">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5">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5">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5">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5">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5">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5">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5">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5">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5">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5">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5">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5">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5">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5">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5">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5">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5">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5">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5">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5">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5">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5">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5">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5">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5">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5">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5">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5">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5">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5">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5">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5">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5">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5">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5">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5">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5">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5">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5">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5">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5">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5">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5">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5">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5">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5">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5">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5">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5">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5">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5">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5">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5">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5">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5">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5">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5">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5">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5">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5">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5">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5">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5">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5">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5">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5">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5">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5">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5">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5">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5">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5">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5">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5">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5">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5">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5">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5">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5">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5">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5">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5">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5">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5">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5">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5">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5">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5">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5">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5">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5">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5">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5">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5">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5">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5">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5">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5">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5">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5">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5">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5">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5">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5">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5">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5">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5">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5">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5">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5">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5">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5">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5">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5">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5">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5">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5">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5">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5">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5">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5">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5">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5">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5">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5">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5">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5">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5">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5">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5">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5">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5">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5">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5">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5">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5">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5">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5">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5">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5">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5">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5">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5">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5">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5">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5">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5">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5">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5">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5">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5">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5">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5">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5">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5">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5">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5">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5">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5">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5">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5">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5">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5">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5">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5">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5">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5">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5">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5">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5">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5">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5">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5">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5">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5">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5">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5">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5">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5">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5">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5">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5">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5">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5">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5">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5">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5">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5">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5">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5">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5">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5">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5">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5">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5">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5">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5">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5">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5">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5">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5">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5">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5">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5">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5">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5">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5">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5">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5">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5">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5">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5">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5">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5">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5">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5">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5">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5">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5">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5">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5">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5">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5">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5">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5">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5">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5">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5">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5">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5">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5">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5">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5">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5">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5">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5">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5">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5">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5">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5">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5">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5">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5">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5">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5">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5">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5">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5">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5">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5">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5">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5">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5">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5">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5">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5">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5">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5">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5">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5">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5">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5">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5">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5">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5">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5">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5">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5">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5">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5">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5">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5">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5">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5">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5">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5">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5">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5">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5">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5">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5">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5">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5">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5">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5">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5">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5">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5">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5">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5">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5">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5">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5">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5">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5">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5">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5">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5">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5">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5">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5">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5">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5">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5">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5">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5">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5">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5">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5">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5">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5">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5">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5">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5">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5">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5">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5">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5">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5">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5">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5">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5">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5">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5">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5">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5">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5">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5">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5">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5">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5">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5">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5">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5">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5">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5">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5">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5">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5">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5">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5">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5">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5">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5">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5">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5">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5">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5">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5">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5">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5">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5">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5">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5">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5">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5">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5">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5">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5">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5">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5">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5">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5">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5">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5">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5">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5">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5">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5">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5">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5">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5">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5">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5">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5">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5">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5">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5">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5">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5">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5">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5">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5">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5">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5">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5">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5">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5">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5">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5">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5">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5">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5">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5">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5">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5">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5">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5">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5">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5">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5">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5">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5">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5">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5">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5">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5">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5">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5">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5">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5">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5">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5">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5">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5">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5">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5">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5">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5">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5">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5">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5">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5">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5">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5">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5">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5">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5">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5">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5">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5">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5">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5">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5">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5">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5">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5">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5">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5">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5">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5">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5">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5">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5">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5">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5">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5">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5">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5">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5">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5">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5">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5">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5">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5">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5">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5">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5">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5">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5">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5">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5">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5">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5">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5">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5">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5">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5">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5">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5">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5">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5">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5">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5">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5">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5">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5">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5">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5">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5">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5">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5">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5">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5">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5">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5">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5">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5">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5">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5">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5">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5">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5">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5">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5">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5">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5">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5">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5">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5">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5">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5">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5">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5">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5">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5">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5">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5">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5">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5">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5">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5">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5">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5">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5">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5">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5">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5">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5">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5">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5">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5">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5">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5">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5">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5">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5">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5">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5">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5">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5">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5">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5">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5">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5">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5">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5">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5">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5">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5">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5">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5">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5">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5">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5">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5">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5">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5">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5">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5">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5">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5">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5">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5">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5">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5">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5">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5">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5">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5">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5">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5">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5">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5">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5">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5">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5">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5">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5">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5">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5">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5">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5">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5">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5">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5">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5">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5">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5">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5">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5">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5">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5">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5">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5">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5">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5">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5">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5">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5">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5">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5">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5">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5">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5">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5">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5">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5">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5">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5">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5">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5">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5">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5">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5">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5">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5">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5">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5">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5">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5">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5">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5">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5">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5">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5">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5">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5">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5">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5">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5">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5">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5">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5">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5">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5">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5">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5">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5">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5">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5">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5">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5">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5">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5">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5">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5">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5">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5">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5">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5">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5">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5">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5">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5">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5">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5">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5">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5">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5">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5">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5">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5">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5">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5">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5">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5">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5">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5">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5">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5">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5">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5">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5">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5">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5">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5">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5">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5">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5">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5">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5">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5">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5">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5">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5">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5">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5">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5">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5">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5">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5">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5">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5">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5">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5">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5">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5">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5">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5">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5">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5">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5">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5">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5">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5">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5">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5">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5">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5">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5">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5">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5">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5">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5">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5">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5">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5">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5">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5">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5">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5">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5">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5">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5">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5">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5">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5">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5">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5">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5">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5">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5">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5">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5">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5">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5">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5">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5">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5">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5">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5">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5">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5">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5">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5">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5">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5">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5">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5">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5">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5">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5">
      <c r="O3103" s="6" t="s">
        <v>19</v>
      </c>
      <c r="P3103" s="208">
        <f>SUM(P22:P3102)</f>
        <v>8249603.2969358116</v>
      </c>
      <c r="Q3103" s="208">
        <f>SUM(Q22:Q3102)</f>
        <v>18324753.103798825</v>
      </c>
    </row>
    <row r="3105" spans="16:17" x14ac:dyDescent="0.25">
      <c r="P3105" s="234" t="s">
        <v>278</v>
      </c>
      <c r="Q3105" s="233">
        <f>Q3103/J22</f>
        <v>20388666.590618551</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N22" sqref="N2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x14ac:dyDescent="0.25">
      <c r="E1" s="27"/>
    </row>
    <row r="2" spans="3:5" x14ac:dyDescent="0.25">
      <c r="E2" s="27"/>
    </row>
    <row r="3" spans="3:5" ht="20" x14ac:dyDescent="0.4">
      <c r="C3" s="50" t="s">
        <v>202</v>
      </c>
    </row>
    <row r="5" spans="3:5" x14ac:dyDescent="0.25">
      <c r="D5" s="27"/>
    </row>
    <row r="6" spans="3:5"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5">
      <c r="C7" s="104" t="str">
        <f ca="1">"Hyperlink to the '"&amp;MID(CELL("filename",'Asset exclusions'!A1),FIND("]",CELL("filename",'Asset exclusions'!A1))+1,255)&amp;"' worksheet:"</f>
        <v>Hyperlink to the 'Asset exclusions' worksheet:</v>
      </c>
      <c r="E7" s="134" t="s">
        <v>187</v>
      </c>
    </row>
    <row r="8" spans="3:5" x14ac:dyDescent="0.25">
      <c r="C8" s="104"/>
      <c r="E8" s="134"/>
    </row>
    <row r="9" spans="3:5" x14ac:dyDescent="0.25">
      <c r="C9" s="104" t="s">
        <v>242</v>
      </c>
      <c r="E9" s="134"/>
    </row>
    <row r="10" spans="3:5" x14ac:dyDescent="0.25">
      <c r="C10" s="104" t="s">
        <v>245</v>
      </c>
      <c r="E10" s="134"/>
    </row>
    <row r="11" spans="3:5" x14ac:dyDescent="0.25">
      <c r="C11" s="104" t="s">
        <v>244</v>
      </c>
      <c r="E11" s="134"/>
    </row>
    <row r="12" spans="3:5" x14ac:dyDescent="0.25">
      <c r="C12" s="104" t="s">
        <v>243</v>
      </c>
      <c r="E12" s="134"/>
    </row>
    <row r="14" spans="3:5" x14ac:dyDescent="0.25">
      <c r="C14" s="6" t="s">
        <v>54</v>
      </c>
    </row>
    <row r="15" spans="3:5" x14ac:dyDescent="0.25">
      <c r="C15" s="57" t="s">
        <v>58</v>
      </c>
      <c r="E15" s="82">
        <f>'General inputs'!$H$24+1</f>
        <v>35065</v>
      </c>
    </row>
    <row r="16" spans="3:5" x14ac:dyDescent="0.25">
      <c r="C16" s="57" t="s">
        <v>59</v>
      </c>
      <c r="E16" s="83">
        <f>'General inputs'!$H$18</f>
        <v>44742</v>
      </c>
    </row>
    <row r="18" spans="3:19" ht="15.5" x14ac:dyDescent="0.35">
      <c r="C18" s="2" t="s">
        <v>208</v>
      </c>
    </row>
    <row r="20" spans="3:19" x14ac:dyDescent="0.25">
      <c r="C20" s="6" t="s">
        <v>16</v>
      </c>
      <c r="H20" s="6" t="s">
        <v>17</v>
      </c>
      <c r="L20" s="6" t="s">
        <v>18</v>
      </c>
      <c r="M20" s="6"/>
      <c r="Q20" s="237" t="s">
        <v>276</v>
      </c>
    </row>
    <row r="21" spans="3:19" ht="46" x14ac:dyDescent="0.25">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5">
      <c r="C22" s="159"/>
      <c r="D22" s="165" t="s">
        <v>303</v>
      </c>
      <c r="E22" s="161">
        <v>36342</v>
      </c>
      <c r="F22" s="172" t="str">
        <f t="shared" ref="F22:F85" si="0">IF(E22="","-",IF(OR(E22&lt;$E$15,E22&gt;$E$16),"ERROR - date outside of range",IF(MONTH(E22)&gt;=7,YEAR(E22)&amp;"-"&amp;IF(YEAR(E22)=1999,"00",IF(AND(YEAR(E22)&gt;=2000,YEAR(E22)&lt;2009),"0","")&amp;RIGHT(YEAR(E22),2)+1),RIGHT(YEAR(E22),4)-1&amp;"-"&amp;RIGHT(YEAR(E22),2))))</f>
        <v>1999-00</v>
      </c>
      <c r="G22" s="68"/>
      <c r="H22" s="167" t="s">
        <v>279</v>
      </c>
      <c r="I22" s="173">
        <v>8793.8848904043734</v>
      </c>
      <c r="J22" s="168">
        <f>IFERROR(MIN('MP Calculations'!$E$30/I22,1),"-")</f>
        <v>0.89877153183870317</v>
      </c>
      <c r="K22" s="12"/>
      <c r="L22" s="159">
        <v>1</v>
      </c>
      <c r="M22" s="159" t="s">
        <v>302</v>
      </c>
      <c r="N22" s="159">
        <v>90505.57</v>
      </c>
      <c r="O22" s="185">
        <f t="shared" ref="O22:O85" si="1">IF(N22="","-",L22*N22)</f>
        <v>90505.57</v>
      </c>
      <c r="P22" s="215">
        <f t="shared" ref="P22" si="2">IF(O22="-","-",IF(OR(E22&lt;$E$15,E22&gt;$E$16),0,O22*J22))</f>
        <v>81343.829788834992</v>
      </c>
      <c r="Q22" s="215" cm="1">
        <f t="array" ref="Q22">IF(P22="-",0,P22/(1+'General inputs'!$H$32)^IFERROR(INDEX('MP Calculations'!$C$40:$C$130,MATCH(F22,'MP Calculations'!$D$40:$D$130,0),0),-1))</f>
        <v>209547.33984772791</v>
      </c>
      <c r="R22" s="201"/>
      <c r="S22" s="200"/>
    </row>
    <row r="23" spans="3:19" x14ac:dyDescent="0.25">
      <c r="C23" s="159"/>
      <c r="D23" s="165" t="s">
        <v>304</v>
      </c>
      <c r="E23" s="161">
        <v>38749</v>
      </c>
      <c r="F23" s="172" t="str">
        <f t="shared" si="0"/>
        <v>2005-06</v>
      </c>
      <c r="G23" s="68"/>
      <c r="H23" s="167" t="s">
        <v>279</v>
      </c>
      <c r="I23" s="173">
        <v>8793.8848904043734</v>
      </c>
      <c r="J23" s="168">
        <f>IFERROR(MIN('MP Calculations'!$E$30/I23,1),"-")</f>
        <v>0.89877153183870317</v>
      </c>
      <c r="K23" s="12"/>
      <c r="L23" s="159">
        <v>1</v>
      </c>
      <c r="M23" s="159" t="s">
        <v>302</v>
      </c>
      <c r="N23" s="159">
        <v>7063.27</v>
      </c>
      <c r="O23" s="185">
        <f t="shared" si="1"/>
        <v>7063.27</v>
      </c>
      <c r="P23" s="215">
        <f t="shared" ref="P23:P86" si="3">IF(O23="-","-",IF(OR(E23&lt;$E$15,E23&gt;$E$16),0,O23*J23))</f>
        <v>6348.2659976903569</v>
      </c>
      <c r="Q23" s="215" cm="1">
        <f t="array" ref="Q23">IF(P23="-",0,P23/(1+'General inputs'!$H$32)^IFERROR(INDEX('MP Calculations'!$C$40:$C$130,MATCH(F23,'MP Calculations'!$D$40:$D$130,0),0),-1))</f>
        <v>12776.33639780245</v>
      </c>
    </row>
    <row r="24" spans="3:19" x14ac:dyDescent="0.25">
      <c r="C24" s="159"/>
      <c r="D24" s="165" t="s">
        <v>305</v>
      </c>
      <c r="E24" s="161">
        <v>38883</v>
      </c>
      <c r="F24" s="172" t="str">
        <f t="shared" si="0"/>
        <v>2005-06</v>
      </c>
      <c r="G24" s="68"/>
      <c r="H24" s="167" t="s">
        <v>279</v>
      </c>
      <c r="I24" s="173">
        <v>8793.8848904043734</v>
      </c>
      <c r="J24" s="168">
        <f>IFERROR(MIN('MP Calculations'!$E$30/I24,1),"-")</f>
        <v>0.89877153183870317</v>
      </c>
      <c r="K24" s="12"/>
      <c r="L24" s="159">
        <v>1</v>
      </c>
      <c r="M24" s="159" t="s">
        <v>302</v>
      </c>
      <c r="N24" s="159">
        <v>484.85</v>
      </c>
      <c r="O24" s="185">
        <f t="shared" si="1"/>
        <v>484.85</v>
      </c>
      <c r="P24" s="215">
        <f t="shared" si="3"/>
        <v>435.76937721199528</v>
      </c>
      <c r="Q24" s="215" cm="1">
        <f t="array" ref="Q24">IF(P24="-",0,P24/(1+'General inputs'!$H$32)^IFERROR(INDEX('MP Calculations'!$C$40:$C$130,MATCH(F24,'MP Calculations'!$D$40:$D$130,0),0),-1))</f>
        <v>877.01683532903576</v>
      </c>
    </row>
    <row r="25" spans="3:19" x14ac:dyDescent="0.25">
      <c r="C25" s="159"/>
      <c r="D25" s="165" t="s">
        <v>306</v>
      </c>
      <c r="E25" s="161">
        <v>38883</v>
      </c>
      <c r="F25" s="172" t="str">
        <f t="shared" si="0"/>
        <v>2005-06</v>
      </c>
      <c r="G25" s="68"/>
      <c r="H25" s="167" t="s">
        <v>279</v>
      </c>
      <c r="I25" s="173">
        <v>8793.8848904043734</v>
      </c>
      <c r="J25" s="168">
        <f>IFERROR(MIN('MP Calculations'!$E$30/I25,1),"-")</f>
        <v>0.89877153183870317</v>
      </c>
      <c r="K25" s="12"/>
      <c r="L25" s="159">
        <v>1</v>
      </c>
      <c r="M25" s="159" t="s">
        <v>302</v>
      </c>
      <c r="N25" s="159">
        <v>328.57</v>
      </c>
      <c r="O25" s="185">
        <f t="shared" si="1"/>
        <v>328.57</v>
      </c>
      <c r="P25" s="215">
        <f t="shared" si="3"/>
        <v>295.30936221624268</v>
      </c>
      <c r="Q25" s="215" cm="1">
        <f t="array" ref="Q25">IF(P25="-",0,P25/(1+'General inputs'!$H$32)^IFERROR(INDEX('MP Calculations'!$C$40:$C$130,MATCH(F25,'MP Calculations'!$D$40:$D$130,0),0),-1))</f>
        <v>594.33107473251766</v>
      </c>
    </row>
    <row r="26" spans="3:19" x14ac:dyDescent="0.25">
      <c r="C26" s="159"/>
      <c r="D26" s="165" t="s">
        <v>307</v>
      </c>
      <c r="E26" s="161">
        <v>39052</v>
      </c>
      <c r="F26" s="172" t="str">
        <f t="shared" si="0"/>
        <v>2006-07</v>
      </c>
      <c r="G26" s="68"/>
      <c r="H26" s="167" t="s">
        <v>279</v>
      </c>
      <c r="I26" s="173">
        <v>8793.8848904043734</v>
      </c>
      <c r="J26" s="168">
        <f>IFERROR(MIN('MP Calculations'!$E$30/I26,1),"-")</f>
        <v>0.89877153183870317</v>
      </c>
      <c r="K26" s="12"/>
      <c r="L26" s="159">
        <v>1</v>
      </c>
      <c r="M26" s="159" t="s">
        <v>302</v>
      </c>
      <c r="N26" s="159">
        <v>16063.19</v>
      </c>
      <c r="O26" s="185">
        <f t="shared" si="1"/>
        <v>16063.19</v>
      </c>
      <c r="P26" s="215">
        <f t="shared" si="3"/>
        <v>14437.137882516139</v>
      </c>
      <c r="Q26" s="215" cm="1">
        <f t="array" ref="Q26">IF(P26="-",0,P26/(1+'General inputs'!$H$32)^IFERROR(INDEX('MP Calculations'!$C$40:$C$130,MATCH(F26,'MP Calculations'!$D$40:$D$130,0),0),-1))</f>
        <v>27884.612113822353</v>
      </c>
    </row>
    <row r="27" spans="3:19" x14ac:dyDescent="0.25">
      <c r="C27" s="159"/>
      <c r="D27" s="165" t="s">
        <v>308</v>
      </c>
      <c r="E27" s="161">
        <v>39052</v>
      </c>
      <c r="F27" s="172" t="str">
        <f t="shared" si="0"/>
        <v>2006-07</v>
      </c>
      <c r="G27" s="68"/>
      <c r="H27" s="167" t="s">
        <v>279</v>
      </c>
      <c r="I27" s="173">
        <v>8793.8848904043734</v>
      </c>
      <c r="J27" s="168">
        <f>IFERROR(MIN('MP Calculations'!$E$30/I27,1),"-")</f>
        <v>0.89877153183870317</v>
      </c>
      <c r="K27" s="12"/>
      <c r="L27" s="159">
        <v>1</v>
      </c>
      <c r="M27" s="159" t="s">
        <v>302</v>
      </c>
      <c r="N27" s="159">
        <v>1201.8399999999999</v>
      </c>
      <c r="O27" s="185">
        <f t="shared" si="1"/>
        <v>1201.8399999999999</v>
      </c>
      <c r="P27" s="215">
        <f t="shared" si="3"/>
        <v>1080.1795778250269</v>
      </c>
      <c r="Q27" s="215" cm="1">
        <f t="array" ref="Q27">IF(P27="-",0,P27/(1+'General inputs'!$H$32)^IFERROR(INDEX('MP Calculations'!$C$40:$C$130,MATCH(F27,'MP Calculations'!$D$40:$D$130,0),0),-1))</f>
        <v>2086.3130064997208</v>
      </c>
    </row>
    <row r="28" spans="3:19" x14ac:dyDescent="0.25">
      <c r="C28" s="159"/>
      <c r="D28" s="165" t="s">
        <v>283</v>
      </c>
      <c r="E28" s="161">
        <v>39115</v>
      </c>
      <c r="F28" s="172" t="str">
        <f t="shared" si="0"/>
        <v>2006-07</v>
      </c>
      <c r="G28" s="68"/>
      <c r="H28" s="167" t="s">
        <v>279</v>
      </c>
      <c r="I28" s="173">
        <v>8793.8848904043734</v>
      </c>
      <c r="J28" s="168">
        <f>IFERROR(MIN('MP Calculations'!$E$30/I28,1),"-")</f>
        <v>0.89877153183870317</v>
      </c>
      <c r="K28" s="12"/>
      <c r="L28" s="159">
        <v>5.1764809999999999</v>
      </c>
      <c r="M28" s="159" t="s">
        <v>301</v>
      </c>
      <c r="N28" s="159">
        <v>809</v>
      </c>
      <c r="O28" s="185">
        <f t="shared" si="1"/>
        <v>4187.7731290000002</v>
      </c>
      <c r="P28" s="215">
        <f t="shared" si="3"/>
        <v>3763.8512701442892</v>
      </c>
      <c r="Q28" s="215" cm="1">
        <f t="array" ref="Q28">IF(P28="-",0,P28/(1+'General inputs'!$H$32)^IFERROR(INDEX('MP Calculations'!$C$40:$C$130,MATCH(F28,'MP Calculations'!$D$40:$D$130,0),0),-1))</f>
        <v>7269.6910964044582</v>
      </c>
    </row>
    <row r="29" spans="3:19" x14ac:dyDescent="0.25">
      <c r="C29" s="159"/>
      <c r="D29" s="165" t="s">
        <v>309</v>
      </c>
      <c r="E29" s="161">
        <v>39115</v>
      </c>
      <c r="F29" s="172" t="str">
        <f t="shared" si="0"/>
        <v>2006-07</v>
      </c>
      <c r="G29" s="68"/>
      <c r="H29" s="167" t="s">
        <v>279</v>
      </c>
      <c r="I29" s="173">
        <v>8793.8848904043734</v>
      </c>
      <c r="J29" s="168">
        <f>IFERROR(MIN('MP Calculations'!$E$30/I29,1),"-")</f>
        <v>0.89877153183870317</v>
      </c>
      <c r="K29" s="12"/>
      <c r="L29" s="159">
        <v>14.723979999999999</v>
      </c>
      <c r="M29" s="159" t="s">
        <v>301</v>
      </c>
      <c r="N29" s="159">
        <v>3983</v>
      </c>
      <c r="O29" s="185">
        <f t="shared" si="1"/>
        <v>58645.61234</v>
      </c>
      <c r="P29" s="215">
        <f t="shared" si="3"/>
        <v>52709.006838440553</v>
      </c>
      <c r="Q29" s="215" cm="1">
        <f t="array" ref="Q29">IF(P29="-",0,P29/(1+'General inputs'!$H$32)^IFERROR(INDEX('MP Calculations'!$C$40:$C$130,MATCH(F29,'MP Calculations'!$D$40:$D$130,0),0),-1))</f>
        <v>101804.81910993355</v>
      </c>
      <c r="R29" s="202"/>
    </row>
    <row r="30" spans="3:19" x14ac:dyDescent="0.25">
      <c r="C30" s="159"/>
      <c r="D30" s="165" t="s">
        <v>292</v>
      </c>
      <c r="E30" s="161">
        <v>39115</v>
      </c>
      <c r="F30" s="172" t="str">
        <f t="shared" si="0"/>
        <v>2006-07</v>
      </c>
      <c r="G30" s="68"/>
      <c r="H30" s="167" t="s">
        <v>279</v>
      </c>
      <c r="I30" s="173">
        <v>8793.8848904043734</v>
      </c>
      <c r="J30" s="168">
        <f>IFERROR(MIN('MP Calculations'!$E$30/I30,1),"-")</f>
        <v>0.89877153183870317</v>
      </c>
      <c r="K30" s="12"/>
      <c r="L30" s="159">
        <v>49.142093000000003</v>
      </c>
      <c r="M30" s="159" t="s">
        <v>301</v>
      </c>
      <c r="N30" s="159">
        <v>995</v>
      </c>
      <c r="O30" s="185">
        <f t="shared" si="1"/>
        <v>48896.382535000004</v>
      </c>
      <c r="P30" s="215">
        <f t="shared" si="3"/>
        <v>43946.676632353163</v>
      </c>
      <c r="Q30" s="215" cm="1">
        <f t="array" ref="Q30">IF(P30="-",0,P30/(1+'General inputs'!$H$32)^IFERROR(INDEX('MP Calculations'!$C$40:$C$130,MATCH(F30,'MP Calculations'!$D$40:$D$130,0),0),-1))</f>
        <v>84880.815128100498</v>
      </c>
    </row>
    <row r="31" spans="3:19" x14ac:dyDescent="0.25">
      <c r="C31" s="159"/>
      <c r="D31" s="165" t="s">
        <v>309</v>
      </c>
      <c r="E31" s="161">
        <v>39115</v>
      </c>
      <c r="F31" s="172" t="str">
        <f t="shared" si="0"/>
        <v>2006-07</v>
      </c>
      <c r="G31" s="68"/>
      <c r="H31" s="167" t="s">
        <v>279</v>
      </c>
      <c r="I31" s="173">
        <v>8793.8848904043734</v>
      </c>
      <c r="J31" s="168">
        <f>IFERROR(MIN('MP Calculations'!$E$30/I31,1),"-")</f>
        <v>0.89877153183870317</v>
      </c>
      <c r="K31" s="12"/>
      <c r="L31" s="159">
        <v>14.831787</v>
      </c>
      <c r="M31" s="159" t="s">
        <v>301</v>
      </c>
      <c r="N31" s="159">
        <v>3983</v>
      </c>
      <c r="O31" s="185">
        <f t="shared" si="1"/>
        <v>59075.007621000004</v>
      </c>
      <c r="P31" s="215">
        <f t="shared" si="3"/>
        <v>53094.93509290924</v>
      </c>
      <c r="Q31" s="215" cm="1">
        <f t="array" ref="Q31">IF(P31="-",0,P31/(1+'General inputs'!$H$32)^IFERROR(INDEX('MP Calculations'!$C$40:$C$130,MATCH(F31,'MP Calculations'!$D$40:$D$130,0),0),-1))</f>
        <v>102550.22029451713</v>
      </c>
    </row>
    <row r="32" spans="3:19" x14ac:dyDescent="0.25">
      <c r="C32" s="159"/>
      <c r="D32" s="165" t="s">
        <v>283</v>
      </c>
      <c r="E32" s="161">
        <v>39115</v>
      </c>
      <c r="F32" s="172" t="str">
        <f t="shared" si="0"/>
        <v>2006-07</v>
      </c>
      <c r="G32" s="68"/>
      <c r="H32" s="167" t="s">
        <v>279</v>
      </c>
      <c r="I32" s="173">
        <v>8793.8848904043734</v>
      </c>
      <c r="J32" s="168">
        <f>IFERROR(MIN('MP Calculations'!$E$30/I32,1),"-")</f>
        <v>0.89877153183870317</v>
      </c>
      <c r="K32" s="12"/>
      <c r="L32" s="159">
        <v>23.147390999999999</v>
      </c>
      <c r="M32" s="159" t="s">
        <v>301</v>
      </c>
      <c r="N32" s="159">
        <v>809</v>
      </c>
      <c r="O32" s="185">
        <f t="shared" si="1"/>
        <v>18726.239319</v>
      </c>
      <c r="P32" s="215">
        <f t="shared" si="3"/>
        <v>16830.610798315785</v>
      </c>
      <c r="Q32" s="215" cm="1">
        <f t="array" ref="Q32">IF(P32="-",0,P32/(1+'General inputs'!$H$32)^IFERROR(INDEX('MP Calculations'!$C$40:$C$130,MATCH(F32,'MP Calculations'!$D$40:$D$130,0),0),-1))</f>
        <v>32507.485733588652</v>
      </c>
    </row>
    <row r="33" spans="3:17" x14ac:dyDescent="0.25">
      <c r="C33" s="159"/>
      <c r="D33" s="165" t="s">
        <v>292</v>
      </c>
      <c r="E33" s="161">
        <v>39115</v>
      </c>
      <c r="F33" s="172" t="str">
        <f t="shared" si="0"/>
        <v>2006-07</v>
      </c>
      <c r="G33" s="68"/>
      <c r="H33" s="167" t="s">
        <v>279</v>
      </c>
      <c r="I33" s="173">
        <v>8793.8848904043734</v>
      </c>
      <c r="J33" s="168">
        <f>IFERROR(MIN('MP Calculations'!$E$30/I33,1),"-")</f>
        <v>0.89877153183870317</v>
      </c>
      <c r="K33" s="12"/>
      <c r="L33" s="159">
        <v>3.420588</v>
      </c>
      <c r="M33" s="159" t="s">
        <v>301</v>
      </c>
      <c r="N33" s="159">
        <v>995</v>
      </c>
      <c r="O33" s="185">
        <f t="shared" si="1"/>
        <v>3403.48506</v>
      </c>
      <c r="P33" s="215">
        <f t="shared" si="3"/>
        <v>3058.9554809663405</v>
      </c>
      <c r="Q33" s="215" cm="1">
        <f t="array" ref="Q33">IF(P33="-",0,P33/(1+'General inputs'!$H$32)^IFERROR(INDEX('MP Calculations'!$C$40:$C$130,MATCH(F33,'MP Calculations'!$D$40:$D$130,0),0),-1))</f>
        <v>5908.2200193915023</v>
      </c>
    </row>
    <row r="34" spans="3:17" x14ac:dyDescent="0.25">
      <c r="C34" s="159"/>
      <c r="D34" s="165" t="s">
        <v>292</v>
      </c>
      <c r="E34" s="161">
        <v>39115</v>
      </c>
      <c r="F34" s="172" t="str">
        <f t="shared" si="0"/>
        <v>2006-07</v>
      </c>
      <c r="G34" s="68"/>
      <c r="H34" s="167" t="s">
        <v>279</v>
      </c>
      <c r="I34" s="173">
        <v>8793.8848904043734</v>
      </c>
      <c r="J34" s="168">
        <f>IFERROR(MIN('MP Calculations'!$E$30/I34,1),"-")</f>
        <v>0.89877153183870317</v>
      </c>
      <c r="K34" s="12"/>
      <c r="L34" s="159">
        <v>4.1871119999999999</v>
      </c>
      <c r="M34" s="159" t="s">
        <v>301</v>
      </c>
      <c r="N34" s="159">
        <v>995</v>
      </c>
      <c r="O34" s="185">
        <f t="shared" si="1"/>
        <v>4166.1764400000002</v>
      </c>
      <c r="P34" s="215">
        <f t="shared" si="3"/>
        <v>3744.4407808891151</v>
      </c>
      <c r="Q34" s="215" cm="1">
        <f t="array" ref="Q34">IF(P34="-",0,P34/(1+'General inputs'!$H$32)^IFERROR(INDEX('MP Calculations'!$C$40:$C$130,MATCH(F34,'MP Calculations'!$D$40:$D$130,0),0),-1))</f>
        <v>7232.2007040410581</v>
      </c>
    </row>
    <row r="35" spans="3:17" x14ac:dyDescent="0.25">
      <c r="C35" s="159"/>
      <c r="D35" s="165" t="s">
        <v>291</v>
      </c>
      <c r="E35" s="161">
        <v>39115</v>
      </c>
      <c r="F35" s="172" t="str">
        <f t="shared" si="0"/>
        <v>2006-07</v>
      </c>
      <c r="G35" s="68"/>
      <c r="H35" s="167" t="s">
        <v>279</v>
      </c>
      <c r="I35" s="173">
        <v>8793.8848904043734</v>
      </c>
      <c r="J35" s="168">
        <f>IFERROR(MIN('MP Calculations'!$E$30/I35,1),"-")</f>
        <v>0.89877153183870317</v>
      </c>
      <c r="K35" s="12"/>
      <c r="L35" s="159">
        <v>0.72736599999999996</v>
      </c>
      <c r="M35" s="159" t="s">
        <v>301</v>
      </c>
      <c r="N35" s="159">
        <v>350</v>
      </c>
      <c r="O35" s="185">
        <f t="shared" si="1"/>
        <v>254.57809999999998</v>
      </c>
      <c r="P35" s="215">
        <f t="shared" si="3"/>
        <v>228.80754890958653</v>
      </c>
      <c r="Q35" s="215" cm="1">
        <f t="array" ref="Q35">IF(P35="-",0,P35/(1+'General inputs'!$H$32)^IFERROR(INDEX('MP Calculations'!$C$40:$C$130,MATCH(F35,'MP Calculations'!$D$40:$D$130,0),0),-1))</f>
        <v>441.93037442586916</v>
      </c>
    </row>
    <row r="36" spans="3:17" x14ac:dyDescent="0.25">
      <c r="C36" s="159"/>
      <c r="D36" s="165" t="s">
        <v>290</v>
      </c>
      <c r="E36" s="161">
        <v>39115</v>
      </c>
      <c r="F36" s="172" t="str">
        <f t="shared" si="0"/>
        <v>2006-07</v>
      </c>
      <c r="G36" s="68"/>
      <c r="H36" s="167" t="s">
        <v>279</v>
      </c>
      <c r="I36" s="173">
        <v>8793.8848904043734</v>
      </c>
      <c r="J36" s="168">
        <f>IFERROR(MIN('MP Calculations'!$E$30/I36,1),"-")</f>
        <v>0.89877153183870317</v>
      </c>
      <c r="K36" s="12"/>
      <c r="L36" s="159">
        <v>0.406005</v>
      </c>
      <c r="M36" s="159" t="s">
        <v>301</v>
      </c>
      <c r="N36" s="159">
        <v>548</v>
      </c>
      <c r="O36" s="185">
        <f t="shared" si="1"/>
        <v>222.49074000000002</v>
      </c>
      <c r="P36" s="215">
        <f t="shared" si="3"/>
        <v>199.96834320972664</v>
      </c>
      <c r="Q36" s="215" cm="1">
        <f t="array" ref="Q36">IF(P36="-",0,P36/(1+'General inputs'!$H$32)^IFERROR(INDEX('MP Calculations'!$C$40:$C$130,MATCH(F36,'MP Calculations'!$D$40:$D$130,0),0),-1))</f>
        <v>386.22888628082586</v>
      </c>
    </row>
    <row r="37" spans="3:17" x14ac:dyDescent="0.25">
      <c r="C37" s="159"/>
      <c r="D37" s="165" t="s">
        <v>290</v>
      </c>
      <c r="E37" s="161">
        <v>39115</v>
      </c>
      <c r="F37" s="172" t="str">
        <f t="shared" si="0"/>
        <v>2006-07</v>
      </c>
      <c r="G37" s="68"/>
      <c r="H37" s="167" t="s">
        <v>279</v>
      </c>
      <c r="I37" s="173">
        <v>8793.8848904043734</v>
      </c>
      <c r="J37" s="168">
        <f>IFERROR(MIN('MP Calculations'!$E$30/I37,1),"-")</f>
        <v>0.89877153183870317</v>
      </c>
      <c r="K37" s="12"/>
      <c r="L37" s="159">
        <v>0.79067600000000005</v>
      </c>
      <c r="M37" s="159" t="s">
        <v>301</v>
      </c>
      <c r="N37" s="159">
        <v>548</v>
      </c>
      <c r="O37" s="185">
        <f t="shared" si="1"/>
        <v>433.29044800000003</v>
      </c>
      <c r="P37" s="215">
        <f t="shared" si="3"/>
        <v>389.42911968003801</v>
      </c>
      <c r="Q37" s="215" cm="1">
        <f t="array" ref="Q37">IF(P37="-",0,P37/(1+'General inputs'!$H$32)^IFERROR(INDEX('MP Calculations'!$C$40:$C$130,MATCH(F37,'MP Calculations'!$D$40:$D$130,0),0),-1))</f>
        <v>752.16293121754245</v>
      </c>
    </row>
    <row r="38" spans="3:17" x14ac:dyDescent="0.25">
      <c r="C38" s="159"/>
      <c r="D38" s="165" t="s">
        <v>291</v>
      </c>
      <c r="E38" s="161">
        <v>39115</v>
      </c>
      <c r="F38" s="172" t="str">
        <f t="shared" si="0"/>
        <v>2006-07</v>
      </c>
      <c r="G38" s="68"/>
      <c r="H38" s="167" t="s">
        <v>279</v>
      </c>
      <c r="I38" s="173">
        <v>8793.8848904043734</v>
      </c>
      <c r="J38" s="168">
        <f>IFERROR(MIN('MP Calculations'!$E$30/I38,1),"-")</f>
        <v>0.89877153183870317</v>
      </c>
      <c r="K38" s="12"/>
      <c r="L38" s="159">
        <v>0.379326</v>
      </c>
      <c r="M38" s="159" t="s">
        <v>301</v>
      </c>
      <c r="N38" s="159">
        <v>350</v>
      </c>
      <c r="O38" s="185">
        <f t="shared" si="1"/>
        <v>132.76409999999998</v>
      </c>
      <c r="P38" s="215">
        <f t="shared" si="3"/>
        <v>119.32459353018676</v>
      </c>
      <c r="Q38" s="215" cm="1">
        <f t="array" ref="Q38">IF(P38="-",0,P38/(1+'General inputs'!$H$32)^IFERROR(INDEX('MP Calculations'!$C$40:$C$130,MATCH(F38,'MP Calculations'!$D$40:$D$130,0),0),-1))</f>
        <v>230.469503949136</v>
      </c>
    </row>
    <row r="39" spans="3:17" x14ac:dyDescent="0.25">
      <c r="C39" s="159"/>
      <c r="D39" s="165" t="s">
        <v>290</v>
      </c>
      <c r="E39" s="161">
        <v>39115</v>
      </c>
      <c r="F39" s="172" t="str">
        <f t="shared" si="0"/>
        <v>2006-07</v>
      </c>
      <c r="G39" s="68"/>
      <c r="H39" s="167" t="s">
        <v>279</v>
      </c>
      <c r="I39" s="173">
        <v>8793.8848904043734</v>
      </c>
      <c r="J39" s="168">
        <f>IFERROR(MIN('MP Calculations'!$E$30/I39,1),"-")</f>
        <v>0.89877153183870317</v>
      </c>
      <c r="K39" s="12"/>
      <c r="L39" s="159">
        <v>0.651451</v>
      </c>
      <c r="M39" s="159" t="s">
        <v>301</v>
      </c>
      <c r="N39" s="159">
        <v>548</v>
      </c>
      <c r="O39" s="185">
        <f t="shared" si="1"/>
        <v>356.99514800000003</v>
      </c>
      <c r="P39" s="215">
        <f t="shared" si="3"/>
        <v>320.85707602694458</v>
      </c>
      <c r="Q39" s="215" cm="1">
        <f t="array" ref="Q39">IF(P39="-",0,P39/(1+'General inputs'!$H$32)^IFERROR(INDEX('MP Calculations'!$C$40:$C$130,MATCH(F39,'MP Calculations'!$D$40:$D$130,0),0),-1))</f>
        <v>619.71944728890116</v>
      </c>
    </row>
    <row r="40" spans="3:17" x14ac:dyDescent="0.25">
      <c r="C40" s="159"/>
      <c r="D40" s="165" t="s">
        <v>291</v>
      </c>
      <c r="E40" s="161">
        <v>39115</v>
      </c>
      <c r="F40" s="172" t="str">
        <f t="shared" si="0"/>
        <v>2006-07</v>
      </c>
      <c r="G40" s="68"/>
      <c r="H40" s="167" t="s">
        <v>279</v>
      </c>
      <c r="I40" s="173">
        <v>8793.8848904043734</v>
      </c>
      <c r="J40" s="168">
        <f>IFERROR(MIN('MP Calculations'!$E$30/I40,1),"-")</f>
        <v>0.89877153183870317</v>
      </c>
      <c r="K40" s="12"/>
      <c r="L40" s="159">
        <v>6.414091</v>
      </c>
      <c r="M40" s="159" t="s">
        <v>301</v>
      </c>
      <c r="N40" s="159">
        <v>350</v>
      </c>
      <c r="O40" s="185">
        <f t="shared" si="1"/>
        <v>2244.9318499999999</v>
      </c>
      <c r="P40" s="215">
        <f t="shared" si="3"/>
        <v>2017.6808376979939</v>
      </c>
      <c r="Q40" s="215" cm="1">
        <f t="array" ref="Q40">IF(P40="-",0,P40/(1+'General inputs'!$H$32)^IFERROR(INDEX('MP Calculations'!$C$40:$C$130,MATCH(F40,'MP Calculations'!$D$40:$D$130,0),0),-1))</f>
        <v>3897.0499545367779</v>
      </c>
    </row>
    <row r="41" spans="3:17" x14ac:dyDescent="0.25">
      <c r="C41" s="159"/>
      <c r="D41" s="165" t="s">
        <v>291</v>
      </c>
      <c r="E41" s="161">
        <v>39115</v>
      </c>
      <c r="F41" s="172" t="str">
        <f t="shared" si="0"/>
        <v>2006-07</v>
      </c>
      <c r="G41" s="68"/>
      <c r="H41" s="167" t="s">
        <v>279</v>
      </c>
      <c r="I41" s="173">
        <v>8793.8848904043734</v>
      </c>
      <c r="J41" s="168">
        <f>IFERROR(MIN('MP Calculations'!$E$30/I41,1),"-")</f>
        <v>0.89877153183870317</v>
      </c>
      <c r="K41" s="12"/>
      <c r="L41" s="159">
        <v>5.7497030000000002</v>
      </c>
      <c r="M41" s="159" t="s">
        <v>301</v>
      </c>
      <c r="N41" s="159">
        <v>350</v>
      </c>
      <c r="O41" s="185">
        <f t="shared" si="1"/>
        <v>2012.3960500000001</v>
      </c>
      <c r="P41" s="215">
        <f t="shared" si="3"/>
        <v>1808.6842805246556</v>
      </c>
      <c r="Q41" s="215" cm="1">
        <f t="array" ref="Q41">IF(P41="-",0,P41/(1+'General inputs'!$H$32)^IFERROR(INDEX('MP Calculations'!$C$40:$C$130,MATCH(F41,'MP Calculations'!$D$40:$D$130,0),0),-1))</f>
        <v>3493.3835230510413</v>
      </c>
    </row>
    <row r="42" spans="3:17" x14ac:dyDescent="0.25">
      <c r="C42" s="159"/>
      <c r="D42" s="165" t="s">
        <v>310</v>
      </c>
      <c r="E42" s="161">
        <v>39264</v>
      </c>
      <c r="F42" s="172" t="str">
        <f t="shared" si="0"/>
        <v>2007-08</v>
      </c>
      <c r="G42" s="68"/>
      <c r="H42" s="167" t="s">
        <v>279</v>
      </c>
      <c r="I42" s="173">
        <v>8793.8848904043734</v>
      </c>
      <c r="J42" s="168">
        <f>IFERROR(MIN('MP Calculations'!$E$30/I42,1),"-")</f>
        <v>0.89877153183870317</v>
      </c>
      <c r="K42" s="12"/>
      <c r="L42" s="159">
        <v>1</v>
      </c>
      <c r="M42" s="159" t="s">
        <v>302</v>
      </c>
      <c r="N42" s="159">
        <v>96813.66</v>
      </c>
      <c r="O42" s="185">
        <f t="shared" si="1"/>
        <v>96813.66</v>
      </c>
      <c r="P42" s="215">
        <f t="shared" si="3"/>
        <v>87013.361501111387</v>
      </c>
      <c r="Q42" s="215" cm="1">
        <f t="array" ref="Q42">IF(P42="-",0,P42/(1+'General inputs'!$H$32)^IFERROR(INDEX('MP Calculations'!$C$40:$C$130,MATCH(F42,'MP Calculations'!$D$40:$D$130,0),0),-1))</f>
        <v>161287.87911066899</v>
      </c>
    </row>
    <row r="43" spans="3:17" x14ac:dyDescent="0.25">
      <c r="C43" s="159"/>
      <c r="D43" s="165" t="s">
        <v>311</v>
      </c>
      <c r="E43" s="161">
        <v>39448</v>
      </c>
      <c r="F43" s="172" t="str">
        <f t="shared" si="0"/>
        <v>2007-08</v>
      </c>
      <c r="G43" s="68"/>
      <c r="H43" s="167" t="s">
        <v>279</v>
      </c>
      <c r="I43" s="173">
        <v>8793.8848904043734</v>
      </c>
      <c r="J43" s="168">
        <f>IFERROR(MIN('MP Calculations'!$E$30/I43,1),"-")</f>
        <v>0.89877153183870317</v>
      </c>
      <c r="K43" s="12"/>
      <c r="L43" s="159">
        <v>1</v>
      </c>
      <c r="M43" s="159" t="s">
        <v>302</v>
      </c>
      <c r="N43" s="159">
        <v>288340.21000000002</v>
      </c>
      <c r="O43" s="185">
        <f t="shared" si="1"/>
        <v>288340.21000000002</v>
      </c>
      <c r="P43" s="215">
        <f t="shared" si="3"/>
        <v>259151.97223239337</v>
      </c>
      <c r="Q43" s="215" cm="1">
        <f t="array" ref="Q43">IF(P43="-",0,P43/(1+'General inputs'!$H$32)^IFERROR(INDEX('MP Calculations'!$C$40:$C$130,MATCH(F43,'MP Calculations'!$D$40:$D$130,0),0),-1))</f>
        <v>480363.8343310738</v>
      </c>
    </row>
    <row r="44" spans="3:17" x14ac:dyDescent="0.25">
      <c r="C44" s="159"/>
      <c r="D44" s="165" t="s">
        <v>312</v>
      </c>
      <c r="E44" s="161">
        <v>39448</v>
      </c>
      <c r="F44" s="172" t="str">
        <f t="shared" si="0"/>
        <v>2007-08</v>
      </c>
      <c r="G44" s="68"/>
      <c r="H44" s="167" t="s">
        <v>279</v>
      </c>
      <c r="I44" s="173">
        <v>8793.8848904043734</v>
      </c>
      <c r="J44" s="168">
        <f>IFERROR(MIN('MP Calculations'!$E$30/I44,1),"-")</f>
        <v>0.89877153183870317</v>
      </c>
      <c r="K44" s="12"/>
      <c r="L44" s="159">
        <v>1</v>
      </c>
      <c r="M44" s="159" t="s">
        <v>302</v>
      </c>
      <c r="N44" s="159">
        <v>173716.73</v>
      </c>
      <c r="O44" s="185">
        <f t="shared" si="1"/>
        <v>173716.73</v>
      </c>
      <c r="P44" s="215">
        <f t="shared" si="3"/>
        <v>156131.65152811041</v>
      </c>
      <c r="Q44" s="215" cm="1">
        <f t="array" ref="Q44">IF(P44="-",0,P44/(1+'General inputs'!$H$32)^IFERROR(INDEX('MP Calculations'!$C$40:$C$130,MATCH(F44,'MP Calculations'!$D$40:$D$130,0),0),-1))</f>
        <v>289405.4717871499</v>
      </c>
    </row>
    <row r="45" spans="3:17" x14ac:dyDescent="0.25">
      <c r="C45" s="159"/>
      <c r="D45" s="165" t="s">
        <v>313</v>
      </c>
      <c r="E45" s="161">
        <v>39448</v>
      </c>
      <c r="F45" s="172" t="str">
        <f t="shared" si="0"/>
        <v>2007-08</v>
      </c>
      <c r="G45" s="68"/>
      <c r="H45" s="167" t="s">
        <v>279</v>
      </c>
      <c r="I45" s="173">
        <v>8793.8848904043734</v>
      </c>
      <c r="J45" s="168">
        <f>IFERROR(MIN('MP Calculations'!$E$30/I45,1),"-")</f>
        <v>0.89877153183870317</v>
      </c>
      <c r="K45" s="12"/>
      <c r="L45" s="159">
        <v>1</v>
      </c>
      <c r="M45" s="159" t="s">
        <v>302</v>
      </c>
      <c r="N45" s="159">
        <v>20993.42</v>
      </c>
      <c r="O45" s="185">
        <f t="shared" si="1"/>
        <v>20993.42</v>
      </c>
      <c r="P45" s="215">
        <f t="shared" si="3"/>
        <v>18868.288251933267</v>
      </c>
      <c r="Q45" s="215" cm="1">
        <f t="array" ref="Q45">IF(P45="-",0,P45/(1+'General inputs'!$H$32)^IFERROR(INDEX('MP Calculations'!$C$40:$C$130,MATCH(F45,'MP Calculations'!$D$40:$D$130,0),0),-1))</f>
        <v>34974.240071902044</v>
      </c>
    </row>
    <row r="46" spans="3:17" x14ac:dyDescent="0.25">
      <c r="C46" s="159"/>
      <c r="D46" s="165" t="s">
        <v>314</v>
      </c>
      <c r="E46" s="161">
        <v>39448</v>
      </c>
      <c r="F46" s="172" t="str">
        <f t="shared" si="0"/>
        <v>2007-08</v>
      </c>
      <c r="G46" s="68"/>
      <c r="H46" s="167" t="s">
        <v>279</v>
      </c>
      <c r="I46" s="173">
        <v>8793.8848904043734</v>
      </c>
      <c r="J46" s="168">
        <f>IFERROR(MIN('MP Calculations'!$E$30/I46,1),"-")</f>
        <v>0.89877153183870317</v>
      </c>
      <c r="K46" s="12"/>
      <c r="L46" s="159">
        <v>1</v>
      </c>
      <c r="M46" s="159" t="s">
        <v>302</v>
      </c>
      <c r="N46" s="159">
        <v>20993.42</v>
      </c>
      <c r="O46" s="185">
        <f t="shared" si="1"/>
        <v>20993.42</v>
      </c>
      <c r="P46" s="215">
        <f t="shared" si="3"/>
        <v>18868.288251933267</v>
      </c>
      <c r="Q46" s="215" cm="1">
        <f t="array" ref="Q46">IF(P46="-",0,P46/(1+'General inputs'!$H$32)^IFERROR(INDEX('MP Calculations'!$C$40:$C$130,MATCH(F46,'MP Calculations'!$D$40:$D$130,0),0),-1))</f>
        <v>34974.240071902044</v>
      </c>
    </row>
    <row r="47" spans="3:17" x14ac:dyDescent="0.25">
      <c r="C47" s="159"/>
      <c r="D47" s="165" t="s">
        <v>303</v>
      </c>
      <c r="E47" s="161">
        <v>39448</v>
      </c>
      <c r="F47" s="172" t="str">
        <f t="shared" si="0"/>
        <v>2007-08</v>
      </c>
      <c r="G47" s="68"/>
      <c r="H47" s="167" t="s">
        <v>279</v>
      </c>
      <c r="I47" s="173">
        <v>8793.8848904043734</v>
      </c>
      <c r="J47" s="168">
        <f>IFERROR(MIN('MP Calculations'!$E$30/I47,1),"-")</f>
        <v>0.89877153183870317</v>
      </c>
      <c r="K47" s="12"/>
      <c r="L47" s="159">
        <v>1</v>
      </c>
      <c r="M47" s="159" t="s">
        <v>302</v>
      </c>
      <c r="N47" s="159">
        <v>13891.63</v>
      </c>
      <c r="O47" s="185">
        <f t="shared" si="1"/>
        <v>13891.63</v>
      </c>
      <c r="P47" s="215">
        <f t="shared" si="3"/>
        <v>12485.401574836484</v>
      </c>
      <c r="Q47" s="215" cm="1">
        <f t="array" ref="Q47">IF(P47="-",0,P47/(1+'General inputs'!$H$32)^IFERROR(INDEX('MP Calculations'!$C$40:$C$130,MATCH(F47,'MP Calculations'!$D$40:$D$130,0),0),-1))</f>
        <v>23142.927765463493</v>
      </c>
    </row>
    <row r="48" spans="3:17" x14ac:dyDescent="0.25">
      <c r="C48" s="159"/>
      <c r="D48" s="165" t="s">
        <v>315</v>
      </c>
      <c r="E48" s="161">
        <v>39630</v>
      </c>
      <c r="F48" s="172" t="str">
        <f t="shared" si="0"/>
        <v>2008-09</v>
      </c>
      <c r="G48" s="68"/>
      <c r="H48" s="167" t="s">
        <v>279</v>
      </c>
      <c r="I48" s="173">
        <v>8793.8848904043734</v>
      </c>
      <c r="J48" s="168">
        <f>IFERROR(MIN('MP Calculations'!$E$30/I48,1),"-")</f>
        <v>0.89877153183870317</v>
      </c>
      <c r="K48" s="12"/>
      <c r="L48" s="159">
        <v>1</v>
      </c>
      <c r="M48" s="159" t="s">
        <v>302</v>
      </c>
      <c r="N48" s="159">
        <v>13692.13</v>
      </c>
      <c r="O48" s="185">
        <f t="shared" si="1"/>
        <v>13692.13</v>
      </c>
      <c r="P48" s="215">
        <f t="shared" si="3"/>
        <v>12306.096654234661</v>
      </c>
      <c r="Q48" s="215" cm="1">
        <f t="array" ref="Q48">IF(P48="-",0,P48/(1+'General inputs'!$H$32)^IFERROR(INDEX('MP Calculations'!$C$40:$C$130,MATCH(F48,'MP Calculations'!$D$40:$D$130,0),0),-1))</f>
        <v>21891.140446732719</v>
      </c>
    </row>
    <row r="49" spans="3:17" x14ac:dyDescent="0.25">
      <c r="C49" s="159"/>
      <c r="D49" s="165" t="s">
        <v>316</v>
      </c>
      <c r="E49" s="161">
        <v>39630</v>
      </c>
      <c r="F49" s="172" t="str">
        <f t="shared" si="0"/>
        <v>2008-09</v>
      </c>
      <c r="G49" s="68"/>
      <c r="H49" s="167" t="s">
        <v>279</v>
      </c>
      <c r="I49" s="173">
        <v>8793.8848904043734</v>
      </c>
      <c r="J49" s="168">
        <f>IFERROR(MIN('MP Calculations'!$E$30/I49,1),"-")</f>
        <v>0.89877153183870317</v>
      </c>
      <c r="K49" s="12"/>
      <c r="L49" s="159">
        <v>1</v>
      </c>
      <c r="M49" s="159" t="s">
        <v>302</v>
      </c>
      <c r="N49" s="159">
        <v>1264.8</v>
      </c>
      <c r="O49" s="185">
        <f t="shared" si="1"/>
        <v>1264.8</v>
      </c>
      <c r="P49" s="215">
        <f t="shared" si="3"/>
        <v>1136.7662334695917</v>
      </c>
      <c r="Q49" s="215" cm="1">
        <f t="array" ref="Q49">IF(P49="-",0,P49/(1+'General inputs'!$H$32)^IFERROR(INDEX('MP Calculations'!$C$40:$C$130,MATCH(F49,'MP Calculations'!$D$40:$D$130,0),0),-1))</f>
        <v>2022.1772972523302</v>
      </c>
    </row>
    <row r="50" spans="3:17" x14ac:dyDescent="0.25">
      <c r="C50" s="159"/>
      <c r="D50" s="165" t="s">
        <v>317</v>
      </c>
      <c r="E50" s="161">
        <v>39630</v>
      </c>
      <c r="F50" s="172" t="str">
        <f t="shared" si="0"/>
        <v>2008-09</v>
      </c>
      <c r="G50" s="68"/>
      <c r="H50" s="167" t="s">
        <v>279</v>
      </c>
      <c r="I50" s="173">
        <v>8793.8848904043734</v>
      </c>
      <c r="J50" s="168">
        <f>IFERROR(MIN('MP Calculations'!$E$30/I50,1),"-")</f>
        <v>0.89877153183870317</v>
      </c>
      <c r="K50" s="12"/>
      <c r="L50" s="159">
        <v>1</v>
      </c>
      <c r="M50" s="159" t="s">
        <v>302</v>
      </c>
      <c r="N50" s="159">
        <v>1588.5</v>
      </c>
      <c r="O50" s="185">
        <f t="shared" si="1"/>
        <v>1588.5</v>
      </c>
      <c r="P50" s="215">
        <f t="shared" si="3"/>
        <v>1427.6985783257801</v>
      </c>
      <c r="Q50" s="215" cm="1">
        <f t="array" ref="Q50">IF(P50="-",0,P50/(1+'General inputs'!$H$32)^IFERROR(INDEX('MP Calculations'!$C$40:$C$130,MATCH(F50,'MP Calculations'!$D$40:$D$130,0),0),-1))</f>
        <v>2539.7127108517766</v>
      </c>
    </row>
    <row r="51" spans="3:17" x14ac:dyDescent="0.25">
      <c r="C51" s="159"/>
      <c r="D51" s="165" t="s">
        <v>318</v>
      </c>
      <c r="E51" s="161">
        <v>39630</v>
      </c>
      <c r="F51" s="172" t="str">
        <f t="shared" si="0"/>
        <v>2008-09</v>
      </c>
      <c r="G51" s="68"/>
      <c r="H51" s="167" t="s">
        <v>279</v>
      </c>
      <c r="I51" s="173">
        <v>8793.8848904043734</v>
      </c>
      <c r="J51" s="168">
        <f>IFERROR(MIN('MP Calculations'!$E$30/I51,1),"-")</f>
        <v>0.89877153183870317</v>
      </c>
      <c r="K51" s="12"/>
      <c r="L51" s="159">
        <v>1</v>
      </c>
      <c r="M51" s="159" t="s">
        <v>302</v>
      </c>
      <c r="N51" s="159">
        <v>20065.79</v>
      </c>
      <c r="O51" s="185">
        <f t="shared" si="1"/>
        <v>20065.79</v>
      </c>
      <c r="P51" s="215">
        <f t="shared" si="3"/>
        <v>18034.560815853732</v>
      </c>
      <c r="Q51" s="215" cm="1">
        <f t="array" ref="Q51">IF(P51="-",0,P51/(1+'General inputs'!$H$32)^IFERROR(INDEX('MP Calculations'!$C$40:$C$130,MATCH(F51,'MP Calculations'!$D$40:$D$130,0),0),-1))</f>
        <v>32081.423932189151</v>
      </c>
    </row>
    <row r="52" spans="3:17" x14ac:dyDescent="0.25">
      <c r="C52" s="159"/>
      <c r="D52" s="165" t="s">
        <v>318</v>
      </c>
      <c r="E52" s="161">
        <v>39630</v>
      </c>
      <c r="F52" s="172" t="str">
        <f t="shared" si="0"/>
        <v>2008-09</v>
      </c>
      <c r="G52" s="68"/>
      <c r="H52" s="167" t="s">
        <v>279</v>
      </c>
      <c r="I52" s="173">
        <v>8793.8848904043734</v>
      </c>
      <c r="J52" s="168">
        <f>IFERROR(MIN('MP Calculations'!$E$30/I52,1),"-")</f>
        <v>0.89877153183870317</v>
      </c>
      <c r="K52" s="12"/>
      <c r="L52" s="159">
        <v>1</v>
      </c>
      <c r="M52" s="159" t="s">
        <v>302</v>
      </c>
      <c r="N52" s="159">
        <v>8839.5300000000007</v>
      </c>
      <c r="O52" s="185">
        <f t="shared" si="1"/>
        <v>8839.5300000000007</v>
      </c>
      <c r="P52" s="215">
        <f t="shared" si="3"/>
        <v>7944.7179188341725</v>
      </c>
      <c r="Q52" s="215" cm="1">
        <f t="array" ref="Q52">IF(P52="-",0,P52/(1+'General inputs'!$H$32)^IFERROR(INDEX('MP Calculations'!$C$40:$C$130,MATCH(F52,'MP Calculations'!$D$40:$D$130,0),0),-1))</f>
        <v>14132.745797265095</v>
      </c>
    </row>
    <row r="53" spans="3:17" x14ac:dyDescent="0.25">
      <c r="C53" s="159"/>
      <c r="D53" s="165" t="s">
        <v>319</v>
      </c>
      <c r="E53" s="161">
        <v>39692</v>
      </c>
      <c r="F53" s="172" t="str">
        <f t="shared" si="0"/>
        <v>2008-09</v>
      </c>
      <c r="G53" s="68"/>
      <c r="H53" s="167" t="s">
        <v>279</v>
      </c>
      <c r="I53" s="173">
        <v>8793.8848904043734</v>
      </c>
      <c r="J53" s="168">
        <f>IFERROR(MIN('MP Calculations'!$E$30/I53,1),"-")</f>
        <v>0.89877153183870317</v>
      </c>
      <c r="K53" s="12"/>
      <c r="L53" s="159">
        <v>1</v>
      </c>
      <c r="M53" s="159" t="s">
        <v>302</v>
      </c>
      <c r="N53" s="159">
        <v>2828.74</v>
      </c>
      <c r="O53" s="185">
        <f t="shared" si="1"/>
        <v>2828.74</v>
      </c>
      <c r="P53" s="215">
        <f t="shared" si="3"/>
        <v>2542.390982973413</v>
      </c>
      <c r="Q53" s="215" cm="1">
        <f t="array" ref="Q53">IF(P53="-",0,P53/(1+'General inputs'!$H$32)^IFERROR(INDEX('MP Calculations'!$C$40:$C$130,MATCH(F53,'MP Calculations'!$D$40:$D$130,0),0),-1))</f>
        <v>4522.6231877210275</v>
      </c>
    </row>
    <row r="54" spans="3:17" x14ac:dyDescent="0.25">
      <c r="C54" s="159"/>
      <c r="D54" s="165" t="s">
        <v>320</v>
      </c>
      <c r="E54" s="161">
        <v>39692</v>
      </c>
      <c r="F54" s="172" t="str">
        <f t="shared" si="0"/>
        <v>2008-09</v>
      </c>
      <c r="G54" s="68"/>
      <c r="H54" s="167" t="s">
        <v>279</v>
      </c>
      <c r="I54" s="173">
        <v>8793.8848904043734</v>
      </c>
      <c r="J54" s="168">
        <f>IFERROR(MIN('MP Calculations'!$E$30/I54,1),"-")</f>
        <v>0.89877153183870317</v>
      </c>
      <c r="K54" s="12"/>
      <c r="L54" s="159">
        <v>1</v>
      </c>
      <c r="M54" s="159" t="s">
        <v>302</v>
      </c>
      <c r="N54" s="159">
        <v>3879.32</v>
      </c>
      <c r="O54" s="185">
        <f t="shared" si="1"/>
        <v>3879.32</v>
      </c>
      <c r="P54" s="215">
        <f t="shared" si="3"/>
        <v>3486.6223788925181</v>
      </c>
      <c r="Q54" s="215" cm="1">
        <f t="array" ref="Q54">IF(P54="-",0,P54/(1+'General inputs'!$H$32)^IFERROR(INDEX('MP Calculations'!$C$40:$C$130,MATCH(F54,'MP Calculations'!$D$40:$D$130,0),0),-1))</f>
        <v>6202.302998716722</v>
      </c>
    </row>
    <row r="55" spans="3:17" x14ac:dyDescent="0.25">
      <c r="C55" s="159"/>
      <c r="D55" s="165" t="s">
        <v>321</v>
      </c>
      <c r="E55" s="161">
        <v>39721</v>
      </c>
      <c r="F55" s="172" t="str">
        <f t="shared" si="0"/>
        <v>2008-09</v>
      </c>
      <c r="G55" s="68"/>
      <c r="H55" s="167" t="s">
        <v>279</v>
      </c>
      <c r="I55" s="173">
        <v>8793.8848904043734</v>
      </c>
      <c r="J55" s="168">
        <f>IFERROR(MIN('MP Calculations'!$E$30/I55,1),"-")</f>
        <v>0.89877153183870317</v>
      </c>
      <c r="K55" s="12"/>
      <c r="L55" s="159">
        <v>1</v>
      </c>
      <c r="M55" s="159" t="s">
        <v>302</v>
      </c>
      <c r="N55" s="159">
        <v>2443.27</v>
      </c>
      <c r="O55" s="185">
        <f t="shared" si="1"/>
        <v>2443.27</v>
      </c>
      <c r="P55" s="215">
        <f t="shared" si="3"/>
        <v>2195.9415205955484</v>
      </c>
      <c r="Q55" s="215" cm="1">
        <f t="array" ref="Q55">IF(P55="-",0,P55/(1+'General inputs'!$H$32)^IFERROR(INDEX('MP Calculations'!$C$40:$C$130,MATCH(F55,'MP Calculations'!$D$40:$D$130,0),0),-1))</f>
        <v>3906.3291627590934</v>
      </c>
    </row>
    <row r="56" spans="3:17" x14ac:dyDescent="0.25">
      <c r="C56" s="159"/>
      <c r="D56" s="165" t="s">
        <v>322</v>
      </c>
      <c r="E56" s="161">
        <v>39721</v>
      </c>
      <c r="F56" s="172" t="str">
        <f t="shared" si="0"/>
        <v>2008-09</v>
      </c>
      <c r="G56" s="68"/>
      <c r="H56" s="167" t="s">
        <v>279</v>
      </c>
      <c r="I56" s="173">
        <v>8793.8848904043734</v>
      </c>
      <c r="J56" s="168">
        <f>IFERROR(MIN('MP Calculations'!$E$30/I56,1),"-")</f>
        <v>0.89877153183870317</v>
      </c>
      <c r="K56" s="12"/>
      <c r="L56" s="159">
        <v>1</v>
      </c>
      <c r="M56" s="159" t="s">
        <v>302</v>
      </c>
      <c r="N56" s="159">
        <v>2009.76</v>
      </c>
      <c r="O56" s="185">
        <f t="shared" si="1"/>
        <v>2009.76</v>
      </c>
      <c r="P56" s="215">
        <f t="shared" si="3"/>
        <v>1806.315073828152</v>
      </c>
      <c r="Q56" s="215" cm="1">
        <f t="array" ref="Q56">IF(P56="-",0,P56/(1+'General inputs'!$H$32)^IFERROR(INDEX('MP Calculations'!$C$40:$C$130,MATCH(F56,'MP Calculations'!$D$40:$D$130,0),0),-1))</f>
        <v>3213.2282138882379</v>
      </c>
    </row>
    <row r="57" spans="3:17" x14ac:dyDescent="0.25">
      <c r="C57" s="159"/>
      <c r="D57" s="165" t="s">
        <v>323</v>
      </c>
      <c r="E57" s="161">
        <v>39753</v>
      </c>
      <c r="F57" s="172" t="str">
        <f t="shared" si="0"/>
        <v>2008-09</v>
      </c>
      <c r="G57" s="68"/>
      <c r="H57" s="167" t="s">
        <v>279</v>
      </c>
      <c r="I57" s="173">
        <v>8793.8848904043734</v>
      </c>
      <c r="J57" s="168">
        <f>IFERROR(MIN('MP Calculations'!$E$30/I57,1),"-")</f>
        <v>0.89877153183870317</v>
      </c>
      <c r="K57" s="12"/>
      <c r="L57" s="159">
        <v>1</v>
      </c>
      <c r="M57" s="159" t="s">
        <v>302</v>
      </c>
      <c r="N57" s="159">
        <v>27927.37</v>
      </c>
      <c r="O57" s="185">
        <f t="shared" si="1"/>
        <v>27927.37</v>
      </c>
      <c r="P57" s="215">
        <f t="shared" si="3"/>
        <v>25100.325115126245</v>
      </c>
      <c r="Q57" s="215" cm="1">
        <f t="array" ref="Q57">IF(P57="-",0,P57/(1+'General inputs'!$H$32)^IFERROR(INDEX('MP Calculations'!$C$40:$C$130,MATCH(F57,'MP Calculations'!$D$40:$D$130,0),0),-1))</f>
        <v>44650.611627107697</v>
      </c>
    </row>
    <row r="58" spans="3:17" x14ac:dyDescent="0.25">
      <c r="C58" s="159"/>
      <c r="D58" s="165" t="s">
        <v>324</v>
      </c>
      <c r="E58" s="161">
        <v>39814</v>
      </c>
      <c r="F58" s="172" t="str">
        <f t="shared" si="0"/>
        <v>2008-09</v>
      </c>
      <c r="G58" s="68"/>
      <c r="H58" s="167" t="s">
        <v>279</v>
      </c>
      <c r="I58" s="173">
        <v>8793.8848904043734</v>
      </c>
      <c r="J58" s="168">
        <f>IFERROR(MIN('MP Calculations'!$E$30/I58,1),"-")</f>
        <v>0.89877153183870317</v>
      </c>
      <c r="K58" s="12"/>
      <c r="L58" s="159">
        <v>1</v>
      </c>
      <c r="M58" s="159" t="s">
        <v>302</v>
      </c>
      <c r="N58" s="159">
        <v>557.05999999999995</v>
      </c>
      <c r="O58" s="185">
        <f t="shared" si="1"/>
        <v>557.05999999999995</v>
      </c>
      <c r="P58" s="215">
        <f t="shared" si="3"/>
        <v>500.66966952606793</v>
      </c>
      <c r="Q58" s="215" cm="1">
        <f t="array" ref="Q58">IF(P58="-",0,P58/(1+'General inputs'!$H$32)^IFERROR(INDEX('MP Calculations'!$C$40:$C$130,MATCH(F58,'MP Calculations'!$D$40:$D$130,0),0),-1))</f>
        <v>890.63415971488223</v>
      </c>
    </row>
    <row r="59" spans="3:17" x14ac:dyDescent="0.25">
      <c r="C59" s="159"/>
      <c r="D59" s="165" t="s">
        <v>325</v>
      </c>
      <c r="E59" s="161">
        <v>39814</v>
      </c>
      <c r="F59" s="172" t="str">
        <f t="shared" si="0"/>
        <v>2008-09</v>
      </c>
      <c r="G59" s="68"/>
      <c r="H59" s="167" t="s">
        <v>279</v>
      </c>
      <c r="I59" s="173">
        <v>8793.8848904043734</v>
      </c>
      <c r="J59" s="168">
        <f>IFERROR(MIN('MP Calculations'!$E$30/I59,1),"-")</f>
        <v>0.89877153183870317</v>
      </c>
      <c r="K59" s="12"/>
      <c r="L59" s="159">
        <v>1</v>
      </c>
      <c r="M59" s="159" t="s">
        <v>302</v>
      </c>
      <c r="N59" s="159">
        <v>4160.33</v>
      </c>
      <c r="O59" s="185">
        <f t="shared" si="1"/>
        <v>4160.33</v>
      </c>
      <c r="P59" s="215">
        <f t="shared" si="3"/>
        <v>3739.1861670545118</v>
      </c>
      <c r="Q59" s="215" cm="1">
        <f t="array" ref="Q59">IF(P59="-",0,P59/(1+'General inputs'!$H$32)^IFERROR(INDEX('MP Calculations'!$C$40:$C$130,MATCH(F59,'MP Calculations'!$D$40:$D$130,0),0),-1))</f>
        <v>6651.5851320981865</v>
      </c>
    </row>
    <row r="60" spans="3:17" x14ac:dyDescent="0.25">
      <c r="C60" s="159"/>
      <c r="D60" s="165" t="s">
        <v>326</v>
      </c>
      <c r="E60" s="161">
        <v>39814</v>
      </c>
      <c r="F60" s="172" t="str">
        <f t="shared" si="0"/>
        <v>2008-09</v>
      </c>
      <c r="G60" s="68"/>
      <c r="H60" s="167" t="s">
        <v>279</v>
      </c>
      <c r="I60" s="173">
        <v>8793.8848904043734</v>
      </c>
      <c r="J60" s="168">
        <f>IFERROR(MIN('MP Calculations'!$E$30/I60,1),"-")</f>
        <v>0.89877153183870317</v>
      </c>
      <c r="K60" s="12"/>
      <c r="L60" s="159">
        <v>1</v>
      </c>
      <c r="M60" s="159" t="s">
        <v>302</v>
      </c>
      <c r="N60" s="159">
        <v>1015.76</v>
      </c>
      <c r="O60" s="185">
        <f t="shared" si="1"/>
        <v>1015.76</v>
      </c>
      <c r="P60" s="215">
        <f t="shared" si="3"/>
        <v>912.9361711804811</v>
      </c>
      <c r="Q60" s="215" cm="1">
        <f t="array" ref="Q60">IF(P60="-",0,P60/(1+'General inputs'!$H$32)^IFERROR(INDEX('MP Calculations'!$C$40:$C$130,MATCH(F60,'MP Calculations'!$D$40:$D$130,0),0),-1))</f>
        <v>1624.00918046887</v>
      </c>
    </row>
    <row r="61" spans="3:17" x14ac:dyDescent="0.25">
      <c r="C61" s="159"/>
      <c r="D61" s="165" t="s">
        <v>327</v>
      </c>
      <c r="E61" s="161">
        <v>39814</v>
      </c>
      <c r="F61" s="172" t="str">
        <f t="shared" si="0"/>
        <v>2008-09</v>
      </c>
      <c r="G61" s="68"/>
      <c r="H61" s="167" t="s">
        <v>279</v>
      </c>
      <c r="I61" s="173">
        <v>8793.8848904043734</v>
      </c>
      <c r="J61" s="168">
        <f>IFERROR(MIN('MP Calculations'!$E$30/I61,1),"-")</f>
        <v>0.89877153183870317</v>
      </c>
      <c r="K61" s="12"/>
      <c r="L61" s="159">
        <v>1</v>
      </c>
      <c r="M61" s="159" t="s">
        <v>302</v>
      </c>
      <c r="N61" s="159">
        <v>1787.18</v>
      </c>
      <c r="O61" s="185">
        <f t="shared" si="1"/>
        <v>1787.18</v>
      </c>
      <c r="P61" s="215">
        <f t="shared" si="3"/>
        <v>1606.2665062714937</v>
      </c>
      <c r="Q61" s="215" cm="1">
        <f t="array" ref="Q61">IF(P61="-",0,P61/(1+'General inputs'!$H$32)^IFERROR(INDEX('MP Calculations'!$C$40:$C$130,MATCH(F61,'MP Calculations'!$D$40:$D$130,0),0),-1))</f>
        <v>2857.3646601070682</v>
      </c>
    </row>
    <row r="62" spans="3:17" x14ac:dyDescent="0.25">
      <c r="C62" s="159"/>
      <c r="D62" s="165" t="s">
        <v>323</v>
      </c>
      <c r="E62" s="161">
        <v>39814</v>
      </c>
      <c r="F62" s="172" t="str">
        <f t="shared" si="0"/>
        <v>2008-09</v>
      </c>
      <c r="G62" s="68"/>
      <c r="H62" s="167" t="s">
        <v>279</v>
      </c>
      <c r="I62" s="173">
        <v>8793.8848904043734</v>
      </c>
      <c r="J62" s="168">
        <f>IFERROR(MIN('MP Calculations'!$E$30/I62,1),"-")</f>
        <v>0.89877153183870317</v>
      </c>
      <c r="K62" s="12"/>
      <c r="L62" s="159">
        <v>1</v>
      </c>
      <c r="M62" s="159" t="s">
        <v>302</v>
      </c>
      <c r="N62" s="159">
        <v>3962.88</v>
      </c>
      <c r="O62" s="185">
        <f t="shared" si="1"/>
        <v>3962.88</v>
      </c>
      <c r="P62" s="215">
        <f t="shared" si="3"/>
        <v>3561.7237280929603</v>
      </c>
      <c r="Q62" s="215" cm="1">
        <f t="array" ref="Q62">IF(P62="-",0,P62/(1+'General inputs'!$H$32)^IFERROR(INDEX('MP Calculations'!$C$40:$C$130,MATCH(F62,'MP Calculations'!$D$40:$D$130,0),0),-1))</f>
        <v>6335.89972148586</v>
      </c>
    </row>
    <row r="63" spans="3:17" x14ac:dyDescent="0.25">
      <c r="C63" s="159"/>
      <c r="D63" s="165" t="s">
        <v>328</v>
      </c>
      <c r="E63" s="161">
        <v>39873</v>
      </c>
      <c r="F63" s="172" t="str">
        <f t="shared" si="0"/>
        <v>2008-09</v>
      </c>
      <c r="G63" s="68"/>
      <c r="H63" s="167" t="s">
        <v>279</v>
      </c>
      <c r="I63" s="173">
        <v>8793.8848904043734</v>
      </c>
      <c r="J63" s="168">
        <f>IFERROR(MIN('MP Calculations'!$E$30/I63,1),"-")</f>
        <v>0.89877153183870317</v>
      </c>
      <c r="K63" s="12"/>
      <c r="L63" s="159">
        <v>1</v>
      </c>
      <c r="M63" s="159" t="s">
        <v>302</v>
      </c>
      <c r="N63" s="159">
        <v>30198.58</v>
      </c>
      <c r="O63" s="185">
        <f t="shared" si="1"/>
        <v>30198.58</v>
      </c>
      <c r="P63" s="215">
        <f t="shared" si="3"/>
        <v>27141.624005953625</v>
      </c>
      <c r="Q63" s="215" cm="1">
        <f t="array" ref="Q63">IF(P63="-",0,P63/(1+'General inputs'!$H$32)^IFERROR(INDEX('MP Calculations'!$C$40:$C$130,MATCH(F63,'MP Calculations'!$D$40:$D$130,0),0),-1))</f>
        <v>48281.849213518559</v>
      </c>
    </row>
    <row r="64" spans="3:17" x14ac:dyDescent="0.25">
      <c r="C64" s="159"/>
      <c r="D64" s="165" t="s">
        <v>329</v>
      </c>
      <c r="E64" s="161">
        <v>39903</v>
      </c>
      <c r="F64" s="172" t="str">
        <f t="shared" si="0"/>
        <v>2008-09</v>
      </c>
      <c r="G64" s="68"/>
      <c r="H64" s="167" t="s">
        <v>279</v>
      </c>
      <c r="I64" s="173">
        <v>8793.8848904043734</v>
      </c>
      <c r="J64" s="168">
        <f>IFERROR(MIN('MP Calculations'!$E$30/I64,1),"-")</f>
        <v>0.89877153183870317</v>
      </c>
      <c r="K64" s="12"/>
      <c r="L64" s="159">
        <v>1</v>
      </c>
      <c r="M64" s="159" t="s">
        <v>302</v>
      </c>
      <c r="N64" s="159">
        <v>13740.13</v>
      </c>
      <c r="O64" s="185">
        <f t="shared" si="1"/>
        <v>13740.13</v>
      </c>
      <c r="P64" s="215">
        <f t="shared" si="3"/>
        <v>12349.237687762919</v>
      </c>
      <c r="Q64" s="215" cm="1">
        <f t="array" ref="Q64">IF(P64="-",0,P64/(1+'General inputs'!$H$32)^IFERROR(INDEX('MP Calculations'!$C$40:$C$130,MATCH(F64,'MP Calculations'!$D$40:$D$130,0),0),-1))</f>
        <v>21967.883418165449</v>
      </c>
    </row>
    <row r="65" spans="3:17" x14ac:dyDescent="0.25">
      <c r="C65" s="159"/>
      <c r="D65" s="165" t="s">
        <v>330</v>
      </c>
      <c r="E65" s="161">
        <v>39904</v>
      </c>
      <c r="F65" s="172" t="str">
        <f t="shared" si="0"/>
        <v>2008-09</v>
      </c>
      <c r="G65" s="68"/>
      <c r="H65" s="167" t="s">
        <v>279</v>
      </c>
      <c r="I65" s="173">
        <v>8793.8848904043734</v>
      </c>
      <c r="J65" s="168">
        <f>IFERROR(MIN('MP Calculations'!$E$30/I65,1),"-")</f>
        <v>0.89877153183870317</v>
      </c>
      <c r="K65" s="12"/>
      <c r="L65" s="159">
        <v>1</v>
      </c>
      <c r="M65" s="159" t="s">
        <v>302</v>
      </c>
      <c r="N65" s="159">
        <v>1377.57</v>
      </c>
      <c r="O65" s="185">
        <f t="shared" si="1"/>
        <v>1377.57</v>
      </c>
      <c r="P65" s="215">
        <f t="shared" si="3"/>
        <v>1238.1206991150423</v>
      </c>
      <c r="Q65" s="215" cm="1">
        <f t="array" ref="Q65">IF(P65="-",0,P65/(1+'General inputs'!$H$32)^IFERROR(INDEX('MP Calculations'!$C$40:$C$130,MATCH(F65,'MP Calculations'!$D$40:$D$130,0),0),-1))</f>
        <v>2202.4753157620908</v>
      </c>
    </row>
    <row r="66" spans="3:17" x14ac:dyDescent="0.25">
      <c r="C66" s="159"/>
      <c r="D66" s="165" t="s">
        <v>331</v>
      </c>
      <c r="E66" s="161">
        <v>39965</v>
      </c>
      <c r="F66" s="172" t="str">
        <f t="shared" si="0"/>
        <v>2008-09</v>
      </c>
      <c r="G66" s="68"/>
      <c r="H66" s="167" t="s">
        <v>279</v>
      </c>
      <c r="I66" s="173">
        <v>8793.8848904043734</v>
      </c>
      <c r="J66" s="168">
        <f>IFERROR(MIN('MP Calculations'!$E$30/I66,1),"-")</f>
        <v>0.89877153183870317</v>
      </c>
      <c r="K66" s="12"/>
      <c r="L66" s="159">
        <v>1</v>
      </c>
      <c r="M66" s="159" t="s">
        <v>302</v>
      </c>
      <c r="N66" s="159">
        <v>2162.5</v>
      </c>
      <c r="O66" s="185">
        <f t="shared" si="1"/>
        <v>2162.5</v>
      </c>
      <c r="P66" s="215">
        <f t="shared" si="3"/>
        <v>1943.5934376011955</v>
      </c>
      <c r="Q66" s="215" cm="1">
        <f t="array" ref="Q66">IF(P66="-",0,P66/(1+'General inputs'!$H$32)^IFERROR(INDEX('MP Calculations'!$C$40:$C$130,MATCH(F66,'MP Calculations'!$D$40:$D$130,0),0),-1))</f>
        <v>3457.4307442347913</v>
      </c>
    </row>
    <row r="67" spans="3:17" x14ac:dyDescent="0.25">
      <c r="C67" s="159"/>
      <c r="D67" s="165" t="s">
        <v>332</v>
      </c>
      <c r="E67" s="161">
        <v>39995</v>
      </c>
      <c r="F67" s="172" t="str">
        <f t="shared" si="0"/>
        <v>2009-10</v>
      </c>
      <c r="G67" s="68"/>
      <c r="H67" s="167" t="s">
        <v>279</v>
      </c>
      <c r="I67" s="173">
        <v>8793.8848904043734</v>
      </c>
      <c r="J67" s="168">
        <f>IFERROR(MIN('MP Calculations'!$E$30/I67,1),"-")</f>
        <v>0.89877153183870317</v>
      </c>
      <c r="K67" s="12"/>
      <c r="L67" s="159">
        <v>1</v>
      </c>
      <c r="M67" s="159" t="s">
        <v>302</v>
      </c>
      <c r="N67" s="159">
        <v>2836.92</v>
      </c>
      <c r="O67" s="185">
        <f t="shared" si="1"/>
        <v>2836.92</v>
      </c>
      <c r="P67" s="215">
        <f t="shared" si="3"/>
        <v>2549.7429341038537</v>
      </c>
      <c r="Q67" s="215" cm="1">
        <f t="array" ref="Q67">IF(P67="-",0,P67/(1+'General inputs'!$H$32)^IFERROR(INDEX('MP Calculations'!$C$40:$C$130,MATCH(F67,'MP Calculations'!$D$40:$D$130,0),0),-1))</f>
        <v>4352.8804885822346</v>
      </c>
    </row>
    <row r="68" spans="3:17" x14ac:dyDescent="0.25">
      <c r="C68" s="159"/>
      <c r="D68" s="165" t="s">
        <v>333</v>
      </c>
      <c r="E68" s="161">
        <v>39995</v>
      </c>
      <c r="F68" s="172" t="str">
        <f t="shared" si="0"/>
        <v>2009-10</v>
      </c>
      <c r="G68" s="68"/>
      <c r="H68" s="167" t="s">
        <v>279</v>
      </c>
      <c r="I68" s="173">
        <v>8793.8848904043734</v>
      </c>
      <c r="J68" s="168">
        <f>IFERROR(MIN('MP Calculations'!$E$30/I68,1),"-")</f>
        <v>0.89877153183870317</v>
      </c>
      <c r="K68" s="12"/>
      <c r="L68" s="159">
        <v>1</v>
      </c>
      <c r="M68" s="159" t="s">
        <v>302</v>
      </c>
      <c r="N68" s="159">
        <v>12482.14</v>
      </c>
      <c r="O68" s="185">
        <f t="shared" si="1"/>
        <v>12482.14</v>
      </c>
      <c r="P68" s="215">
        <f t="shared" si="3"/>
        <v>11218.59208842515</v>
      </c>
      <c r="Q68" s="215" cm="1">
        <f t="array" ref="Q68">IF(P68="-",0,P68/(1+'General inputs'!$H$32)^IFERROR(INDEX('MP Calculations'!$C$40:$C$130,MATCH(F68,'MP Calculations'!$D$40:$D$130,0),0),-1))</f>
        <v>19152.201564285158</v>
      </c>
    </row>
    <row r="69" spans="3:17" x14ac:dyDescent="0.25">
      <c r="C69" s="159"/>
      <c r="D69" s="165" t="s">
        <v>334</v>
      </c>
      <c r="E69" s="161">
        <v>40025</v>
      </c>
      <c r="F69" s="172" t="str">
        <f t="shared" si="0"/>
        <v>2009-10</v>
      </c>
      <c r="G69" s="68"/>
      <c r="H69" s="167" t="s">
        <v>279</v>
      </c>
      <c r="I69" s="173">
        <v>8793.8848904043734</v>
      </c>
      <c r="J69" s="168">
        <f>IFERROR(MIN('MP Calculations'!$E$30/I69,1),"-")</f>
        <v>0.89877153183870317</v>
      </c>
      <c r="K69" s="12"/>
      <c r="L69" s="159">
        <v>1</v>
      </c>
      <c r="M69" s="159" t="s">
        <v>302</v>
      </c>
      <c r="N69" s="159">
        <v>14800.02</v>
      </c>
      <c r="O69" s="185">
        <f t="shared" si="1"/>
        <v>14800.02</v>
      </c>
      <c r="P69" s="215">
        <f t="shared" si="3"/>
        <v>13301.836646643444</v>
      </c>
      <c r="Q69" s="215" cm="1">
        <f t="array" ref="Q69">IF(P69="-",0,P69/(1+'General inputs'!$H$32)^IFERROR(INDEX('MP Calculations'!$C$40:$C$130,MATCH(F69,'MP Calculations'!$D$40:$D$130,0),0),-1))</f>
        <v>22708.683462567449</v>
      </c>
    </row>
    <row r="70" spans="3:17" x14ac:dyDescent="0.25">
      <c r="C70" s="159"/>
      <c r="D70" s="165" t="s">
        <v>335</v>
      </c>
      <c r="E70" s="161">
        <v>40360</v>
      </c>
      <c r="F70" s="172" t="str">
        <f t="shared" si="0"/>
        <v>2010-11</v>
      </c>
      <c r="G70" s="68"/>
      <c r="H70" s="167" t="s">
        <v>279</v>
      </c>
      <c r="I70" s="173">
        <v>8793.8848904043734</v>
      </c>
      <c r="J70" s="168">
        <f>IFERROR(MIN('MP Calculations'!$E$30/I70,1),"-")</f>
        <v>0.89877153183870317</v>
      </c>
      <c r="K70" s="12"/>
      <c r="L70" s="159">
        <v>1</v>
      </c>
      <c r="M70" s="159" t="s">
        <v>302</v>
      </c>
      <c r="N70" s="159">
        <v>88509.01</v>
      </c>
      <c r="O70" s="185">
        <f t="shared" si="1"/>
        <v>88509.01</v>
      </c>
      <c r="P70" s="215">
        <f t="shared" si="3"/>
        <v>79549.378499227096</v>
      </c>
      <c r="Q70" s="215" cm="1">
        <f t="array" ref="Q70">IF(P70="-",0,P70/(1+'General inputs'!$H$32)^IFERROR(INDEX('MP Calculations'!$C$40:$C$130,MATCH(F70,'MP Calculations'!$D$40:$D$130,0),0),-1))</f>
        <v>130331.50746787628</v>
      </c>
    </row>
    <row r="71" spans="3:17" x14ac:dyDescent="0.25">
      <c r="C71" s="159"/>
      <c r="D71" s="165" t="s">
        <v>290</v>
      </c>
      <c r="E71" s="161">
        <v>40633</v>
      </c>
      <c r="F71" s="172" t="str">
        <f t="shared" si="0"/>
        <v>2010-11</v>
      </c>
      <c r="G71" s="68"/>
      <c r="H71" s="167" t="s">
        <v>279</v>
      </c>
      <c r="I71" s="173">
        <v>8793.8848904043734</v>
      </c>
      <c r="J71" s="168">
        <f>IFERROR(MIN('MP Calculations'!$E$30/I71,1),"-")</f>
        <v>0.89877153183870317</v>
      </c>
      <c r="K71" s="12"/>
      <c r="L71" s="159">
        <v>1.724864</v>
      </c>
      <c r="M71" s="159" t="s">
        <v>301</v>
      </c>
      <c r="N71" s="159">
        <v>548</v>
      </c>
      <c r="O71" s="185">
        <f t="shared" si="1"/>
        <v>945.22547199999997</v>
      </c>
      <c r="P71" s="215">
        <f t="shared" si="3"/>
        <v>849.54174540240126</v>
      </c>
      <c r="Q71" s="215" cm="1">
        <f t="array" ref="Q71">IF(P71="-",0,P71/(1+'General inputs'!$H$32)^IFERROR(INDEX('MP Calculations'!$C$40:$C$130,MATCH(F71,'MP Calculations'!$D$40:$D$130,0),0),-1))</f>
        <v>1391.8657621726295</v>
      </c>
    </row>
    <row r="72" spans="3:17" x14ac:dyDescent="0.25">
      <c r="C72" s="159"/>
      <c r="D72" s="165" t="s">
        <v>290</v>
      </c>
      <c r="E72" s="161">
        <v>40633</v>
      </c>
      <c r="F72" s="172" t="str">
        <f t="shared" si="0"/>
        <v>2010-11</v>
      </c>
      <c r="G72" s="68"/>
      <c r="H72" s="167" t="s">
        <v>279</v>
      </c>
      <c r="I72" s="173">
        <v>8793.8848904043734</v>
      </c>
      <c r="J72" s="168">
        <f>IFERROR(MIN('MP Calculations'!$E$30/I72,1),"-")</f>
        <v>0.89877153183870317</v>
      </c>
      <c r="K72" s="12"/>
      <c r="L72" s="159">
        <v>2.2049919999999998</v>
      </c>
      <c r="M72" s="159" t="s">
        <v>301</v>
      </c>
      <c r="N72" s="159">
        <v>548</v>
      </c>
      <c r="O72" s="185">
        <f t="shared" si="1"/>
        <v>1208.3356159999998</v>
      </c>
      <c r="P72" s="215">
        <f t="shared" si="3"/>
        <v>1086.0176525675829</v>
      </c>
      <c r="Q72" s="215" cm="1">
        <f t="array" ref="Q72">IF(P72="-",0,P72/(1+'General inputs'!$H$32)^IFERROR(INDEX('MP Calculations'!$C$40:$C$130,MATCH(F72,'MP Calculations'!$D$40:$D$130,0),0),-1))</f>
        <v>1779.30136559436</v>
      </c>
    </row>
    <row r="73" spans="3:17" x14ac:dyDescent="0.25">
      <c r="C73" s="159"/>
      <c r="D73" s="165" t="s">
        <v>290</v>
      </c>
      <c r="E73" s="161">
        <v>40633</v>
      </c>
      <c r="F73" s="172" t="str">
        <f t="shared" si="0"/>
        <v>2010-11</v>
      </c>
      <c r="G73" s="68"/>
      <c r="H73" s="167" t="s">
        <v>279</v>
      </c>
      <c r="I73" s="173">
        <v>8793.8848904043734</v>
      </c>
      <c r="J73" s="168">
        <f>IFERROR(MIN('MP Calculations'!$E$30/I73,1),"-")</f>
        <v>0.89877153183870317</v>
      </c>
      <c r="K73" s="12"/>
      <c r="L73" s="159">
        <v>5.7067110000000003</v>
      </c>
      <c r="M73" s="159" t="s">
        <v>301</v>
      </c>
      <c r="N73" s="159">
        <v>548</v>
      </c>
      <c r="O73" s="185">
        <f t="shared" si="1"/>
        <v>3127.2776280000003</v>
      </c>
      <c r="P73" s="215">
        <f t="shared" si="3"/>
        <v>2810.7081042024665</v>
      </c>
      <c r="Q73" s="215" cm="1">
        <f t="array" ref="Q73">IF(P73="-",0,P73/(1+'General inputs'!$H$32)^IFERROR(INDEX('MP Calculations'!$C$40:$C$130,MATCH(F73,'MP Calculations'!$D$40:$D$130,0),0),-1))</f>
        <v>4604.9866282291996</v>
      </c>
    </row>
    <row r="74" spans="3:17" x14ac:dyDescent="0.25">
      <c r="C74" s="159"/>
      <c r="D74" s="165" t="s">
        <v>290</v>
      </c>
      <c r="E74" s="161">
        <v>40633</v>
      </c>
      <c r="F74" s="172" t="str">
        <f t="shared" si="0"/>
        <v>2010-11</v>
      </c>
      <c r="G74" s="68"/>
      <c r="H74" s="167" t="s">
        <v>279</v>
      </c>
      <c r="I74" s="173">
        <v>8793.8848904043734</v>
      </c>
      <c r="J74" s="168">
        <f>IFERROR(MIN('MP Calculations'!$E$30/I74,1),"-")</f>
        <v>0.89877153183870317</v>
      </c>
      <c r="K74" s="12"/>
      <c r="L74" s="159">
        <v>5.3667049999999996</v>
      </c>
      <c r="M74" s="159" t="s">
        <v>301</v>
      </c>
      <c r="N74" s="159">
        <v>548</v>
      </c>
      <c r="O74" s="185">
        <f t="shared" si="1"/>
        <v>2940.9543399999998</v>
      </c>
      <c r="P74" s="215">
        <f t="shared" si="3"/>
        <v>2643.2460372294822</v>
      </c>
      <c r="Q74" s="215" cm="1">
        <f t="array" ref="Q74">IF(P74="-",0,P74/(1+'General inputs'!$H$32)^IFERROR(INDEX('MP Calculations'!$C$40:$C$130,MATCH(F74,'MP Calculations'!$D$40:$D$130,0),0),-1))</f>
        <v>4330.6213969221117</v>
      </c>
    </row>
    <row r="75" spans="3:17" x14ac:dyDescent="0.25">
      <c r="C75" s="159"/>
      <c r="D75" s="165" t="s">
        <v>290</v>
      </c>
      <c r="E75" s="161">
        <v>40633</v>
      </c>
      <c r="F75" s="172" t="str">
        <f t="shared" si="0"/>
        <v>2010-11</v>
      </c>
      <c r="G75" s="68"/>
      <c r="H75" s="167" t="s">
        <v>279</v>
      </c>
      <c r="I75" s="173">
        <v>8793.8848904043734</v>
      </c>
      <c r="J75" s="168">
        <f>IFERROR(MIN('MP Calculations'!$E$30/I75,1),"-")</f>
        <v>0.89877153183870317</v>
      </c>
      <c r="K75" s="12"/>
      <c r="L75" s="159">
        <v>4.6824940000000002</v>
      </c>
      <c r="M75" s="159" t="s">
        <v>301</v>
      </c>
      <c r="N75" s="159">
        <v>548</v>
      </c>
      <c r="O75" s="185">
        <f t="shared" si="1"/>
        <v>2566.0067119999999</v>
      </c>
      <c r="P75" s="215">
        <f t="shared" si="3"/>
        <v>2306.2537832526341</v>
      </c>
      <c r="Q75" s="215" cm="1">
        <f t="array" ref="Q75">IF(P75="-",0,P75/(1+'General inputs'!$H$32)^IFERROR(INDEX('MP Calculations'!$C$40:$C$130,MATCH(F75,'MP Calculations'!$D$40:$D$130,0),0),-1))</f>
        <v>3778.5025834957219</v>
      </c>
    </row>
    <row r="76" spans="3:17" x14ac:dyDescent="0.25">
      <c r="C76" s="159"/>
      <c r="D76" s="165" t="s">
        <v>290</v>
      </c>
      <c r="E76" s="161">
        <v>40633</v>
      </c>
      <c r="F76" s="172" t="str">
        <f t="shared" si="0"/>
        <v>2010-11</v>
      </c>
      <c r="G76" s="68"/>
      <c r="H76" s="167" t="s">
        <v>279</v>
      </c>
      <c r="I76" s="173">
        <v>8793.8848904043734</v>
      </c>
      <c r="J76" s="168">
        <f>IFERROR(MIN('MP Calculations'!$E$30/I76,1),"-")</f>
        <v>0.89877153183870317</v>
      </c>
      <c r="K76" s="12"/>
      <c r="L76" s="159">
        <v>5.7404859999999998</v>
      </c>
      <c r="M76" s="159" t="s">
        <v>301</v>
      </c>
      <c r="N76" s="159">
        <v>548</v>
      </c>
      <c r="O76" s="185">
        <f t="shared" si="1"/>
        <v>3145.7863279999997</v>
      </c>
      <c r="P76" s="215">
        <f t="shared" si="3"/>
        <v>2827.3431968538089</v>
      </c>
      <c r="Q76" s="215" cm="1">
        <f t="array" ref="Q76">IF(P76="-",0,P76/(1+'General inputs'!$H$32)^IFERROR(INDEX('MP Calculations'!$C$40:$C$130,MATCH(F76,'MP Calculations'!$D$40:$D$130,0),0),-1))</f>
        <v>4632.2411051719491</v>
      </c>
    </row>
    <row r="77" spans="3:17" x14ac:dyDescent="0.25">
      <c r="C77" s="159"/>
      <c r="D77" s="165" t="s">
        <v>336</v>
      </c>
      <c r="E77" s="161">
        <v>40633</v>
      </c>
      <c r="F77" s="172" t="str">
        <f t="shared" si="0"/>
        <v>2010-11</v>
      </c>
      <c r="G77" s="68"/>
      <c r="H77" s="167" t="s">
        <v>279</v>
      </c>
      <c r="I77" s="173">
        <v>8793.8848904043734</v>
      </c>
      <c r="J77" s="168">
        <f>IFERROR(MIN('MP Calculations'!$E$30/I77,1),"-")</f>
        <v>0.89877153183870317</v>
      </c>
      <c r="K77" s="12"/>
      <c r="L77" s="159">
        <v>28.811629</v>
      </c>
      <c r="M77" s="159" t="s">
        <v>301</v>
      </c>
      <c r="N77" s="159">
        <v>726</v>
      </c>
      <c r="O77" s="185">
        <f t="shared" si="1"/>
        <v>20917.242654000001</v>
      </c>
      <c r="P77" s="215">
        <f t="shared" si="3"/>
        <v>18799.822221977443</v>
      </c>
      <c r="Q77" s="215" cm="1">
        <f t="array" ref="Q77">IF(P77="-",0,P77/(1+'General inputs'!$H$32)^IFERROR(INDEX('MP Calculations'!$C$40:$C$130,MATCH(F77,'MP Calculations'!$D$40:$D$130,0),0),-1))</f>
        <v>30801.110160052423</v>
      </c>
    </row>
    <row r="78" spans="3:17" x14ac:dyDescent="0.25">
      <c r="C78" s="159"/>
      <c r="D78" s="165" t="s">
        <v>290</v>
      </c>
      <c r="E78" s="161">
        <v>40633</v>
      </c>
      <c r="F78" s="172" t="str">
        <f t="shared" si="0"/>
        <v>2010-11</v>
      </c>
      <c r="G78" s="68"/>
      <c r="H78" s="167" t="s">
        <v>279</v>
      </c>
      <c r="I78" s="173">
        <v>8793.8848904043734</v>
      </c>
      <c r="J78" s="168">
        <f>IFERROR(MIN('MP Calculations'!$E$30/I78,1),"-")</f>
        <v>0.89877153183870317</v>
      </c>
      <c r="K78" s="12"/>
      <c r="L78" s="159">
        <v>3.0298660000000002</v>
      </c>
      <c r="M78" s="159" t="s">
        <v>301</v>
      </c>
      <c r="N78" s="159">
        <v>548</v>
      </c>
      <c r="O78" s="185">
        <f t="shared" si="1"/>
        <v>1660.3665680000001</v>
      </c>
      <c r="P78" s="215">
        <f t="shared" si="3"/>
        <v>1492.2902037351305</v>
      </c>
      <c r="Q78" s="215" cm="1">
        <f t="array" ref="Q78">IF(P78="-",0,P78/(1+'General inputs'!$H$32)^IFERROR(INDEX('MP Calculations'!$C$40:$C$130,MATCH(F78,'MP Calculations'!$D$40:$D$130,0),0),-1))</f>
        <v>2444.927106931872</v>
      </c>
    </row>
    <row r="79" spans="3:17" x14ac:dyDescent="0.25">
      <c r="C79" s="159"/>
      <c r="D79" s="165" t="s">
        <v>336</v>
      </c>
      <c r="E79" s="161">
        <v>40633</v>
      </c>
      <c r="F79" s="172" t="str">
        <f t="shared" si="0"/>
        <v>2010-11</v>
      </c>
      <c r="G79" s="68"/>
      <c r="H79" s="167" t="s">
        <v>279</v>
      </c>
      <c r="I79" s="173">
        <v>8793.8848904043734</v>
      </c>
      <c r="J79" s="168">
        <f>IFERROR(MIN('MP Calculations'!$E$30/I79,1),"-")</f>
        <v>0.89877153183870317</v>
      </c>
      <c r="K79" s="12"/>
      <c r="L79" s="159">
        <v>137.53741400000001</v>
      </c>
      <c r="M79" s="159" t="s">
        <v>301</v>
      </c>
      <c r="N79" s="159">
        <v>726</v>
      </c>
      <c r="O79" s="185">
        <f t="shared" si="1"/>
        <v>99852.162564000013</v>
      </c>
      <c r="P79" s="215">
        <f t="shared" si="3"/>
        <v>89744.281105053509</v>
      </c>
      <c r="Q79" s="215" cm="1">
        <f t="array" ref="Q79">IF(P79="-",0,P79/(1+'General inputs'!$H$32)^IFERROR(INDEX('MP Calculations'!$C$40:$C$130,MATCH(F79,'MP Calculations'!$D$40:$D$130,0),0),-1))</f>
        <v>147034.55468424701</v>
      </c>
    </row>
    <row r="80" spans="3:17" x14ac:dyDescent="0.25">
      <c r="C80" s="159"/>
      <c r="D80" s="165" t="s">
        <v>290</v>
      </c>
      <c r="E80" s="161">
        <v>40633</v>
      </c>
      <c r="F80" s="172" t="str">
        <f t="shared" si="0"/>
        <v>2010-11</v>
      </c>
      <c r="G80" s="68"/>
      <c r="H80" s="167" t="s">
        <v>279</v>
      </c>
      <c r="I80" s="173">
        <v>8793.8848904043734</v>
      </c>
      <c r="J80" s="168">
        <f>IFERROR(MIN('MP Calculations'!$E$30/I80,1),"-")</f>
        <v>0.89877153183870317</v>
      </c>
      <c r="K80" s="12"/>
      <c r="L80" s="159">
        <v>22.868995000000002</v>
      </c>
      <c r="M80" s="159" t="s">
        <v>301</v>
      </c>
      <c r="N80" s="159">
        <v>548</v>
      </c>
      <c r="O80" s="185">
        <f t="shared" si="1"/>
        <v>12532.209260000001</v>
      </c>
      <c r="P80" s="215">
        <f t="shared" si="3"/>
        <v>11263.592913933382</v>
      </c>
      <c r="Q80" s="215" cm="1">
        <f t="array" ref="Q80">IF(P80="-",0,P80/(1+'General inputs'!$H$32)^IFERROR(INDEX('MP Calculations'!$C$40:$C$130,MATCH(F80,'MP Calculations'!$D$40:$D$130,0),0),-1))</f>
        <v>18453.959938752887</v>
      </c>
    </row>
    <row r="81" spans="3:17" x14ac:dyDescent="0.25">
      <c r="C81" s="159"/>
      <c r="D81" s="165" t="s">
        <v>290</v>
      </c>
      <c r="E81" s="161">
        <v>40633</v>
      </c>
      <c r="F81" s="172" t="str">
        <f t="shared" si="0"/>
        <v>2010-11</v>
      </c>
      <c r="G81" s="68"/>
      <c r="H81" s="167" t="s">
        <v>279</v>
      </c>
      <c r="I81" s="173">
        <v>8793.8848904043734</v>
      </c>
      <c r="J81" s="168">
        <f>IFERROR(MIN('MP Calculations'!$E$30/I81,1),"-")</f>
        <v>0.89877153183870317</v>
      </c>
      <c r="K81" s="12"/>
      <c r="L81" s="159">
        <v>22.837662000000002</v>
      </c>
      <c r="M81" s="159" t="s">
        <v>301</v>
      </c>
      <c r="N81" s="159">
        <v>548</v>
      </c>
      <c r="O81" s="185">
        <f t="shared" si="1"/>
        <v>12515.038776000001</v>
      </c>
      <c r="P81" s="215">
        <f t="shared" si="3"/>
        <v>11248.16057172629</v>
      </c>
      <c r="Q81" s="215" cm="1">
        <f t="array" ref="Q81">IF(P81="-",0,P81/(1+'General inputs'!$H$32)^IFERROR(INDEX('MP Calculations'!$C$40:$C$130,MATCH(F81,'MP Calculations'!$D$40:$D$130,0),0),-1))</f>
        <v>18428.676014961704</v>
      </c>
    </row>
    <row r="82" spans="3:17" x14ac:dyDescent="0.25">
      <c r="C82" s="159"/>
      <c r="D82" s="165" t="s">
        <v>290</v>
      </c>
      <c r="E82" s="161">
        <v>40633</v>
      </c>
      <c r="F82" s="172" t="str">
        <f t="shared" si="0"/>
        <v>2010-11</v>
      </c>
      <c r="G82" s="68"/>
      <c r="H82" s="167" t="s">
        <v>279</v>
      </c>
      <c r="I82" s="173">
        <v>8793.8848904043734</v>
      </c>
      <c r="J82" s="168">
        <f>IFERROR(MIN('MP Calculations'!$E$30/I82,1),"-")</f>
        <v>0.89877153183870317</v>
      </c>
      <c r="K82" s="12"/>
      <c r="L82" s="159">
        <v>0.70285299999999995</v>
      </c>
      <c r="M82" s="159" t="s">
        <v>301</v>
      </c>
      <c r="N82" s="159">
        <v>548</v>
      </c>
      <c r="O82" s="185">
        <f t="shared" si="1"/>
        <v>385.16344399999997</v>
      </c>
      <c r="P82" s="215">
        <f t="shared" si="3"/>
        <v>346.17393857215052</v>
      </c>
      <c r="Q82" s="215" cm="1">
        <f t="array" ref="Q82">IF(P82="-",0,P82/(1+'General inputs'!$H$32)^IFERROR(INDEX('MP Calculations'!$C$40:$C$130,MATCH(F82,'MP Calculations'!$D$40:$D$130,0),0),-1))</f>
        <v>567.16183220260791</v>
      </c>
    </row>
    <row r="83" spans="3:17" x14ac:dyDescent="0.25">
      <c r="C83" s="159"/>
      <c r="D83" s="165" t="s">
        <v>290</v>
      </c>
      <c r="E83" s="161">
        <v>40633</v>
      </c>
      <c r="F83" s="172" t="str">
        <f t="shared" si="0"/>
        <v>2010-11</v>
      </c>
      <c r="G83" s="68"/>
      <c r="H83" s="167" t="s">
        <v>279</v>
      </c>
      <c r="I83" s="173">
        <v>8793.8848904043734</v>
      </c>
      <c r="J83" s="168">
        <f>IFERROR(MIN('MP Calculations'!$E$30/I83,1),"-")</f>
        <v>0.89877153183870317</v>
      </c>
      <c r="K83" s="12"/>
      <c r="L83" s="159">
        <v>0.78854599999999997</v>
      </c>
      <c r="M83" s="159" t="s">
        <v>301</v>
      </c>
      <c r="N83" s="159">
        <v>548</v>
      </c>
      <c r="O83" s="185">
        <f t="shared" si="1"/>
        <v>432.12320799999998</v>
      </c>
      <c r="P83" s="215">
        <f t="shared" si="3"/>
        <v>388.38003759721454</v>
      </c>
      <c r="Q83" s="215" cm="1">
        <f t="array" ref="Q83">IF(P83="-",0,P83/(1+'General inputs'!$H$32)^IFERROR(INDEX('MP Calculations'!$C$40:$C$130,MATCH(F83,'MP Calculations'!$D$40:$D$130,0),0),-1))</f>
        <v>636.31114064539474</v>
      </c>
    </row>
    <row r="84" spans="3:17" x14ac:dyDescent="0.25">
      <c r="C84" s="159"/>
      <c r="D84" s="165" t="s">
        <v>336</v>
      </c>
      <c r="E84" s="161">
        <v>40633</v>
      </c>
      <c r="F84" s="172" t="str">
        <f t="shared" si="0"/>
        <v>2010-11</v>
      </c>
      <c r="G84" s="68"/>
      <c r="H84" s="167" t="s">
        <v>279</v>
      </c>
      <c r="I84" s="173">
        <v>8793.8848904043734</v>
      </c>
      <c r="J84" s="168">
        <f>IFERROR(MIN('MP Calculations'!$E$30/I84,1),"-")</f>
        <v>0.89877153183870317</v>
      </c>
      <c r="K84" s="12"/>
      <c r="L84" s="159">
        <v>0.85686200000000001</v>
      </c>
      <c r="M84" s="159" t="s">
        <v>301</v>
      </c>
      <c r="N84" s="159">
        <v>726</v>
      </c>
      <c r="O84" s="185">
        <f t="shared" si="1"/>
        <v>622.08181200000001</v>
      </c>
      <c r="P84" s="215">
        <f t="shared" si="3"/>
        <v>559.1094231002362</v>
      </c>
      <c r="Q84" s="215" cm="1">
        <f t="array" ref="Q84">IF(P84="-",0,P84/(1+'General inputs'!$H$32)^IFERROR(INDEX('MP Calculations'!$C$40:$C$130,MATCH(F84,'MP Calculations'!$D$40:$D$130,0),0),-1))</f>
        <v>916.0294565073998</v>
      </c>
    </row>
    <row r="85" spans="3:17" x14ac:dyDescent="0.25">
      <c r="C85" s="159"/>
      <c r="D85" s="165" t="s">
        <v>290</v>
      </c>
      <c r="E85" s="161">
        <v>40633</v>
      </c>
      <c r="F85" s="172" t="str">
        <f t="shared" si="0"/>
        <v>2010-11</v>
      </c>
      <c r="G85" s="68"/>
      <c r="H85" s="167" t="s">
        <v>279</v>
      </c>
      <c r="I85" s="173">
        <v>8793.8848904043734</v>
      </c>
      <c r="J85" s="168">
        <f>IFERROR(MIN('MP Calculations'!$E$30/I85,1),"-")</f>
        <v>0.89877153183870317</v>
      </c>
      <c r="K85" s="12"/>
      <c r="L85" s="159">
        <v>0.20094500000000001</v>
      </c>
      <c r="M85" s="159" t="s">
        <v>301</v>
      </c>
      <c r="N85" s="159">
        <v>548</v>
      </c>
      <c r="O85" s="185">
        <f t="shared" si="1"/>
        <v>110.11786000000001</v>
      </c>
      <c r="P85" s="215">
        <f t="shared" si="3"/>
        <v>98.970797714999861</v>
      </c>
      <c r="Q85" s="215" cm="1">
        <f t="array" ref="Q85">IF(P85="-",0,P85/(1+'General inputs'!$H$32)^IFERROR(INDEX('MP Calculations'!$C$40:$C$130,MATCH(F85,'MP Calculations'!$D$40:$D$130,0),0),-1))</f>
        <v>162.15102499662527</v>
      </c>
    </row>
    <row r="86" spans="3:17" x14ac:dyDescent="0.25">
      <c r="C86" s="159"/>
      <c r="D86" s="165" t="s">
        <v>290</v>
      </c>
      <c r="E86" s="161">
        <v>40633</v>
      </c>
      <c r="F86" s="172" t="str">
        <f t="shared" ref="F86:F149" si="4">IF(E86="","-",IF(OR(E86&lt;$E$15,E86&gt;$E$16),"ERROR - date outside of range",IF(MONTH(E86)&gt;=7,YEAR(E86)&amp;"-"&amp;IF(YEAR(E86)=1999,"00",IF(AND(YEAR(E86)&gt;=2000,YEAR(E86)&lt;2009),"0","")&amp;RIGHT(YEAR(E86),2)+1),RIGHT(YEAR(E86),4)-1&amp;"-"&amp;RIGHT(YEAR(E86),2))))</f>
        <v>2010-11</v>
      </c>
      <c r="G86" s="68"/>
      <c r="H86" s="167" t="s">
        <v>279</v>
      </c>
      <c r="I86" s="173">
        <v>8793.8848904043734</v>
      </c>
      <c r="J86" s="168">
        <f>IFERROR(MIN('MP Calculations'!$E$30/I86,1),"-")</f>
        <v>0.89877153183870317</v>
      </c>
      <c r="K86" s="12"/>
      <c r="L86" s="159">
        <v>0.51106099999999999</v>
      </c>
      <c r="M86" s="159" t="s">
        <v>301</v>
      </c>
      <c r="N86" s="159">
        <v>548</v>
      </c>
      <c r="O86" s="185">
        <f t="shared" ref="O86:O127" si="5">IF(N86="","-",L86*N86)</f>
        <v>280.06142799999998</v>
      </c>
      <c r="P86" s="215">
        <f t="shared" si="3"/>
        <v>251.71123865249464</v>
      </c>
      <c r="Q86" s="215" cm="1">
        <f t="array" ref="Q86">IF(P86="-",0,P86/(1+'General inputs'!$H$32)^IFERROR(INDEX('MP Calculations'!$C$40:$C$130,MATCH(F86,'MP Calculations'!$D$40:$D$130,0),0),-1))</f>
        <v>412.39675028390997</v>
      </c>
    </row>
    <row r="87" spans="3:17" x14ac:dyDescent="0.25">
      <c r="C87" s="159"/>
      <c r="D87" s="165" t="s">
        <v>337</v>
      </c>
      <c r="E87" s="161">
        <v>40633</v>
      </c>
      <c r="F87" s="172" t="str">
        <f t="shared" si="4"/>
        <v>2010-11</v>
      </c>
      <c r="G87" s="68"/>
      <c r="H87" s="167" t="s">
        <v>279</v>
      </c>
      <c r="I87" s="173">
        <v>8793.8848904043734</v>
      </c>
      <c r="J87" s="168">
        <f>IFERROR(MIN('MP Calculations'!$E$30/I87,1),"-")</f>
        <v>0.89877153183870317</v>
      </c>
      <c r="K87" s="12"/>
      <c r="L87" s="159">
        <v>1</v>
      </c>
      <c r="M87" s="159" t="s">
        <v>302</v>
      </c>
      <c r="N87" s="159">
        <v>50164.98</v>
      </c>
      <c r="O87" s="185">
        <f t="shared" si="5"/>
        <v>50164.98</v>
      </c>
      <c r="P87" s="215">
        <f t="shared" ref="P87:P150" si="6">IF(O87="-","-",IF(OR(E87&lt;$E$15,E87&gt;$E$16),0,O87*J87))</f>
        <v>45086.855919257912</v>
      </c>
      <c r="Q87" s="215" cm="1">
        <f t="array" ref="Q87">IF(P87="-",0,P87/(1+'General inputs'!$H$32)^IFERROR(INDEX('MP Calculations'!$C$40:$C$130,MATCH(F87,'MP Calculations'!$D$40:$D$130,0),0),-1))</f>
        <v>73869.061076334096</v>
      </c>
    </row>
    <row r="88" spans="3:17" x14ac:dyDescent="0.25">
      <c r="C88" s="159"/>
      <c r="D88" s="165" t="s">
        <v>338</v>
      </c>
      <c r="E88" s="161">
        <v>40633</v>
      </c>
      <c r="F88" s="172" t="str">
        <f t="shared" si="4"/>
        <v>2010-11</v>
      </c>
      <c r="G88" s="68"/>
      <c r="H88" s="167" t="s">
        <v>279</v>
      </c>
      <c r="I88" s="173">
        <v>8793.8848904043734</v>
      </c>
      <c r="J88" s="168">
        <f>IFERROR(MIN('MP Calculations'!$E$30/I88,1),"-")</f>
        <v>0.89877153183870317</v>
      </c>
      <c r="K88" s="12"/>
      <c r="L88" s="159">
        <v>1</v>
      </c>
      <c r="M88" s="159" t="s">
        <v>302</v>
      </c>
      <c r="N88" s="159">
        <v>1051655.8400000001</v>
      </c>
      <c r="O88" s="185">
        <f t="shared" si="5"/>
        <v>1051655.8400000001</v>
      </c>
      <c r="P88" s="215">
        <f t="shared" si="6"/>
        <v>945198.33028391819</v>
      </c>
      <c r="Q88" s="215" cm="1">
        <f t="array" ref="Q88">IF(P88="-",0,P88/(1+'General inputs'!$H$32)^IFERROR(INDEX('MP Calculations'!$C$40:$C$130,MATCH(F88,'MP Calculations'!$D$40:$D$130,0),0),-1))</f>
        <v>1548586.8722810899</v>
      </c>
    </row>
    <row r="89" spans="3:17" x14ac:dyDescent="0.25">
      <c r="C89" s="159"/>
      <c r="D89" s="165" t="s">
        <v>339</v>
      </c>
      <c r="E89" s="161">
        <v>40633</v>
      </c>
      <c r="F89" s="172" t="str">
        <f t="shared" si="4"/>
        <v>2010-11</v>
      </c>
      <c r="G89" s="68"/>
      <c r="H89" s="167" t="s">
        <v>279</v>
      </c>
      <c r="I89" s="173">
        <v>8793.8848904043734</v>
      </c>
      <c r="J89" s="168">
        <f>IFERROR(MIN('MP Calculations'!$E$30/I89,1),"-")</f>
        <v>0.89877153183870317</v>
      </c>
      <c r="K89" s="12"/>
      <c r="L89" s="159">
        <v>1</v>
      </c>
      <c r="M89" s="159" t="s">
        <v>302</v>
      </c>
      <c r="N89" s="159">
        <v>341732.66</v>
      </c>
      <c r="O89" s="185">
        <f t="shared" si="5"/>
        <v>341732.66</v>
      </c>
      <c r="P89" s="215">
        <f t="shared" si="6"/>
        <v>307139.58630751469</v>
      </c>
      <c r="Q89" s="215" cm="1">
        <f t="array" ref="Q89">IF(P89="-",0,P89/(1+'General inputs'!$H$32)^IFERROR(INDEX('MP Calculations'!$C$40:$C$130,MATCH(F89,'MP Calculations'!$D$40:$D$130,0),0),-1))</f>
        <v>503209.02616363263</v>
      </c>
    </row>
    <row r="90" spans="3:17" x14ac:dyDescent="0.25">
      <c r="C90" s="159"/>
      <c r="D90" s="165" t="s">
        <v>340</v>
      </c>
      <c r="E90" s="161">
        <v>40633</v>
      </c>
      <c r="F90" s="172" t="str">
        <f t="shared" si="4"/>
        <v>2010-11</v>
      </c>
      <c r="G90" s="68"/>
      <c r="H90" s="167" t="s">
        <v>279</v>
      </c>
      <c r="I90" s="173">
        <v>8793.8848904043734</v>
      </c>
      <c r="J90" s="168">
        <f>IFERROR(MIN('MP Calculations'!$E$30/I90,1),"-")</f>
        <v>0.89877153183870317</v>
      </c>
      <c r="K90" s="12"/>
      <c r="L90" s="159">
        <v>1</v>
      </c>
      <c r="M90" s="159" t="s">
        <v>302</v>
      </c>
      <c r="N90" s="159">
        <v>16328.11</v>
      </c>
      <c r="O90" s="185">
        <f t="shared" si="5"/>
        <v>16328.11</v>
      </c>
      <c r="P90" s="215">
        <f t="shared" si="6"/>
        <v>14675.240436730848</v>
      </c>
      <c r="Q90" s="215" cm="1">
        <f t="array" ref="Q90">IF(P90="-",0,P90/(1+'General inputs'!$H$32)^IFERROR(INDEX('MP Calculations'!$C$40:$C$130,MATCH(F90,'MP Calculations'!$D$40:$D$130,0),0),-1))</f>
        <v>24043.509134282551</v>
      </c>
    </row>
    <row r="91" spans="3:17" x14ac:dyDescent="0.25">
      <c r="C91" s="159"/>
      <c r="D91" s="165" t="s">
        <v>341</v>
      </c>
      <c r="E91" s="161">
        <v>40633</v>
      </c>
      <c r="F91" s="172" t="str">
        <f t="shared" si="4"/>
        <v>2010-11</v>
      </c>
      <c r="G91" s="68"/>
      <c r="H91" s="167" t="s">
        <v>279</v>
      </c>
      <c r="I91" s="173">
        <v>8793.8848904043734</v>
      </c>
      <c r="J91" s="168">
        <f>IFERROR(MIN('MP Calculations'!$E$30/I91,1),"-")</f>
        <v>0.89877153183870317</v>
      </c>
      <c r="K91" s="12"/>
      <c r="L91" s="159">
        <v>1</v>
      </c>
      <c r="M91" s="159" t="s">
        <v>302</v>
      </c>
      <c r="N91" s="159">
        <v>1792.77</v>
      </c>
      <c r="O91" s="185">
        <f t="shared" si="5"/>
        <v>1792.77</v>
      </c>
      <c r="P91" s="215">
        <f t="shared" si="6"/>
        <v>1611.2906391344718</v>
      </c>
      <c r="Q91" s="215" cm="1">
        <f t="array" ref="Q91">IF(P91="-",0,P91/(1+'General inputs'!$H$32)^IFERROR(INDEX('MP Calculations'!$C$40:$C$130,MATCH(F91,'MP Calculations'!$D$40:$D$130,0),0),-1))</f>
        <v>2639.8941378192408</v>
      </c>
    </row>
    <row r="92" spans="3:17" x14ac:dyDescent="0.25">
      <c r="C92" s="159"/>
      <c r="D92" s="165" t="s">
        <v>342</v>
      </c>
      <c r="E92" s="161">
        <v>40633</v>
      </c>
      <c r="F92" s="172" t="str">
        <f t="shared" si="4"/>
        <v>2010-11</v>
      </c>
      <c r="G92" s="68"/>
      <c r="H92" s="167" t="s">
        <v>279</v>
      </c>
      <c r="I92" s="173">
        <v>8793.8848904043734</v>
      </c>
      <c r="J92" s="168">
        <f>IFERROR(MIN('MP Calculations'!$E$30/I92,1),"-")</f>
        <v>0.89877153183870317</v>
      </c>
      <c r="K92" s="12"/>
      <c r="L92" s="159">
        <v>1</v>
      </c>
      <c r="M92" s="159" t="s">
        <v>302</v>
      </c>
      <c r="N92" s="159">
        <v>2436380.83</v>
      </c>
      <c r="O92" s="185">
        <f t="shared" si="5"/>
        <v>2436380.83</v>
      </c>
      <c r="P92" s="215">
        <f t="shared" si="6"/>
        <v>2189749.730721551</v>
      </c>
      <c r="Q92" s="215" cm="1">
        <f t="array" ref="Q92">IF(P92="-",0,P92/(1+'General inputs'!$H$32)^IFERROR(INDEX('MP Calculations'!$C$40:$C$130,MATCH(F92,'MP Calculations'!$D$40:$D$130,0),0),-1))</f>
        <v>3587625.5574402609</v>
      </c>
    </row>
    <row r="93" spans="3:17" x14ac:dyDescent="0.25">
      <c r="C93" s="159"/>
      <c r="D93" s="165" t="s">
        <v>343</v>
      </c>
      <c r="E93" s="161">
        <v>40633</v>
      </c>
      <c r="F93" s="172" t="str">
        <f t="shared" si="4"/>
        <v>2010-11</v>
      </c>
      <c r="G93" s="68"/>
      <c r="H93" s="167" t="s">
        <v>279</v>
      </c>
      <c r="I93" s="173">
        <v>8793.8848904043734</v>
      </c>
      <c r="J93" s="168">
        <f>IFERROR(MIN('MP Calculations'!$E$30/I93,1),"-")</f>
        <v>0.89877153183870317</v>
      </c>
      <c r="K93" s="12"/>
      <c r="L93" s="159">
        <v>1</v>
      </c>
      <c r="M93" s="159" t="s">
        <v>302</v>
      </c>
      <c r="N93" s="159">
        <v>334981.03999999998</v>
      </c>
      <c r="O93" s="185">
        <f t="shared" si="5"/>
        <v>334981.03999999998</v>
      </c>
      <c r="P93" s="215">
        <f t="shared" si="6"/>
        <v>301071.4224577219</v>
      </c>
      <c r="Q93" s="215" cm="1">
        <f t="array" ref="Q93">IF(P93="-",0,P93/(1+'General inputs'!$H$32)^IFERROR(INDEX('MP Calculations'!$C$40:$C$130,MATCH(F93,'MP Calculations'!$D$40:$D$130,0),0),-1))</f>
        <v>493267.11389447202</v>
      </c>
    </row>
    <row r="94" spans="3:17" x14ac:dyDescent="0.25">
      <c r="C94" s="159"/>
      <c r="D94" s="165" t="s">
        <v>344</v>
      </c>
      <c r="E94" s="161">
        <v>40633</v>
      </c>
      <c r="F94" s="172" t="str">
        <f t="shared" si="4"/>
        <v>2010-11</v>
      </c>
      <c r="G94" s="68"/>
      <c r="H94" s="167" t="s">
        <v>279</v>
      </c>
      <c r="I94" s="173">
        <v>8793.8848904043734</v>
      </c>
      <c r="J94" s="168">
        <f>IFERROR(MIN('MP Calculations'!$E$30/I94,1),"-")</f>
        <v>0.89877153183870317</v>
      </c>
      <c r="K94" s="12"/>
      <c r="L94" s="159">
        <v>1</v>
      </c>
      <c r="M94" s="159" t="s">
        <v>302</v>
      </c>
      <c r="N94" s="159">
        <v>23104.65</v>
      </c>
      <c r="O94" s="185">
        <f t="shared" si="5"/>
        <v>23104.65</v>
      </c>
      <c r="P94" s="215">
        <f t="shared" si="6"/>
        <v>20765.801673097096</v>
      </c>
      <c r="Q94" s="215" cm="1">
        <f t="array" ref="Q94">IF(P94="-",0,P94/(1+'General inputs'!$H$32)^IFERROR(INDEX('MP Calculations'!$C$40:$C$130,MATCH(F94,'MP Calculations'!$D$40:$D$130,0),0),-1))</f>
        <v>34022.116663802568</v>
      </c>
    </row>
    <row r="95" spans="3:17" x14ac:dyDescent="0.25">
      <c r="C95" s="159"/>
      <c r="D95" s="165" t="s">
        <v>345</v>
      </c>
      <c r="E95" s="161">
        <v>40633</v>
      </c>
      <c r="F95" s="172" t="str">
        <f t="shared" si="4"/>
        <v>2010-11</v>
      </c>
      <c r="G95" s="68"/>
      <c r="H95" s="167" t="s">
        <v>279</v>
      </c>
      <c r="I95" s="173">
        <v>8793.8848904043734</v>
      </c>
      <c r="J95" s="168">
        <f>IFERROR(MIN('MP Calculations'!$E$30/I95,1),"-")</f>
        <v>0.89877153183870317</v>
      </c>
      <c r="K95" s="12"/>
      <c r="L95" s="159">
        <v>1</v>
      </c>
      <c r="M95" s="159" t="s">
        <v>302</v>
      </c>
      <c r="N95" s="159">
        <v>250081.77</v>
      </c>
      <c r="O95" s="185">
        <f t="shared" si="5"/>
        <v>250081.77</v>
      </c>
      <c r="P95" s="215">
        <f t="shared" si="6"/>
        <v>224766.37550783422</v>
      </c>
      <c r="Q95" s="215" cm="1">
        <f t="array" ref="Q95">IF(P95="-",0,P95/(1+'General inputs'!$H$32)^IFERROR(INDEX('MP Calculations'!$C$40:$C$130,MATCH(F95,'MP Calculations'!$D$40:$D$130,0),0),-1))</f>
        <v>368251.02974640339</v>
      </c>
    </row>
    <row r="96" spans="3:17" x14ac:dyDescent="0.25">
      <c r="C96" s="159"/>
      <c r="D96" s="165" t="s">
        <v>345</v>
      </c>
      <c r="E96" s="161">
        <v>40633</v>
      </c>
      <c r="F96" s="172" t="str">
        <f t="shared" si="4"/>
        <v>2010-11</v>
      </c>
      <c r="G96" s="68"/>
      <c r="H96" s="167" t="s">
        <v>279</v>
      </c>
      <c r="I96" s="173">
        <v>8793.8848904043734</v>
      </c>
      <c r="J96" s="168">
        <f>IFERROR(MIN('MP Calculations'!$E$30/I96,1),"-")</f>
        <v>0.89877153183870317</v>
      </c>
      <c r="K96" s="12"/>
      <c r="L96" s="159">
        <v>1</v>
      </c>
      <c r="M96" s="159" t="s">
        <v>302</v>
      </c>
      <c r="N96" s="159">
        <v>199861.05</v>
      </c>
      <c r="O96" s="185">
        <f t="shared" si="5"/>
        <v>199861.05</v>
      </c>
      <c r="P96" s="215">
        <f t="shared" si="6"/>
        <v>179629.42206339163</v>
      </c>
      <c r="Q96" s="215" cm="1">
        <f t="array" ref="Q96">IF(P96="-",0,P96/(1+'General inputs'!$H$32)^IFERROR(INDEX('MP Calculations'!$C$40:$C$130,MATCH(F96,'MP Calculations'!$D$40:$D$130,0),0),-1))</f>
        <v>294299.89026668126</v>
      </c>
    </row>
    <row r="97" spans="3:17" x14ac:dyDescent="0.25">
      <c r="C97" s="159"/>
      <c r="D97" s="165" t="s">
        <v>346</v>
      </c>
      <c r="E97" s="161">
        <v>40633</v>
      </c>
      <c r="F97" s="172" t="str">
        <f t="shared" si="4"/>
        <v>2010-11</v>
      </c>
      <c r="G97" s="68"/>
      <c r="H97" s="167" t="s">
        <v>279</v>
      </c>
      <c r="I97" s="173">
        <v>8793.8848904043734</v>
      </c>
      <c r="J97" s="168">
        <f>IFERROR(MIN('MP Calculations'!$E$30/I97,1),"-")</f>
        <v>0.89877153183870317</v>
      </c>
      <c r="K97" s="12"/>
      <c r="L97" s="159">
        <v>1</v>
      </c>
      <c r="M97" s="159" t="s">
        <v>302</v>
      </c>
      <c r="N97" s="159">
        <v>399419.61</v>
      </c>
      <c r="O97" s="185">
        <f t="shared" si="5"/>
        <v>399419.61</v>
      </c>
      <c r="P97" s="215">
        <f t="shared" si="6"/>
        <v>358986.97472611739</v>
      </c>
      <c r="Q97" s="215" cm="1">
        <f t="array" ref="Q97">IF(P97="-",0,P97/(1+'General inputs'!$H$32)^IFERROR(INDEX('MP Calculations'!$C$40:$C$130,MATCH(F97,'MP Calculations'!$D$40:$D$130,0),0),-1))</f>
        <v>588154.35720647231</v>
      </c>
    </row>
    <row r="98" spans="3:17" x14ac:dyDescent="0.25">
      <c r="C98" s="159"/>
      <c r="D98" s="165" t="s">
        <v>347</v>
      </c>
      <c r="E98" s="161">
        <v>40633</v>
      </c>
      <c r="F98" s="172" t="str">
        <f t="shared" si="4"/>
        <v>2010-11</v>
      </c>
      <c r="G98" s="68"/>
      <c r="H98" s="167" t="s">
        <v>279</v>
      </c>
      <c r="I98" s="173">
        <v>8793.8848904043734</v>
      </c>
      <c r="J98" s="168">
        <f>IFERROR(MIN('MP Calculations'!$E$30/I98,1),"-")</f>
        <v>0.89877153183870317</v>
      </c>
      <c r="K98" s="12"/>
      <c r="L98" s="159">
        <v>1</v>
      </c>
      <c r="M98" s="159" t="s">
        <v>302</v>
      </c>
      <c r="N98" s="159">
        <v>54156.19</v>
      </c>
      <c r="O98" s="185">
        <f t="shared" si="5"/>
        <v>54156.19</v>
      </c>
      <c r="P98" s="215">
        <f t="shared" si="6"/>
        <v>48674.041844847859</v>
      </c>
      <c r="Q98" s="215" cm="1">
        <f t="array" ref="Q98">IF(P98="-",0,P98/(1+'General inputs'!$H$32)^IFERROR(INDEX('MP Calculations'!$C$40:$C$130,MATCH(F98,'MP Calculations'!$D$40:$D$130,0),0),-1))</f>
        <v>79746.207549002385</v>
      </c>
    </row>
    <row r="99" spans="3:17" x14ac:dyDescent="0.25">
      <c r="C99" s="159"/>
      <c r="D99" s="165" t="s">
        <v>348</v>
      </c>
      <c r="E99" s="161">
        <v>40633</v>
      </c>
      <c r="F99" s="172" t="str">
        <f t="shared" si="4"/>
        <v>2010-11</v>
      </c>
      <c r="G99" s="68"/>
      <c r="H99" s="167" t="s">
        <v>279</v>
      </c>
      <c r="I99" s="173">
        <v>8793.8848904043734</v>
      </c>
      <c r="J99" s="168">
        <f>IFERROR(MIN('MP Calculations'!$E$30/I99,1),"-")</f>
        <v>0.89877153183870317</v>
      </c>
      <c r="K99" s="12"/>
      <c r="L99" s="159">
        <v>1</v>
      </c>
      <c r="M99" s="159" t="s">
        <v>302</v>
      </c>
      <c r="N99" s="159">
        <v>804065.19</v>
      </c>
      <c r="O99" s="185">
        <f t="shared" si="5"/>
        <v>804065.19</v>
      </c>
      <c r="P99" s="215">
        <f t="shared" si="6"/>
        <v>722670.90251447784</v>
      </c>
      <c r="Q99" s="215" cm="1">
        <f t="array" ref="Q99">IF(P99="-",0,P99/(1+'General inputs'!$H$32)^IFERROR(INDEX('MP Calculations'!$C$40:$C$130,MATCH(F99,'MP Calculations'!$D$40:$D$130,0),0),-1))</f>
        <v>1184004.0727508347</v>
      </c>
    </row>
    <row r="100" spans="3:17" x14ac:dyDescent="0.25">
      <c r="C100" s="159"/>
      <c r="D100" s="165" t="s">
        <v>349</v>
      </c>
      <c r="E100" s="161">
        <v>40633</v>
      </c>
      <c r="F100" s="172" t="str">
        <f t="shared" si="4"/>
        <v>2010-11</v>
      </c>
      <c r="G100" s="68"/>
      <c r="H100" s="167" t="s">
        <v>279</v>
      </c>
      <c r="I100" s="173">
        <v>8793.8848904043734</v>
      </c>
      <c r="J100" s="168">
        <f>IFERROR(MIN('MP Calculations'!$E$30/I100,1),"-")</f>
        <v>0.89877153183870317</v>
      </c>
      <c r="K100" s="12"/>
      <c r="L100" s="159">
        <v>1</v>
      </c>
      <c r="M100" s="159" t="s">
        <v>302</v>
      </c>
      <c r="N100" s="159">
        <v>77823.490000000005</v>
      </c>
      <c r="O100" s="185">
        <f t="shared" si="5"/>
        <v>77823.490000000005</v>
      </c>
      <c r="P100" s="215">
        <f t="shared" si="6"/>
        <v>69945.537320333999</v>
      </c>
      <c r="Q100" s="215" cm="1">
        <f t="array" ref="Q100">IF(P100="-",0,P100/(1+'General inputs'!$H$32)^IFERROR(INDEX('MP Calculations'!$C$40:$C$130,MATCH(F100,'MP Calculations'!$D$40:$D$130,0),0),-1))</f>
        <v>114596.83898973896</v>
      </c>
    </row>
    <row r="101" spans="3:17" x14ac:dyDescent="0.25">
      <c r="C101" s="159"/>
      <c r="D101" s="165" t="s">
        <v>350</v>
      </c>
      <c r="E101" s="161">
        <v>40633</v>
      </c>
      <c r="F101" s="172" t="str">
        <f t="shared" si="4"/>
        <v>2010-11</v>
      </c>
      <c r="G101" s="68"/>
      <c r="H101" s="167" t="s">
        <v>279</v>
      </c>
      <c r="I101" s="173">
        <v>8793.8848904043734</v>
      </c>
      <c r="J101" s="168">
        <f>IFERROR(MIN('MP Calculations'!$E$30/I101,1),"-")</f>
        <v>0.89877153183870317</v>
      </c>
      <c r="K101" s="12"/>
      <c r="L101" s="159">
        <v>1</v>
      </c>
      <c r="M101" s="159" t="s">
        <v>302</v>
      </c>
      <c r="N101" s="159">
        <v>136964.93</v>
      </c>
      <c r="O101" s="185">
        <f t="shared" si="5"/>
        <v>136964.93</v>
      </c>
      <c r="P101" s="215">
        <f t="shared" si="6"/>
        <v>123100.17994428074</v>
      </c>
      <c r="Q101" s="215" cm="1">
        <f t="array" ref="Q101">IF(P101="-",0,P101/(1+'General inputs'!$H$32)^IFERROR(INDEX('MP Calculations'!$C$40:$C$130,MATCH(F101,'MP Calculations'!$D$40:$D$130,0),0),-1))</f>
        <v>201683.93926372187</v>
      </c>
    </row>
    <row r="102" spans="3:17" x14ac:dyDescent="0.25">
      <c r="C102" s="159"/>
      <c r="D102" s="165" t="s">
        <v>351</v>
      </c>
      <c r="E102" s="161">
        <v>40633</v>
      </c>
      <c r="F102" s="172" t="str">
        <f t="shared" si="4"/>
        <v>2010-11</v>
      </c>
      <c r="G102" s="68"/>
      <c r="H102" s="167" t="s">
        <v>279</v>
      </c>
      <c r="I102" s="173">
        <v>8793.8848904043734</v>
      </c>
      <c r="J102" s="168">
        <f>IFERROR(MIN('MP Calculations'!$E$30/I102,1),"-")</f>
        <v>0.89877153183870317</v>
      </c>
      <c r="K102" s="12"/>
      <c r="L102" s="159">
        <v>1</v>
      </c>
      <c r="M102" s="159" t="s">
        <v>302</v>
      </c>
      <c r="N102" s="159">
        <v>136622.51999999999</v>
      </c>
      <c r="O102" s="185">
        <f t="shared" si="5"/>
        <v>136622.51999999999</v>
      </c>
      <c r="P102" s="215">
        <f t="shared" si="6"/>
        <v>122792.43158406384</v>
      </c>
      <c r="Q102" s="215" cm="1">
        <f t="array" ref="Q102">IF(P102="-",0,P102/(1+'General inputs'!$H$32)^IFERROR(INDEX('MP Calculations'!$C$40:$C$130,MATCH(F102,'MP Calculations'!$D$40:$D$130,0),0),-1))</f>
        <v>201179.73283917733</v>
      </c>
    </row>
    <row r="103" spans="3:17" x14ac:dyDescent="0.25">
      <c r="C103" s="159"/>
      <c r="D103" s="165" t="s">
        <v>352</v>
      </c>
      <c r="E103" s="161">
        <v>40633</v>
      </c>
      <c r="F103" s="172" t="str">
        <f t="shared" si="4"/>
        <v>2010-11</v>
      </c>
      <c r="G103" s="68"/>
      <c r="H103" s="167" t="s">
        <v>279</v>
      </c>
      <c r="I103" s="173">
        <v>8793.8848904043734</v>
      </c>
      <c r="J103" s="168">
        <f>IFERROR(MIN('MP Calculations'!$E$30/I103,1),"-")</f>
        <v>0.89877153183870317</v>
      </c>
      <c r="K103" s="12"/>
      <c r="L103" s="159">
        <v>1</v>
      </c>
      <c r="M103" s="159" t="s">
        <v>302</v>
      </c>
      <c r="N103" s="159">
        <v>138606.74</v>
      </c>
      <c r="O103" s="185">
        <f t="shared" si="5"/>
        <v>138606.74</v>
      </c>
      <c r="P103" s="215">
        <f t="shared" si="6"/>
        <v>124575.79203296885</v>
      </c>
      <c r="Q103" s="215" cm="1">
        <f t="array" ref="Q103">IF(P103="-",0,P103/(1+'General inputs'!$H$32)^IFERROR(INDEX('MP Calculations'!$C$40:$C$130,MATCH(F103,'MP Calculations'!$D$40:$D$130,0),0),-1))</f>
        <v>204101.54140700461</v>
      </c>
    </row>
    <row r="104" spans="3:17" x14ac:dyDescent="0.25">
      <c r="C104" s="159"/>
      <c r="D104" s="165" t="s">
        <v>353</v>
      </c>
      <c r="E104" s="161">
        <v>40633</v>
      </c>
      <c r="F104" s="172" t="str">
        <f t="shared" si="4"/>
        <v>2010-11</v>
      </c>
      <c r="G104" s="68"/>
      <c r="H104" s="167" t="s">
        <v>279</v>
      </c>
      <c r="I104" s="173">
        <v>8793.8848904043734</v>
      </c>
      <c r="J104" s="168">
        <f>IFERROR(MIN('MP Calculations'!$E$30/I104,1),"-")</f>
        <v>0.89877153183870317</v>
      </c>
      <c r="K104" s="12"/>
      <c r="L104" s="159">
        <v>1</v>
      </c>
      <c r="M104" s="159" t="s">
        <v>302</v>
      </c>
      <c r="N104" s="159">
        <v>125840.66</v>
      </c>
      <c r="O104" s="185">
        <f t="shared" si="5"/>
        <v>125840.66</v>
      </c>
      <c r="P104" s="215">
        <f t="shared" si="6"/>
        <v>113102.00275579342</v>
      </c>
      <c r="Q104" s="215" cm="1">
        <f t="array" ref="Q104">IF(P104="-",0,P104/(1+'General inputs'!$H$32)^IFERROR(INDEX('MP Calculations'!$C$40:$C$130,MATCH(F104,'MP Calculations'!$D$40:$D$130,0),0),-1))</f>
        <v>185303.20154470691</v>
      </c>
    </row>
    <row r="105" spans="3:17" x14ac:dyDescent="0.25">
      <c r="C105" s="159"/>
      <c r="D105" s="165" t="s">
        <v>354</v>
      </c>
      <c r="E105" s="161">
        <v>40633</v>
      </c>
      <c r="F105" s="172" t="str">
        <f t="shared" si="4"/>
        <v>2010-11</v>
      </c>
      <c r="G105" s="68"/>
      <c r="H105" s="167" t="s">
        <v>279</v>
      </c>
      <c r="I105" s="173">
        <v>8793.8848904043734</v>
      </c>
      <c r="J105" s="168">
        <f>IFERROR(MIN('MP Calculations'!$E$30/I105,1),"-")</f>
        <v>0.89877153183870317</v>
      </c>
      <c r="K105" s="12"/>
      <c r="L105" s="159">
        <v>1</v>
      </c>
      <c r="M105" s="159" t="s">
        <v>302</v>
      </c>
      <c r="N105" s="159">
        <v>275428.42</v>
      </c>
      <c r="O105" s="185">
        <f t="shared" si="5"/>
        <v>275428.42</v>
      </c>
      <c r="P105" s="215">
        <f t="shared" si="6"/>
        <v>247547.22295531369</v>
      </c>
      <c r="Q105" s="215" cm="1">
        <f t="array" ref="Q105">IF(P105="-",0,P105/(1+'General inputs'!$H$32)^IFERROR(INDEX('MP Calculations'!$C$40:$C$130,MATCH(F105,'MP Calculations'!$D$40:$D$130,0),0),-1))</f>
        <v>405574.54182455956</v>
      </c>
    </row>
    <row r="106" spans="3:17" x14ac:dyDescent="0.25">
      <c r="C106" s="159"/>
      <c r="D106" s="165" t="s">
        <v>355</v>
      </c>
      <c r="E106" s="161">
        <v>40633</v>
      </c>
      <c r="F106" s="172" t="str">
        <f t="shared" si="4"/>
        <v>2010-11</v>
      </c>
      <c r="G106" s="68"/>
      <c r="H106" s="167" t="s">
        <v>279</v>
      </c>
      <c r="I106" s="173">
        <v>8793.8848904043734</v>
      </c>
      <c r="J106" s="168">
        <f>IFERROR(MIN('MP Calculations'!$E$30/I106,1),"-")</f>
        <v>0.89877153183870317</v>
      </c>
      <c r="K106" s="12"/>
      <c r="L106" s="159">
        <v>1</v>
      </c>
      <c r="M106" s="159" t="s">
        <v>302</v>
      </c>
      <c r="N106" s="159">
        <v>3193424.79</v>
      </c>
      <c r="O106" s="185">
        <f t="shared" si="5"/>
        <v>3193424.79</v>
      </c>
      <c r="P106" s="215">
        <f t="shared" si="6"/>
        <v>2870159.290319989</v>
      </c>
      <c r="Q106" s="215" cm="1">
        <f t="array" ref="Q106">IF(P106="-",0,P106/(1+'General inputs'!$H$32)^IFERROR(INDEX('MP Calculations'!$C$40:$C$130,MATCH(F106,'MP Calculations'!$D$40:$D$130,0),0),-1))</f>
        <v>4702389.8116811635</v>
      </c>
    </row>
    <row r="107" spans="3:17" x14ac:dyDescent="0.25">
      <c r="C107" s="159"/>
      <c r="D107" s="165" t="s">
        <v>356</v>
      </c>
      <c r="E107" s="161">
        <v>40633</v>
      </c>
      <c r="F107" s="172" t="str">
        <f t="shared" si="4"/>
        <v>2010-11</v>
      </c>
      <c r="G107" s="68"/>
      <c r="H107" s="167" t="s">
        <v>279</v>
      </c>
      <c r="I107" s="173">
        <v>8793.8848904043734</v>
      </c>
      <c r="J107" s="168">
        <f>IFERROR(MIN('MP Calculations'!$E$30/I107,1),"-")</f>
        <v>0.89877153183870317</v>
      </c>
      <c r="K107" s="12"/>
      <c r="L107" s="159">
        <v>1</v>
      </c>
      <c r="M107" s="159" t="s">
        <v>302</v>
      </c>
      <c r="N107" s="159">
        <v>260679.05</v>
      </c>
      <c r="O107" s="185">
        <f t="shared" si="5"/>
        <v>260679.05</v>
      </c>
      <c r="P107" s="215">
        <f t="shared" si="6"/>
        <v>234290.90908675789</v>
      </c>
      <c r="Q107" s="215" cm="1">
        <f t="array" ref="Q107">IF(P107="-",0,P107/(1+'General inputs'!$H$32)^IFERROR(INDEX('MP Calculations'!$C$40:$C$130,MATCH(F107,'MP Calculations'!$D$40:$D$130,0),0),-1))</f>
        <v>383855.76284034696</v>
      </c>
    </row>
    <row r="108" spans="3:17" x14ac:dyDescent="0.25">
      <c r="C108" s="159"/>
      <c r="D108" s="165" t="s">
        <v>357</v>
      </c>
      <c r="E108" s="161">
        <v>40633</v>
      </c>
      <c r="F108" s="172" t="str">
        <f t="shared" si="4"/>
        <v>2010-11</v>
      </c>
      <c r="G108" s="68"/>
      <c r="H108" s="167" t="s">
        <v>279</v>
      </c>
      <c r="I108" s="173">
        <v>8793.8848904043734</v>
      </c>
      <c r="J108" s="168">
        <f>IFERROR(MIN('MP Calculations'!$E$30/I108,1),"-")</f>
        <v>0.89877153183870317</v>
      </c>
      <c r="K108" s="12"/>
      <c r="L108" s="159">
        <v>1</v>
      </c>
      <c r="M108" s="159" t="s">
        <v>302</v>
      </c>
      <c r="N108" s="159">
        <v>28669.58</v>
      </c>
      <c r="O108" s="185">
        <f t="shared" si="5"/>
        <v>28669.58</v>
      </c>
      <c r="P108" s="215">
        <f t="shared" si="6"/>
        <v>25767.40233377225</v>
      </c>
      <c r="Q108" s="215" cm="1">
        <f t="array" ref="Q108">IF(P108="-",0,P108/(1+'General inputs'!$H$32)^IFERROR(INDEX('MP Calculations'!$C$40:$C$130,MATCH(F108,'MP Calculations'!$D$40:$D$130,0),0),-1))</f>
        <v>42216.601223659345</v>
      </c>
    </row>
    <row r="109" spans="3:17" x14ac:dyDescent="0.25">
      <c r="C109" s="159"/>
      <c r="D109" s="165" t="s">
        <v>358</v>
      </c>
      <c r="E109" s="161">
        <v>40633</v>
      </c>
      <c r="F109" s="172" t="str">
        <f t="shared" si="4"/>
        <v>2010-11</v>
      </c>
      <c r="G109" s="68"/>
      <c r="H109" s="167" t="s">
        <v>279</v>
      </c>
      <c r="I109" s="173">
        <v>8793.8848904043734</v>
      </c>
      <c r="J109" s="168">
        <f>IFERROR(MIN('MP Calculations'!$E$30/I109,1),"-")</f>
        <v>0.89877153183870317</v>
      </c>
      <c r="K109" s="12"/>
      <c r="L109" s="159">
        <v>1</v>
      </c>
      <c r="M109" s="159" t="s">
        <v>302</v>
      </c>
      <c r="N109" s="159">
        <v>768862.71</v>
      </c>
      <c r="O109" s="185">
        <f t="shared" si="5"/>
        <v>768862.71</v>
      </c>
      <c r="P109" s="215">
        <f t="shared" si="6"/>
        <v>691031.9156403566</v>
      </c>
      <c r="Q109" s="215" cm="1">
        <f t="array" ref="Q109">IF(P109="-",0,P109/(1+'General inputs'!$H$32)^IFERROR(INDEX('MP Calculations'!$C$40:$C$130,MATCH(F109,'MP Calculations'!$D$40:$D$130,0),0),-1))</f>
        <v>1132167.6293762249</v>
      </c>
    </row>
    <row r="110" spans="3:17" x14ac:dyDescent="0.25">
      <c r="C110" s="159"/>
      <c r="D110" s="165" t="s">
        <v>359</v>
      </c>
      <c r="E110" s="161">
        <v>40633</v>
      </c>
      <c r="F110" s="172" t="str">
        <f t="shared" si="4"/>
        <v>2010-11</v>
      </c>
      <c r="G110" s="68"/>
      <c r="H110" s="167" t="s">
        <v>279</v>
      </c>
      <c r="I110" s="173">
        <v>8793.8848904043734</v>
      </c>
      <c r="J110" s="168">
        <f>IFERROR(MIN('MP Calculations'!$E$30/I110,1),"-")</f>
        <v>0.89877153183870317</v>
      </c>
      <c r="K110" s="12"/>
      <c r="L110" s="159">
        <v>1</v>
      </c>
      <c r="M110" s="159" t="s">
        <v>302</v>
      </c>
      <c r="N110" s="159">
        <v>3789.35</v>
      </c>
      <c r="O110" s="185">
        <f t="shared" si="5"/>
        <v>3789.35</v>
      </c>
      <c r="P110" s="215">
        <f t="shared" si="6"/>
        <v>3405.75990417299</v>
      </c>
      <c r="Q110" s="215" cm="1">
        <f t="array" ref="Q110">IF(P110="-",0,P110/(1+'General inputs'!$H$32)^IFERROR(INDEX('MP Calculations'!$C$40:$C$130,MATCH(F110,'MP Calculations'!$D$40:$D$130,0),0),-1))</f>
        <v>5579.9030835775593</v>
      </c>
    </row>
    <row r="111" spans="3:17" x14ac:dyDescent="0.25">
      <c r="C111" s="159"/>
      <c r="D111" s="165" t="s">
        <v>360</v>
      </c>
      <c r="E111" s="161">
        <v>40633</v>
      </c>
      <c r="F111" s="172" t="str">
        <f t="shared" si="4"/>
        <v>2010-11</v>
      </c>
      <c r="G111" s="68"/>
      <c r="H111" s="167" t="s">
        <v>279</v>
      </c>
      <c r="I111" s="173">
        <v>8793.8848904043734</v>
      </c>
      <c r="J111" s="168">
        <f>IFERROR(MIN('MP Calculations'!$E$30/I111,1),"-")</f>
        <v>0.89877153183870317</v>
      </c>
      <c r="K111" s="12"/>
      <c r="L111" s="159">
        <v>1</v>
      </c>
      <c r="M111" s="159" t="s">
        <v>302</v>
      </c>
      <c r="N111" s="159">
        <v>141134.62</v>
      </c>
      <c r="O111" s="185">
        <f t="shared" si="5"/>
        <v>141134.62</v>
      </c>
      <c r="P111" s="215">
        <f t="shared" si="6"/>
        <v>126847.77861287327</v>
      </c>
      <c r="Q111" s="215" cm="1">
        <f t="array" ref="Q111">IF(P111="-",0,P111/(1+'General inputs'!$H$32)^IFERROR(INDEX('MP Calculations'!$C$40:$C$130,MATCH(F111,'MP Calculations'!$D$40:$D$130,0),0),-1))</f>
        <v>207823.90154975047</v>
      </c>
    </row>
    <row r="112" spans="3:17" x14ac:dyDescent="0.25">
      <c r="C112" s="159"/>
      <c r="D112" s="165" t="s">
        <v>361</v>
      </c>
      <c r="E112" s="161">
        <v>40633</v>
      </c>
      <c r="F112" s="172" t="str">
        <f t="shared" si="4"/>
        <v>2010-11</v>
      </c>
      <c r="G112" s="68"/>
      <c r="H112" s="167" t="s">
        <v>279</v>
      </c>
      <c r="I112" s="173">
        <v>8793.8848904043734</v>
      </c>
      <c r="J112" s="168">
        <f>IFERROR(MIN('MP Calculations'!$E$30/I112,1),"-")</f>
        <v>0.89877153183870317</v>
      </c>
      <c r="K112" s="12"/>
      <c r="L112" s="159">
        <v>1</v>
      </c>
      <c r="M112" s="159" t="s">
        <v>302</v>
      </c>
      <c r="N112" s="159">
        <v>115445.04</v>
      </c>
      <c r="O112" s="185">
        <f t="shared" si="5"/>
        <v>115445.04</v>
      </c>
      <c r="P112" s="215">
        <f t="shared" si="6"/>
        <v>103758.71544398036</v>
      </c>
      <c r="Q112" s="215" cm="1">
        <f t="array" ref="Q112">IF(P112="-",0,P112/(1+'General inputs'!$H$32)^IFERROR(INDEX('MP Calculations'!$C$40:$C$130,MATCH(F112,'MP Calculations'!$D$40:$D$130,0),0),-1))</f>
        <v>169995.41733535688</v>
      </c>
    </row>
    <row r="113" spans="3:17" x14ac:dyDescent="0.25">
      <c r="C113" s="159"/>
      <c r="D113" s="165" t="s">
        <v>362</v>
      </c>
      <c r="E113" s="161">
        <v>40633</v>
      </c>
      <c r="F113" s="172" t="str">
        <f t="shared" si="4"/>
        <v>2010-11</v>
      </c>
      <c r="G113" s="68"/>
      <c r="H113" s="167" t="s">
        <v>279</v>
      </c>
      <c r="I113" s="173">
        <v>8793.8848904043734</v>
      </c>
      <c r="J113" s="168">
        <f>IFERROR(MIN('MP Calculations'!$E$30/I113,1),"-")</f>
        <v>0.89877153183870317</v>
      </c>
      <c r="K113" s="12"/>
      <c r="L113" s="159">
        <v>1</v>
      </c>
      <c r="M113" s="159" t="s">
        <v>302</v>
      </c>
      <c r="N113" s="159">
        <v>117067.95</v>
      </c>
      <c r="O113" s="185">
        <f t="shared" si="5"/>
        <v>117067.95</v>
      </c>
      <c r="P113" s="215">
        <f t="shared" si="6"/>
        <v>105217.34075071671</v>
      </c>
      <c r="Q113" s="215" cm="1">
        <f t="array" ref="Q113">IF(P113="-",0,P113/(1+'General inputs'!$H$32)^IFERROR(INDEX('MP Calculations'!$C$40:$C$130,MATCH(F113,'MP Calculations'!$D$40:$D$130,0),0),-1))</f>
        <v>172385.18880364799</v>
      </c>
    </row>
    <row r="114" spans="3:17" x14ac:dyDescent="0.25">
      <c r="C114" s="159"/>
      <c r="D114" s="165" t="s">
        <v>363</v>
      </c>
      <c r="E114" s="161">
        <v>40633</v>
      </c>
      <c r="F114" s="172" t="str">
        <f t="shared" si="4"/>
        <v>2010-11</v>
      </c>
      <c r="G114" s="68"/>
      <c r="H114" s="167" t="s">
        <v>279</v>
      </c>
      <c r="I114" s="173">
        <v>8793.8848904043734</v>
      </c>
      <c r="J114" s="168">
        <f>IFERROR(MIN('MP Calculations'!$E$30/I114,1),"-")</f>
        <v>0.89877153183870317</v>
      </c>
      <c r="K114" s="12"/>
      <c r="L114" s="159">
        <v>1</v>
      </c>
      <c r="M114" s="159" t="s">
        <v>302</v>
      </c>
      <c r="N114" s="159">
        <v>35727.550000000003</v>
      </c>
      <c r="O114" s="185">
        <f t="shared" si="5"/>
        <v>35727.550000000003</v>
      </c>
      <c r="P114" s="215">
        <f t="shared" si="6"/>
        <v>32110.904842343862</v>
      </c>
      <c r="Q114" s="215" cm="1">
        <f t="array" ref="Q114">IF(P114="-",0,P114/(1+'General inputs'!$H$32)^IFERROR(INDEX('MP Calculations'!$C$40:$C$130,MATCH(F114,'MP Calculations'!$D$40:$D$130,0),0),-1))</f>
        <v>52609.620756507429</v>
      </c>
    </row>
    <row r="115" spans="3:17" x14ac:dyDescent="0.25">
      <c r="C115" s="159"/>
      <c r="D115" s="165" t="s">
        <v>364</v>
      </c>
      <c r="E115" s="161">
        <v>40633</v>
      </c>
      <c r="F115" s="172" t="str">
        <f t="shared" si="4"/>
        <v>2010-11</v>
      </c>
      <c r="G115" s="68"/>
      <c r="H115" s="167" t="s">
        <v>279</v>
      </c>
      <c r="I115" s="173">
        <v>8793.8848904043734</v>
      </c>
      <c r="J115" s="168">
        <f>IFERROR(MIN('MP Calculations'!$E$30/I115,1),"-")</f>
        <v>0.89877153183870317</v>
      </c>
      <c r="K115" s="12"/>
      <c r="L115" s="159">
        <v>1</v>
      </c>
      <c r="M115" s="159" t="s">
        <v>302</v>
      </c>
      <c r="N115" s="159">
        <v>341980.84</v>
      </c>
      <c r="O115" s="185">
        <f t="shared" si="5"/>
        <v>341980.84</v>
      </c>
      <c r="P115" s="215">
        <f t="shared" si="6"/>
        <v>307362.64342628646</v>
      </c>
      <c r="Q115" s="215" cm="1">
        <f t="array" ref="Q115">IF(P115="-",0,P115/(1+'General inputs'!$H$32)^IFERROR(INDEX('MP Calculations'!$C$40:$C$130,MATCH(F115,'MP Calculations'!$D$40:$D$130,0),0),-1))</f>
        <v>503574.4767942903</v>
      </c>
    </row>
    <row r="116" spans="3:17" x14ac:dyDescent="0.25">
      <c r="C116" s="159"/>
      <c r="D116" s="165" t="s">
        <v>365</v>
      </c>
      <c r="E116" s="161">
        <v>40633</v>
      </c>
      <c r="F116" s="172" t="str">
        <f t="shared" si="4"/>
        <v>2010-11</v>
      </c>
      <c r="G116" s="68"/>
      <c r="H116" s="167" t="s">
        <v>279</v>
      </c>
      <c r="I116" s="173">
        <v>8793.8848904043734</v>
      </c>
      <c r="J116" s="168">
        <f>IFERROR(MIN('MP Calculations'!$E$30/I116,1),"-")</f>
        <v>0.89877153183870317</v>
      </c>
      <c r="K116" s="12"/>
      <c r="L116" s="159">
        <v>1</v>
      </c>
      <c r="M116" s="159" t="s">
        <v>302</v>
      </c>
      <c r="N116" s="159">
        <v>218506.6</v>
      </c>
      <c r="O116" s="185">
        <f t="shared" si="5"/>
        <v>218506.6</v>
      </c>
      <c r="P116" s="215">
        <f t="shared" si="6"/>
        <v>196387.51159886678</v>
      </c>
      <c r="Q116" s="215" cm="1">
        <f t="array" ref="Q116">IF(P116="-",0,P116/(1+'General inputs'!$H$32)^IFERROR(INDEX('MP Calculations'!$C$40:$C$130,MATCH(F116,'MP Calculations'!$D$40:$D$130,0),0),-1))</f>
        <v>321755.88191168621</v>
      </c>
    </row>
    <row r="117" spans="3:17" x14ac:dyDescent="0.25">
      <c r="C117" s="159"/>
      <c r="D117" s="165" t="s">
        <v>366</v>
      </c>
      <c r="E117" s="161">
        <v>40633</v>
      </c>
      <c r="F117" s="172" t="str">
        <f t="shared" si="4"/>
        <v>2010-11</v>
      </c>
      <c r="G117" s="68"/>
      <c r="H117" s="167" t="s">
        <v>279</v>
      </c>
      <c r="I117" s="173">
        <v>8793.8848904043734</v>
      </c>
      <c r="J117" s="168">
        <f>IFERROR(MIN('MP Calculations'!$E$30/I117,1),"-")</f>
        <v>0.89877153183870317</v>
      </c>
      <c r="K117" s="12"/>
      <c r="L117" s="159">
        <v>1</v>
      </c>
      <c r="M117" s="159" t="s">
        <v>302</v>
      </c>
      <c r="N117" s="159">
        <v>867700.15</v>
      </c>
      <c r="O117" s="185">
        <f t="shared" si="5"/>
        <v>867700.15</v>
      </c>
      <c r="P117" s="215">
        <f t="shared" si="6"/>
        <v>779864.19299217255</v>
      </c>
      <c r="Q117" s="215" cm="1">
        <f t="array" ref="Q117">IF(P117="-",0,P117/(1+'General inputs'!$H$32)^IFERROR(INDEX('MP Calculations'!$C$40:$C$130,MATCH(F117,'MP Calculations'!$D$40:$D$130,0),0),-1))</f>
        <v>1277707.9822675949</v>
      </c>
    </row>
    <row r="118" spans="3:17" x14ac:dyDescent="0.25">
      <c r="C118" s="159"/>
      <c r="D118" s="165" t="s">
        <v>367</v>
      </c>
      <c r="E118" s="161">
        <v>40633</v>
      </c>
      <c r="F118" s="172" t="str">
        <f t="shared" si="4"/>
        <v>2010-11</v>
      </c>
      <c r="G118" s="68"/>
      <c r="H118" s="167" t="s">
        <v>279</v>
      </c>
      <c r="I118" s="173">
        <v>8793.8848904043734</v>
      </c>
      <c r="J118" s="168">
        <f>IFERROR(MIN('MP Calculations'!$E$30/I118,1),"-")</f>
        <v>0.89877153183870317</v>
      </c>
      <c r="K118" s="12"/>
      <c r="L118" s="159">
        <v>1</v>
      </c>
      <c r="M118" s="159" t="s">
        <v>302</v>
      </c>
      <c r="N118" s="159">
        <v>434814.62</v>
      </c>
      <c r="O118" s="185">
        <f t="shared" si="5"/>
        <v>434814.62</v>
      </c>
      <c r="P118" s="215">
        <f t="shared" si="6"/>
        <v>390799.00208326359</v>
      </c>
      <c r="Q118" s="215" cm="1">
        <f t="array" ref="Q118">IF(P118="-",0,P118/(1+'General inputs'!$H$32)^IFERROR(INDEX('MP Calculations'!$C$40:$C$130,MATCH(F118,'MP Calculations'!$D$40:$D$130,0),0),-1))</f>
        <v>640274.30533537525</v>
      </c>
    </row>
    <row r="119" spans="3:17" x14ac:dyDescent="0.25">
      <c r="C119" s="159"/>
      <c r="D119" s="165" t="s">
        <v>368</v>
      </c>
      <c r="E119" s="161">
        <v>40633</v>
      </c>
      <c r="F119" s="172" t="str">
        <f t="shared" si="4"/>
        <v>2010-11</v>
      </c>
      <c r="G119" s="68"/>
      <c r="H119" s="167" t="s">
        <v>279</v>
      </c>
      <c r="I119" s="173">
        <v>8793.8848904043734</v>
      </c>
      <c r="J119" s="168">
        <f>IFERROR(MIN('MP Calculations'!$E$30/I119,1),"-")</f>
        <v>0.89877153183870317</v>
      </c>
      <c r="K119" s="12"/>
      <c r="L119" s="159">
        <v>1</v>
      </c>
      <c r="M119" s="159" t="s">
        <v>302</v>
      </c>
      <c r="N119" s="159">
        <v>298675.53000000003</v>
      </c>
      <c r="O119" s="185">
        <f t="shared" si="5"/>
        <v>298675.53000000003</v>
      </c>
      <c r="P119" s="215">
        <f t="shared" si="6"/>
        <v>268441.06362083659</v>
      </c>
      <c r="Q119" s="215" cm="1">
        <f t="array" ref="Q119">IF(P119="-",0,P119/(1+'General inputs'!$H$32)^IFERROR(INDEX('MP Calculations'!$C$40:$C$130,MATCH(F119,'MP Calculations'!$D$40:$D$130,0),0),-1))</f>
        <v>439806.43404176494</v>
      </c>
    </row>
    <row r="120" spans="3:17" x14ac:dyDescent="0.25">
      <c r="C120" s="159"/>
      <c r="D120" s="165" t="s">
        <v>368</v>
      </c>
      <c r="E120" s="161">
        <v>40633</v>
      </c>
      <c r="F120" s="172" t="str">
        <f t="shared" si="4"/>
        <v>2010-11</v>
      </c>
      <c r="G120" s="68"/>
      <c r="H120" s="167" t="s">
        <v>279</v>
      </c>
      <c r="I120" s="173">
        <v>8793.8848904043734</v>
      </c>
      <c r="J120" s="168">
        <f>IFERROR(MIN('MP Calculations'!$E$30/I120,1),"-")</f>
        <v>0.89877153183870317</v>
      </c>
      <c r="K120" s="12"/>
      <c r="L120" s="159">
        <v>1</v>
      </c>
      <c r="M120" s="159" t="s">
        <v>302</v>
      </c>
      <c r="N120" s="159">
        <v>340170.12</v>
      </c>
      <c r="O120" s="185">
        <f t="shared" si="5"/>
        <v>340170.12</v>
      </c>
      <c r="P120" s="215">
        <f t="shared" si="6"/>
        <v>305735.21983815549</v>
      </c>
      <c r="Q120" s="215" cm="1">
        <f t="array" ref="Q120">IF(P120="-",0,P120/(1+'General inputs'!$H$32)^IFERROR(INDEX('MP Calculations'!$C$40:$C$130,MATCH(F120,'MP Calculations'!$D$40:$D$130,0),0),-1))</f>
        <v>500908.1508778414</v>
      </c>
    </row>
    <row r="121" spans="3:17" x14ac:dyDescent="0.25">
      <c r="C121" s="159"/>
      <c r="D121" s="165" t="s">
        <v>369</v>
      </c>
      <c r="E121" s="161">
        <v>40633</v>
      </c>
      <c r="F121" s="172" t="str">
        <f t="shared" si="4"/>
        <v>2010-11</v>
      </c>
      <c r="G121" s="68"/>
      <c r="H121" s="167" t="s">
        <v>279</v>
      </c>
      <c r="I121" s="173">
        <v>8793.8848904043734</v>
      </c>
      <c r="J121" s="168">
        <f>IFERROR(MIN('MP Calculations'!$E$30/I121,1),"-")</f>
        <v>0.89877153183870317</v>
      </c>
      <c r="K121" s="12"/>
      <c r="L121" s="159">
        <v>1</v>
      </c>
      <c r="M121" s="159" t="s">
        <v>302</v>
      </c>
      <c r="N121" s="159">
        <v>282169.73</v>
      </c>
      <c r="O121" s="185">
        <f t="shared" si="5"/>
        <v>282169.73</v>
      </c>
      <c r="P121" s="215">
        <f t="shared" si="6"/>
        <v>253606.12047061327</v>
      </c>
      <c r="Q121" s="215" cm="1">
        <f t="array" ref="Q121">IF(P121="-",0,P121/(1+'General inputs'!$H$32)^IFERROR(INDEX('MP Calculations'!$C$40:$C$130,MATCH(F121,'MP Calculations'!$D$40:$D$130,0),0),-1))</f>
        <v>415501.27238688618</v>
      </c>
    </row>
    <row r="122" spans="3:17" x14ac:dyDescent="0.25">
      <c r="C122" s="159"/>
      <c r="D122" s="165" t="s">
        <v>370</v>
      </c>
      <c r="E122" s="161">
        <v>40633</v>
      </c>
      <c r="F122" s="172" t="str">
        <f t="shared" si="4"/>
        <v>2010-11</v>
      </c>
      <c r="G122" s="68"/>
      <c r="H122" s="167" t="s">
        <v>279</v>
      </c>
      <c r="I122" s="173">
        <v>8793.8848904043734</v>
      </c>
      <c r="J122" s="168">
        <f>IFERROR(MIN('MP Calculations'!$E$30/I122,1),"-")</f>
        <v>0.89877153183870317</v>
      </c>
      <c r="K122" s="12"/>
      <c r="L122" s="159">
        <v>1</v>
      </c>
      <c r="M122" s="159" t="s">
        <v>302</v>
      </c>
      <c r="N122" s="159">
        <v>49200.480000000003</v>
      </c>
      <c r="O122" s="185">
        <f t="shared" si="5"/>
        <v>49200.480000000003</v>
      </c>
      <c r="P122" s="215">
        <f t="shared" si="6"/>
        <v>44219.990776799481</v>
      </c>
      <c r="Q122" s="215" cm="1">
        <f t="array" ref="Q122">IF(P122="-",0,P122/(1+'General inputs'!$H$32)^IFERROR(INDEX('MP Calculations'!$C$40:$C$130,MATCH(F122,'MP Calculations'!$D$40:$D$130,0),0),-1))</f>
        <v>72448.813138268044</v>
      </c>
    </row>
    <row r="123" spans="3:17" x14ac:dyDescent="0.25">
      <c r="C123" s="159"/>
      <c r="D123" s="165" t="s">
        <v>371</v>
      </c>
      <c r="E123" s="161">
        <v>40633</v>
      </c>
      <c r="F123" s="172" t="str">
        <f t="shared" si="4"/>
        <v>2010-11</v>
      </c>
      <c r="G123" s="68"/>
      <c r="H123" s="167" t="s">
        <v>279</v>
      </c>
      <c r="I123" s="173">
        <v>8793.8848904043734</v>
      </c>
      <c r="J123" s="168">
        <f>IFERROR(MIN('MP Calculations'!$E$30/I123,1),"-")</f>
        <v>0.89877153183870317</v>
      </c>
      <c r="K123" s="12"/>
      <c r="L123" s="159">
        <v>1</v>
      </c>
      <c r="M123" s="159" t="s">
        <v>302</v>
      </c>
      <c r="N123" s="159">
        <v>140527.76999999999</v>
      </c>
      <c r="O123" s="185">
        <f t="shared" si="5"/>
        <v>140527.76999999999</v>
      </c>
      <c r="P123" s="215">
        <f t="shared" si="6"/>
        <v>126302.35910877695</v>
      </c>
      <c r="Q123" s="215" cm="1">
        <f t="array" ref="Q123">IF(P123="-",0,P123/(1+'General inputs'!$H$32)^IFERROR(INDEX('MP Calculations'!$C$40:$C$130,MATCH(F123,'MP Calculations'!$D$40:$D$130,0),0),-1))</f>
        <v>206930.30127892064</v>
      </c>
    </row>
    <row r="124" spans="3:17" x14ac:dyDescent="0.25">
      <c r="C124" s="159"/>
      <c r="D124" s="165" t="s">
        <v>372</v>
      </c>
      <c r="E124" s="161">
        <v>40633</v>
      </c>
      <c r="F124" s="172" t="str">
        <f t="shared" si="4"/>
        <v>2010-11</v>
      </c>
      <c r="G124" s="68"/>
      <c r="H124" s="167" t="s">
        <v>279</v>
      </c>
      <c r="I124" s="173">
        <v>8793.8848904043734</v>
      </c>
      <c r="J124" s="168">
        <f>IFERROR(MIN('MP Calculations'!$E$30/I124,1),"-")</f>
        <v>0.89877153183870317</v>
      </c>
      <c r="K124" s="12"/>
      <c r="L124" s="159">
        <v>1</v>
      </c>
      <c r="M124" s="159" t="s">
        <v>302</v>
      </c>
      <c r="N124" s="159">
        <v>742397.36</v>
      </c>
      <c r="O124" s="185">
        <f t="shared" si="5"/>
        <v>742397.36</v>
      </c>
      <c r="P124" s="215">
        <f t="shared" si="6"/>
        <v>667245.61248020921</v>
      </c>
      <c r="Q124" s="215" cm="1">
        <f t="array" ref="Q124">IF(P124="-",0,P124/(1+'General inputs'!$H$32)^IFERROR(INDEX('MP Calculations'!$C$40:$C$130,MATCH(F124,'MP Calculations'!$D$40:$D$130,0),0),-1))</f>
        <v>1093196.8063926108</v>
      </c>
    </row>
    <row r="125" spans="3:17" x14ac:dyDescent="0.25">
      <c r="C125" s="159"/>
      <c r="D125" s="165" t="s">
        <v>373</v>
      </c>
      <c r="E125" s="161">
        <v>40633</v>
      </c>
      <c r="F125" s="172" t="str">
        <f t="shared" si="4"/>
        <v>2010-11</v>
      </c>
      <c r="G125" s="68"/>
      <c r="H125" s="167" t="s">
        <v>279</v>
      </c>
      <c r="I125" s="173">
        <v>8793.8848904043734</v>
      </c>
      <c r="J125" s="168">
        <f>IFERROR(MIN('MP Calculations'!$E$30/I125,1),"-")</f>
        <v>0.89877153183870317</v>
      </c>
      <c r="K125" s="12"/>
      <c r="L125" s="159">
        <v>1</v>
      </c>
      <c r="M125" s="159" t="s">
        <v>302</v>
      </c>
      <c r="N125" s="159">
        <v>509688.11</v>
      </c>
      <c r="O125" s="185">
        <f t="shared" si="5"/>
        <v>509688.11</v>
      </c>
      <c r="P125" s="215">
        <f t="shared" si="6"/>
        <v>458093.16338467342</v>
      </c>
      <c r="Q125" s="215" cm="1">
        <f t="array" ref="Q125">IF(P125="-",0,P125/(1+'General inputs'!$H$32)^IFERROR(INDEX('MP Calculations'!$C$40:$C$130,MATCH(F125,'MP Calculations'!$D$40:$D$130,0),0),-1))</f>
        <v>750527.20299043844</v>
      </c>
    </row>
    <row r="126" spans="3:17" x14ac:dyDescent="0.25">
      <c r="C126" s="159"/>
      <c r="D126" s="165" t="s">
        <v>374</v>
      </c>
      <c r="E126" s="161">
        <v>40633</v>
      </c>
      <c r="F126" s="172" t="str">
        <f t="shared" si="4"/>
        <v>2010-11</v>
      </c>
      <c r="G126" s="68"/>
      <c r="H126" s="167" t="s">
        <v>279</v>
      </c>
      <c r="I126" s="173">
        <v>8793.8848904043734</v>
      </c>
      <c r="J126" s="168">
        <f>IFERROR(MIN('MP Calculations'!$E$30/I126,1),"-")</f>
        <v>0.89877153183870317</v>
      </c>
      <c r="K126" s="12"/>
      <c r="L126" s="159">
        <v>1</v>
      </c>
      <c r="M126" s="159" t="s">
        <v>302</v>
      </c>
      <c r="N126" s="159">
        <v>20774.22</v>
      </c>
      <c r="O126" s="185">
        <f t="shared" si="5"/>
        <v>20774.22</v>
      </c>
      <c r="P126" s="215">
        <f t="shared" si="6"/>
        <v>18671.277532154225</v>
      </c>
      <c r="Q126" s="215" cm="1">
        <f t="array" ref="Q126">IF(P126="-",0,P126/(1+'General inputs'!$H$32)^IFERROR(INDEX('MP Calculations'!$C$40:$C$130,MATCH(F126,'MP Calculations'!$D$40:$D$130,0),0),-1))</f>
        <v>30590.506085982714</v>
      </c>
    </row>
    <row r="127" spans="3:17" x14ac:dyDescent="0.25">
      <c r="C127" s="159"/>
      <c r="D127" s="165" t="s">
        <v>375</v>
      </c>
      <c r="E127" s="161">
        <v>40633</v>
      </c>
      <c r="F127" s="172" t="str">
        <f t="shared" si="4"/>
        <v>2010-11</v>
      </c>
      <c r="G127" s="68"/>
      <c r="H127" s="167" t="s">
        <v>279</v>
      </c>
      <c r="I127" s="173">
        <v>8793.8848904043734</v>
      </c>
      <c r="J127" s="168">
        <f>IFERROR(MIN('MP Calculations'!$E$30/I127,1),"-")</f>
        <v>0.89877153183870317</v>
      </c>
      <c r="K127" s="12"/>
      <c r="L127" s="159">
        <v>1</v>
      </c>
      <c r="M127" s="159" t="s">
        <v>302</v>
      </c>
      <c r="N127" s="159">
        <v>65939.63</v>
      </c>
      <c r="O127" s="185">
        <f t="shared" si="5"/>
        <v>65939.63</v>
      </c>
      <c r="P127" s="215">
        <f t="shared" si="6"/>
        <v>59264.662263977312</v>
      </c>
      <c r="Q127" s="215" cm="1">
        <f t="array" ref="Q127">IF(P127="-",0,P127/(1+'General inputs'!$H$32)^IFERROR(INDEX('MP Calculations'!$C$40:$C$130,MATCH(F127,'MP Calculations'!$D$40:$D$130,0),0),-1))</f>
        <v>97097.587915332013</v>
      </c>
    </row>
    <row r="128" spans="3:17" x14ac:dyDescent="0.25">
      <c r="C128" s="159"/>
      <c r="D128" s="165" t="s">
        <v>376</v>
      </c>
      <c r="E128" s="161">
        <v>40633</v>
      </c>
      <c r="F128" s="172" t="str">
        <f t="shared" si="4"/>
        <v>2010-11</v>
      </c>
      <c r="G128" s="68"/>
      <c r="H128" s="167" t="s">
        <v>279</v>
      </c>
      <c r="I128" s="173">
        <v>8793.8848904043734</v>
      </c>
      <c r="J128" s="168">
        <f>IFERROR(MIN('MP Calculations'!$E$30/I128,1),"-")</f>
        <v>0.89877153183870317</v>
      </c>
      <c r="K128" s="12"/>
      <c r="L128" s="159">
        <v>1</v>
      </c>
      <c r="M128" s="159" t="s">
        <v>302</v>
      </c>
      <c r="N128" s="159">
        <v>48868.07</v>
      </c>
      <c r="O128" s="185">
        <f>IF(N128="","-",L128*N128)</f>
        <v>48868.07</v>
      </c>
      <c r="P128" s="215">
        <f t="shared" si="6"/>
        <v>43921.230131900978</v>
      </c>
      <c r="Q128" s="215" cm="1">
        <f t="array" ref="Q128">IF(P128="-",0,P128/(1+'General inputs'!$H$32)^IFERROR(INDEX('MP Calculations'!$C$40:$C$130,MATCH(F128,'MP Calculations'!$D$40:$D$130,0),0),-1))</f>
        <v>71959.331938586838</v>
      </c>
    </row>
    <row r="129" spans="3:17" x14ac:dyDescent="0.25">
      <c r="C129" s="159"/>
      <c r="D129" s="165" t="s">
        <v>377</v>
      </c>
      <c r="E129" s="161">
        <v>40633</v>
      </c>
      <c r="F129" s="172" t="str">
        <f t="shared" si="4"/>
        <v>2010-11</v>
      </c>
      <c r="G129" s="68"/>
      <c r="H129" s="167" t="s">
        <v>279</v>
      </c>
      <c r="I129" s="173">
        <v>8793.8848904043734</v>
      </c>
      <c r="J129" s="168">
        <f>IFERROR(MIN('MP Calculations'!$E$30/I129,1),"-")</f>
        <v>0.89877153183870317</v>
      </c>
      <c r="K129" s="12"/>
      <c r="L129" s="159">
        <v>1</v>
      </c>
      <c r="M129" s="159" t="s">
        <v>302</v>
      </c>
      <c r="N129" s="159">
        <v>11569.42</v>
      </c>
      <c r="O129" s="185">
        <f t="shared" ref="O129:O192" si="7">IF(N129="","-",L129*N129)</f>
        <v>11569.42</v>
      </c>
      <c r="P129" s="215">
        <f t="shared" si="6"/>
        <v>10398.265335885329</v>
      </c>
      <c r="Q129" s="215" cm="1">
        <f t="array" ref="Q129">IF(P129="-",0,P129/(1+'General inputs'!$H$32)^IFERROR(INDEX('MP Calculations'!$C$40:$C$130,MATCH(F129,'MP Calculations'!$D$40:$D$130,0),0),-1))</f>
        <v>17036.231103805108</v>
      </c>
    </row>
    <row r="130" spans="3:17" x14ac:dyDescent="0.25">
      <c r="C130" s="159"/>
      <c r="D130" s="165" t="s">
        <v>378</v>
      </c>
      <c r="E130" s="161">
        <v>40633</v>
      </c>
      <c r="F130" s="172" t="str">
        <f t="shared" si="4"/>
        <v>2010-11</v>
      </c>
      <c r="G130" s="68"/>
      <c r="H130" s="167" t="s">
        <v>279</v>
      </c>
      <c r="I130" s="173">
        <v>8793.8848904043734</v>
      </c>
      <c r="J130" s="168">
        <f>IFERROR(MIN('MP Calculations'!$E$30/I130,1),"-")</f>
        <v>0.89877153183870317</v>
      </c>
      <c r="K130" s="12"/>
      <c r="L130" s="159">
        <v>1</v>
      </c>
      <c r="M130" s="159" t="s">
        <v>302</v>
      </c>
      <c r="N130" s="159">
        <v>11984.94</v>
      </c>
      <c r="O130" s="185">
        <f t="shared" si="7"/>
        <v>11984.94</v>
      </c>
      <c r="P130" s="215">
        <f t="shared" si="6"/>
        <v>10771.722882794948</v>
      </c>
      <c r="Q130" s="215" cm="1">
        <f t="array" ref="Q130">IF(P130="-",0,P130/(1+'General inputs'!$H$32)^IFERROR(INDEX('MP Calculations'!$C$40:$C$130,MATCH(F130,'MP Calculations'!$D$40:$D$130,0),0),-1))</f>
        <v>17648.093647325273</v>
      </c>
    </row>
    <row r="131" spans="3:17" x14ac:dyDescent="0.25">
      <c r="C131" s="159"/>
      <c r="D131" s="165" t="s">
        <v>379</v>
      </c>
      <c r="E131" s="161">
        <v>40633</v>
      </c>
      <c r="F131" s="172" t="str">
        <f t="shared" si="4"/>
        <v>2010-11</v>
      </c>
      <c r="G131" s="68"/>
      <c r="H131" s="167" t="s">
        <v>279</v>
      </c>
      <c r="I131" s="173">
        <v>8793.8848904043734</v>
      </c>
      <c r="J131" s="168">
        <f>IFERROR(MIN('MP Calculations'!$E$30/I131,1),"-")</f>
        <v>0.89877153183870317</v>
      </c>
      <c r="K131" s="12"/>
      <c r="L131" s="159">
        <v>1</v>
      </c>
      <c r="M131" s="159" t="s">
        <v>302</v>
      </c>
      <c r="N131" s="159">
        <v>19110.259999999998</v>
      </c>
      <c r="O131" s="185">
        <f t="shared" si="7"/>
        <v>19110.259999999998</v>
      </c>
      <c r="P131" s="215">
        <f t="shared" si="6"/>
        <v>17175.757654035893</v>
      </c>
      <c r="Q131" s="215" cm="1">
        <f t="array" ref="Q131">IF(P131="-",0,P131/(1+'General inputs'!$H$32)^IFERROR(INDEX('MP Calculations'!$C$40:$C$130,MATCH(F131,'MP Calculations'!$D$40:$D$130,0),0),-1))</f>
        <v>28140.287569627737</v>
      </c>
    </row>
    <row r="132" spans="3:17" x14ac:dyDescent="0.25">
      <c r="C132" s="159"/>
      <c r="D132" s="165" t="s">
        <v>380</v>
      </c>
      <c r="E132" s="161">
        <v>40633</v>
      </c>
      <c r="F132" s="172" t="str">
        <f t="shared" si="4"/>
        <v>2010-11</v>
      </c>
      <c r="G132" s="68"/>
      <c r="H132" s="167" t="s">
        <v>279</v>
      </c>
      <c r="I132" s="173">
        <v>8793.8848904043734</v>
      </c>
      <c r="J132" s="168">
        <f>IFERROR(MIN('MP Calculations'!$E$30/I132,1),"-")</f>
        <v>0.89877153183870317</v>
      </c>
      <c r="K132" s="12"/>
      <c r="L132" s="159">
        <v>1</v>
      </c>
      <c r="M132" s="159" t="s">
        <v>302</v>
      </c>
      <c r="N132" s="159">
        <v>21146.21</v>
      </c>
      <c r="O132" s="185">
        <f t="shared" si="7"/>
        <v>21146.21</v>
      </c>
      <c r="P132" s="215">
        <f t="shared" si="6"/>
        <v>19005.611554282903</v>
      </c>
      <c r="Q132" s="215" cm="1">
        <f t="array" ref="Q132">IF(P132="-",0,P132/(1+'General inputs'!$H$32)^IFERROR(INDEX('MP Calculations'!$C$40:$C$130,MATCH(F132,'MP Calculations'!$D$40:$D$130,0),0),-1))</f>
        <v>31138.269725672901</v>
      </c>
    </row>
    <row r="133" spans="3:17" x14ac:dyDescent="0.25">
      <c r="C133" s="159"/>
      <c r="D133" s="165" t="s">
        <v>381</v>
      </c>
      <c r="E133" s="161">
        <v>40633</v>
      </c>
      <c r="F133" s="172" t="str">
        <f t="shared" si="4"/>
        <v>2010-11</v>
      </c>
      <c r="G133" s="68"/>
      <c r="H133" s="167" t="s">
        <v>279</v>
      </c>
      <c r="I133" s="173">
        <v>8793.8848904043734</v>
      </c>
      <c r="J133" s="168">
        <f>IFERROR(MIN('MP Calculations'!$E$30/I133,1),"-")</f>
        <v>0.89877153183870317</v>
      </c>
      <c r="K133" s="12"/>
      <c r="L133" s="159">
        <v>1</v>
      </c>
      <c r="M133" s="159" t="s">
        <v>302</v>
      </c>
      <c r="N133" s="159">
        <v>19559.79</v>
      </c>
      <c r="O133" s="185">
        <f t="shared" si="7"/>
        <v>19559.79</v>
      </c>
      <c r="P133" s="215">
        <f t="shared" si="6"/>
        <v>17579.782420743348</v>
      </c>
      <c r="Q133" s="215" cm="1">
        <f t="array" ref="Q133">IF(P133="-",0,P133/(1+'General inputs'!$H$32)^IFERROR(INDEX('MP Calculations'!$C$40:$C$130,MATCH(F133,'MP Calculations'!$D$40:$D$130,0),0),-1))</f>
        <v>28802.230602908017</v>
      </c>
    </row>
    <row r="134" spans="3:17" x14ac:dyDescent="0.25">
      <c r="C134" s="159"/>
      <c r="D134" s="165" t="s">
        <v>382</v>
      </c>
      <c r="E134" s="161">
        <v>40633</v>
      </c>
      <c r="F134" s="172" t="str">
        <f t="shared" si="4"/>
        <v>2010-11</v>
      </c>
      <c r="G134" s="68"/>
      <c r="H134" s="167" t="s">
        <v>279</v>
      </c>
      <c r="I134" s="173">
        <v>8793.8848904043734</v>
      </c>
      <c r="J134" s="168">
        <f>IFERROR(MIN('MP Calculations'!$E$30/I134,1),"-")</f>
        <v>0.89877153183870317</v>
      </c>
      <c r="K134" s="12"/>
      <c r="L134" s="159">
        <v>1</v>
      </c>
      <c r="M134" s="159" t="s">
        <v>302</v>
      </c>
      <c r="N134" s="159">
        <v>100767.32</v>
      </c>
      <c r="O134" s="185">
        <f t="shared" si="7"/>
        <v>100767.32</v>
      </c>
      <c r="P134" s="215">
        <f t="shared" si="6"/>
        <v>90566.798555680798</v>
      </c>
      <c r="Q134" s="215" cm="1">
        <f t="array" ref="Q134">IF(P134="-",0,P134/(1+'General inputs'!$H$32)^IFERROR(INDEX('MP Calculations'!$C$40:$C$130,MATCH(F134,'MP Calculations'!$D$40:$D$130,0),0),-1))</f>
        <v>148382.1445872898</v>
      </c>
    </row>
    <row r="135" spans="3:17" x14ac:dyDescent="0.25">
      <c r="C135" s="159"/>
      <c r="D135" s="165" t="s">
        <v>383</v>
      </c>
      <c r="E135" s="161">
        <v>40633</v>
      </c>
      <c r="F135" s="172" t="str">
        <f t="shared" si="4"/>
        <v>2010-11</v>
      </c>
      <c r="G135" s="68"/>
      <c r="H135" s="167" t="s">
        <v>279</v>
      </c>
      <c r="I135" s="173">
        <v>8793.8848904043734</v>
      </c>
      <c r="J135" s="168">
        <f>IFERROR(MIN('MP Calculations'!$E$30/I135,1),"-")</f>
        <v>0.89877153183870317</v>
      </c>
      <c r="K135" s="12"/>
      <c r="L135" s="159">
        <v>1</v>
      </c>
      <c r="M135" s="159" t="s">
        <v>302</v>
      </c>
      <c r="N135" s="159">
        <v>364774.15</v>
      </c>
      <c r="O135" s="185">
        <f t="shared" si="7"/>
        <v>364774.15</v>
      </c>
      <c r="P135" s="215">
        <f t="shared" si="6"/>
        <v>327848.62157066091</v>
      </c>
      <c r="Q135" s="215" cm="1">
        <f t="array" ref="Q135">IF(P135="-",0,P135/(1+'General inputs'!$H$32)^IFERROR(INDEX('MP Calculations'!$C$40:$C$130,MATCH(F135,'MP Calculations'!$D$40:$D$130,0),0),-1))</f>
        <v>537138.13830719865</v>
      </c>
    </row>
    <row r="136" spans="3:17" x14ac:dyDescent="0.25">
      <c r="C136" s="159"/>
      <c r="D136" s="165" t="s">
        <v>384</v>
      </c>
      <c r="E136" s="161">
        <v>40633</v>
      </c>
      <c r="F136" s="172" t="str">
        <f t="shared" si="4"/>
        <v>2010-11</v>
      </c>
      <c r="G136" s="68"/>
      <c r="H136" s="167" t="s">
        <v>279</v>
      </c>
      <c r="I136" s="173">
        <v>8793.8848904043734</v>
      </c>
      <c r="J136" s="168">
        <f>IFERROR(MIN('MP Calculations'!$E$30/I136,1),"-")</f>
        <v>0.89877153183870317</v>
      </c>
      <c r="K136" s="12"/>
      <c r="L136" s="159">
        <v>1</v>
      </c>
      <c r="M136" s="159" t="s">
        <v>302</v>
      </c>
      <c r="N136" s="159">
        <v>118091.3</v>
      </c>
      <c r="O136" s="185">
        <f t="shared" si="7"/>
        <v>118091.3</v>
      </c>
      <c r="P136" s="215">
        <f t="shared" si="6"/>
        <v>106137.09859782385</v>
      </c>
      <c r="Q136" s="215" cm="1">
        <f t="array" ref="Q136">IF(P136="-",0,P136/(1+'General inputs'!$H$32)^IFERROR(INDEX('MP Calculations'!$C$40:$C$130,MATCH(F136,'MP Calculations'!$D$40:$D$130,0),0),-1))</f>
        <v>173892.0946900346</v>
      </c>
    </row>
    <row r="137" spans="3:17" x14ac:dyDescent="0.25">
      <c r="C137" s="159"/>
      <c r="D137" s="165" t="s">
        <v>385</v>
      </c>
      <c r="E137" s="161">
        <v>40633</v>
      </c>
      <c r="F137" s="172" t="str">
        <f t="shared" si="4"/>
        <v>2010-11</v>
      </c>
      <c r="G137" s="68"/>
      <c r="H137" s="167" t="s">
        <v>279</v>
      </c>
      <c r="I137" s="173">
        <v>8793.8848904043734</v>
      </c>
      <c r="J137" s="168">
        <f>IFERROR(MIN('MP Calculations'!$E$30/I137,1),"-")</f>
        <v>0.89877153183870317</v>
      </c>
      <c r="K137" s="12"/>
      <c r="L137" s="159">
        <v>1</v>
      </c>
      <c r="M137" s="159" t="s">
        <v>302</v>
      </c>
      <c r="N137" s="159">
        <v>114805.35</v>
      </c>
      <c r="O137" s="185">
        <f t="shared" si="7"/>
        <v>114805.35</v>
      </c>
      <c r="P137" s="215">
        <f t="shared" si="6"/>
        <v>103183.78028277846</v>
      </c>
      <c r="Q137" s="215" cm="1">
        <f t="array" ref="Q137">IF(P137="-",0,P137/(1+'General inputs'!$H$32)^IFERROR(INDEX('MP Calculations'!$C$40:$C$130,MATCH(F137,'MP Calculations'!$D$40:$D$130,0),0),-1))</f>
        <v>169053.45942607595</v>
      </c>
    </row>
    <row r="138" spans="3:17" x14ac:dyDescent="0.25">
      <c r="C138" s="159"/>
      <c r="D138" s="165" t="s">
        <v>386</v>
      </c>
      <c r="E138" s="161">
        <v>40633</v>
      </c>
      <c r="F138" s="172" t="str">
        <f t="shared" si="4"/>
        <v>2010-11</v>
      </c>
      <c r="G138" s="68"/>
      <c r="H138" s="167" t="s">
        <v>279</v>
      </c>
      <c r="I138" s="173">
        <v>8793.8848904043734</v>
      </c>
      <c r="J138" s="168">
        <f>IFERROR(MIN('MP Calculations'!$E$30/I138,1),"-")</f>
        <v>0.89877153183870317</v>
      </c>
      <c r="K138" s="12"/>
      <c r="L138" s="159">
        <v>1</v>
      </c>
      <c r="M138" s="159" t="s">
        <v>302</v>
      </c>
      <c r="N138" s="159">
        <v>236296.77</v>
      </c>
      <c r="O138" s="185">
        <f t="shared" si="7"/>
        <v>236296.77</v>
      </c>
      <c r="P138" s="215">
        <f t="shared" si="6"/>
        <v>212376.80994143771</v>
      </c>
      <c r="Q138" s="215" cm="1">
        <f t="array" ref="Q138">IF(P138="-",0,P138/(1+'General inputs'!$H$32)^IFERROR(INDEX('MP Calculations'!$C$40:$C$130,MATCH(F138,'MP Calculations'!$D$40:$D$130,0),0),-1))</f>
        <v>347952.30727233354</v>
      </c>
    </row>
    <row r="139" spans="3:17" x14ac:dyDescent="0.25">
      <c r="C139" s="159"/>
      <c r="D139" s="165" t="s">
        <v>387</v>
      </c>
      <c r="E139" s="161">
        <v>40633</v>
      </c>
      <c r="F139" s="172" t="str">
        <f t="shared" si="4"/>
        <v>2010-11</v>
      </c>
      <c r="G139" s="68"/>
      <c r="H139" s="167" t="s">
        <v>279</v>
      </c>
      <c r="I139" s="173">
        <v>8793.8848904043734</v>
      </c>
      <c r="J139" s="168">
        <f>IFERROR(MIN('MP Calculations'!$E$30/I139,1),"-")</f>
        <v>0.89877153183870317</v>
      </c>
      <c r="K139" s="12"/>
      <c r="L139" s="159">
        <v>1</v>
      </c>
      <c r="M139" s="159" t="s">
        <v>302</v>
      </c>
      <c r="N139" s="159">
        <v>125625.42</v>
      </c>
      <c r="O139" s="185">
        <f t="shared" si="7"/>
        <v>125625.42</v>
      </c>
      <c r="P139" s="215">
        <f t="shared" si="6"/>
        <v>112908.55117128046</v>
      </c>
      <c r="Q139" s="215" cm="1">
        <f t="array" ref="Q139">IF(P139="-",0,P139/(1+'General inputs'!$H$32)^IFERROR(INDEX('MP Calculations'!$C$40:$C$130,MATCH(F139,'MP Calculations'!$D$40:$D$130,0),0),-1))</f>
        <v>184986.25580474909</v>
      </c>
    </row>
    <row r="140" spans="3:17" x14ac:dyDescent="0.25">
      <c r="C140" s="159"/>
      <c r="D140" s="165" t="s">
        <v>388</v>
      </c>
      <c r="E140" s="161">
        <v>40633</v>
      </c>
      <c r="F140" s="172" t="str">
        <f t="shared" si="4"/>
        <v>2010-11</v>
      </c>
      <c r="G140" s="68"/>
      <c r="H140" s="167" t="s">
        <v>279</v>
      </c>
      <c r="I140" s="173">
        <v>8793.8848904043734</v>
      </c>
      <c r="J140" s="168">
        <f>IFERROR(MIN('MP Calculations'!$E$30/I140,1),"-")</f>
        <v>0.89877153183870317</v>
      </c>
      <c r="K140" s="12"/>
      <c r="L140" s="159">
        <v>1</v>
      </c>
      <c r="M140" s="159" t="s">
        <v>302</v>
      </c>
      <c r="N140" s="159">
        <v>83320.92</v>
      </c>
      <c r="O140" s="185">
        <f t="shared" si="7"/>
        <v>83320.92</v>
      </c>
      <c r="P140" s="215">
        <f t="shared" si="6"/>
        <v>74886.470902610032</v>
      </c>
      <c r="Q140" s="215" cm="1">
        <f t="array" ref="Q140">IF(P140="-",0,P140/(1+'General inputs'!$H$32)^IFERROR(INDEX('MP Calculations'!$C$40:$C$130,MATCH(F140,'MP Calculations'!$D$40:$D$130,0),0),-1))</f>
        <v>122691.92828176839</v>
      </c>
    </row>
    <row r="141" spans="3:17" x14ac:dyDescent="0.25">
      <c r="C141" s="159"/>
      <c r="D141" s="165" t="s">
        <v>389</v>
      </c>
      <c r="E141" s="161">
        <v>40633</v>
      </c>
      <c r="F141" s="172" t="str">
        <f t="shared" si="4"/>
        <v>2010-11</v>
      </c>
      <c r="G141" s="68"/>
      <c r="H141" s="167" t="s">
        <v>279</v>
      </c>
      <c r="I141" s="173">
        <v>8793.8848904043734</v>
      </c>
      <c r="J141" s="168">
        <f>IFERROR(MIN('MP Calculations'!$E$30/I141,1),"-")</f>
        <v>0.89877153183870317</v>
      </c>
      <c r="K141" s="12"/>
      <c r="L141" s="159">
        <v>1</v>
      </c>
      <c r="M141" s="159" t="s">
        <v>302</v>
      </c>
      <c r="N141" s="159">
        <v>736835.94</v>
      </c>
      <c r="O141" s="185">
        <f t="shared" si="7"/>
        <v>736835.94</v>
      </c>
      <c r="P141" s="215">
        <f t="shared" si="6"/>
        <v>662247.1665076107</v>
      </c>
      <c r="Q141" s="215" cm="1">
        <f t="array" ref="Q141">IF(P141="-",0,P141/(1+'General inputs'!$H$32)^IFERROR(INDEX('MP Calculations'!$C$40:$C$130,MATCH(F141,'MP Calculations'!$D$40:$D$130,0),0),-1))</f>
        <v>1085007.4903866807</v>
      </c>
    </row>
    <row r="142" spans="3:17" x14ac:dyDescent="0.25">
      <c r="C142" s="159"/>
      <c r="D142" s="165" t="s">
        <v>390</v>
      </c>
      <c r="E142" s="161">
        <v>40633</v>
      </c>
      <c r="F142" s="172" t="str">
        <f t="shared" si="4"/>
        <v>2010-11</v>
      </c>
      <c r="G142" s="68"/>
      <c r="H142" s="167" t="s">
        <v>279</v>
      </c>
      <c r="I142" s="173">
        <v>8793.8848904043734</v>
      </c>
      <c r="J142" s="168">
        <f>IFERROR(MIN('MP Calculations'!$E$30/I142,1),"-")</f>
        <v>0.89877153183870317</v>
      </c>
      <c r="K142" s="12"/>
      <c r="L142" s="159">
        <v>1</v>
      </c>
      <c r="M142" s="159" t="s">
        <v>302</v>
      </c>
      <c r="N142" s="159">
        <v>1046064.07</v>
      </c>
      <c r="O142" s="185">
        <f t="shared" si="7"/>
        <v>1046064.07</v>
      </c>
      <c r="P142" s="215">
        <f t="shared" si="6"/>
        <v>940172.60659532843</v>
      </c>
      <c r="Q142" s="215" cm="1">
        <f t="array" ref="Q142">IF(P142="-",0,P142/(1+'General inputs'!$H$32)^IFERROR(INDEX('MP Calculations'!$C$40:$C$130,MATCH(F142,'MP Calculations'!$D$40:$D$130,0),0),-1))</f>
        <v>1540352.8652176999</v>
      </c>
    </row>
    <row r="143" spans="3:17" x14ac:dyDescent="0.25">
      <c r="C143" s="159"/>
      <c r="D143" s="165" t="s">
        <v>391</v>
      </c>
      <c r="E143" s="161">
        <v>40633</v>
      </c>
      <c r="F143" s="172" t="str">
        <f t="shared" si="4"/>
        <v>2010-11</v>
      </c>
      <c r="G143" s="68"/>
      <c r="H143" s="167" t="s">
        <v>279</v>
      </c>
      <c r="I143" s="173">
        <v>8793.8848904043734</v>
      </c>
      <c r="J143" s="168">
        <f>IFERROR(MIN('MP Calculations'!$E$30/I143,1),"-")</f>
        <v>0.89877153183870317</v>
      </c>
      <c r="K143" s="12"/>
      <c r="L143" s="159">
        <v>1</v>
      </c>
      <c r="M143" s="159" t="s">
        <v>302</v>
      </c>
      <c r="N143" s="159">
        <v>684551.52</v>
      </c>
      <c r="O143" s="185">
        <f t="shared" si="7"/>
        <v>684551.52</v>
      </c>
      <c r="P143" s="215">
        <f t="shared" si="6"/>
        <v>615255.4182529127</v>
      </c>
      <c r="Q143" s="215" cm="1">
        <f t="array" ref="Q143">IF(P143="-",0,P143/(1+'General inputs'!$H$32)^IFERROR(INDEX('MP Calculations'!$C$40:$C$130,MATCH(F143,'MP Calculations'!$D$40:$D$130,0),0),-1))</f>
        <v>1008017.5062519179</v>
      </c>
    </row>
    <row r="144" spans="3:17" x14ac:dyDescent="0.25">
      <c r="C144" s="159"/>
      <c r="D144" s="165" t="s">
        <v>392</v>
      </c>
      <c r="E144" s="161">
        <v>40633</v>
      </c>
      <c r="F144" s="172" t="str">
        <f t="shared" si="4"/>
        <v>2010-11</v>
      </c>
      <c r="G144" s="68"/>
      <c r="H144" s="167" t="s">
        <v>279</v>
      </c>
      <c r="I144" s="173">
        <v>8793.8848904043734</v>
      </c>
      <c r="J144" s="168">
        <f>IFERROR(MIN('MP Calculations'!$E$30/I144,1),"-")</f>
        <v>0.89877153183870317</v>
      </c>
      <c r="K144" s="12"/>
      <c r="L144" s="159">
        <v>1</v>
      </c>
      <c r="M144" s="159" t="s">
        <v>302</v>
      </c>
      <c r="N144" s="159">
        <v>213391.63</v>
      </c>
      <c r="O144" s="185">
        <f t="shared" si="7"/>
        <v>213391.63</v>
      </c>
      <c r="P144" s="215">
        <f t="shared" si="6"/>
        <v>191790.32217665776</v>
      </c>
      <c r="Q144" s="215" cm="1">
        <f t="array" ref="Q144">IF(P144="-",0,P144/(1+'General inputs'!$H$32)^IFERROR(INDEX('MP Calculations'!$C$40:$C$130,MATCH(F144,'MP Calculations'!$D$40:$D$130,0),0),-1))</f>
        <v>314223.97356977884</v>
      </c>
    </row>
    <row r="145" spans="3:17" x14ac:dyDescent="0.25">
      <c r="C145" s="159"/>
      <c r="D145" s="165" t="s">
        <v>393</v>
      </c>
      <c r="E145" s="161">
        <v>40633</v>
      </c>
      <c r="F145" s="172" t="str">
        <f t="shared" si="4"/>
        <v>2010-11</v>
      </c>
      <c r="G145" s="68"/>
      <c r="H145" s="167" t="s">
        <v>279</v>
      </c>
      <c r="I145" s="173">
        <v>8793.8848904043734</v>
      </c>
      <c r="J145" s="168">
        <f>IFERROR(MIN('MP Calculations'!$E$30/I145,1),"-")</f>
        <v>0.89877153183870317</v>
      </c>
      <c r="K145" s="12"/>
      <c r="L145" s="159">
        <v>1</v>
      </c>
      <c r="M145" s="159" t="s">
        <v>302</v>
      </c>
      <c r="N145" s="159">
        <v>21030.94</v>
      </c>
      <c r="O145" s="185">
        <f t="shared" si="7"/>
        <v>21030.94</v>
      </c>
      <c r="P145" s="215">
        <f t="shared" si="6"/>
        <v>18902.010159807855</v>
      </c>
      <c r="Q145" s="215" cm="1">
        <f t="array" ref="Q145">IF(P145="-",0,P145/(1+'General inputs'!$H$32)^IFERROR(INDEX('MP Calculations'!$C$40:$C$130,MATCH(F145,'MP Calculations'!$D$40:$D$130,0),0),-1))</f>
        <v>30968.532058673551</v>
      </c>
    </row>
    <row r="146" spans="3:17" x14ac:dyDescent="0.25">
      <c r="C146" s="159"/>
      <c r="D146" s="165" t="s">
        <v>394</v>
      </c>
      <c r="E146" s="161">
        <v>40633</v>
      </c>
      <c r="F146" s="172" t="str">
        <f t="shared" si="4"/>
        <v>2010-11</v>
      </c>
      <c r="G146" s="68"/>
      <c r="H146" s="167" t="s">
        <v>279</v>
      </c>
      <c r="I146" s="173">
        <v>8793.8848904043734</v>
      </c>
      <c r="J146" s="168">
        <f>IFERROR(MIN('MP Calculations'!$E$30/I146,1),"-")</f>
        <v>0.89877153183870317</v>
      </c>
      <c r="K146" s="12"/>
      <c r="L146" s="159">
        <v>1</v>
      </c>
      <c r="M146" s="159" t="s">
        <v>302</v>
      </c>
      <c r="N146" s="159">
        <v>43993.48</v>
      </c>
      <c r="O146" s="185">
        <f t="shared" si="7"/>
        <v>43993.48</v>
      </c>
      <c r="P146" s="215">
        <f t="shared" si="6"/>
        <v>39540.087410515356</v>
      </c>
      <c r="Q146" s="215" cm="1">
        <f t="array" ref="Q146">IF(P146="-",0,P146/(1+'General inputs'!$H$32)^IFERROR(INDEX('MP Calculations'!$C$40:$C$130,MATCH(F146,'MP Calculations'!$D$40:$D$130,0),0),-1))</f>
        <v>64781.388551943659</v>
      </c>
    </row>
    <row r="147" spans="3:17" x14ac:dyDescent="0.25">
      <c r="C147" s="159"/>
      <c r="D147" s="165" t="s">
        <v>395</v>
      </c>
      <c r="E147" s="161">
        <v>40633</v>
      </c>
      <c r="F147" s="172" t="str">
        <f t="shared" si="4"/>
        <v>2010-11</v>
      </c>
      <c r="G147" s="68"/>
      <c r="H147" s="167" t="s">
        <v>279</v>
      </c>
      <c r="I147" s="173">
        <v>8793.8848904043734</v>
      </c>
      <c r="J147" s="168">
        <f>IFERROR(MIN('MP Calculations'!$E$30/I147,1),"-")</f>
        <v>0.89877153183870317</v>
      </c>
      <c r="K147" s="12"/>
      <c r="L147" s="159">
        <v>1</v>
      </c>
      <c r="M147" s="159" t="s">
        <v>302</v>
      </c>
      <c r="N147" s="159">
        <v>195246.42</v>
      </c>
      <c r="O147" s="185">
        <f t="shared" si="7"/>
        <v>195246.42</v>
      </c>
      <c r="P147" s="215">
        <f t="shared" si="6"/>
        <v>175481.92398942282</v>
      </c>
      <c r="Q147" s="215" cm="1">
        <f t="array" ref="Q147">IF(P147="-",0,P147/(1+'General inputs'!$H$32)^IFERROR(INDEX('MP Calculations'!$C$40:$C$130,MATCH(F147,'MP Calculations'!$D$40:$D$130,0),0),-1))</f>
        <v>287504.74382558465</v>
      </c>
    </row>
    <row r="148" spans="3:17" x14ac:dyDescent="0.25">
      <c r="C148" s="159"/>
      <c r="D148" s="165" t="s">
        <v>396</v>
      </c>
      <c r="E148" s="161">
        <v>40633</v>
      </c>
      <c r="F148" s="172" t="str">
        <f t="shared" si="4"/>
        <v>2010-11</v>
      </c>
      <c r="G148" s="68"/>
      <c r="H148" s="167" t="s">
        <v>279</v>
      </c>
      <c r="I148" s="173">
        <v>8793.8848904043734</v>
      </c>
      <c r="J148" s="168">
        <f>IFERROR(MIN('MP Calculations'!$E$30/I148,1),"-")</f>
        <v>0.89877153183870317</v>
      </c>
      <c r="K148" s="12"/>
      <c r="L148" s="159">
        <v>1</v>
      </c>
      <c r="M148" s="159" t="s">
        <v>302</v>
      </c>
      <c r="N148" s="159">
        <v>416491.02</v>
      </c>
      <c r="O148" s="185">
        <f t="shared" si="7"/>
        <v>416491.02</v>
      </c>
      <c r="P148" s="215">
        <f t="shared" si="6"/>
        <v>374330.272042464</v>
      </c>
      <c r="Q148" s="215" cm="1">
        <f t="array" ref="Q148">IF(P148="-",0,P148/(1+'General inputs'!$H$32)^IFERROR(INDEX('MP Calculations'!$C$40:$C$130,MATCH(F148,'MP Calculations'!$D$40:$D$130,0),0),-1))</f>
        <v>613292.39230484457</v>
      </c>
    </row>
    <row r="149" spans="3:17" x14ac:dyDescent="0.25">
      <c r="C149" s="159"/>
      <c r="D149" s="165" t="s">
        <v>397</v>
      </c>
      <c r="E149" s="161">
        <v>40633</v>
      </c>
      <c r="F149" s="172" t="str">
        <f t="shared" si="4"/>
        <v>2010-11</v>
      </c>
      <c r="G149" s="68"/>
      <c r="H149" s="167" t="s">
        <v>279</v>
      </c>
      <c r="I149" s="173">
        <v>8793.8848904043734</v>
      </c>
      <c r="J149" s="168">
        <f>IFERROR(MIN('MP Calculations'!$E$30/I149,1),"-")</f>
        <v>0.89877153183870317</v>
      </c>
      <c r="K149" s="12"/>
      <c r="L149" s="159">
        <v>1</v>
      </c>
      <c r="M149" s="159" t="s">
        <v>302</v>
      </c>
      <c r="N149" s="159">
        <v>612797.37</v>
      </c>
      <c r="O149" s="185">
        <f t="shared" si="7"/>
        <v>612797.37</v>
      </c>
      <c r="P149" s="215">
        <f t="shared" si="6"/>
        <v>550764.83094162855</v>
      </c>
      <c r="Q149" s="215" cm="1">
        <f t="array" ref="Q149">IF(P149="-",0,P149/(1+'General inputs'!$H$32)^IFERROR(INDEX('MP Calculations'!$C$40:$C$130,MATCH(F149,'MP Calculations'!$D$40:$D$130,0),0),-1))</f>
        <v>902357.90688936575</v>
      </c>
    </row>
    <row r="150" spans="3:17" x14ac:dyDescent="0.25">
      <c r="C150" s="159"/>
      <c r="D150" s="165" t="s">
        <v>292</v>
      </c>
      <c r="E150" s="161">
        <v>40665</v>
      </c>
      <c r="F150" s="172" t="str">
        <f t="shared" ref="F150:F213" si="8">IF(E150="","-",IF(OR(E150&lt;$E$15,E150&gt;$E$16),"ERROR - date outside of range",IF(MONTH(E150)&gt;=7,YEAR(E150)&amp;"-"&amp;IF(YEAR(E150)=1999,"00",IF(AND(YEAR(E150)&gt;=2000,YEAR(E150)&lt;2009),"0","")&amp;RIGHT(YEAR(E150),2)+1),RIGHT(YEAR(E150),4)-1&amp;"-"&amp;RIGHT(YEAR(E150),2))))</f>
        <v>2010-11</v>
      </c>
      <c r="G150" s="68"/>
      <c r="H150" s="167" t="s">
        <v>279</v>
      </c>
      <c r="I150" s="173">
        <v>8793.8848904043734</v>
      </c>
      <c r="J150" s="168">
        <f>IFERROR(MIN('MP Calculations'!$E$30/I150,1),"-")</f>
        <v>0.89877153183870317</v>
      </c>
      <c r="K150" s="12"/>
      <c r="L150" s="159">
        <v>5.416436</v>
      </c>
      <c r="M150" s="159" t="s">
        <v>301</v>
      </c>
      <c r="N150" s="159">
        <v>995</v>
      </c>
      <c r="O150" s="185">
        <f t="shared" si="7"/>
        <v>5389.3538200000003</v>
      </c>
      <c r="P150" s="215">
        <f t="shared" si="6"/>
        <v>4843.7977884221664</v>
      </c>
      <c r="Q150" s="215" cm="1">
        <f t="array" ref="Q150">IF(P150="-",0,P150/(1+'General inputs'!$H$32)^IFERROR(INDEX('MP Calculations'!$C$40:$C$130,MATCH(F150,'MP Calculations'!$D$40:$D$130,0),0),-1))</f>
        <v>7935.9446867427123</v>
      </c>
    </row>
    <row r="151" spans="3:17" x14ac:dyDescent="0.25">
      <c r="C151" s="159"/>
      <c r="D151" s="165" t="s">
        <v>398</v>
      </c>
      <c r="E151" s="161">
        <v>40665</v>
      </c>
      <c r="F151" s="172" t="str">
        <f t="shared" si="8"/>
        <v>2010-11</v>
      </c>
      <c r="G151" s="68"/>
      <c r="H151" s="167" t="s">
        <v>279</v>
      </c>
      <c r="I151" s="173">
        <v>8793.8848904043734</v>
      </c>
      <c r="J151" s="168">
        <f>IFERROR(MIN('MP Calculations'!$E$30/I151,1),"-")</f>
        <v>0.89877153183870317</v>
      </c>
      <c r="K151" s="12"/>
      <c r="L151" s="159">
        <v>45.348444999999998</v>
      </c>
      <c r="M151" s="159" t="s">
        <v>301</v>
      </c>
      <c r="N151" s="159">
        <v>2321</v>
      </c>
      <c r="O151" s="185">
        <f t="shared" si="7"/>
        <v>105253.74084499999</v>
      </c>
      <c r="P151" s="215">
        <f t="shared" ref="P151:P214" si="9">IF(O151="-","-",IF(OR(E151&lt;$E$15,E151&gt;$E$16),0,O151*J151))</f>
        <v>94599.065891014528</v>
      </c>
      <c r="Q151" s="215" cm="1">
        <f t="array" ref="Q151">IF(P151="-",0,P151/(1+'General inputs'!$H$32)^IFERROR(INDEX('MP Calculations'!$C$40:$C$130,MATCH(F151,'MP Calculations'!$D$40:$D$130,0),0),-1))</f>
        <v>154988.50016469546</v>
      </c>
    </row>
    <row r="152" spans="3:17" x14ac:dyDescent="0.25">
      <c r="C152" s="159"/>
      <c r="D152" s="165" t="s">
        <v>399</v>
      </c>
      <c r="E152" s="161">
        <v>40665</v>
      </c>
      <c r="F152" s="172" t="str">
        <f t="shared" si="8"/>
        <v>2010-11</v>
      </c>
      <c r="G152" s="68"/>
      <c r="H152" s="167" t="s">
        <v>279</v>
      </c>
      <c r="I152" s="173">
        <v>8793.8848904043734</v>
      </c>
      <c r="J152" s="168">
        <f>IFERROR(MIN('MP Calculations'!$E$30/I152,1),"-")</f>
        <v>0.89877153183870317</v>
      </c>
      <c r="K152" s="12"/>
      <c r="L152" s="159">
        <v>93.924233000000001</v>
      </c>
      <c r="M152" s="159" t="s">
        <v>301</v>
      </c>
      <c r="N152" s="159">
        <v>3983</v>
      </c>
      <c r="O152" s="185">
        <f t="shared" si="7"/>
        <v>374100.22003899998</v>
      </c>
      <c r="P152" s="215">
        <f t="shared" si="9"/>
        <v>336230.62782564794</v>
      </c>
      <c r="Q152" s="215" cm="1">
        <f t="array" ref="Q152">IF(P152="-",0,P152/(1+'General inputs'!$H$32)^IFERROR(INDEX('MP Calculations'!$C$40:$C$130,MATCH(F152,'MP Calculations'!$D$40:$D$130,0),0),-1))</f>
        <v>550870.98614872189</v>
      </c>
    </row>
    <row r="153" spans="3:17" x14ac:dyDescent="0.25">
      <c r="C153" s="159"/>
      <c r="D153" s="165" t="s">
        <v>398</v>
      </c>
      <c r="E153" s="161">
        <v>40665</v>
      </c>
      <c r="F153" s="172" t="str">
        <f t="shared" si="8"/>
        <v>2010-11</v>
      </c>
      <c r="G153" s="68"/>
      <c r="H153" s="167" t="s">
        <v>279</v>
      </c>
      <c r="I153" s="173">
        <v>8793.8848904043734</v>
      </c>
      <c r="J153" s="168">
        <f>IFERROR(MIN('MP Calculations'!$E$30/I153,1),"-")</f>
        <v>0.89877153183870317</v>
      </c>
      <c r="K153" s="12"/>
      <c r="L153" s="159">
        <v>13.925204000000001</v>
      </c>
      <c r="M153" s="159" t="s">
        <v>301</v>
      </c>
      <c r="N153" s="159">
        <v>2321</v>
      </c>
      <c r="O153" s="185">
        <f t="shared" si="7"/>
        <v>32320.398484000001</v>
      </c>
      <c r="P153" s="215">
        <f t="shared" si="9"/>
        <v>29048.654055101983</v>
      </c>
      <c r="Q153" s="215" cm="1">
        <f t="array" ref="Q153">IF(P153="-",0,P153/(1+'General inputs'!$H$32)^IFERROR(INDEX('MP Calculations'!$C$40:$C$130,MATCH(F153,'MP Calculations'!$D$40:$D$130,0),0),-1))</f>
        <v>47592.513534861406</v>
      </c>
    </row>
    <row r="154" spans="3:17" x14ac:dyDescent="0.25">
      <c r="C154" s="159"/>
      <c r="D154" s="165" t="s">
        <v>398</v>
      </c>
      <c r="E154" s="161">
        <v>40665</v>
      </c>
      <c r="F154" s="172" t="str">
        <f t="shared" si="8"/>
        <v>2010-11</v>
      </c>
      <c r="G154" s="68"/>
      <c r="H154" s="167" t="s">
        <v>279</v>
      </c>
      <c r="I154" s="173">
        <v>8793.8848904043734</v>
      </c>
      <c r="J154" s="168">
        <f>IFERROR(MIN('MP Calculations'!$E$30/I154,1),"-")</f>
        <v>0.89877153183870317</v>
      </c>
      <c r="K154" s="12"/>
      <c r="L154" s="159">
        <v>5.4348970000000003</v>
      </c>
      <c r="M154" s="159" t="s">
        <v>301</v>
      </c>
      <c r="N154" s="159">
        <v>2321</v>
      </c>
      <c r="O154" s="185">
        <f t="shared" si="7"/>
        <v>12614.395937000001</v>
      </c>
      <c r="P154" s="215">
        <f t="shared" si="9"/>
        <v>11337.459959517404</v>
      </c>
      <c r="Q154" s="215" cm="1">
        <f t="array" ref="Q154">IF(P154="-",0,P154/(1+'General inputs'!$H$32)^IFERROR(INDEX('MP Calculations'!$C$40:$C$130,MATCH(F154,'MP Calculations'!$D$40:$D$130,0),0),-1))</f>
        <v>18574.981668712189</v>
      </c>
    </row>
    <row r="155" spans="3:17" x14ac:dyDescent="0.25">
      <c r="C155" s="159"/>
      <c r="D155" s="165" t="s">
        <v>398</v>
      </c>
      <c r="E155" s="161">
        <v>40665</v>
      </c>
      <c r="F155" s="172" t="str">
        <f t="shared" si="8"/>
        <v>2010-11</v>
      </c>
      <c r="G155" s="68"/>
      <c r="H155" s="167" t="s">
        <v>279</v>
      </c>
      <c r="I155" s="173">
        <v>8793.8848904043734</v>
      </c>
      <c r="J155" s="168">
        <f>IFERROR(MIN('MP Calculations'!$E$30/I155,1),"-")</f>
        <v>0.89877153183870317</v>
      </c>
      <c r="K155" s="12"/>
      <c r="L155" s="159">
        <v>2.7398150000000001</v>
      </c>
      <c r="M155" s="159" t="s">
        <v>301</v>
      </c>
      <c r="N155" s="159">
        <v>2321</v>
      </c>
      <c r="O155" s="185">
        <f t="shared" si="7"/>
        <v>6359.1106150000005</v>
      </c>
      <c r="P155" s="215">
        <f t="shared" si="9"/>
        <v>5715.3875885753087</v>
      </c>
      <c r="Q155" s="215" cm="1">
        <f t="array" ref="Q155">IF(P155="-",0,P155/(1+'General inputs'!$H$32)^IFERROR(INDEX('MP Calculations'!$C$40:$C$130,MATCH(F155,'MP Calculations'!$D$40:$D$130,0),0),-1))</f>
        <v>9363.9333736522858</v>
      </c>
    </row>
    <row r="156" spans="3:17" x14ac:dyDescent="0.25">
      <c r="C156" s="159"/>
      <c r="D156" s="165" t="s">
        <v>400</v>
      </c>
      <c r="E156" s="161">
        <v>40665</v>
      </c>
      <c r="F156" s="172" t="str">
        <f t="shared" si="8"/>
        <v>2010-11</v>
      </c>
      <c r="G156" s="68"/>
      <c r="H156" s="167" t="s">
        <v>279</v>
      </c>
      <c r="I156" s="173">
        <v>8793.8848904043734</v>
      </c>
      <c r="J156" s="168">
        <f>IFERROR(MIN('MP Calculations'!$E$30/I156,1),"-")</f>
        <v>0.89877153183870317</v>
      </c>
      <c r="K156" s="12"/>
      <c r="L156" s="159">
        <v>15.965589</v>
      </c>
      <c r="M156" s="159" t="s">
        <v>301</v>
      </c>
      <c r="N156" s="159">
        <v>668</v>
      </c>
      <c r="O156" s="185">
        <f t="shared" si="7"/>
        <v>10665.013451999999</v>
      </c>
      <c r="P156" s="215">
        <f t="shared" si="9"/>
        <v>9585.4104773344152</v>
      </c>
      <c r="Q156" s="215" cm="1">
        <f t="array" ref="Q156">IF(P156="-",0,P156/(1+'General inputs'!$H$32)^IFERROR(INDEX('MP Calculations'!$C$40:$C$130,MATCH(F156,'MP Calculations'!$D$40:$D$130,0),0),-1))</f>
        <v>15704.472125090304</v>
      </c>
    </row>
    <row r="157" spans="3:17" x14ac:dyDescent="0.25">
      <c r="C157" s="159"/>
      <c r="D157" s="165" t="s">
        <v>336</v>
      </c>
      <c r="E157" s="161">
        <v>40665</v>
      </c>
      <c r="F157" s="172" t="str">
        <f t="shared" si="8"/>
        <v>2010-11</v>
      </c>
      <c r="G157" s="68"/>
      <c r="H157" s="167" t="s">
        <v>279</v>
      </c>
      <c r="I157" s="173">
        <v>8793.8848904043734</v>
      </c>
      <c r="J157" s="168">
        <f>IFERROR(MIN('MP Calculations'!$E$30/I157,1),"-")</f>
        <v>0.89877153183870317</v>
      </c>
      <c r="K157" s="12"/>
      <c r="L157" s="159">
        <v>3.2314370000000001</v>
      </c>
      <c r="M157" s="159" t="s">
        <v>301</v>
      </c>
      <c r="N157" s="159">
        <v>726</v>
      </c>
      <c r="O157" s="185">
        <f t="shared" si="7"/>
        <v>2346.0232620000002</v>
      </c>
      <c r="P157" s="215">
        <f t="shared" si="9"/>
        <v>2108.5389209169716</v>
      </c>
      <c r="Q157" s="215" cm="1">
        <f t="array" ref="Q157">IF(P157="-",0,P157/(1+'General inputs'!$H$32)^IFERROR(INDEX('MP Calculations'!$C$40:$C$130,MATCH(F157,'MP Calculations'!$D$40:$D$130,0),0),-1))</f>
        <v>3454.5720067500984</v>
      </c>
    </row>
    <row r="158" spans="3:17" x14ac:dyDescent="0.25">
      <c r="C158" s="159"/>
      <c r="D158" s="165" t="s">
        <v>336</v>
      </c>
      <c r="E158" s="161">
        <v>40665</v>
      </c>
      <c r="F158" s="172" t="str">
        <f t="shared" si="8"/>
        <v>2010-11</v>
      </c>
      <c r="G158" s="68"/>
      <c r="H158" s="167" t="s">
        <v>279</v>
      </c>
      <c r="I158" s="173">
        <v>8793.8848904043734</v>
      </c>
      <c r="J158" s="168">
        <f>IFERROR(MIN('MP Calculations'!$E$30/I158,1),"-")</f>
        <v>0.89877153183870317</v>
      </c>
      <c r="K158" s="12"/>
      <c r="L158" s="159">
        <v>10.513384</v>
      </c>
      <c r="M158" s="159" t="s">
        <v>301</v>
      </c>
      <c r="N158" s="159">
        <v>726</v>
      </c>
      <c r="O158" s="185">
        <f t="shared" si="7"/>
        <v>7632.7167840000002</v>
      </c>
      <c r="P158" s="215">
        <f t="shared" si="9"/>
        <v>6860.06855604666</v>
      </c>
      <c r="Q158" s="215" cm="1">
        <f t="array" ref="Q158">IF(P158="-",0,P158/(1+'General inputs'!$H$32)^IFERROR(INDEX('MP Calculations'!$C$40:$C$130,MATCH(F158,'MP Calculations'!$D$40:$D$130,0),0),-1))</f>
        <v>11239.347096234391</v>
      </c>
    </row>
    <row r="159" spans="3:17" x14ac:dyDescent="0.25">
      <c r="C159" s="159"/>
      <c r="D159" s="165" t="s">
        <v>336</v>
      </c>
      <c r="E159" s="161">
        <v>40665</v>
      </c>
      <c r="F159" s="172" t="str">
        <f t="shared" si="8"/>
        <v>2010-11</v>
      </c>
      <c r="G159" s="68"/>
      <c r="H159" s="167" t="s">
        <v>279</v>
      </c>
      <c r="I159" s="173">
        <v>8793.8848904043734</v>
      </c>
      <c r="J159" s="168">
        <f>IFERROR(MIN('MP Calculations'!$E$30/I159,1),"-")</f>
        <v>0.89877153183870317</v>
      </c>
      <c r="K159" s="12"/>
      <c r="L159" s="159">
        <v>1.4277880000000001</v>
      </c>
      <c r="M159" s="159" t="s">
        <v>301</v>
      </c>
      <c r="N159" s="159">
        <v>726</v>
      </c>
      <c r="O159" s="185">
        <f t="shared" si="7"/>
        <v>1036.5740880000001</v>
      </c>
      <c r="P159" s="215">
        <f t="shared" si="9"/>
        <v>931.64328093606673</v>
      </c>
      <c r="Q159" s="215" cm="1">
        <f t="array" ref="Q159">IF(P159="-",0,P159/(1+'General inputs'!$H$32)^IFERROR(INDEX('MP Calculations'!$C$40:$C$130,MATCH(F159,'MP Calculations'!$D$40:$D$130,0),0),-1))</f>
        <v>1526.3786533278255</v>
      </c>
    </row>
    <row r="160" spans="3:17" x14ac:dyDescent="0.25">
      <c r="C160" s="159"/>
      <c r="D160" s="165" t="s">
        <v>400</v>
      </c>
      <c r="E160" s="161">
        <v>40665</v>
      </c>
      <c r="F160" s="172" t="str">
        <f t="shared" si="8"/>
        <v>2010-11</v>
      </c>
      <c r="G160" s="68"/>
      <c r="H160" s="167" t="s">
        <v>279</v>
      </c>
      <c r="I160" s="173">
        <v>8793.8848904043734</v>
      </c>
      <c r="J160" s="168">
        <f>IFERROR(MIN('MP Calculations'!$E$30/I160,1),"-")</f>
        <v>0.89877153183870317</v>
      </c>
      <c r="K160" s="12"/>
      <c r="L160" s="159">
        <v>0.59787999999999997</v>
      </c>
      <c r="M160" s="159" t="s">
        <v>301</v>
      </c>
      <c r="N160" s="159">
        <v>668</v>
      </c>
      <c r="O160" s="185">
        <f t="shared" si="7"/>
        <v>399.38383999999996</v>
      </c>
      <c r="P160" s="215">
        <f t="shared" si="9"/>
        <v>358.9548256684235</v>
      </c>
      <c r="Q160" s="215" cm="1">
        <f t="array" ref="Q160">IF(P160="-",0,P160/(1+'General inputs'!$H$32)^IFERROR(INDEX('MP Calculations'!$C$40:$C$130,MATCH(F160,'MP Calculations'!$D$40:$D$130,0),0),-1))</f>
        <v>588.10168507713627</v>
      </c>
    </row>
    <row r="161" spans="3:17" x14ac:dyDescent="0.25">
      <c r="C161" s="159"/>
      <c r="D161" s="165" t="s">
        <v>400</v>
      </c>
      <c r="E161" s="161">
        <v>40665</v>
      </c>
      <c r="F161" s="172" t="str">
        <f t="shared" si="8"/>
        <v>2010-11</v>
      </c>
      <c r="G161" s="68"/>
      <c r="H161" s="167" t="s">
        <v>279</v>
      </c>
      <c r="I161" s="173">
        <v>8793.8848904043734</v>
      </c>
      <c r="J161" s="168">
        <f>IFERROR(MIN('MP Calculations'!$E$30/I161,1),"-")</f>
        <v>0.89877153183870317</v>
      </c>
      <c r="K161" s="12"/>
      <c r="L161" s="159">
        <v>1.7152240000000001</v>
      </c>
      <c r="M161" s="159" t="s">
        <v>301</v>
      </c>
      <c r="N161" s="159">
        <v>668</v>
      </c>
      <c r="O161" s="185">
        <f t="shared" si="7"/>
        <v>1145.769632</v>
      </c>
      <c r="P161" s="215">
        <f t="shared" si="9"/>
        <v>1029.7851272869073</v>
      </c>
      <c r="Q161" s="215" cm="1">
        <f t="array" ref="Q161">IF(P161="-",0,P161/(1+'General inputs'!$H$32)^IFERROR(INDEX('MP Calculations'!$C$40:$C$130,MATCH(F161,'MP Calculations'!$D$40:$D$130,0),0),-1))</f>
        <v>1687.1715472749484</v>
      </c>
    </row>
    <row r="162" spans="3:17" x14ac:dyDescent="0.25">
      <c r="C162" s="159"/>
      <c r="D162" s="165" t="s">
        <v>400</v>
      </c>
      <c r="E162" s="161">
        <v>40665</v>
      </c>
      <c r="F162" s="172" t="str">
        <f t="shared" si="8"/>
        <v>2010-11</v>
      </c>
      <c r="G162" s="68"/>
      <c r="H162" s="167" t="s">
        <v>279</v>
      </c>
      <c r="I162" s="173">
        <v>8793.8848904043734</v>
      </c>
      <c r="J162" s="168">
        <f>IFERROR(MIN('MP Calculations'!$E$30/I162,1),"-")</f>
        <v>0.89877153183870317</v>
      </c>
      <c r="K162" s="12"/>
      <c r="L162" s="159">
        <v>0.46630899999999997</v>
      </c>
      <c r="M162" s="159" t="s">
        <v>301</v>
      </c>
      <c r="N162" s="159">
        <v>668</v>
      </c>
      <c r="O162" s="185">
        <f t="shared" si="7"/>
        <v>311.49441199999995</v>
      </c>
      <c r="P162" s="215">
        <f t="shared" si="9"/>
        <v>279.96230983243606</v>
      </c>
      <c r="Q162" s="215" cm="1">
        <f t="array" ref="Q162">IF(P162="-",0,P162/(1+'General inputs'!$H$32)^IFERROR(INDEX('MP Calculations'!$C$40:$C$130,MATCH(F162,'MP Calculations'!$D$40:$D$130,0),0),-1))</f>
        <v>458.6825260363857</v>
      </c>
    </row>
    <row r="163" spans="3:17" x14ac:dyDescent="0.25">
      <c r="C163" s="159"/>
      <c r="D163" s="165" t="s">
        <v>400</v>
      </c>
      <c r="E163" s="161">
        <v>40665</v>
      </c>
      <c r="F163" s="172" t="str">
        <f t="shared" si="8"/>
        <v>2010-11</v>
      </c>
      <c r="G163" s="68"/>
      <c r="H163" s="167" t="s">
        <v>279</v>
      </c>
      <c r="I163" s="173">
        <v>8793.8848904043734</v>
      </c>
      <c r="J163" s="168">
        <f>IFERROR(MIN('MP Calculations'!$E$30/I163,1),"-")</f>
        <v>0.89877153183870317</v>
      </c>
      <c r="K163" s="12"/>
      <c r="L163" s="159">
        <v>6.6827300000000003</v>
      </c>
      <c r="M163" s="159" t="s">
        <v>301</v>
      </c>
      <c r="N163" s="159">
        <v>668</v>
      </c>
      <c r="O163" s="185">
        <f t="shared" si="7"/>
        <v>4464.0636400000003</v>
      </c>
      <c r="P163" s="215">
        <f t="shared" si="9"/>
        <v>4012.1733159482574</v>
      </c>
      <c r="Q163" s="215" cm="1">
        <f t="array" ref="Q163">IF(P163="-",0,P163/(1+'General inputs'!$H$32)^IFERROR(INDEX('MP Calculations'!$C$40:$C$130,MATCH(F163,'MP Calculations'!$D$40:$D$130,0),0),-1))</f>
        <v>6573.4340903116536</v>
      </c>
    </row>
    <row r="164" spans="3:17" x14ac:dyDescent="0.25">
      <c r="C164" s="159"/>
      <c r="D164" s="165" t="s">
        <v>400</v>
      </c>
      <c r="E164" s="161">
        <v>40665</v>
      </c>
      <c r="F164" s="172" t="str">
        <f t="shared" si="8"/>
        <v>2010-11</v>
      </c>
      <c r="G164" s="68"/>
      <c r="H164" s="167" t="s">
        <v>279</v>
      </c>
      <c r="I164" s="173">
        <v>8793.8848904043734</v>
      </c>
      <c r="J164" s="168">
        <f>IFERROR(MIN('MP Calculations'!$E$30/I164,1),"-")</f>
        <v>0.89877153183870317</v>
      </c>
      <c r="K164" s="12"/>
      <c r="L164" s="159">
        <v>2.5495999999999999</v>
      </c>
      <c r="M164" s="159" t="s">
        <v>301</v>
      </c>
      <c r="N164" s="159">
        <v>668</v>
      </c>
      <c r="O164" s="185">
        <f t="shared" si="7"/>
        <v>1703.1327999999999</v>
      </c>
      <c r="P164" s="215">
        <f t="shared" si="9"/>
        <v>1530.7272755807396</v>
      </c>
      <c r="Q164" s="215" cm="1">
        <f t="array" ref="Q164">IF(P164="-",0,P164/(1+'General inputs'!$H$32)^IFERROR(INDEX('MP Calculations'!$C$40:$C$130,MATCH(F164,'MP Calculations'!$D$40:$D$130,0),0),-1))</f>
        <v>2507.901345207511</v>
      </c>
    </row>
    <row r="165" spans="3:17" x14ac:dyDescent="0.25">
      <c r="C165" s="159"/>
      <c r="D165" s="165" t="s">
        <v>400</v>
      </c>
      <c r="E165" s="161">
        <v>40665</v>
      </c>
      <c r="F165" s="172" t="str">
        <f t="shared" si="8"/>
        <v>2010-11</v>
      </c>
      <c r="G165" s="68"/>
      <c r="H165" s="167" t="s">
        <v>279</v>
      </c>
      <c r="I165" s="173">
        <v>8793.8848904043734</v>
      </c>
      <c r="J165" s="168">
        <f>IFERROR(MIN('MP Calculations'!$E$30/I165,1),"-")</f>
        <v>0.89877153183870317</v>
      </c>
      <c r="K165" s="12"/>
      <c r="L165" s="159">
        <v>7.3047610000000001</v>
      </c>
      <c r="M165" s="159" t="s">
        <v>301</v>
      </c>
      <c r="N165" s="159">
        <v>668</v>
      </c>
      <c r="O165" s="185">
        <f t="shared" si="7"/>
        <v>4879.5803480000004</v>
      </c>
      <c r="P165" s="215">
        <f t="shared" si="9"/>
        <v>4385.6279041019925</v>
      </c>
      <c r="Q165" s="215" cm="1">
        <f t="array" ref="Q165">IF(P165="-",0,P165/(1+'General inputs'!$H$32)^IFERROR(INDEX('MP Calculations'!$C$40:$C$130,MATCH(F165,'MP Calculations'!$D$40:$D$130,0),0),-1))</f>
        <v>7185.2917862877957</v>
      </c>
    </row>
    <row r="166" spans="3:17" x14ac:dyDescent="0.25">
      <c r="C166" s="159"/>
      <c r="D166" s="165" t="s">
        <v>400</v>
      </c>
      <c r="E166" s="161">
        <v>40665</v>
      </c>
      <c r="F166" s="172" t="str">
        <f t="shared" si="8"/>
        <v>2010-11</v>
      </c>
      <c r="G166" s="68"/>
      <c r="H166" s="167" t="s">
        <v>279</v>
      </c>
      <c r="I166" s="173">
        <v>8793.8848904043734</v>
      </c>
      <c r="J166" s="168">
        <f>IFERROR(MIN('MP Calculations'!$E$30/I166,1),"-")</f>
        <v>0.89877153183870317</v>
      </c>
      <c r="K166" s="12"/>
      <c r="L166" s="159">
        <v>3.0174799999999999</v>
      </c>
      <c r="M166" s="159" t="s">
        <v>301</v>
      </c>
      <c r="N166" s="159">
        <v>668</v>
      </c>
      <c r="O166" s="185">
        <f t="shared" si="7"/>
        <v>2015.6766399999999</v>
      </c>
      <c r="P166" s="215">
        <f t="shared" si="9"/>
        <v>1811.6327814242902</v>
      </c>
      <c r="Q166" s="215" cm="1">
        <f t="array" ref="Q166">IF(P166="-",0,P166/(1+'General inputs'!$H$32)^IFERROR(INDEX('MP Calculations'!$C$40:$C$130,MATCH(F166,'MP Calculations'!$D$40:$D$130,0),0),-1))</f>
        <v>2968.1291775716818</v>
      </c>
    </row>
    <row r="167" spans="3:17" x14ac:dyDescent="0.25">
      <c r="C167" s="159"/>
      <c r="D167" s="165" t="s">
        <v>400</v>
      </c>
      <c r="E167" s="161">
        <v>40665</v>
      </c>
      <c r="F167" s="172" t="str">
        <f t="shared" si="8"/>
        <v>2010-11</v>
      </c>
      <c r="G167" s="68"/>
      <c r="H167" s="167" t="s">
        <v>279</v>
      </c>
      <c r="I167" s="173">
        <v>8793.8848904043734</v>
      </c>
      <c r="J167" s="168">
        <f>IFERROR(MIN('MP Calculations'!$E$30/I167,1),"-")</f>
        <v>0.89877153183870317</v>
      </c>
      <c r="K167" s="12"/>
      <c r="L167" s="159">
        <v>0.76983599999999996</v>
      </c>
      <c r="M167" s="159" t="s">
        <v>301</v>
      </c>
      <c r="N167" s="159">
        <v>668</v>
      </c>
      <c r="O167" s="185">
        <f t="shared" si="7"/>
        <v>514.25044800000001</v>
      </c>
      <c r="P167" s="215">
        <f t="shared" si="9"/>
        <v>462.19366289769937</v>
      </c>
      <c r="Q167" s="215" cm="1">
        <f t="array" ref="Q167">IF(P167="-",0,P167/(1+'General inputs'!$H$32)^IFERROR(INDEX('MP Calculations'!$C$40:$C$130,MATCH(F167,'MP Calculations'!$D$40:$D$130,0),0),-1))</f>
        <v>757.24534828567994</v>
      </c>
    </row>
    <row r="168" spans="3:17" x14ac:dyDescent="0.25">
      <c r="C168" s="159"/>
      <c r="D168" s="165" t="s">
        <v>400</v>
      </c>
      <c r="E168" s="161">
        <v>40665</v>
      </c>
      <c r="F168" s="172" t="str">
        <f t="shared" si="8"/>
        <v>2010-11</v>
      </c>
      <c r="G168" s="68"/>
      <c r="H168" s="167" t="s">
        <v>279</v>
      </c>
      <c r="I168" s="173">
        <v>8793.8848904043734</v>
      </c>
      <c r="J168" s="168">
        <f>IFERROR(MIN('MP Calculations'!$E$30/I168,1),"-")</f>
        <v>0.89877153183870317</v>
      </c>
      <c r="K168" s="12"/>
      <c r="L168" s="159">
        <v>0.696268</v>
      </c>
      <c r="M168" s="159" t="s">
        <v>301</v>
      </c>
      <c r="N168" s="159">
        <v>668</v>
      </c>
      <c r="O168" s="185">
        <f t="shared" si="7"/>
        <v>465.10702400000002</v>
      </c>
      <c r="P168" s="215">
        <f t="shared" si="9"/>
        <v>418.02495242942052</v>
      </c>
      <c r="Q168" s="215" cm="1">
        <f t="array" ref="Q168">IF(P168="-",0,P168/(1+'General inputs'!$H$32)^IFERROR(INDEX('MP Calculations'!$C$40:$C$130,MATCH(F168,'MP Calculations'!$D$40:$D$130,0),0),-1))</f>
        <v>684.88055139039204</v>
      </c>
    </row>
    <row r="169" spans="3:17" x14ac:dyDescent="0.25">
      <c r="C169" s="159"/>
      <c r="D169" s="165" t="s">
        <v>401</v>
      </c>
      <c r="E169" s="161">
        <v>41456</v>
      </c>
      <c r="F169" s="172" t="str">
        <f t="shared" si="8"/>
        <v>2013-14</v>
      </c>
      <c r="G169" s="68"/>
      <c r="H169" s="167" t="s">
        <v>279</v>
      </c>
      <c r="I169" s="173">
        <v>8793.8848904043734</v>
      </c>
      <c r="J169" s="168">
        <f>IFERROR(MIN('MP Calculations'!$E$30/I169,1),"-")</f>
        <v>0.89877153183870317</v>
      </c>
      <c r="K169" s="12"/>
      <c r="L169" s="159">
        <v>1</v>
      </c>
      <c r="M169" s="159" t="s">
        <v>302</v>
      </c>
      <c r="N169" s="159">
        <v>91543.27</v>
      </c>
      <c r="O169" s="185">
        <f t="shared" si="7"/>
        <v>91543.27</v>
      </c>
      <c r="P169" s="215">
        <f t="shared" si="9"/>
        <v>82276.485007424009</v>
      </c>
      <c r="Q169" s="215" cm="1">
        <f t="array" ref="Q169">IF(P169="-",0,P169/(1+'General inputs'!$H$32)^IFERROR(INDEX('MP Calculations'!$C$40:$C$130,MATCH(F169,'MP Calculations'!$D$40:$D$130,0),0),-1))</f>
        <v>119147.57298899197</v>
      </c>
    </row>
    <row r="170" spans="3:17" x14ac:dyDescent="0.25">
      <c r="C170" s="159"/>
      <c r="D170" s="165" t="s">
        <v>402</v>
      </c>
      <c r="E170" s="161">
        <v>41456</v>
      </c>
      <c r="F170" s="172" t="str">
        <f t="shared" si="8"/>
        <v>2013-14</v>
      </c>
      <c r="G170" s="68"/>
      <c r="H170" s="167" t="s">
        <v>279</v>
      </c>
      <c r="I170" s="173">
        <v>8793.8848904043734</v>
      </c>
      <c r="J170" s="168">
        <f>IFERROR(MIN('MP Calculations'!$E$30/I170,1),"-")</f>
        <v>0.89877153183870317</v>
      </c>
      <c r="K170" s="12"/>
      <c r="L170" s="159">
        <v>1</v>
      </c>
      <c r="M170" s="159" t="s">
        <v>302</v>
      </c>
      <c r="N170" s="159">
        <v>159676.62</v>
      </c>
      <c r="O170" s="185">
        <f t="shared" si="7"/>
        <v>159676.62</v>
      </c>
      <c r="P170" s="215">
        <f t="shared" si="9"/>
        <v>143512.80035622651</v>
      </c>
      <c r="Q170" s="215" cm="1">
        <f t="array" ref="Q170">IF(P170="-",0,P170/(1+'General inputs'!$H$32)^IFERROR(INDEX('MP Calculations'!$C$40:$C$130,MATCH(F170,'MP Calculations'!$D$40:$D$130,0),0),-1))</f>
        <v>207826.11038567373</v>
      </c>
    </row>
    <row r="171" spans="3:17" x14ac:dyDescent="0.25">
      <c r="C171" s="159"/>
      <c r="D171" s="165" t="s">
        <v>403</v>
      </c>
      <c r="E171" s="161">
        <v>41456</v>
      </c>
      <c r="F171" s="172" t="str">
        <f t="shared" si="8"/>
        <v>2013-14</v>
      </c>
      <c r="G171" s="68"/>
      <c r="H171" s="167" t="s">
        <v>279</v>
      </c>
      <c r="I171" s="173">
        <v>8793.8848904043734</v>
      </c>
      <c r="J171" s="168">
        <f>IFERROR(MIN('MP Calculations'!$E$30/I171,1),"-")</f>
        <v>0.89877153183870317</v>
      </c>
      <c r="K171" s="12"/>
      <c r="L171" s="159">
        <v>1</v>
      </c>
      <c r="M171" s="159" t="s">
        <v>302</v>
      </c>
      <c r="N171" s="159">
        <v>42608.36</v>
      </c>
      <c r="O171" s="185">
        <f t="shared" si="7"/>
        <v>42608.36</v>
      </c>
      <c r="P171" s="215">
        <f t="shared" si="9"/>
        <v>38295.180986334926</v>
      </c>
      <c r="Q171" s="215" cm="1">
        <f t="array" ref="Q171">IF(P171="-",0,P171/(1+'General inputs'!$H$32)^IFERROR(INDEX('MP Calculations'!$C$40:$C$130,MATCH(F171,'MP Calculations'!$D$40:$D$130,0),0),-1))</f>
        <v>55456.645617326598</v>
      </c>
    </row>
    <row r="172" spans="3:17" x14ac:dyDescent="0.25">
      <c r="C172" s="159"/>
      <c r="D172" s="165" t="s">
        <v>404</v>
      </c>
      <c r="E172" s="161">
        <v>41456</v>
      </c>
      <c r="F172" s="172" t="str">
        <f t="shared" si="8"/>
        <v>2013-14</v>
      </c>
      <c r="G172" s="68"/>
      <c r="H172" s="167" t="s">
        <v>279</v>
      </c>
      <c r="I172" s="173">
        <v>8793.8848904043734</v>
      </c>
      <c r="J172" s="168">
        <f>IFERROR(MIN('MP Calculations'!$E$30/I172,1),"-")</f>
        <v>0.89877153183870317</v>
      </c>
      <c r="K172" s="12"/>
      <c r="L172" s="159">
        <v>1</v>
      </c>
      <c r="M172" s="159" t="s">
        <v>302</v>
      </c>
      <c r="N172" s="159">
        <v>229643.99</v>
      </c>
      <c r="O172" s="185">
        <f t="shared" si="7"/>
        <v>229643.99</v>
      </c>
      <c r="P172" s="215">
        <f t="shared" si="9"/>
        <v>206397.48066985182</v>
      </c>
      <c r="Q172" s="215" cm="1">
        <f t="array" ref="Q172">IF(P172="-",0,P172/(1+'General inputs'!$H$32)^IFERROR(INDEX('MP Calculations'!$C$40:$C$130,MATCH(F172,'MP Calculations'!$D$40:$D$130,0),0),-1))</f>
        <v>298891.70509212028</v>
      </c>
    </row>
    <row r="173" spans="3:17" x14ac:dyDescent="0.25">
      <c r="C173" s="159"/>
      <c r="D173" s="165" t="s">
        <v>405</v>
      </c>
      <c r="E173" s="161">
        <v>41456</v>
      </c>
      <c r="F173" s="172" t="str">
        <f t="shared" si="8"/>
        <v>2013-14</v>
      </c>
      <c r="G173" s="68"/>
      <c r="H173" s="167" t="s">
        <v>279</v>
      </c>
      <c r="I173" s="173">
        <v>8793.8848904043734</v>
      </c>
      <c r="J173" s="168">
        <f>IFERROR(MIN('MP Calculations'!$E$30/I173,1),"-")</f>
        <v>0.89877153183870317</v>
      </c>
      <c r="K173" s="12"/>
      <c r="L173" s="159">
        <v>1</v>
      </c>
      <c r="M173" s="159" t="s">
        <v>302</v>
      </c>
      <c r="N173" s="159">
        <v>118877.32</v>
      </c>
      <c r="O173" s="185">
        <f t="shared" si="7"/>
        <v>118877.32</v>
      </c>
      <c r="P173" s="215">
        <f t="shared" si="9"/>
        <v>106843.55099727972</v>
      </c>
      <c r="Q173" s="215" cm="1">
        <f t="array" ref="Q173">IF(P173="-",0,P173/(1+'General inputs'!$H$32)^IFERROR(INDEX('MP Calculations'!$C$40:$C$130,MATCH(F173,'MP Calculations'!$D$40:$D$130,0),0),-1))</f>
        <v>154724.03554554863</v>
      </c>
    </row>
    <row r="174" spans="3:17" x14ac:dyDescent="0.25">
      <c r="C174" s="159"/>
      <c r="D174" s="165" t="s">
        <v>406</v>
      </c>
      <c r="E174" s="161">
        <v>41456</v>
      </c>
      <c r="F174" s="172" t="str">
        <f t="shared" si="8"/>
        <v>2013-14</v>
      </c>
      <c r="G174" s="68"/>
      <c r="H174" s="167" t="s">
        <v>279</v>
      </c>
      <c r="I174" s="173">
        <v>8793.8848904043734</v>
      </c>
      <c r="J174" s="168">
        <f>IFERROR(MIN('MP Calculations'!$E$30/I174,1),"-")</f>
        <v>0.89877153183870317</v>
      </c>
      <c r="K174" s="12"/>
      <c r="L174" s="159">
        <v>1</v>
      </c>
      <c r="M174" s="159" t="s">
        <v>302</v>
      </c>
      <c r="N174" s="159">
        <v>38898.49</v>
      </c>
      <c r="O174" s="185">
        <f t="shared" si="7"/>
        <v>38898.49</v>
      </c>
      <c r="P174" s="215">
        <f t="shared" si="9"/>
        <v>34960.855443512475</v>
      </c>
      <c r="Q174" s="215" cm="1">
        <f t="array" ref="Q174">IF(P174="-",0,P174/(1+'General inputs'!$H$32)^IFERROR(INDEX('MP Calculations'!$C$40:$C$130,MATCH(F174,'MP Calculations'!$D$40:$D$130,0),0),-1))</f>
        <v>50628.087421790522</v>
      </c>
    </row>
    <row r="175" spans="3:17" x14ac:dyDescent="0.25">
      <c r="C175" s="159"/>
      <c r="D175" s="165" t="s">
        <v>407</v>
      </c>
      <c r="E175" s="161">
        <v>41456</v>
      </c>
      <c r="F175" s="172" t="str">
        <f t="shared" si="8"/>
        <v>2013-14</v>
      </c>
      <c r="G175" s="68"/>
      <c r="H175" s="167" t="s">
        <v>279</v>
      </c>
      <c r="I175" s="173">
        <v>8793.8848904043734</v>
      </c>
      <c r="J175" s="168">
        <f>IFERROR(MIN('MP Calculations'!$E$30/I175,1),"-")</f>
        <v>0.89877153183870317</v>
      </c>
      <c r="K175" s="12"/>
      <c r="L175" s="159">
        <v>1</v>
      </c>
      <c r="M175" s="159" t="s">
        <v>302</v>
      </c>
      <c r="N175" s="159">
        <v>79473.19</v>
      </c>
      <c r="O175" s="185">
        <f t="shared" si="7"/>
        <v>79473.19</v>
      </c>
      <c r="P175" s="215">
        <f t="shared" si="9"/>
        <v>71428.240716408312</v>
      </c>
      <c r="Q175" s="215" cm="1">
        <f t="array" ref="Q175">IF(P175="-",0,P175/(1+'General inputs'!$H$32)^IFERROR(INDEX('MP Calculations'!$C$40:$C$130,MATCH(F175,'MP Calculations'!$D$40:$D$130,0),0),-1))</f>
        <v>103437.83553059692</v>
      </c>
    </row>
    <row r="176" spans="3:17" x14ac:dyDescent="0.25">
      <c r="C176" s="159"/>
      <c r="D176" s="165" t="s">
        <v>408</v>
      </c>
      <c r="E176" s="161">
        <v>41456</v>
      </c>
      <c r="F176" s="172" t="str">
        <f t="shared" si="8"/>
        <v>2013-14</v>
      </c>
      <c r="G176" s="68"/>
      <c r="H176" s="167" t="s">
        <v>279</v>
      </c>
      <c r="I176" s="173">
        <v>8793.8848904043734</v>
      </c>
      <c r="J176" s="168">
        <f>IFERROR(MIN('MP Calculations'!$E$30/I176,1),"-")</f>
        <v>0.89877153183870317</v>
      </c>
      <c r="K176" s="12"/>
      <c r="L176" s="159">
        <v>1</v>
      </c>
      <c r="M176" s="159" t="s">
        <v>302</v>
      </c>
      <c r="N176" s="159">
        <v>66196.84</v>
      </c>
      <c r="O176" s="185">
        <f t="shared" si="7"/>
        <v>66196.84</v>
      </c>
      <c r="P176" s="215">
        <f t="shared" si="9"/>
        <v>59495.835289681534</v>
      </c>
      <c r="Q176" s="215" cm="1">
        <f t="array" ref="Q176">IF(P176="-",0,P176/(1+'General inputs'!$H$32)^IFERROR(INDEX('MP Calculations'!$C$40:$C$130,MATCH(F176,'MP Calculations'!$D$40:$D$130,0),0),-1))</f>
        <v>86158.084865666504</v>
      </c>
    </row>
    <row r="177" spans="3:17" x14ac:dyDescent="0.25">
      <c r="C177" s="159"/>
      <c r="D177" s="165" t="s">
        <v>409</v>
      </c>
      <c r="E177" s="161">
        <v>41456</v>
      </c>
      <c r="F177" s="172" t="str">
        <f t="shared" si="8"/>
        <v>2013-14</v>
      </c>
      <c r="G177" s="68"/>
      <c r="H177" s="167" t="s">
        <v>279</v>
      </c>
      <c r="I177" s="173">
        <v>8793.8848904043734</v>
      </c>
      <c r="J177" s="168">
        <f>IFERROR(MIN('MP Calculations'!$E$30/I177,1),"-")</f>
        <v>0.89877153183870317</v>
      </c>
      <c r="K177" s="12"/>
      <c r="L177" s="159">
        <v>1</v>
      </c>
      <c r="M177" s="159" t="s">
        <v>302</v>
      </c>
      <c r="N177" s="159">
        <v>59516.85</v>
      </c>
      <c r="O177" s="185">
        <f t="shared" si="7"/>
        <v>59516.85</v>
      </c>
      <c r="P177" s="215">
        <f t="shared" si="9"/>
        <v>53492.050444714318</v>
      </c>
      <c r="Q177" s="215" cm="1">
        <f t="array" ref="Q177">IF(P177="-",0,P177/(1+'General inputs'!$H$32)^IFERROR(INDEX('MP Calculations'!$C$40:$C$130,MATCH(F177,'MP Calculations'!$D$40:$D$130,0),0),-1))</f>
        <v>77463.785480351376</v>
      </c>
    </row>
    <row r="178" spans="3:17" x14ac:dyDescent="0.25">
      <c r="C178" s="159"/>
      <c r="D178" s="165" t="s">
        <v>410</v>
      </c>
      <c r="E178" s="161">
        <v>41456</v>
      </c>
      <c r="F178" s="172" t="str">
        <f t="shared" si="8"/>
        <v>2013-14</v>
      </c>
      <c r="G178" s="68"/>
      <c r="H178" s="167" t="s">
        <v>279</v>
      </c>
      <c r="I178" s="173">
        <v>8793.8848904043734</v>
      </c>
      <c r="J178" s="168">
        <f>IFERROR(MIN('MP Calculations'!$E$30/I178,1),"-")</f>
        <v>0.89877153183870317</v>
      </c>
      <c r="K178" s="12"/>
      <c r="L178" s="159">
        <v>1</v>
      </c>
      <c r="M178" s="159" t="s">
        <v>302</v>
      </c>
      <c r="N178" s="159">
        <v>142737.99</v>
      </c>
      <c r="O178" s="185">
        <f t="shared" si="7"/>
        <v>142737.99</v>
      </c>
      <c r="P178" s="215">
        <f t="shared" si="9"/>
        <v>128288.84192387748</v>
      </c>
      <c r="Q178" s="215" cm="1">
        <f t="array" ref="Q178">IF(P178="-",0,P178/(1+'General inputs'!$H$32)^IFERROR(INDEX('MP Calculations'!$C$40:$C$130,MATCH(F178,'MP Calculations'!$D$40:$D$130,0),0),-1))</f>
        <v>185779.74199334372</v>
      </c>
    </row>
    <row r="179" spans="3:17" x14ac:dyDescent="0.25">
      <c r="C179" s="159"/>
      <c r="D179" s="165" t="s">
        <v>411</v>
      </c>
      <c r="E179" s="161">
        <v>41456</v>
      </c>
      <c r="F179" s="172" t="str">
        <f t="shared" si="8"/>
        <v>2013-14</v>
      </c>
      <c r="G179" s="68"/>
      <c r="H179" s="167" t="s">
        <v>279</v>
      </c>
      <c r="I179" s="173">
        <v>8793.8848904043734</v>
      </c>
      <c r="J179" s="168">
        <f>IFERROR(MIN('MP Calculations'!$E$30/I179,1),"-")</f>
        <v>0.89877153183870317</v>
      </c>
      <c r="K179" s="12"/>
      <c r="L179" s="159">
        <v>1</v>
      </c>
      <c r="M179" s="159" t="s">
        <v>302</v>
      </c>
      <c r="N179" s="159">
        <v>145160.56</v>
      </c>
      <c r="O179" s="185">
        <f t="shared" si="7"/>
        <v>145160.56</v>
      </c>
      <c r="P179" s="215">
        <f t="shared" si="9"/>
        <v>130466.17887376399</v>
      </c>
      <c r="Q179" s="215" cm="1">
        <f t="array" ref="Q179">IF(P179="-",0,P179/(1+'General inputs'!$H$32)^IFERROR(INDEX('MP Calculations'!$C$40:$C$130,MATCH(F179,'MP Calculations'!$D$40:$D$130,0),0),-1))</f>
        <v>188932.8228904533</v>
      </c>
    </row>
    <row r="180" spans="3:17" x14ac:dyDescent="0.25">
      <c r="C180" s="159"/>
      <c r="D180" s="165" t="s">
        <v>412</v>
      </c>
      <c r="E180" s="161">
        <v>41760</v>
      </c>
      <c r="F180" s="172" t="str">
        <f t="shared" si="8"/>
        <v>2013-14</v>
      </c>
      <c r="G180" s="68"/>
      <c r="H180" s="167" t="s">
        <v>279</v>
      </c>
      <c r="I180" s="173">
        <v>8793.8848904043734</v>
      </c>
      <c r="J180" s="168">
        <f>IFERROR(MIN('MP Calculations'!$E$30/I180,1),"-")</f>
        <v>0.89877153183870317</v>
      </c>
      <c r="K180" s="12"/>
      <c r="L180" s="159">
        <v>1</v>
      </c>
      <c r="M180" s="159" t="s">
        <v>302</v>
      </c>
      <c r="N180" s="159">
        <v>2288.0700000000002</v>
      </c>
      <c r="O180" s="185">
        <f t="shared" si="7"/>
        <v>2288.0700000000002</v>
      </c>
      <c r="P180" s="215">
        <f t="shared" si="9"/>
        <v>2056.4521788541815</v>
      </c>
      <c r="Q180" s="215" cm="1">
        <f t="array" ref="Q180">IF(P180="-",0,P180/(1+'General inputs'!$H$32)^IFERROR(INDEX('MP Calculations'!$C$40:$C$130,MATCH(F180,'MP Calculations'!$D$40:$D$130,0),0),-1))</f>
        <v>2978.0232596991873</v>
      </c>
    </row>
    <row r="181" spans="3:17" x14ac:dyDescent="0.25">
      <c r="C181" s="159"/>
      <c r="D181" s="165" t="s">
        <v>413</v>
      </c>
      <c r="E181" s="161">
        <v>41793</v>
      </c>
      <c r="F181" s="172" t="str">
        <f t="shared" si="8"/>
        <v>2013-14</v>
      </c>
      <c r="G181" s="68"/>
      <c r="H181" s="167" t="s">
        <v>279</v>
      </c>
      <c r="I181" s="173">
        <v>8793.8848904043734</v>
      </c>
      <c r="J181" s="168">
        <f>IFERROR(MIN('MP Calculations'!$E$30/I181,1),"-")</f>
        <v>0.89877153183870317</v>
      </c>
      <c r="K181" s="12"/>
      <c r="L181" s="159">
        <v>1</v>
      </c>
      <c r="M181" s="159" t="s">
        <v>302</v>
      </c>
      <c r="N181" s="159">
        <v>880.24</v>
      </c>
      <c r="O181" s="185">
        <f t="shared" si="7"/>
        <v>880.24</v>
      </c>
      <c r="P181" s="215">
        <f t="shared" si="9"/>
        <v>791.13465318570013</v>
      </c>
      <c r="Q181" s="215" cm="1">
        <f t="array" ref="Q181">IF(P181="-",0,P181/(1+'General inputs'!$H$32)^IFERROR(INDEX('MP Calculations'!$C$40:$C$130,MATCH(F181,'MP Calculations'!$D$40:$D$130,0),0),-1))</f>
        <v>1145.6708903650731</v>
      </c>
    </row>
    <row r="182" spans="3:17" x14ac:dyDescent="0.25">
      <c r="C182" s="159"/>
      <c r="D182" s="165" t="s">
        <v>414</v>
      </c>
      <c r="E182" s="161">
        <v>41821</v>
      </c>
      <c r="F182" s="172" t="str">
        <f t="shared" si="8"/>
        <v>2014-15</v>
      </c>
      <c r="G182" s="68"/>
      <c r="H182" s="167" t="s">
        <v>279</v>
      </c>
      <c r="I182" s="173">
        <v>8793.8848904043734</v>
      </c>
      <c r="J182" s="168">
        <f>IFERROR(MIN('MP Calculations'!$E$30/I182,1),"-")</f>
        <v>0.89877153183870317</v>
      </c>
      <c r="K182" s="12"/>
      <c r="L182" s="159">
        <v>1</v>
      </c>
      <c r="M182" s="159" t="s">
        <v>302</v>
      </c>
      <c r="N182" s="159">
        <v>16600.12</v>
      </c>
      <c r="O182" s="185">
        <f t="shared" si="7"/>
        <v>16600.12</v>
      </c>
      <c r="P182" s="215">
        <f t="shared" si="9"/>
        <v>14919.715281106293</v>
      </c>
      <c r="Q182" s="215" cm="1">
        <f t="array" ref="Q182">IF(P182="-",0,P182/(1+'General inputs'!$H$32)^IFERROR(INDEX('MP Calculations'!$C$40:$C$130,MATCH(F182,'MP Calculations'!$D$40:$D$130,0),0),-1))</f>
        <v>20734.916324259168</v>
      </c>
    </row>
    <row r="183" spans="3:17" x14ac:dyDescent="0.25">
      <c r="C183" s="159"/>
      <c r="D183" s="165" t="s">
        <v>415</v>
      </c>
      <c r="E183" s="161">
        <v>41962</v>
      </c>
      <c r="F183" s="172" t="str">
        <f t="shared" si="8"/>
        <v>2014-15</v>
      </c>
      <c r="G183" s="68"/>
      <c r="H183" s="167" t="s">
        <v>279</v>
      </c>
      <c r="I183" s="173">
        <v>8793.8848904043734</v>
      </c>
      <c r="J183" s="168">
        <f>IFERROR(MIN('MP Calculations'!$E$30/I183,1),"-")</f>
        <v>0.89877153183870317</v>
      </c>
      <c r="K183" s="12"/>
      <c r="L183" s="159">
        <v>1</v>
      </c>
      <c r="M183" s="159" t="s">
        <v>302</v>
      </c>
      <c r="N183" s="159">
        <v>225683.11</v>
      </c>
      <c r="O183" s="185">
        <f t="shared" si="7"/>
        <v>225683.11</v>
      </c>
      <c r="P183" s="215">
        <f t="shared" si="9"/>
        <v>202837.55448482253</v>
      </c>
      <c r="Q183" s="215" cm="1">
        <f t="array" ref="Q183">IF(P183="-",0,P183/(1+'General inputs'!$H$32)^IFERROR(INDEX('MP Calculations'!$C$40:$C$130,MATCH(F183,'MP Calculations'!$D$40:$D$130,0),0),-1))</f>
        <v>281896.78156836075</v>
      </c>
    </row>
    <row r="184" spans="3:17" x14ac:dyDescent="0.25">
      <c r="C184" s="159"/>
      <c r="D184" s="165" t="s">
        <v>415</v>
      </c>
      <c r="E184" s="161">
        <v>41962</v>
      </c>
      <c r="F184" s="172" t="str">
        <f t="shared" si="8"/>
        <v>2014-15</v>
      </c>
      <c r="G184" s="68"/>
      <c r="H184" s="167" t="s">
        <v>279</v>
      </c>
      <c r="I184" s="173">
        <v>8793.8848904043734</v>
      </c>
      <c r="J184" s="168">
        <f>IFERROR(MIN('MP Calculations'!$E$30/I184,1),"-")</f>
        <v>0.89877153183870317</v>
      </c>
      <c r="K184" s="12"/>
      <c r="L184" s="159">
        <v>1</v>
      </c>
      <c r="M184" s="159" t="s">
        <v>302</v>
      </c>
      <c r="N184" s="159">
        <v>11293.14</v>
      </c>
      <c r="O184" s="185">
        <f t="shared" si="7"/>
        <v>11293.14</v>
      </c>
      <c r="P184" s="215">
        <f t="shared" si="9"/>
        <v>10149.952737068932</v>
      </c>
      <c r="Q184" s="215" cm="1">
        <f t="array" ref="Q184">IF(P184="-",0,P184/(1+'General inputs'!$H$32)^IFERROR(INDEX('MP Calculations'!$C$40:$C$130,MATCH(F184,'MP Calculations'!$D$40:$D$130,0),0),-1))</f>
        <v>14106.06145848007</v>
      </c>
    </row>
    <row r="185" spans="3:17" x14ac:dyDescent="0.25">
      <c r="C185" s="159"/>
      <c r="D185" s="165" t="s">
        <v>416</v>
      </c>
      <c r="E185" s="161">
        <v>41985</v>
      </c>
      <c r="F185" s="172" t="str">
        <f t="shared" si="8"/>
        <v>2014-15</v>
      </c>
      <c r="G185" s="68"/>
      <c r="H185" s="167" t="s">
        <v>279</v>
      </c>
      <c r="I185" s="173">
        <v>8793.8848904043734</v>
      </c>
      <c r="J185" s="168">
        <f>IFERROR(MIN('MP Calculations'!$E$30/I185,1),"-")</f>
        <v>0.89877153183870317</v>
      </c>
      <c r="K185" s="12"/>
      <c r="L185" s="159">
        <v>1</v>
      </c>
      <c r="M185" s="159" t="s">
        <v>302</v>
      </c>
      <c r="N185" s="159">
        <v>27238.14</v>
      </c>
      <c r="O185" s="185">
        <f t="shared" si="7"/>
        <v>27238.14</v>
      </c>
      <c r="P185" s="215">
        <f t="shared" si="9"/>
        <v>24480.864812237054</v>
      </c>
      <c r="Q185" s="215" cm="1">
        <f t="array" ref="Q185">IF(P185="-",0,P185/(1+'General inputs'!$H$32)^IFERROR(INDEX('MP Calculations'!$C$40:$C$130,MATCH(F185,'MP Calculations'!$D$40:$D$130,0),0),-1))</f>
        <v>34022.678976324059</v>
      </c>
    </row>
    <row r="186" spans="3:17" x14ac:dyDescent="0.25">
      <c r="C186" s="159"/>
      <c r="D186" s="165" t="s">
        <v>417</v>
      </c>
      <c r="E186" s="161">
        <v>41994</v>
      </c>
      <c r="F186" s="172" t="str">
        <f t="shared" si="8"/>
        <v>2014-15</v>
      </c>
      <c r="G186" s="68"/>
      <c r="H186" s="167" t="s">
        <v>279</v>
      </c>
      <c r="I186" s="173">
        <v>8793.8848904043734</v>
      </c>
      <c r="J186" s="168">
        <f>IFERROR(MIN('MP Calculations'!$E$30/I186,1),"-")</f>
        <v>0.89877153183870317</v>
      </c>
      <c r="K186" s="12"/>
      <c r="L186" s="159">
        <v>1</v>
      </c>
      <c r="M186" s="159" t="s">
        <v>302</v>
      </c>
      <c r="N186" s="159">
        <v>2642.4</v>
      </c>
      <c r="O186" s="185">
        <f t="shared" si="7"/>
        <v>2642.4</v>
      </c>
      <c r="P186" s="215">
        <f t="shared" si="9"/>
        <v>2374.9138957305895</v>
      </c>
      <c r="Q186" s="215" cm="1">
        <f t="array" ref="Q186">IF(P186="-",0,P186/(1+'General inputs'!$H$32)^IFERROR(INDEX('MP Calculations'!$C$40:$C$130,MATCH(F186,'MP Calculations'!$D$40:$D$130,0),0),-1))</f>
        <v>3300.575110012604</v>
      </c>
    </row>
    <row r="187" spans="3:17" x14ac:dyDescent="0.25">
      <c r="C187" s="159"/>
      <c r="D187" s="165" t="s">
        <v>418</v>
      </c>
      <c r="E187" s="161">
        <v>42185</v>
      </c>
      <c r="F187" s="172" t="str">
        <f t="shared" si="8"/>
        <v>2014-15</v>
      </c>
      <c r="G187" s="68"/>
      <c r="H187" s="167" t="s">
        <v>279</v>
      </c>
      <c r="I187" s="173">
        <v>8793.8848904043734</v>
      </c>
      <c r="J187" s="168">
        <f>IFERROR(MIN('MP Calculations'!$E$30/I187,1),"-")</f>
        <v>0.89877153183870317</v>
      </c>
      <c r="K187" s="12"/>
      <c r="L187" s="159">
        <v>1</v>
      </c>
      <c r="M187" s="159" t="s">
        <v>302</v>
      </c>
      <c r="N187" s="159">
        <v>2527.9699999999998</v>
      </c>
      <c r="O187" s="185">
        <f t="shared" si="7"/>
        <v>2527.9699999999998</v>
      </c>
      <c r="P187" s="215">
        <f t="shared" si="9"/>
        <v>2272.0674693422861</v>
      </c>
      <c r="Q187" s="215" cm="1">
        <f t="array" ref="Q187">IF(P187="-",0,P187/(1+'General inputs'!$H$32)^IFERROR(INDEX('MP Calculations'!$C$40:$C$130,MATCH(F187,'MP Calculations'!$D$40:$D$130,0),0),-1))</f>
        <v>3157.6426206700576</v>
      </c>
    </row>
    <row r="188" spans="3:17" x14ac:dyDescent="0.25">
      <c r="C188" s="159"/>
      <c r="D188" s="165" t="s">
        <v>419</v>
      </c>
      <c r="E188" s="161">
        <v>42257</v>
      </c>
      <c r="F188" s="172" t="str">
        <f t="shared" si="8"/>
        <v>2015-16</v>
      </c>
      <c r="G188" s="68"/>
      <c r="H188" s="167" t="s">
        <v>279</v>
      </c>
      <c r="I188" s="173">
        <v>8793.8848904043734</v>
      </c>
      <c r="J188" s="168">
        <f>IFERROR(MIN('MP Calculations'!$E$30/I188,1),"-")</f>
        <v>0.89877153183870317</v>
      </c>
      <c r="K188" s="12"/>
      <c r="L188" s="159">
        <v>1</v>
      </c>
      <c r="M188" s="159" t="s">
        <v>302</v>
      </c>
      <c r="N188" s="159">
        <v>31460.57</v>
      </c>
      <c r="O188" s="185">
        <f t="shared" si="7"/>
        <v>31460.57</v>
      </c>
      <c r="P188" s="215">
        <f t="shared" si="9"/>
        <v>28275.864691418748</v>
      </c>
      <c r="Q188" s="215" cm="1">
        <f t="array" ref="Q188">IF(P188="-",0,P188/(1+'General inputs'!$H$32)^IFERROR(INDEX('MP Calculations'!$C$40:$C$130,MATCH(F188,'MP Calculations'!$D$40:$D$130,0),0),-1))</f>
        <v>37712.899824393782</v>
      </c>
    </row>
    <row r="189" spans="3:17" x14ac:dyDescent="0.25">
      <c r="C189" s="159"/>
      <c r="D189" s="165" t="s">
        <v>420</v>
      </c>
      <c r="E189" s="161">
        <v>42306</v>
      </c>
      <c r="F189" s="172" t="str">
        <f t="shared" si="8"/>
        <v>2015-16</v>
      </c>
      <c r="G189" s="68"/>
      <c r="H189" s="167" t="s">
        <v>279</v>
      </c>
      <c r="I189" s="173">
        <v>8793.8848904043734</v>
      </c>
      <c r="J189" s="168">
        <f>IFERROR(MIN('MP Calculations'!$E$30/I189,1),"-")</f>
        <v>0.89877153183870317</v>
      </c>
      <c r="K189" s="12"/>
      <c r="L189" s="159">
        <v>1</v>
      </c>
      <c r="M189" s="159" t="s">
        <v>302</v>
      </c>
      <c r="N189" s="159">
        <v>359.6</v>
      </c>
      <c r="O189" s="185">
        <f t="shared" si="7"/>
        <v>359.6</v>
      </c>
      <c r="P189" s="215">
        <f t="shared" si="9"/>
        <v>323.1982428491977</v>
      </c>
      <c r="Q189" s="215" cm="1">
        <f t="array" ref="Q189">IF(P189="-",0,P189/(1+'General inputs'!$H$32)^IFERROR(INDEX('MP Calculations'!$C$40:$C$130,MATCH(F189,'MP Calculations'!$D$40:$D$130,0),0),-1))</f>
        <v>431.0652596838521</v>
      </c>
    </row>
    <row r="190" spans="3:17" x14ac:dyDescent="0.25">
      <c r="C190" s="159"/>
      <c r="D190" s="165" t="s">
        <v>421</v>
      </c>
      <c r="E190" s="161">
        <v>42306</v>
      </c>
      <c r="F190" s="172" t="str">
        <f t="shared" si="8"/>
        <v>2015-16</v>
      </c>
      <c r="G190" s="68"/>
      <c r="H190" s="167" t="s">
        <v>279</v>
      </c>
      <c r="I190" s="173">
        <v>8793.8848904043734</v>
      </c>
      <c r="J190" s="168">
        <f>IFERROR(MIN('MP Calculations'!$E$30/I190,1),"-")</f>
        <v>0.89877153183870317</v>
      </c>
      <c r="K190" s="12"/>
      <c r="L190" s="159">
        <v>1</v>
      </c>
      <c r="M190" s="159" t="s">
        <v>302</v>
      </c>
      <c r="N190" s="159">
        <v>1192.72</v>
      </c>
      <c r="O190" s="185">
        <f t="shared" si="7"/>
        <v>1192.72</v>
      </c>
      <c r="P190" s="215">
        <f t="shared" si="9"/>
        <v>1071.9827814546582</v>
      </c>
      <c r="Q190" s="215" cm="1">
        <f t="array" ref="Q190">IF(P190="-",0,P190/(1+'General inputs'!$H$32)^IFERROR(INDEX('MP Calculations'!$C$40:$C$130,MATCH(F190,'MP Calculations'!$D$40:$D$130,0),0),-1))</f>
        <v>1429.7557189380536</v>
      </c>
    </row>
    <row r="191" spans="3:17" x14ac:dyDescent="0.25">
      <c r="C191" s="159"/>
      <c r="D191" s="165" t="s">
        <v>421</v>
      </c>
      <c r="E191" s="161">
        <v>42306</v>
      </c>
      <c r="F191" s="172" t="str">
        <f t="shared" si="8"/>
        <v>2015-16</v>
      </c>
      <c r="G191" s="68"/>
      <c r="H191" s="167" t="s">
        <v>279</v>
      </c>
      <c r="I191" s="173">
        <v>8793.8848904043734</v>
      </c>
      <c r="J191" s="168">
        <f>IFERROR(MIN('MP Calculations'!$E$30/I191,1),"-")</f>
        <v>0.89877153183870317</v>
      </c>
      <c r="K191" s="12"/>
      <c r="L191" s="159">
        <v>1</v>
      </c>
      <c r="M191" s="159" t="s">
        <v>302</v>
      </c>
      <c r="N191" s="159">
        <v>1023.55</v>
      </c>
      <c r="O191" s="185">
        <f t="shared" si="7"/>
        <v>1023.55</v>
      </c>
      <c r="P191" s="215">
        <f t="shared" si="9"/>
        <v>919.93760141350458</v>
      </c>
      <c r="Q191" s="215" cm="1">
        <f t="array" ref="Q191">IF(P191="-",0,P191/(1+'General inputs'!$H$32)^IFERROR(INDEX('MP Calculations'!$C$40:$C$130,MATCH(F191,'MP Calculations'!$D$40:$D$130,0),0),-1))</f>
        <v>1226.9656466891176</v>
      </c>
    </row>
    <row r="192" spans="3:17" x14ac:dyDescent="0.25">
      <c r="C192" s="159"/>
      <c r="D192" s="165" t="s">
        <v>422</v>
      </c>
      <c r="E192" s="161">
        <v>42306</v>
      </c>
      <c r="F192" s="172" t="str">
        <f t="shared" si="8"/>
        <v>2015-16</v>
      </c>
      <c r="G192" s="68"/>
      <c r="H192" s="167" t="s">
        <v>279</v>
      </c>
      <c r="I192" s="173">
        <v>8793.8848904043734</v>
      </c>
      <c r="J192" s="168">
        <f>IFERROR(MIN('MP Calculations'!$E$30/I192,1),"-")</f>
        <v>0.89877153183870317</v>
      </c>
      <c r="K192" s="12"/>
      <c r="L192" s="159">
        <v>1</v>
      </c>
      <c r="M192" s="159" t="s">
        <v>302</v>
      </c>
      <c r="N192" s="159">
        <v>4031.01</v>
      </c>
      <c r="O192" s="185">
        <f t="shared" si="7"/>
        <v>4031.01</v>
      </c>
      <c r="P192" s="215">
        <f t="shared" si="9"/>
        <v>3622.9570325571312</v>
      </c>
      <c r="Q192" s="215" cm="1">
        <f t="array" ref="Q192">IF(P192="-",0,P192/(1+'General inputs'!$H$32)^IFERROR(INDEX('MP Calculations'!$C$40:$C$130,MATCH(F192,'MP Calculations'!$D$40:$D$130,0),0),-1))</f>
        <v>4832.11449510068</v>
      </c>
    </row>
    <row r="193" spans="3:17" x14ac:dyDescent="0.25">
      <c r="C193" s="159"/>
      <c r="D193" s="165" t="s">
        <v>422</v>
      </c>
      <c r="E193" s="161">
        <v>42306</v>
      </c>
      <c r="F193" s="172" t="str">
        <f t="shared" si="8"/>
        <v>2015-16</v>
      </c>
      <c r="G193" s="68"/>
      <c r="H193" s="167" t="s">
        <v>279</v>
      </c>
      <c r="I193" s="173">
        <v>8793.8848904043734</v>
      </c>
      <c r="J193" s="168">
        <f>IFERROR(MIN('MP Calculations'!$E$30/I193,1),"-")</f>
        <v>0.89877153183870317</v>
      </c>
      <c r="K193" s="12"/>
      <c r="L193" s="159">
        <v>1</v>
      </c>
      <c r="M193" s="159" t="s">
        <v>302</v>
      </c>
      <c r="N193" s="159">
        <v>1612.52</v>
      </c>
      <c r="O193" s="185">
        <f t="shared" ref="O193:O256" si="10">IF(N193="","-",L193*N193)</f>
        <v>1612.52</v>
      </c>
      <c r="P193" s="215">
        <f t="shared" si="9"/>
        <v>1449.2870705205457</v>
      </c>
      <c r="Q193" s="215" cm="1">
        <f t="array" ref="Q193">IF(P193="-",0,P193/(1+'General inputs'!$H$32)^IFERROR(INDEX('MP Calculations'!$C$40:$C$130,MATCH(F193,'MP Calculations'!$D$40:$D$130,0),0),-1))</f>
        <v>1932.9848513498473</v>
      </c>
    </row>
    <row r="194" spans="3:17" x14ac:dyDescent="0.25">
      <c r="C194" s="159"/>
      <c r="D194" s="165" t="s">
        <v>423</v>
      </c>
      <c r="E194" s="161">
        <v>42408</v>
      </c>
      <c r="F194" s="172" t="str">
        <f t="shared" si="8"/>
        <v>2015-16</v>
      </c>
      <c r="G194" s="68"/>
      <c r="H194" s="167" t="s">
        <v>279</v>
      </c>
      <c r="I194" s="173">
        <v>8793.8848904043734</v>
      </c>
      <c r="J194" s="168">
        <f>IFERROR(MIN('MP Calculations'!$E$30/I194,1),"-")</f>
        <v>0.89877153183870317</v>
      </c>
      <c r="K194" s="12"/>
      <c r="L194" s="159">
        <v>1</v>
      </c>
      <c r="M194" s="159" t="s">
        <v>302</v>
      </c>
      <c r="N194" s="159">
        <v>929.3</v>
      </c>
      <c r="O194" s="185">
        <f t="shared" si="10"/>
        <v>929.3</v>
      </c>
      <c r="P194" s="215">
        <f t="shared" si="9"/>
        <v>835.2283845377068</v>
      </c>
      <c r="Q194" s="215" cm="1">
        <f t="array" ref="Q194">IF(P194="-",0,P194/(1+'General inputs'!$H$32)^IFERROR(INDEX('MP Calculations'!$C$40:$C$130,MATCH(F194,'MP Calculations'!$D$40:$D$130,0),0),-1))</f>
        <v>1113.9848326590759</v>
      </c>
    </row>
    <row r="195" spans="3:17" x14ac:dyDescent="0.25">
      <c r="C195" s="159"/>
      <c r="D195" s="165" t="s">
        <v>424</v>
      </c>
      <c r="E195" s="161">
        <v>42544</v>
      </c>
      <c r="F195" s="172" t="str">
        <f t="shared" si="8"/>
        <v>2015-16</v>
      </c>
      <c r="G195" s="68"/>
      <c r="H195" s="167" t="s">
        <v>279</v>
      </c>
      <c r="I195" s="173">
        <v>8793.8848904043734</v>
      </c>
      <c r="J195" s="168">
        <f>IFERROR(MIN('MP Calculations'!$E$30/I195,1),"-")</f>
        <v>0.89877153183870317</v>
      </c>
      <c r="K195" s="12"/>
      <c r="L195" s="159">
        <v>1</v>
      </c>
      <c r="M195" s="159" t="s">
        <v>302</v>
      </c>
      <c r="N195" s="159">
        <v>2390.54</v>
      </c>
      <c r="O195" s="185">
        <f t="shared" si="10"/>
        <v>2390.54</v>
      </c>
      <c r="P195" s="215">
        <f t="shared" si="9"/>
        <v>2148.5492977216936</v>
      </c>
      <c r="Q195" s="215" cm="1">
        <f t="array" ref="Q195">IF(P195="-",0,P195/(1+'General inputs'!$H$32)^IFERROR(INDEX('MP Calculations'!$C$40:$C$130,MATCH(F195,'MP Calculations'!$D$40:$D$130,0),0),-1))</f>
        <v>2865.6249885557168</v>
      </c>
    </row>
    <row r="196" spans="3:17" x14ac:dyDescent="0.25">
      <c r="C196" s="159"/>
      <c r="D196" s="165" t="s">
        <v>425</v>
      </c>
      <c r="E196" s="161">
        <v>42544</v>
      </c>
      <c r="F196" s="172" t="str">
        <f t="shared" si="8"/>
        <v>2015-16</v>
      </c>
      <c r="G196" s="68"/>
      <c r="H196" s="167" t="s">
        <v>279</v>
      </c>
      <c r="I196" s="173">
        <v>8793.8848904043734</v>
      </c>
      <c r="J196" s="168">
        <f>IFERROR(MIN('MP Calculations'!$E$30/I196,1),"-")</f>
        <v>0.89877153183870317</v>
      </c>
      <c r="K196" s="12"/>
      <c r="L196" s="159">
        <v>1</v>
      </c>
      <c r="M196" s="159" t="s">
        <v>302</v>
      </c>
      <c r="N196" s="159">
        <v>2390.54</v>
      </c>
      <c r="O196" s="185">
        <f t="shared" si="10"/>
        <v>2390.54</v>
      </c>
      <c r="P196" s="215">
        <f t="shared" si="9"/>
        <v>2148.5492977216936</v>
      </c>
      <c r="Q196" s="215" cm="1">
        <f t="array" ref="Q196">IF(P196="-",0,P196/(1+'General inputs'!$H$32)^IFERROR(INDEX('MP Calculations'!$C$40:$C$130,MATCH(F196,'MP Calculations'!$D$40:$D$130,0),0),-1))</f>
        <v>2865.6249885557168</v>
      </c>
    </row>
    <row r="197" spans="3:17" x14ac:dyDescent="0.25">
      <c r="C197" s="159"/>
      <c r="D197" s="165" t="s">
        <v>426</v>
      </c>
      <c r="E197" s="161">
        <v>42544</v>
      </c>
      <c r="F197" s="172" t="str">
        <f t="shared" si="8"/>
        <v>2015-16</v>
      </c>
      <c r="G197" s="68"/>
      <c r="H197" s="167" t="s">
        <v>279</v>
      </c>
      <c r="I197" s="173">
        <v>8793.8848904043734</v>
      </c>
      <c r="J197" s="168">
        <f>IFERROR(MIN('MP Calculations'!$E$30/I197,1),"-")</f>
        <v>0.89877153183870317</v>
      </c>
      <c r="K197" s="12"/>
      <c r="L197" s="159">
        <v>1</v>
      </c>
      <c r="M197" s="159" t="s">
        <v>302</v>
      </c>
      <c r="N197" s="159">
        <v>2390.54</v>
      </c>
      <c r="O197" s="185">
        <f t="shared" si="10"/>
        <v>2390.54</v>
      </c>
      <c r="P197" s="215">
        <f t="shared" si="9"/>
        <v>2148.5492977216936</v>
      </c>
      <c r="Q197" s="215" cm="1">
        <f t="array" ref="Q197">IF(P197="-",0,P197/(1+'General inputs'!$H$32)^IFERROR(INDEX('MP Calculations'!$C$40:$C$130,MATCH(F197,'MP Calculations'!$D$40:$D$130,0),0),-1))</f>
        <v>2865.6249885557168</v>
      </c>
    </row>
    <row r="198" spans="3:17" x14ac:dyDescent="0.25">
      <c r="C198" s="159"/>
      <c r="D198" s="165" t="s">
        <v>427</v>
      </c>
      <c r="E198" s="161">
        <v>42551</v>
      </c>
      <c r="F198" s="172" t="str">
        <f t="shared" si="8"/>
        <v>2015-16</v>
      </c>
      <c r="G198" s="68"/>
      <c r="H198" s="167" t="s">
        <v>279</v>
      </c>
      <c r="I198" s="173">
        <v>8793.8848904043734</v>
      </c>
      <c r="J198" s="168">
        <f>IFERROR(MIN('MP Calculations'!$E$30/I198,1),"-")</f>
        <v>0.89877153183870317</v>
      </c>
      <c r="K198" s="12"/>
      <c r="L198" s="159">
        <v>1</v>
      </c>
      <c r="M198" s="159" t="s">
        <v>302</v>
      </c>
      <c r="N198" s="159">
        <v>2148.4899999999998</v>
      </c>
      <c r="O198" s="185">
        <f t="shared" si="10"/>
        <v>2148.4899999999998</v>
      </c>
      <c r="P198" s="215">
        <f t="shared" si="9"/>
        <v>1931.0016484401351</v>
      </c>
      <c r="Q198" s="215" cm="1">
        <f t="array" ref="Q198">IF(P198="-",0,P198/(1+'General inputs'!$H$32)^IFERROR(INDEX('MP Calculations'!$C$40:$C$130,MATCH(F198,'MP Calculations'!$D$40:$D$130,0),0),-1))</f>
        <v>2575.4710783597307</v>
      </c>
    </row>
    <row r="199" spans="3:17" x14ac:dyDescent="0.25">
      <c r="C199" s="159"/>
      <c r="D199" s="165" t="s">
        <v>428</v>
      </c>
      <c r="E199" s="161">
        <v>42551</v>
      </c>
      <c r="F199" s="172" t="str">
        <f t="shared" si="8"/>
        <v>2015-16</v>
      </c>
      <c r="G199" s="68"/>
      <c r="H199" s="167" t="s">
        <v>279</v>
      </c>
      <c r="I199" s="173">
        <v>8793.8848904043734</v>
      </c>
      <c r="J199" s="168">
        <f>IFERROR(MIN('MP Calculations'!$E$30/I199,1),"-")</f>
        <v>0.89877153183870317</v>
      </c>
      <c r="K199" s="12"/>
      <c r="L199" s="159">
        <v>1</v>
      </c>
      <c r="M199" s="159" t="s">
        <v>302</v>
      </c>
      <c r="N199" s="159">
        <v>1577.09</v>
      </c>
      <c r="O199" s="185">
        <f t="shared" si="10"/>
        <v>1577.09</v>
      </c>
      <c r="P199" s="215">
        <f t="shared" si="9"/>
        <v>1417.4435951475002</v>
      </c>
      <c r="Q199" s="215" cm="1">
        <f t="array" ref="Q199">IF(P199="-",0,P199/(1+'General inputs'!$H$32)^IFERROR(INDEX('MP Calculations'!$C$40:$C$130,MATCH(F199,'MP Calculations'!$D$40:$D$130,0),0),-1))</f>
        <v>1890.5136551579703</v>
      </c>
    </row>
    <row r="200" spans="3:17" x14ac:dyDescent="0.25">
      <c r="C200" s="159"/>
      <c r="D200" s="165" t="s">
        <v>429</v>
      </c>
      <c r="E200" s="161">
        <v>42610</v>
      </c>
      <c r="F200" s="172" t="str">
        <f t="shared" si="8"/>
        <v>2016-17</v>
      </c>
      <c r="G200" s="68"/>
      <c r="H200" s="167" t="s">
        <v>279</v>
      </c>
      <c r="I200" s="173">
        <v>8793.8848904043734</v>
      </c>
      <c r="J200" s="168">
        <f>IFERROR(MIN('MP Calculations'!$E$30/I200,1),"-")</f>
        <v>0.89877153183870317</v>
      </c>
      <c r="K200" s="12"/>
      <c r="L200" s="159">
        <v>1</v>
      </c>
      <c r="M200" s="159" t="s">
        <v>302</v>
      </c>
      <c r="N200" s="159">
        <v>4448.2700000000004</v>
      </c>
      <c r="O200" s="185">
        <f t="shared" si="10"/>
        <v>4448.2700000000004</v>
      </c>
      <c r="P200" s="215">
        <f t="shared" si="9"/>
        <v>3997.9784419321486</v>
      </c>
      <c r="Q200" s="215" cm="1">
        <f t="array" ref="Q200">IF(P200="-",0,P200/(1+'General inputs'!$H$32)^IFERROR(INDEX('MP Calculations'!$C$40:$C$130,MATCH(F200,'MP Calculations'!$D$40:$D$130,0),0),-1))</f>
        <v>5117.3693277609818</v>
      </c>
    </row>
    <row r="201" spans="3:17" x14ac:dyDescent="0.25">
      <c r="C201" s="159"/>
      <c r="D201" s="165" t="s">
        <v>430</v>
      </c>
      <c r="E201" s="161">
        <v>42613</v>
      </c>
      <c r="F201" s="172" t="str">
        <f t="shared" si="8"/>
        <v>2016-17</v>
      </c>
      <c r="G201" s="68"/>
      <c r="H201" s="167" t="s">
        <v>279</v>
      </c>
      <c r="I201" s="173">
        <v>8793.8848904043734</v>
      </c>
      <c r="J201" s="168">
        <f>IFERROR(MIN('MP Calculations'!$E$30/I201,1),"-")</f>
        <v>0.89877153183870317</v>
      </c>
      <c r="K201" s="12"/>
      <c r="L201" s="159">
        <v>1</v>
      </c>
      <c r="M201" s="159" t="s">
        <v>302</v>
      </c>
      <c r="N201" s="159">
        <v>652.55999999999995</v>
      </c>
      <c r="O201" s="185">
        <f t="shared" si="10"/>
        <v>652.55999999999995</v>
      </c>
      <c r="P201" s="215">
        <f t="shared" si="9"/>
        <v>586.50235081666415</v>
      </c>
      <c r="Q201" s="215" cm="1">
        <f t="array" ref="Q201">IF(P201="-",0,P201/(1+'General inputs'!$H$32)^IFERROR(INDEX('MP Calculations'!$C$40:$C$130,MATCH(F201,'MP Calculations'!$D$40:$D$130,0),0),-1))</f>
        <v>750.71668952732318</v>
      </c>
    </row>
    <row r="202" spans="3:17" x14ac:dyDescent="0.25">
      <c r="C202" s="159"/>
      <c r="D202" s="165" t="s">
        <v>431</v>
      </c>
      <c r="E202" s="161">
        <v>42702</v>
      </c>
      <c r="F202" s="172" t="str">
        <f t="shared" si="8"/>
        <v>2016-17</v>
      </c>
      <c r="G202" s="68"/>
      <c r="H202" s="167" t="s">
        <v>279</v>
      </c>
      <c r="I202" s="173">
        <v>8793.8848904043734</v>
      </c>
      <c r="J202" s="168">
        <f>IFERROR(MIN('MP Calculations'!$E$30/I202,1),"-")</f>
        <v>0.89877153183870317</v>
      </c>
      <c r="K202" s="12"/>
      <c r="L202" s="159">
        <v>1</v>
      </c>
      <c r="M202" s="159" t="s">
        <v>302</v>
      </c>
      <c r="N202" s="159">
        <v>4931.8</v>
      </c>
      <c r="O202" s="185">
        <f t="shared" si="10"/>
        <v>4931.8</v>
      </c>
      <c r="P202" s="215">
        <f t="shared" si="9"/>
        <v>4432.5614407221165</v>
      </c>
      <c r="Q202" s="215" cm="1">
        <f t="array" ref="Q202">IF(P202="-",0,P202/(1+'General inputs'!$H$32)^IFERROR(INDEX('MP Calculations'!$C$40:$C$130,MATCH(F202,'MP Calculations'!$D$40:$D$130,0),0),-1))</f>
        <v>5673.6308836135413</v>
      </c>
    </row>
    <row r="203" spans="3:17" x14ac:dyDescent="0.25">
      <c r="C203" s="159"/>
      <c r="D203" s="165" t="s">
        <v>432</v>
      </c>
      <c r="E203" s="161">
        <v>42726</v>
      </c>
      <c r="F203" s="172" t="str">
        <f t="shared" si="8"/>
        <v>2016-17</v>
      </c>
      <c r="G203" s="68"/>
      <c r="H203" s="167" t="s">
        <v>279</v>
      </c>
      <c r="I203" s="173">
        <v>8793.8848904043734</v>
      </c>
      <c r="J203" s="168">
        <f>IFERROR(MIN('MP Calculations'!$E$30/I203,1),"-")</f>
        <v>0.89877153183870317</v>
      </c>
      <c r="K203" s="12"/>
      <c r="L203" s="159">
        <v>1</v>
      </c>
      <c r="M203" s="159" t="s">
        <v>302</v>
      </c>
      <c r="N203" s="159">
        <v>29109.52</v>
      </c>
      <c r="O203" s="185">
        <f t="shared" si="10"/>
        <v>29109.52</v>
      </c>
      <c r="P203" s="215">
        <f t="shared" si="9"/>
        <v>26162.807881489367</v>
      </c>
      <c r="Q203" s="215" cm="1">
        <f t="array" ref="Q203">IF(P203="-",0,P203/(1+'General inputs'!$H$32)^IFERROR(INDEX('MP Calculations'!$C$40:$C$130,MATCH(F203,'MP Calculations'!$D$40:$D$130,0),0),-1))</f>
        <v>33488.112186050945</v>
      </c>
    </row>
    <row r="204" spans="3:17" x14ac:dyDescent="0.25">
      <c r="C204" s="159"/>
      <c r="D204" s="165" t="s">
        <v>433</v>
      </c>
      <c r="E204" s="161">
        <v>42746</v>
      </c>
      <c r="F204" s="172" t="str">
        <f t="shared" si="8"/>
        <v>2016-17</v>
      </c>
      <c r="G204" s="68"/>
      <c r="H204" s="167" t="s">
        <v>279</v>
      </c>
      <c r="I204" s="173">
        <v>8793.8848904043734</v>
      </c>
      <c r="J204" s="168">
        <f>IFERROR(MIN('MP Calculations'!$E$30/I204,1),"-")</f>
        <v>0.89877153183870317</v>
      </c>
      <c r="K204" s="12"/>
      <c r="L204" s="159">
        <v>1</v>
      </c>
      <c r="M204" s="159" t="s">
        <v>302</v>
      </c>
      <c r="N204" s="159">
        <v>115.98</v>
      </c>
      <c r="O204" s="185">
        <f t="shared" si="10"/>
        <v>115.98</v>
      </c>
      <c r="P204" s="215">
        <f t="shared" si="9"/>
        <v>104.2395222626528</v>
      </c>
      <c r="Q204" s="215" cm="1">
        <f t="array" ref="Q204">IF(P204="-",0,P204/(1+'General inputs'!$H$32)^IFERROR(INDEX('MP Calculations'!$C$40:$C$130,MATCH(F204,'MP Calculations'!$D$40:$D$130,0),0),-1))</f>
        <v>133.42546532330965</v>
      </c>
    </row>
    <row r="205" spans="3:17" x14ac:dyDescent="0.25">
      <c r="C205" s="159"/>
      <c r="D205" s="165" t="s">
        <v>427</v>
      </c>
      <c r="E205" s="161">
        <v>42887</v>
      </c>
      <c r="F205" s="172" t="str">
        <f t="shared" si="8"/>
        <v>2016-17</v>
      </c>
      <c r="G205" s="68"/>
      <c r="H205" s="167" t="s">
        <v>279</v>
      </c>
      <c r="I205" s="173">
        <v>8793.8848904043734</v>
      </c>
      <c r="J205" s="168">
        <f>IFERROR(MIN('MP Calculations'!$E$30/I205,1),"-")</f>
        <v>0.89877153183870317</v>
      </c>
      <c r="K205" s="12"/>
      <c r="L205" s="159">
        <v>1</v>
      </c>
      <c r="M205" s="159" t="s">
        <v>302</v>
      </c>
      <c r="N205" s="159">
        <v>452.51</v>
      </c>
      <c r="O205" s="185">
        <f t="shared" si="10"/>
        <v>452.51</v>
      </c>
      <c r="P205" s="215">
        <f t="shared" si="9"/>
        <v>406.70310587233155</v>
      </c>
      <c r="Q205" s="215" cm="1">
        <f t="array" ref="Q205">IF(P205="-",0,P205/(1+'General inputs'!$H$32)^IFERROR(INDEX('MP Calculations'!$C$40:$C$130,MATCH(F205,'MP Calculations'!$D$40:$D$130,0),0),-1))</f>
        <v>520.57559332170069</v>
      </c>
    </row>
    <row r="206" spans="3:17" x14ac:dyDescent="0.25">
      <c r="C206" s="159"/>
      <c r="D206" s="165" t="s">
        <v>434</v>
      </c>
      <c r="E206" s="161">
        <v>42916</v>
      </c>
      <c r="F206" s="172" t="str">
        <f t="shared" si="8"/>
        <v>2016-17</v>
      </c>
      <c r="G206" s="68"/>
      <c r="H206" s="167" t="s">
        <v>279</v>
      </c>
      <c r="I206" s="173">
        <v>8793.8848904043734</v>
      </c>
      <c r="J206" s="168">
        <f>IFERROR(MIN('MP Calculations'!$E$30/I206,1),"-")</f>
        <v>0.89877153183870317</v>
      </c>
      <c r="K206" s="12"/>
      <c r="L206" s="159">
        <v>1</v>
      </c>
      <c r="M206" s="159" t="s">
        <v>302</v>
      </c>
      <c r="N206" s="159">
        <v>50.47</v>
      </c>
      <c r="O206" s="185">
        <f t="shared" si="10"/>
        <v>50.47</v>
      </c>
      <c r="P206" s="215">
        <f t="shared" si="9"/>
        <v>45.360999211899347</v>
      </c>
      <c r="Q206" s="215" cm="1">
        <f t="array" ref="Q206">IF(P206="-",0,P206/(1+'General inputs'!$H$32)^IFERROR(INDEX('MP Calculations'!$C$40:$C$130,MATCH(F206,'MP Calculations'!$D$40:$D$130,0),0),-1))</f>
        <v>58.061590229931348</v>
      </c>
    </row>
    <row r="207" spans="3:17" x14ac:dyDescent="0.25">
      <c r="C207" s="159"/>
      <c r="D207" s="165" t="s">
        <v>435</v>
      </c>
      <c r="E207" s="161">
        <v>43021</v>
      </c>
      <c r="F207" s="172" t="str">
        <f t="shared" si="8"/>
        <v>2017-18</v>
      </c>
      <c r="G207" s="68"/>
      <c r="H207" s="167" t="s">
        <v>279</v>
      </c>
      <c r="I207" s="173">
        <v>8793.8848904043734</v>
      </c>
      <c r="J207" s="168">
        <f>IFERROR(MIN('MP Calculations'!$E$30/I207,1),"-")</f>
        <v>0.89877153183870317</v>
      </c>
      <c r="K207" s="12"/>
      <c r="L207" s="159">
        <v>1</v>
      </c>
      <c r="M207" s="159" t="s">
        <v>302</v>
      </c>
      <c r="N207" s="159">
        <v>1641.37</v>
      </c>
      <c r="O207" s="185">
        <f t="shared" si="10"/>
        <v>1641.37</v>
      </c>
      <c r="P207" s="215">
        <f t="shared" si="9"/>
        <v>1475.2166292140921</v>
      </c>
      <c r="Q207" s="215" cm="1">
        <f t="array" ref="Q207">IF(P207="-",0,P207/(1+'General inputs'!$H$32)^IFERROR(INDEX('MP Calculations'!$C$40:$C$130,MATCH(F207,'MP Calculations'!$D$40:$D$130,0),0),-1))</f>
        <v>1812.1510461109408</v>
      </c>
    </row>
    <row r="208" spans="3:17" x14ac:dyDescent="0.25">
      <c r="C208" s="159"/>
      <c r="D208" s="165" t="s">
        <v>436</v>
      </c>
      <c r="E208" s="161">
        <v>43168</v>
      </c>
      <c r="F208" s="172" t="str">
        <f t="shared" si="8"/>
        <v>2017-18</v>
      </c>
      <c r="G208" s="68"/>
      <c r="H208" s="167" t="s">
        <v>279</v>
      </c>
      <c r="I208" s="173">
        <v>8793.8848904043734</v>
      </c>
      <c r="J208" s="168">
        <f>IFERROR(MIN('MP Calculations'!$E$30/I208,1),"-")</f>
        <v>0.89877153183870317</v>
      </c>
      <c r="K208" s="12"/>
      <c r="L208" s="159">
        <v>1</v>
      </c>
      <c r="M208" s="159" t="s">
        <v>302</v>
      </c>
      <c r="N208" s="159">
        <v>30821.279999999999</v>
      </c>
      <c r="O208" s="185">
        <f t="shared" si="10"/>
        <v>30821.279999999999</v>
      </c>
      <c r="P208" s="215">
        <f t="shared" si="9"/>
        <v>27701.289038829585</v>
      </c>
      <c r="Q208" s="215" cm="1">
        <f t="array" ref="Q208">IF(P208="-",0,P208/(1+'General inputs'!$H$32)^IFERROR(INDEX('MP Calculations'!$C$40:$C$130,MATCH(F208,'MP Calculations'!$D$40:$D$130,0),0),-1))</f>
        <v>34028.168416918932</v>
      </c>
    </row>
    <row r="209" spans="3:17" x14ac:dyDescent="0.25">
      <c r="C209" s="159"/>
      <c r="D209" s="165" t="s">
        <v>437</v>
      </c>
      <c r="E209" s="161">
        <v>43276</v>
      </c>
      <c r="F209" s="172" t="str">
        <f t="shared" si="8"/>
        <v>2017-18</v>
      </c>
      <c r="G209" s="68"/>
      <c r="H209" s="167" t="s">
        <v>279</v>
      </c>
      <c r="I209" s="173">
        <v>8793.8848904043734</v>
      </c>
      <c r="J209" s="168">
        <f>IFERROR(MIN('MP Calculations'!$E$30/I209,1),"-")</f>
        <v>0.89877153183870317</v>
      </c>
      <c r="K209" s="12"/>
      <c r="L209" s="159">
        <v>1</v>
      </c>
      <c r="M209" s="159" t="s">
        <v>302</v>
      </c>
      <c r="N209" s="159">
        <v>3574.64</v>
      </c>
      <c r="O209" s="185">
        <f t="shared" si="10"/>
        <v>3574.64</v>
      </c>
      <c r="P209" s="215">
        <f t="shared" si="9"/>
        <v>3212.7846685719019</v>
      </c>
      <c r="Q209" s="215" cm="1">
        <f t="array" ref="Q209">IF(P209="-",0,P209/(1+'General inputs'!$H$32)^IFERROR(INDEX('MP Calculations'!$C$40:$C$130,MATCH(F209,'MP Calculations'!$D$40:$D$130,0),0),-1))</f>
        <v>3946.5736643596592</v>
      </c>
    </row>
    <row r="210" spans="3:17" x14ac:dyDescent="0.25">
      <c r="C210" s="159"/>
      <c r="D210" s="165" t="s">
        <v>438</v>
      </c>
      <c r="E210" s="161">
        <v>43276</v>
      </c>
      <c r="F210" s="172" t="str">
        <f t="shared" si="8"/>
        <v>2017-18</v>
      </c>
      <c r="G210" s="68"/>
      <c r="H210" s="167" t="s">
        <v>279</v>
      </c>
      <c r="I210" s="173">
        <v>8793.8848904043734</v>
      </c>
      <c r="J210" s="168">
        <f>IFERROR(MIN('MP Calculations'!$E$30/I210,1),"-")</f>
        <v>0.89877153183870317</v>
      </c>
      <c r="K210" s="12"/>
      <c r="L210" s="159">
        <v>1</v>
      </c>
      <c r="M210" s="159" t="s">
        <v>302</v>
      </c>
      <c r="N210" s="159">
        <v>3574.64</v>
      </c>
      <c r="O210" s="185">
        <f t="shared" si="10"/>
        <v>3574.64</v>
      </c>
      <c r="P210" s="215">
        <f t="shared" si="9"/>
        <v>3212.7846685719019</v>
      </c>
      <c r="Q210" s="215" cm="1">
        <f t="array" ref="Q210">IF(P210="-",0,P210/(1+'General inputs'!$H$32)^IFERROR(INDEX('MP Calculations'!$C$40:$C$130,MATCH(F210,'MP Calculations'!$D$40:$D$130,0),0),-1))</f>
        <v>3946.5736643596592</v>
      </c>
    </row>
    <row r="211" spans="3:17" x14ac:dyDescent="0.25">
      <c r="C211" s="159"/>
      <c r="D211" s="165" t="s">
        <v>439</v>
      </c>
      <c r="E211" s="161">
        <v>43281</v>
      </c>
      <c r="F211" s="172" t="str">
        <f t="shared" si="8"/>
        <v>2017-18</v>
      </c>
      <c r="G211" s="68"/>
      <c r="H211" s="167" t="s">
        <v>279</v>
      </c>
      <c r="I211" s="173">
        <v>8793.8848904043734</v>
      </c>
      <c r="J211" s="168">
        <f>IFERROR(MIN('MP Calculations'!$E$30/I211,1),"-")</f>
        <v>0.89877153183870317</v>
      </c>
      <c r="K211" s="12"/>
      <c r="L211" s="159">
        <v>1</v>
      </c>
      <c r="M211" s="159" t="s">
        <v>302</v>
      </c>
      <c r="N211" s="159">
        <v>603.5</v>
      </c>
      <c r="O211" s="185">
        <f t="shared" si="10"/>
        <v>603.5</v>
      </c>
      <c r="P211" s="215">
        <f t="shared" si="9"/>
        <v>542.40861946465736</v>
      </c>
      <c r="Q211" s="215" cm="1">
        <f t="array" ref="Q211">IF(P211="-",0,P211/(1+'General inputs'!$H$32)^IFERROR(INDEX('MP Calculations'!$C$40:$C$130,MATCH(F211,'MP Calculations'!$D$40:$D$130,0),0),-1))</f>
        <v>666.29288723928971</v>
      </c>
    </row>
    <row r="212" spans="3:17" x14ac:dyDescent="0.25">
      <c r="C212" s="159"/>
      <c r="D212" s="165" t="s">
        <v>440</v>
      </c>
      <c r="E212" s="161">
        <v>43281</v>
      </c>
      <c r="F212" s="172" t="str">
        <f t="shared" si="8"/>
        <v>2017-18</v>
      </c>
      <c r="G212" s="68"/>
      <c r="H212" s="167" t="s">
        <v>279</v>
      </c>
      <c r="I212" s="173">
        <v>8793.8848904043734</v>
      </c>
      <c r="J212" s="168">
        <f>IFERROR(MIN('MP Calculations'!$E$30/I212,1),"-")</f>
        <v>0.89877153183870317</v>
      </c>
      <c r="K212" s="12"/>
      <c r="L212" s="159">
        <v>1</v>
      </c>
      <c r="M212" s="159" t="s">
        <v>302</v>
      </c>
      <c r="N212" s="159">
        <v>1535.68</v>
      </c>
      <c r="O212" s="185">
        <f t="shared" si="10"/>
        <v>1535.68</v>
      </c>
      <c r="P212" s="215">
        <f t="shared" si="9"/>
        <v>1380.2254660140597</v>
      </c>
      <c r="Q212" s="215" cm="1">
        <f t="array" ref="Q212">IF(P212="-",0,P212/(1+'General inputs'!$H$32)^IFERROR(INDEX('MP Calculations'!$C$40:$C$130,MATCH(F212,'MP Calculations'!$D$40:$D$130,0),0),-1))</f>
        <v>1695.4642271344364</v>
      </c>
    </row>
    <row r="213" spans="3:17" x14ac:dyDescent="0.25">
      <c r="C213" s="159"/>
      <c r="D213" s="165" t="s">
        <v>441</v>
      </c>
      <c r="E213" s="161">
        <v>43451</v>
      </c>
      <c r="F213" s="172" t="str">
        <f t="shared" si="8"/>
        <v>2018-19</v>
      </c>
      <c r="G213" s="68"/>
      <c r="H213" s="167" t="s">
        <v>279</v>
      </c>
      <c r="I213" s="173">
        <v>8793.8848904043734</v>
      </c>
      <c r="J213" s="168">
        <f>IFERROR(MIN('MP Calculations'!$E$30/I213,1),"-")</f>
        <v>0.89877153183870317</v>
      </c>
      <c r="K213" s="12"/>
      <c r="L213" s="159">
        <v>1</v>
      </c>
      <c r="M213" s="159" t="s">
        <v>302</v>
      </c>
      <c r="N213" s="159">
        <v>4904.6000000000004</v>
      </c>
      <c r="O213" s="185">
        <f t="shared" si="10"/>
        <v>4904.6000000000004</v>
      </c>
      <c r="P213" s="215">
        <f t="shared" si="9"/>
        <v>4408.1148550561038</v>
      </c>
      <c r="Q213" s="215" cm="1">
        <f t="array" ref="Q213">IF(P213="-",0,P213/(1+'General inputs'!$H$32)^IFERROR(INDEX('MP Calculations'!$C$40:$C$130,MATCH(F213,'MP Calculations'!$D$40:$D$130,0),0),-1))</f>
        <v>5196.6537086983326</v>
      </c>
    </row>
    <row r="214" spans="3:17" x14ac:dyDescent="0.25">
      <c r="C214" s="159"/>
      <c r="D214" s="165" t="s">
        <v>442</v>
      </c>
      <c r="E214" s="161">
        <v>43523</v>
      </c>
      <c r="F214" s="172" t="str">
        <f t="shared" ref="F214:F277" si="11">IF(E214="","-",IF(OR(E214&lt;$E$15,E214&gt;$E$16),"ERROR - date outside of range",IF(MONTH(E214)&gt;=7,YEAR(E214)&amp;"-"&amp;IF(YEAR(E214)=1999,"00",IF(AND(YEAR(E214)&gt;=2000,YEAR(E214)&lt;2009),"0","")&amp;RIGHT(YEAR(E214),2)+1),RIGHT(YEAR(E214),4)-1&amp;"-"&amp;RIGHT(YEAR(E214),2))))</f>
        <v>2018-19</v>
      </c>
      <c r="G214" s="68"/>
      <c r="H214" s="167" t="s">
        <v>279</v>
      </c>
      <c r="I214" s="173">
        <v>8793.8848904043734</v>
      </c>
      <c r="J214" s="168">
        <f>IFERROR(MIN('MP Calculations'!$E$30/I214,1),"-")</f>
        <v>0.89877153183870317</v>
      </c>
      <c r="K214" s="12"/>
      <c r="L214" s="159">
        <v>1</v>
      </c>
      <c r="M214" s="159" t="s">
        <v>302</v>
      </c>
      <c r="N214" s="159">
        <v>34150.51</v>
      </c>
      <c r="O214" s="185">
        <f t="shared" si="10"/>
        <v>34150.51</v>
      </c>
      <c r="P214" s="215">
        <f t="shared" si="9"/>
        <v>30693.506185772952</v>
      </c>
      <c r="Q214" s="215" cm="1">
        <f t="array" ref="Q214">IF(P214="-",0,P214/(1+'General inputs'!$H$32)^IFERROR(INDEX('MP Calculations'!$C$40:$C$130,MATCH(F214,'MP Calculations'!$D$40:$D$130,0),0),-1))</f>
        <v>36184.066885258631</v>
      </c>
    </row>
    <row r="215" spans="3:17" x14ac:dyDescent="0.25">
      <c r="C215" s="159"/>
      <c r="D215" s="165" t="s">
        <v>443</v>
      </c>
      <c r="E215" s="161">
        <v>43528</v>
      </c>
      <c r="F215" s="172" t="str">
        <f t="shared" si="11"/>
        <v>2018-19</v>
      </c>
      <c r="G215" s="68"/>
      <c r="H215" s="167" t="s">
        <v>279</v>
      </c>
      <c r="I215" s="173">
        <v>8793.8848904043734</v>
      </c>
      <c r="J215" s="168">
        <f>IFERROR(MIN('MP Calculations'!$E$30/I215,1),"-")</f>
        <v>0.89877153183870317</v>
      </c>
      <c r="K215" s="12"/>
      <c r="L215" s="159">
        <v>1</v>
      </c>
      <c r="M215" s="159" t="s">
        <v>302</v>
      </c>
      <c r="N215" s="159">
        <v>65184.81</v>
      </c>
      <c r="O215" s="185">
        <f t="shared" si="10"/>
        <v>65184.81</v>
      </c>
      <c r="P215" s="215">
        <f t="shared" ref="P215:P278" si="12">IF(O215="-","-",IF(OR(E215&lt;$E$15,E215&gt;$E$16),0,O215*J215))</f>
        <v>58586.251536314812</v>
      </c>
      <c r="Q215" s="215" cm="1">
        <f t="array" ref="Q215">IF(P215="-",0,P215/(1+'General inputs'!$H$32)^IFERROR(INDEX('MP Calculations'!$C$40:$C$130,MATCH(F215,'MP Calculations'!$D$40:$D$130,0),0),-1))</f>
        <v>69066.363136095941</v>
      </c>
    </row>
    <row r="216" spans="3:17" x14ac:dyDescent="0.25">
      <c r="C216" s="159"/>
      <c r="D216" s="165" t="s">
        <v>443</v>
      </c>
      <c r="E216" s="161">
        <v>43528</v>
      </c>
      <c r="F216" s="172" t="str">
        <f t="shared" si="11"/>
        <v>2018-19</v>
      </c>
      <c r="G216" s="68"/>
      <c r="H216" s="167" t="s">
        <v>279</v>
      </c>
      <c r="I216" s="173">
        <v>8793.8848904043734</v>
      </c>
      <c r="J216" s="168">
        <f>IFERROR(MIN('MP Calculations'!$E$30/I216,1),"-")</f>
        <v>0.89877153183870317</v>
      </c>
      <c r="K216" s="12"/>
      <c r="L216" s="159">
        <v>1</v>
      </c>
      <c r="M216" s="159" t="s">
        <v>302</v>
      </c>
      <c r="N216" s="159">
        <v>65184.81</v>
      </c>
      <c r="O216" s="185">
        <f t="shared" si="10"/>
        <v>65184.81</v>
      </c>
      <c r="P216" s="215">
        <f t="shared" si="12"/>
        <v>58586.251536314812</v>
      </c>
      <c r="Q216" s="215" cm="1">
        <f t="array" ref="Q216">IF(P216="-",0,P216/(1+'General inputs'!$H$32)^IFERROR(INDEX('MP Calculations'!$C$40:$C$130,MATCH(F216,'MP Calculations'!$D$40:$D$130,0),0),-1))</f>
        <v>69066.363136095941</v>
      </c>
    </row>
    <row r="217" spans="3:17" x14ac:dyDescent="0.25">
      <c r="C217" s="159"/>
      <c r="D217" s="165" t="s">
        <v>444</v>
      </c>
      <c r="E217" s="161">
        <v>43538</v>
      </c>
      <c r="F217" s="172" t="str">
        <f t="shared" si="11"/>
        <v>2018-19</v>
      </c>
      <c r="G217" s="68"/>
      <c r="H217" s="167" t="s">
        <v>279</v>
      </c>
      <c r="I217" s="173">
        <v>8793.8848904043734</v>
      </c>
      <c r="J217" s="168">
        <f>IFERROR(MIN('MP Calculations'!$E$30/I217,1),"-")</f>
        <v>0.89877153183870317</v>
      </c>
      <c r="K217" s="12"/>
      <c r="L217" s="159">
        <v>1</v>
      </c>
      <c r="M217" s="159" t="s">
        <v>302</v>
      </c>
      <c r="N217" s="159">
        <v>36148.51</v>
      </c>
      <c r="O217" s="185">
        <f t="shared" si="10"/>
        <v>36148.51</v>
      </c>
      <c r="P217" s="215">
        <f t="shared" si="12"/>
        <v>32489.251706386684</v>
      </c>
      <c r="Q217" s="215" cm="1">
        <f t="array" ref="Q217">IF(P217="-",0,P217/(1+'General inputs'!$H$32)^IFERROR(INDEX('MP Calculations'!$C$40:$C$130,MATCH(F217,'MP Calculations'!$D$40:$D$130,0),0),-1))</f>
        <v>38301.04158451633</v>
      </c>
    </row>
    <row r="218" spans="3:17" x14ac:dyDescent="0.25">
      <c r="C218" s="159"/>
      <c r="D218" s="165" t="s">
        <v>445</v>
      </c>
      <c r="E218" s="161">
        <v>43644</v>
      </c>
      <c r="F218" s="172" t="str">
        <f t="shared" si="11"/>
        <v>2018-19</v>
      </c>
      <c r="G218" s="68"/>
      <c r="H218" s="167" t="s">
        <v>279</v>
      </c>
      <c r="I218" s="173">
        <v>8793.8848904043734</v>
      </c>
      <c r="J218" s="168">
        <f>IFERROR(MIN('MP Calculations'!$E$30/I218,1),"-")</f>
        <v>0.89877153183870317</v>
      </c>
      <c r="K218" s="12"/>
      <c r="L218" s="159">
        <v>1</v>
      </c>
      <c r="M218" s="159" t="s">
        <v>302</v>
      </c>
      <c r="N218" s="159">
        <v>817.83</v>
      </c>
      <c r="O218" s="185">
        <f t="shared" si="10"/>
        <v>817.83</v>
      </c>
      <c r="P218" s="215">
        <f t="shared" si="12"/>
        <v>735.04232188364665</v>
      </c>
      <c r="Q218" s="215" cm="1">
        <f t="array" ref="Q218">IF(P218="-",0,P218/(1+'General inputs'!$H$32)^IFERROR(INDEX('MP Calculations'!$C$40:$C$130,MATCH(F218,'MP Calculations'!$D$40:$D$130,0),0),-1))</f>
        <v>866.52923838534389</v>
      </c>
    </row>
    <row r="219" spans="3:17" x14ac:dyDescent="0.25">
      <c r="C219" s="159"/>
      <c r="D219" s="165" t="s">
        <v>446</v>
      </c>
      <c r="E219" s="161">
        <v>43646</v>
      </c>
      <c r="F219" s="172" t="str">
        <f t="shared" si="11"/>
        <v>2018-19</v>
      </c>
      <c r="G219" s="68"/>
      <c r="H219" s="167" t="s">
        <v>279</v>
      </c>
      <c r="I219" s="173">
        <v>8793.8848904043734</v>
      </c>
      <c r="J219" s="168">
        <f>IFERROR(MIN('MP Calculations'!$E$30/I219,1),"-")</f>
        <v>0.89877153183870317</v>
      </c>
      <c r="K219" s="12"/>
      <c r="L219" s="159">
        <v>1</v>
      </c>
      <c r="M219" s="159" t="s">
        <v>302</v>
      </c>
      <c r="N219" s="159">
        <v>134.59</v>
      </c>
      <c r="O219" s="185">
        <f t="shared" si="10"/>
        <v>134.59</v>
      </c>
      <c r="P219" s="215">
        <f t="shared" si="12"/>
        <v>120.96566047017106</v>
      </c>
      <c r="Q219" s="215" cm="1">
        <f t="array" ref="Q219">IF(P219="-",0,P219/(1+'General inputs'!$H$32)^IFERROR(INDEX('MP Calculations'!$C$40:$C$130,MATCH(F219,'MP Calculations'!$D$40:$D$130,0),0),-1))</f>
        <v>142.60441680334961</v>
      </c>
    </row>
    <row r="220" spans="3:17" x14ac:dyDescent="0.25">
      <c r="C220" s="159"/>
      <c r="D220" s="165" t="s">
        <v>447</v>
      </c>
      <c r="E220" s="161">
        <v>43789</v>
      </c>
      <c r="F220" s="172" t="str">
        <f t="shared" si="11"/>
        <v>2019-20</v>
      </c>
      <c r="G220" s="68"/>
      <c r="H220" s="167" t="s">
        <v>279</v>
      </c>
      <c r="I220" s="173">
        <v>8793.8848904043734</v>
      </c>
      <c r="J220" s="168">
        <f>IFERROR(MIN('MP Calculations'!$E$30/I220,1),"-")</f>
        <v>0.89877153183870317</v>
      </c>
      <c r="K220" s="12"/>
      <c r="L220" s="159">
        <v>1</v>
      </c>
      <c r="M220" s="159" t="s">
        <v>302</v>
      </c>
      <c r="N220" s="159">
        <v>30537.48</v>
      </c>
      <c r="O220" s="185">
        <f t="shared" si="10"/>
        <v>30537.48</v>
      </c>
      <c r="P220" s="215">
        <f t="shared" si="12"/>
        <v>27446.217678093763</v>
      </c>
      <c r="Q220" s="215" cm="1">
        <f t="array" ref="Q220">IF(P220="-",0,P220/(1+'General inputs'!$H$32)^IFERROR(INDEX('MP Calculations'!$C$40:$C$130,MATCH(F220,'MP Calculations'!$D$40:$D$130,0),0),-1))</f>
        <v>31051.719924861391</v>
      </c>
    </row>
    <row r="221" spans="3:17" x14ac:dyDescent="0.25">
      <c r="C221" s="159"/>
      <c r="D221" s="165" t="s">
        <v>448</v>
      </c>
      <c r="E221" s="161">
        <v>43860</v>
      </c>
      <c r="F221" s="172" t="str">
        <f t="shared" si="11"/>
        <v>2019-20</v>
      </c>
      <c r="G221" s="68"/>
      <c r="H221" s="167" t="s">
        <v>279</v>
      </c>
      <c r="I221" s="173">
        <v>8793.8848904043734</v>
      </c>
      <c r="J221" s="168">
        <f>IFERROR(MIN('MP Calculations'!$E$30/I221,1),"-")</f>
        <v>0.89877153183870317</v>
      </c>
      <c r="K221" s="12"/>
      <c r="L221" s="159">
        <v>1</v>
      </c>
      <c r="M221" s="159" t="s">
        <v>302</v>
      </c>
      <c r="N221" s="159">
        <v>59591.96</v>
      </c>
      <c r="O221" s="185">
        <f t="shared" si="10"/>
        <v>59591.96</v>
      </c>
      <c r="P221" s="215">
        <f t="shared" si="12"/>
        <v>53559.557174470727</v>
      </c>
      <c r="Q221" s="215" cm="1">
        <f t="array" ref="Q221">IF(P221="-",0,P221/(1+'General inputs'!$H$32)^IFERROR(INDEX('MP Calculations'!$C$40:$C$130,MATCH(F221,'MP Calculations'!$D$40:$D$130,0),0),-1))</f>
        <v>60595.466675493291</v>
      </c>
    </row>
    <row r="222" spans="3:17" x14ac:dyDescent="0.25">
      <c r="C222" s="159"/>
      <c r="D222" s="165" t="s">
        <v>391</v>
      </c>
      <c r="E222" s="161">
        <v>43886</v>
      </c>
      <c r="F222" s="172" t="str">
        <f t="shared" si="11"/>
        <v>2019-20</v>
      </c>
      <c r="G222" s="68"/>
      <c r="H222" s="167" t="s">
        <v>279</v>
      </c>
      <c r="I222" s="173">
        <v>8793.8848904043734</v>
      </c>
      <c r="J222" s="168">
        <f>IFERROR(MIN('MP Calculations'!$E$30/I222,1),"-")</f>
        <v>0.89877153183870317</v>
      </c>
      <c r="K222" s="12"/>
      <c r="L222" s="159">
        <v>1</v>
      </c>
      <c r="M222" s="159" t="s">
        <v>302</v>
      </c>
      <c r="N222" s="159">
        <v>20999.7</v>
      </c>
      <c r="O222" s="185">
        <f t="shared" si="10"/>
        <v>20999.7</v>
      </c>
      <c r="P222" s="215">
        <f t="shared" si="12"/>
        <v>18873.932537153214</v>
      </c>
      <c r="Q222" s="215" cm="1">
        <f t="array" ref="Q222">IF(P222="-",0,P222/(1+'General inputs'!$H$32)^IFERROR(INDEX('MP Calculations'!$C$40:$C$130,MATCH(F222,'MP Calculations'!$D$40:$D$130,0),0),-1))</f>
        <v>21353.327219734951</v>
      </c>
    </row>
    <row r="223" spans="3:17" x14ac:dyDescent="0.25">
      <c r="C223" s="159"/>
      <c r="D223" s="165" t="s">
        <v>449</v>
      </c>
      <c r="E223" s="161">
        <v>43976</v>
      </c>
      <c r="F223" s="172" t="str">
        <f t="shared" si="11"/>
        <v>2019-20</v>
      </c>
      <c r="G223" s="68"/>
      <c r="H223" s="167" t="s">
        <v>279</v>
      </c>
      <c r="I223" s="173">
        <v>8793.8848904043734</v>
      </c>
      <c r="J223" s="168">
        <f>IFERROR(MIN('MP Calculations'!$E$30/I223,1),"-")</f>
        <v>0.89877153183870317</v>
      </c>
      <c r="K223" s="12"/>
      <c r="L223" s="159">
        <v>1</v>
      </c>
      <c r="M223" s="159" t="s">
        <v>302</v>
      </c>
      <c r="N223" s="159">
        <v>574052.72</v>
      </c>
      <c r="O223" s="185">
        <f t="shared" si="10"/>
        <v>574052.72</v>
      </c>
      <c r="P223" s="215">
        <f t="shared" si="12"/>
        <v>515942.24251057411</v>
      </c>
      <c r="Q223" s="215" cm="1">
        <f t="array" ref="Q223">IF(P223="-",0,P223/(1+'General inputs'!$H$32)^IFERROR(INDEX('MP Calculations'!$C$40:$C$130,MATCH(F223,'MP Calculations'!$D$40:$D$130,0),0),-1))</f>
        <v>583719.55654313567</v>
      </c>
    </row>
    <row r="224" spans="3:17" x14ac:dyDescent="0.25">
      <c r="C224" s="159"/>
      <c r="D224" s="165" t="s">
        <v>450</v>
      </c>
      <c r="E224" s="161">
        <v>43998</v>
      </c>
      <c r="F224" s="172" t="str">
        <f t="shared" si="11"/>
        <v>2019-20</v>
      </c>
      <c r="G224" s="68"/>
      <c r="H224" s="167" t="s">
        <v>279</v>
      </c>
      <c r="I224" s="173">
        <v>8793.8848904043734</v>
      </c>
      <c r="J224" s="168">
        <f>IFERROR(MIN('MP Calculations'!$E$30/I224,1),"-")</f>
        <v>0.89877153183870317</v>
      </c>
      <c r="K224" s="12"/>
      <c r="L224" s="159">
        <v>1</v>
      </c>
      <c r="M224" s="159" t="s">
        <v>302</v>
      </c>
      <c r="N224" s="159">
        <v>412356.38</v>
      </c>
      <c r="O224" s="185">
        <f t="shared" si="10"/>
        <v>412356.38</v>
      </c>
      <c r="P224" s="215">
        <f t="shared" si="12"/>
        <v>370614.17531606241</v>
      </c>
      <c r="Q224" s="215" cm="1">
        <f t="array" ref="Q224">IF(P224="-",0,P224/(1+'General inputs'!$H$32)^IFERROR(INDEX('MP Calculations'!$C$40:$C$130,MATCH(F224,'MP Calculations'!$D$40:$D$130,0),0),-1))</f>
        <v>419300.30968467979</v>
      </c>
    </row>
    <row r="225" spans="3:17" x14ac:dyDescent="0.25">
      <c r="C225" s="159"/>
      <c r="D225" s="165" t="s">
        <v>451</v>
      </c>
      <c r="E225" s="161">
        <v>44035</v>
      </c>
      <c r="F225" s="172" t="str">
        <f t="shared" si="11"/>
        <v>2020-21</v>
      </c>
      <c r="G225" s="68"/>
      <c r="H225" s="167" t="s">
        <v>279</v>
      </c>
      <c r="I225" s="173">
        <v>8793.8848904043734</v>
      </c>
      <c r="J225" s="168">
        <f>IFERROR(MIN('MP Calculations'!$E$30/I225,1),"-")</f>
        <v>0.89877153183870317</v>
      </c>
      <c r="K225" s="12"/>
      <c r="L225" s="159">
        <v>1</v>
      </c>
      <c r="M225" s="159" t="s">
        <v>302</v>
      </c>
      <c r="N225" s="159">
        <v>22000</v>
      </c>
      <c r="O225" s="185">
        <f t="shared" si="10"/>
        <v>22000</v>
      </c>
      <c r="P225" s="215">
        <f t="shared" si="12"/>
        <v>19772.973700451468</v>
      </c>
      <c r="Q225" s="215" cm="1">
        <f t="array" ref="Q225">IF(P225="-",0,P225/(1+'General inputs'!$H$32)^IFERROR(INDEX('MP Calculations'!$C$40:$C$130,MATCH(F225,'MP Calculations'!$D$40:$D$130,0),0),-1))</f>
        <v>21468.783016896992</v>
      </c>
    </row>
    <row r="226" spans="3:17" x14ac:dyDescent="0.25">
      <c r="C226" s="159"/>
      <c r="D226" s="165" t="s">
        <v>452</v>
      </c>
      <c r="E226" s="161">
        <v>44035</v>
      </c>
      <c r="F226" s="172" t="str">
        <f t="shared" si="11"/>
        <v>2020-21</v>
      </c>
      <c r="G226" s="68"/>
      <c r="H226" s="167" t="s">
        <v>279</v>
      </c>
      <c r="I226" s="173">
        <v>8793.8848904043734</v>
      </c>
      <c r="J226" s="168">
        <f>IFERROR(MIN('MP Calculations'!$E$30/I226,1),"-")</f>
        <v>0.89877153183870317</v>
      </c>
      <c r="K226" s="12"/>
      <c r="L226" s="159">
        <v>1</v>
      </c>
      <c r="M226" s="159" t="s">
        <v>302</v>
      </c>
      <c r="N226" s="159">
        <v>22000</v>
      </c>
      <c r="O226" s="185">
        <f t="shared" si="10"/>
        <v>22000</v>
      </c>
      <c r="P226" s="215">
        <f t="shared" si="12"/>
        <v>19772.973700451468</v>
      </c>
      <c r="Q226" s="215" cm="1">
        <f t="array" ref="Q226">IF(P226="-",0,P226/(1+'General inputs'!$H$32)^IFERROR(INDEX('MP Calculations'!$C$40:$C$130,MATCH(F226,'MP Calculations'!$D$40:$D$130,0),0),-1))</f>
        <v>21468.783016896992</v>
      </c>
    </row>
    <row r="227" spans="3:17" x14ac:dyDescent="0.25">
      <c r="C227" s="159"/>
      <c r="D227" s="165" t="s">
        <v>453</v>
      </c>
      <c r="E227" s="161">
        <v>44035</v>
      </c>
      <c r="F227" s="172" t="str">
        <f t="shared" si="11"/>
        <v>2020-21</v>
      </c>
      <c r="G227" s="68"/>
      <c r="H227" s="167" t="s">
        <v>279</v>
      </c>
      <c r="I227" s="173">
        <v>8793.8848904043734</v>
      </c>
      <c r="J227" s="168">
        <f>IFERROR(MIN('MP Calculations'!$E$30/I227,1),"-")</f>
        <v>0.89877153183870317</v>
      </c>
      <c r="K227" s="12"/>
      <c r="L227" s="159">
        <v>1</v>
      </c>
      <c r="M227" s="159" t="s">
        <v>302</v>
      </c>
      <c r="N227" s="159">
        <v>45000</v>
      </c>
      <c r="O227" s="185">
        <f t="shared" si="10"/>
        <v>45000</v>
      </c>
      <c r="P227" s="215">
        <f t="shared" si="12"/>
        <v>40444.718932741642</v>
      </c>
      <c r="Q227" s="215" cm="1">
        <f t="array" ref="Q227">IF(P227="-",0,P227/(1+'General inputs'!$H$32)^IFERROR(INDEX('MP Calculations'!$C$40:$C$130,MATCH(F227,'MP Calculations'!$D$40:$D$130,0),0),-1))</f>
        <v>43913.419807289305</v>
      </c>
    </row>
    <row r="228" spans="3:17" x14ac:dyDescent="0.25">
      <c r="C228" s="159"/>
      <c r="D228" s="165" t="s">
        <v>454</v>
      </c>
      <c r="E228" s="161">
        <v>44035</v>
      </c>
      <c r="F228" s="172" t="str">
        <f t="shared" si="11"/>
        <v>2020-21</v>
      </c>
      <c r="G228" s="68"/>
      <c r="H228" s="167" t="s">
        <v>279</v>
      </c>
      <c r="I228" s="173">
        <v>8793.8848904043734</v>
      </c>
      <c r="J228" s="168">
        <f>IFERROR(MIN('MP Calculations'!$E$30/I228,1),"-")</f>
        <v>0.89877153183870317</v>
      </c>
      <c r="K228" s="12"/>
      <c r="L228" s="159">
        <v>1</v>
      </c>
      <c r="M228" s="159" t="s">
        <v>302</v>
      </c>
      <c r="N228" s="159">
        <v>45000</v>
      </c>
      <c r="O228" s="185">
        <f t="shared" si="10"/>
        <v>45000</v>
      </c>
      <c r="P228" s="215">
        <f t="shared" si="12"/>
        <v>40444.718932741642</v>
      </c>
      <c r="Q228" s="215" cm="1">
        <f t="array" ref="Q228">IF(P228="-",0,P228/(1+'General inputs'!$H$32)^IFERROR(INDEX('MP Calculations'!$C$40:$C$130,MATCH(F228,'MP Calculations'!$D$40:$D$130,0),0),-1))</f>
        <v>43913.419807289305</v>
      </c>
    </row>
    <row r="229" spans="3:17" x14ac:dyDescent="0.25">
      <c r="C229" s="159"/>
      <c r="D229" s="165" t="s">
        <v>455</v>
      </c>
      <c r="E229" s="161">
        <v>44035</v>
      </c>
      <c r="F229" s="172" t="str">
        <f t="shared" si="11"/>
        <v>2020-21</v>
      </c>
      <c r="G229" s="68"/>
      <c r="H229" s="167" t="s">
        <v>279</v>
      </c>
      <c r="I229" s="173">
        <v>8793.8848904043734</v>
      </c>
      <c r="J229" s="168">
        <f>IFERROR(MIN('MP Calculations'!$E$30/I229,1),"-")</f>
        <v>0.89877153183870317</v>
      </c>
      <c r="K229" s="12"/>
      <c r="L229" s="159">
        <v>1</v>
      </c>
      <c r="M229" s="159" t="s">
        <v>302</v>
      </c>
      <c r="N229" s="159">
        <v>45000</v>
      </c>
      <c r="O229" s="185">
        <f t="shared" si="10"/>
        <v>45000</v>
      </c>
      <c r="P229" s="215">
        <f t="shared" si="12"/>
        <v>40444.718932741642</v>
      </c>
      <c r="Q229" s="215" cm="1">
        <f t="array" ref="Q229">IF(P229="-",0,P229/(1+'General inputs'!$H$32)^IFERROR(INDEX('MP Calculations'!$C$40:$C$130,MATCH(F229,'MP Calculations'!$D$40:$D$130,0),0),-1))</f>
        <v>43913.419807289305</v>
      </c>
    </row>
    <row r="230" spans="3:17" x14ac:dyDescent="0.25">
      <c r="C230" s="159"/>
      <c r="D230" s="165" t="s">
        <v>456</v>
      </c>
      <c r="E230" s="161">
        <v>44035</v>
      </c>
      <c r="F230" s="172" t="str">
        <f t="shared" si="11"/>
        <v>2020-21</v>
      </c>
      <c r="G230" s="68"/>
      <c r="H230" s="167" t="s">
        <v>279</v>
      </c>
      <c r="I230" s="173">
        <v>8793.8848904043734</v>
      </c>
      <c r="J230" s="168">
        <f>IFERROR(MIN('MP Calculations'!$E$30/I230,1),"-")</f>
        <v>0.89877153183870317</v>
      </c>
      <c r="K230" s="12"/>
      <c r="L230" s="159">
        <v>1</v>
      </c>
      <c r="M230" s="159" t="s">
        <v>302</v>
      </c>
      <c r="N230" s="159">
        <v>45000</v>
      </c>
      <c r="O230" s="185">
        <f t="shared" si="10"/>
        <v>45000</v>
      </c>
      <c r="P230" s="215">
        <f t="shared" si="12"/>
        <v>40444.718932741642</v>
      </c>
      <c r="Q230" s="215" cm="1">
        <f t="array" ref="Q230">IF(P230="-",0,P230/(1+'General inputs'!$H$32)^IFERROR(INDEX('MP Calculations'!$C$40:$C$130,MATCH(F230,'MP Calculations'!$D$40:$D$130,0),0),-1))</f>
        <v>43913.419807289305</v>
      </c>
    </row>
    <row r="231" spans="3:17" x14ac:dyDescent="0.25">
      <c r="C231" s="159"/>
      <c r="D231" s="165" t="s">
        <v>457</v>
      </c>
      <c r="E231" s="161">
        <v>44035</v>
      </c>
      <c r="F231" s="172" t="str">
        <f t="shared" si="11"/>
        <v>2020-21</v>
      </c>
      <c r="G231" s="68"/>
      <c r="H231" s="167" t="s">
        <v>279</v>
      </c>
      <c r="I231" s="173">
        <v>8793.8848904043734</v>
      </c>
      <c r="J231" s="168">
        <f>IFERROR(MIN('MP Calculations'!$E$30/I231,1),"-")</f>
        <v>0.89877153183870317</v>
      </c>
      <c r="K231" s="12"/>
      <c r="L231" s="159">
        <v>1</v>
      </c>
      <c r="M231" s="159" t="s">
        <v>302</v>
      </c>
      <c r="N231" s="159">
        <v>45000</v>
      </c>
      <c r="O231" s="185">
        <f t="shared" si="10"/>
        <v>45000</v>
      </c>
      <c r="P231" s="215">
        <f t="shared" si="12"/>
        <v>40444.718932741642</v>
      </c>
      <c r="Q231" s="215" cm="1">
        <f t="array" ref="Q231">IF(P231="-",0,P231/(1+'General inputs'!$H$32)^IFERROR(INDEX('MP Calculations'!$C$40:$C$130,MATCH(F231,'MP Calculations'!$D$40:$D$130,0),0),-1))</f>
        <v>43913.419807289305</v>
      </c>
    </row>
    <row r="232" spans="3:17" x14ac:dyDescent="0.25">
      <c r="C232" s="159"/>
      <c r="D232" s="165" t="s">
        <v>458</v>
      </c>
      <c r="E232" s="161">
        <v>44035</v>
      </c>
      <c r="F232" s="172" t="str">
        <f t="shared" si="11"/>
        <v>2020-21</v>
      </c>
      <c r="G232" s="68"/>
      <c r="H232" s="167" t="s">
        <v>279</v>
      </c>
      <c r="I232" s="173">
        <v>8793.8848904043734</v>
      </c>
      <c r="J232" s="168">
        <f>IFERROR(MIN('MP Calculations'!$E$30/I232,1),"-")</f>
        <v>0.89877153183870317</v>
      </c>
      <c r="K232" s="12"/>
      <c r="L232" s="159">
        <v>1</v>
      </c>
      <c r="M232" s="159" t="s">
        <v>302</v>
      </c>
      <c r="N232" s="159">
        <v>42000</v>
      </c>
      <c r="O232" s="185">
        <f t="shared" si="10"/>
        <v>42000</v>
      </c>
      <c r="P232" s="215">
        <f t="shared" si="12"/>
        <v>37748.404337225533</v>
      </c>
      <c r="Q232" s="215" cm="1">
        <f t="array" ref="Q232">IF(P232="-",0,P232/(1+'General inputs'!$H$32)^IFERROR(INDEX('MP Calculations'!$C$40:$C$130,MATCH(F232,'MP Calculations'!$D$40:$D$130,0),0),-1))</f>
        <v>40985.85848680335</v>
      </c>
    </row>
    <row r="233" spans="3:17" x14ac:dyDescent="0.25">
      <c r="C233" s="159"/>
      <c r="D233" s="165"/>
      <c r="E233" s="161"/>
      <c r="F233" s="172" t="str">
        <f t="shared" si="11"/>
        <v>-</v>
      </c>
      <c r="G233" s="68"/>
      <c r="H233" s="167"/>
      <c r="I233" s="173"/>
      <c r="J233" s="168" t="str">
        <f>IFERROR(MIN('MP Calculations'!$E$30/I233,1),"-")</f>
        <v>-</v>
      </c>
      <c r="K233" s="12"/>
      <c r="L233" s="159"/>
      <c r="M233" s="159"/>
      <c r="N233" s="159"/>
      <c r="O233" s="185" t="str">
        <f t="shared" si="10"/>
        <v>-</v>
      </c>
      <c r="P233" s="215" t="str">
        <f t="shared" si="12"/>
        <v>-</v>
      </c>
      <c r="Q233" s="215" cm="1">
        <f t="array" ref="Q233">IF(P233="-",0,P233/(1+'General inputs'!$H$32)^IFERROR(INDEX('MP Calculations'!$C$40:$C$130,MATCH(F233,'MP Calculations'!$D$40:$D$130,0),0),-1))</f>
        <v>0</v>
      </c>
    </row>
    <row r="234" spans="3:17" x14ac:dyDescent="0.25">
      <c r="C234" s="159"/>
      <c r="D234" s="165"/>
      <c r="E234" s="161"/>
      <c r="F234" s="172" t="str">
        <f t="shared" si="11"/>
        <v>-</v>
      </c>
      <c r="G234" s="68"/>
      <c r="H234" s="167"/>
      <c r="I234" s="173"/>
      <c r="J234" s="168" t="str">
        <f>IFERROR(MIN('MP Calculations'!$E$30/I234,1),"-")</f>
        <v>-</v>
      </c>
      <c r="K234" s="12"/>
      <c r="L234" s="159"/>
      <c r="M234" s="159"/>
      <c r="N234" s="159"/>
      <c r="O234" s="185" t="str">
        <f t="shared" si="10"/>
        <v>-</v>
      </c>
      <c r="P234" s="215" t="str">
        <f t="shared" si="12"/>
        <v>-</v>
      </c>
      <c r="Q234" s="215" cm="1">
        <f t="array" ref="Q234">IF(P234="-",0,P234/(1+'General inputs'!$H$32)^IFERROR(INDEX('MP Calculations'!$C$40:$C$130,MATCH(F234,'MP Calculations'!$D$40:$D$130,0),0),-1))</f>
        <v>0</v>
      </c>
    </row>
    <row r="235" spans="3:17" x14ac:dyDescent="0.25">
      <c r="C235" s="159"/>
      <c r="D235" s="165"/>
      <c r="E235" s="161"/>
      <c r="F235" s="172" t="str">
        <f t="shared" si="11"/>
        <v>-</v>
      </c>
      <c r="G235" s="68"/>
      <c r="H235" s="167"/>
      <c r="I235" s="173"/>
      <c r="J235" s="168" t="str">
        <f>IFERROR(MIN('MP Calculations'!$E$30/I235,1),"-")</f>
        <v>-</v>
      </c>
      <c r="K235" s="12"/>
      <c r="L235" s="159"/>
      <c r="M235" s="159"/>
      <c r="N235" s="159"/>
      <c r="O235" s="185" t="str">
        <f t="shared" si="10"/>
        <v>-</v>
      </c>
      <c r="P235" s="215" t="str">
        <f t="shared" si="12"/>
        <v>-</v>
      </c>
      <c r="Q235" s="215" cm="1">
        <f t="array" ref="Q235">IF(P235="-",0,P235/(1+'General inputs'!$H$32)^IFERROR(INDEX('MP Calculations'!$C$40:$C$130,MATCH(F235,'MP Calculations'!$D$40:$D$130,0),0),-1))</f>
        <v>0</v>
      </c>
    </row>
    <row r="236" spans="3:17" x14ac:dyDescent="0.25">
      <c r="C236" s="159"/>
      <c r="D236" s="165"/>
      <c r="E236" s="161"/>
      <c r="F236" s="172" t="str">
        <f t="shared" si="11"/>
        <v>-</v>
      </c>
      <c r="G236" s="68"/>
      <c r="H236" s="167"/>
      <c r="I236" s="173"/>
      <c r="J236" s="168" t="str">
        <f>IFERROR(MIN('MP Calculations'!$E$30/I236,1),"-")</f>
        <v>-</v>
      </c>
      <c r="K236" s="12"/>
      <c r="L236" s="159"/>
      <c r="M236" s="159"/>
      <c r="N236" s="159"/>
      <c r="O236" s="185" t="str">
        <f t="shared" si="10"/>
        <v>-</v>
      </c>
      <c r="P236" s="215" t="str">
        <f t="shared" si="12"/>
        <v>-</v>
      </c>
      <c r="Q236" s="215" cm="1">
        <f t="array" ref="Q236">IF(P236="-",0,P236/(1+'General inputs'!$H$32)^IFERROR(INDEX('MP Calculations'!$C$40:$C$130,MATCH(F236,'MP Calculations'!$D$40:$D$130,0),0),-1))</f>
        <v>0</v>
      </c>
    </row>
    <row r="237" spans="3:17" x14ac:dyDescent="0.25">
      <c r="C237" s="159"/>
      <c r="D237" s="165"/>
      <c r="E237" s="161"/>
      <c r="F237" s="172" t="str">
        <f t="shared" si="11"/>
        <v>-</v>
      </c>
      <c r="G237" s="68"/>
      <c r="H237" s="167"/>
      <c r="I237" s="173"/>
      <c r="J237" s="168" t="str">
        <f>IFERROR(MIN('MP Calculations'!$E$30/I237,1),"-")</f>
        <v>-</v>
      </c>
      <c r="K237" s="12"/>
      <c r="L237" s="159"/>
      <c r="M237" s="159"/>
      <c r="N237" s="159"/>
      <c r="O237" s="185" t="str">
        <f t="shared" si="10"/>
        <v>-</v>
      </c>
      <c r="P237" s="215" t="str">
        <f t="shared" si="12"/>
        <v>-</v>
      </c>
      <c r="Q237" s="215" cm="1">
        <f t="array" ref="Q237">IF(P237="-",0,P237/(1+'General inputs'!$H$32)^IFERROR(INDEX('MP Calculations'!$C$40:$C$130,MATCH(F237,'MP Calculations'!$D$40:$D$130,0),0),-1))</f>
        <v>0</v>
      </c>
    </row>
    <row r="238" spans="3:17" x14ac:dyDescent="0.25">
      <c r="C238" s="159"/>
      <c r="D238" s="165"/>
      <c r="E238" s="161"/>
      <c r="F238" s="172" t="str">
        <f t="shared" si="11"/>
        <v>-</v>
      </c>
      <c r="G238" s="68"/>
      <c r="H238" s="167"/>
      <c r="I238" s="173"/>
      <c r="J238" s="168" t="str">
        <f>IFERROR(MIN('MP Calculations'!$E$30/I238,1),"-")</f>
        <v>-</v>
      </c>
      <c r="K238" s="12"/>
      <c r="L238" s="159"/>
      <c r="M238" s="159"/>
      <c r="N238" s="159"/>
      <c r="O238" s="185" t="str">
        <f t="shared" si="10"/>
        <v>-</v>
      </c>
      <c r="P238" s="215" t="str">
        <f t="shared" si="12"/>
        <v>-</v>
      </c>
      <c r="Q238" s="215" cm="1">
        <f t="array" ref="Q238">IF(P238="-",0,P238/(1+'General inputs'!$H$32)^IFERROR(INDEX('MP Calculations'!$C$40:$C$130,MATCH(F238,'MP Calculations'!$D$40:$D$130,0),0),-1))</f>
        <v>0</v>
      </c>
    </row>
    <row r="239" spans="3:17" x14ac:dyDescent="0.25">
      <c r="C239" s="159"/>
      <c r="D239" s="165"/>
      <c r="E239" s="161"/>
      <c r="F239" s="172" t="str">
        <f t="shared" si="11"/>
        <v>-</v>
      </c>
      <c r="G239" s="68"/>
      <c r="H239" s="167"/>
      <c r="I239" s="173"/>
      <c r="J239" s="168" t="str">
        <f>IFERROR(MIN('MP Calculations'!$E$30/I239,1),"-")</f>
        <v>-</v>
      </c>
      <c r="K239" s="12"/>
      <c r="L239" s="159"/>
      <c r="M239" s="159"/>
      <c r="N239" s="159"/>
      <c r="O239" s="185" t="str">
        <f t="shared" si="10"/>
        <v>-</v>
      </c>
      <c r="P239" s="215" t="str">
        <f t="shared" si="12"/>
        <v>-</v>
      </c>
      <c r="Q239" s="215" cm="1">
        <f t="array" ref="Q239">IF(P239="-",0,P239/(1+'General inputs'!$H$32)^IFERROR(INDEX('MP Calculations'!$C$40:$C$130,MATCH(F239,'MP Calculations'!$D$40:$D$130,0),0),-1))</f>
        <v>0</v>
      </c>
    </row>
    <row r="240" spans="3:17" x14ac:dyDescent="0.25">
      <c r="C240" s="159"/>
      <c r="D240" s="165"/>
      <c r="E240" s="161"/>
      <c r="F240" s="172" t="str">
        <f t="shared" si="11"/>
        <v>-</v>
      </c>
      <c r="G240" s="68"/>
      <c r="H240" s="167"/>
      <c r="I240" s="173"/>
      <c r="J240" s="168" t="str">
        <f>IFERROR(MIN('MP Calculations'!$E$30/I240,1),"-")</f>
        <v>-</v>
      </c>
      <c r="K240" s="12"/>
      <c r="L240" s="159"/>
      <c r="M240" s="159"/>
      <c r="N240" s="159"/>
      <c r="O240" s="185" t="str">
        <f t="shared" si="10"/>
        <v>-</v>
      </c>
      <c r="P240" s="215" t="str">
        <f t="shared" si="12"/>
        <v>-</v>
      </c>
      <c r="Q240" s="215" cm="1">
        <f t="array" ref="Q240">IF(P240="-",0,P240/(1+'General inputs'!$H$32)^IFERROR(INDEX('MP Calculations'!$C$40:$C$130,MATCH(F240,'MP Calculations'!$D$40:$D$130,0),0),-1))</f>
        <v>0</v>
      </c>
    </row>
    <row r="241" spans="3:17" x14ac:dyDescent="0.25">
      <c r="C241" s="159"/>
      <c r="D241" s="165"/>
      <c r="E241" s="161"/>
      <c r="F241" s="172" t="str">
        <f t="shared" si="11"/>
        <v>-</v>
      </c>
      <c r="G241" s="68"/>
      <c r="H241" s="167"/>
      <c r="I241" s="173"/>
      <c r="J241" s="168" t="str">
        <f>IFERROR(MIN('MP Calculations'!$E$30/I241,1),"-")</f>
        <v>-</v>
      </c>
      <c r="K241" s="12"/>
      <c r="L241" s="159"/>
      <c r="M241" s="159"/>
      <c r="N241" s="159"/>
      <c r="O241" s="185" t="str">
        <f t="shared" si="10"/>
        <v>-</v>
      </c>
      <c r="P241" s="215" t="str">
        <f t="shared" si="12"/>
        <v>-</v>
      </c>
      <c r="Q241" s="215" cm="1">
        <f t="array" ref="Q241">IF(P241="-",0,P241/(1+'General inputs'!$H$32)^IFERROR(INDEX('MP Calculations'!$C$40:$C$130,MATCH(F241,'MP Calculations'!$D$40:$D$130,0),0),-1))</f>
        <v>0</v>
      </c>
    </row>
    <row r="242" spans="3:17" x14ac:dyDescent="0.25">
      <c r="C242" s="159"/>
      <c r="D242" s="165"/>
      <c r="E242" s="161"/>
      <c r="F242" s="172" t="str">
        <f t="shared" si="11"/>
        <v>-</v>
      </c>
      <c r="G242" s="68"/>
      <c r="H242" s="167"/>
      <c r="I242" s="173"/>
      <c r="J242" s="168" t="str">
        <f>IFERROR(MIN('MP Calculations'!$E$30/I242,1),"-")</f>
        <v>-</v>
      </c>
      <c r="K242" s="12"/>
      <c r="L242" s="159"/>
      <c r="M242" s="159"/>
      <c r="N242" s="159"/>
      <c r="O242" s="185" t="str">
        <f t="shared" si="10"/>
        <v>-</v>
      </c>
      <c r="P242" s="215" t="str">
        <f t="shared" si="12"/>
        <v>-</v>
      </c>
      <c r="Q242" s="215" cm="1">
        <f t="array" ref="Q242">IF(P242="-",0,P242/(1+'General inputs'!$H$32)^IFERROR(INDEX('MP Calculations'!$C$40:$C$130,MATCH(F242,'MP Calculations'!$D$40:$D$130,0),0),-1))</f>
        <v>0</v>
      </c>
    </row>
    <row r="243" spans="3:17" x14ac:dyDescent="0.25">
      <c r="C243" s="159"/>
      <c r="D243" s="165"/>
      <c r="E243" s="161"/>
      <c r="F243" s="172" t="str">
        <f t="shared" si="11"/>
        <v>-</v>
      </c>
      <c r="G243" s="68"/>
      <c r="H243" s="167"/>
      <c r="I243" s="173"/>
      <c r="J243" s="168" t="str">
        <f>IFERROR(MIN('MP Calculations'!$E$30/I243,1),"-")</f>
        <v>-</v>
      </c>
      <c r="K243" s="12"/>
      <c r="L243" s="159"/>
      <c r="M243" s="159"/>
      <c r="N243" s="159"/>
      <c r="O243" s="185" t="str">
        <f t="shared" si="10"/>
        <v>-</v>
      </c>
      <c r="P243" s="215" t="str">
        <f t="shared" si="12"/>
        <v>-</v>
      </c>
      <c r="Q243" s="215" cm="1">
        <f t="array" ref="Q243">IF(P243="-",0,P243/(1+'General inputs'!$H$32)^IFERROR(INDEX('MP Calculations'!$C$40:$C$130,MATCH(F243,'MP Calculations'!$D$40:$D$130,0),0),-1))</f>
        <v>0</v>
      </c>
    </row>
    <row r="244" spans="3:17" x14ac:dyDescent="0.25">
      <c r="C244" s="159"/>
      <c r="D244" s="165"/>
      <c r="E244" s="161"/>
      <c r="F244" s="172" t="str">
        <f t="shared" si="11"/>
        <v>-</v>
      </c>
      <c r="G244" s="68"/>
      <c r="H244" s="167"/>
      <c r="I244" s="173"/>
      <c r="J244" s="168" t="str">
        <f>IFERROR(MIN('MP Calculations'!$E$30/I244,1),"-")</f>
        <v>-</v>
      </c>
      <c r="K244" s="12"/>
      <c r="L244" s="159"/>
      <c r="M244" s="159"/>
      <c r="N244" s="159"/>
      <c r="O244" s="185" t="str">
        <f t="shared" si="10"/>
        <v>-</v>
      </c>
      <c r="P244" s="215" t="str">
        <f t="shared" si="12"/>
        <v>-</v>
      </c>
      <c r="Q244" s="215" cm="1">
        <f t="array" ref="Q244">IF(P244="-",0,P244/(1+'General inputs'!$H$32)^IFERROR(INDEX('MP Calculations'!$C$40:$C$130,MATCH(F244,'MP Calculations'!$D$40:$D$130,0),0),-1))</f>
        <v>0</v>
      </c>
    </row>
    <row r="245" spans="3:17" x14ac:dyDescent="0.25">
      <c r="C245" s="159"/>
      <c r="D245" s="165"/>
      <c r="E245" s="161"/>
      <c r="F245" s="172" t="str">
        <f t="shared" si="11"/>
        <v>-</v>
      </c>
      <c r="G245" s="68"/>
      <c r="H245" s="167"/>
      <c r="I245" s="173"/>
      <c r="J245" s="168" t="str">
        <f>IFERROR(MIN('MP Calculations'!$E$30/I245,1),"-")</f>
        <v>-</v>
      </c>
      <c r="K245" s="12"/>
      <c r="L245" s="159"/>
      <c r="M245" s="159"/>
      <c r="N245" s="159"/>
      <c r="O245" s="185" t="str">
        <f t="shared" si="10"/>
        <v>-</v>
      </c>
      <c r="P245" s="215" t="str">
        <f t="shared" si="12"/>
        <v>-</v>
      </c>
      <c r="Q245" s="215" cm="1">
        <f t="array" ref="Q245">IF(P245="-",0,P245/(1+'General inputs'!$H$32)^IFERROR(INDEX('MP Calculations'!$C$40:$C$130,MATCH(F245,'MP Calculations'!$D$40:$D$130,0),0),-1))</f>
        <v>0</v>
      </c>
    </row>
    <row r="246" spans="3:17" x14ac:dyDescent="0.25">
      <c r="C246" s="159"/>
      <c r="D246" s="165"/>
      <c r="E246" s="161"/>
      <c r="F246" s="172" t="str">
        <f t="shared" si="11"/>
        <v>-</v>
      </c>
      <c r="G246" s="68"/>
      <c r="H246" s="167"/>
      <c r="I246" s="173"/>
      <c r="J246" s="168" t="str">
        <f>IFERROR(MIN('MP Calculations'!$E$30/I246,1),"-")</f>
        <v>-</v>
      </c>
      <c r="K246" s="12"/>
      <c r="L246" s="159"/>
      <c r="M246" s="159"/>
      <c r="N246" s="159"/>
      <c r="O246" s="185" t="str">
        <f t="shared" si="10"/>
        <v>-</v>
      </c>
      <c r="P246" s="215" t="str">
        <f t="shared" si="12"/>
        <v>-</v>
      </c>
      <c r="Q246" s="215" cm="1">
        <f t="array" ref="Q246">IF(P246="-",0,P246/(1+'General inputs'!$H$32)^IFERROR(INDEX('MP Calculations'!$C$40:$C$130,MATCH(F246,'MP Calculations'!$D$40:$D$130,0),0),-1))</f>
        <v>0</v>
      </c>
    </row>
    <row r="247" spans="3:17" x14ac:dyDescent="0.25">
      <c r="C247" s="159"/>
      <c r="D247" s="165"/>
      <c r="E247" s="161"/>
      <c r="F247" s="172" t="str">
        <f t="shared" si="11"/>
        <v>-</v>
      </c>
      <c r="G247" s="68"/>
      <c r="H247" s="167"/>
      <c r="I247" s="173"/>
      <c r="J247" s="168" t="str">
        <f>IFERROR(MIN('MP Calculations'!$E$30/I247,1),"-")</f>
        <v>-</v>
      </c>
      <c r="K247" s="12"/>
      <c r="L247" s="159"/>
      <c r="M247" s="159"/>
      <c r="N247" s="159"/>
      <c r="O247" s="185" t="str">
        <f t="shared" si="10"/>
        <v>-</v>
      </c>
      <c r="P247" s="215" t="str">
        <f t="shared" si="12"/>
        <v>-</v>
      </c>
      <c r="Q247" s="215" cm="1">
        <f t="array" ref="Q247">IF(P247="-",0,P247/(1+'General inputs'!$H$32)^IFERROR(INDEX('MP Calculations'!$C$40:$C$130,MATCH(F247,'MP Calculations'!$D$40:$D$130,0),0),-1))</f>
        <v>0</v>
      </c>
    </row>
    <row r="248" spans="3:17" x14ac:dyDescent="0.25">
      <c r="C248" s="159"/>
      <c r="D248" s="165"/>
      <c r="E248" s="161"/>
      <c r="F248" s="172" t="str">
        <f t="shared" si="11"/>
        <v>-</v>
      </c>
      <c r="G248" s="68"/>
      <c r="H248" s="167"/>
      <c r="I248" s="173"/>
      <c r="J248" s="168" t="str">
        <f>IFERROR(MIN('MP Calculations'!$E$30/I248,1),"-")</f>
        <v>-</v>
      </c>
      <c r="K248" s="12"/>
      <c r="L248" s="159"/>
      <c r="M248" s="159"/>
      <c r="N248" s="159"/>
      <c r="O248" s="185" t="str">
        <f t="shared" si="10"/>
        <v>-</v>
      </c>
      <c r="P248" s="215" t="str">
        <f t="shared" si="12"/>
        <v>-</v>
      </c>
      <c r="Q248" s="215" cm="1">
        <f t="array" ref="Q248">IF(P248="-",0,P248/(1+'General inputs'!$H$32)^IFERROR(INDEX('MP Calculations'!$C$40:$C$130,MATCH(F248,'MP Calculations'!$D$40:$D$130,0),0),-1))</f>
        <v>0</v>
      </c>
    </row>
    <row r="249" spans="3:17" x14ac:dyDescent="0.25">
      <c r="C249" s="159"/>
      <c r="D249" s="165"/>
      <c r="E249" s="161"/>
      <c r="F249" s="172" t="str">
        <f t="shared" si="11"/>
        <v>-</v>
      </c>
      <c r="G249" s="68"/>
      <c r="H249" s="167"/>
      <c r="I249" s="173"/>
      <c r="J249" s="168" t="str">
        <f>IFERROR(MIN('MP Calculations'!$E$30/I249,1),"-")</f>
        <v>-</v>
      </c>
      <c r="K249" s="12"/>
      <c r="L249" s="159"/>
      <c r="M249" s="159"/>
      <c r="N249" s="159"/>
      <c r="O249" s="185" t="str">
        <f t="shared" si="10"/>
        <v>-</v>
      </c>
      <c r="P249" s="215" t="str">
        <f t="shared" si="12"/>
        <v>-</v>
      </c>
      <c r="Q249" s="215" cm="1">
        <f t="array" ref="Q249">IF(P249="-",0,P249/(1+'General inputs'!$H$32)^IFERROR(INDEX('MP Calculations'!$C$40:$C$130,MATCH(F249,'MP Calculations'!$D$40:$D$130,0),0),-1))</f>
        <v>0</v>
      </c>
    </row>
    <row r="250" spans="3:17" x14ac:dyDescent="0.25">
      <c r="C250" s="159"/>
      <c r="D250" s="165"/>
      <c r="E250" s="161"/>
      <c r="F250" s="172" t="str">
        <f t="shared" si="11"/>
        <v>-</v>
      </c>
      <c r="G250" s="68"/>
      <c r="H250" s="167"/>
      <c r="I250" s="173"/>
      <c r="J250" s="168" t="str">
        <f>IFERROR(MIN('MP Calculations'!$E$30/I250,1),"-")</f>
        <v>-</v>
      </c>
      <c r="K250" s="12"/>
      <c r="L250" s="159"/>
      <c r="M250" s="159"/>
      <c r="N250" s="159"/>
      <c r="O250" s="185" t="str">
        <f t="shared" si="10"/>
        <v>-</v>
      </c>
      <c r="P250" s="215" t="str">
        <f t="shared" si="12"/>
        <v>-</v>
      </c>
      <c r="Q250" s="215" cm="1">
        <f t="array" ref="Q250">IF(P250="-",0,P250/(1+'General inputs'!$H$32)^IFERROR(INDEX('MP Calculations'!$C$40:$C$130,MATCH(F250,'MP Calculations'!$D$40:$D$130,0),0),-1))</f>
        <v>0</v>
      </c>
    </row>
    <row r="251" spans="3:17" x14ac:dyDescent="0.25">
      <c r="C251" s="159"/>
      <c r="D251" s="165"/>
      <c r="E251" s="161"/>
      <c r="F251" s="172" t="str">
        <f t="shared" si="11"/>
        <v>-</v>
      </c>
      <c r="G251" s="68"/>
      <c r="H251" s="167"/>
      <c r="I251" s="173"/>
      <c r="J251" s="168" t="str">
        <f>IFERROR(MIN('MP Calculations'!$E$30/I251,1),"-")</f>
        <v>-</v>
      </c>
      <c r="K251" s="12"/>
      <c r="L251" s="159"/>
      <c r="M251" s="159"/>
      <c r="N251" s="159"/>
      <c r="O251" s="185" t="str">
        <f t="shared" si="10"/>
        <v>-</v>
      </c>
      <c r="P251" s="215" t="str">
        <f t="shared" si="12"/>
        <v>-</v>
      </c>
      <c r="Q251" s="215" cm="1">
        <f t="array" ref="Q251">IF(P251="-",0,P251/(1+'General inputs'!$H$32)^IFERROR(INDEX('MP Calculations'!$C$40:$C$130,MATCH(F251,'MP Calculations'!$D$40:$D$130,0),0),-1))</f>
        <v>0</v>
      </c>
    </row>
    <row r="252" spans="3:17" x14ac:dyDescent="0.25">
      <c r="C252" s="159"/>
      <c r="D252" s="165"/>
      <c r="E252" s="161"/>
      <c r="F252" s="172" t="str">
        <f t="shared" si="11"/>
        <v>-</v>
      </c>
      <c r="G252" s="68"/>
      <c r="H252" s="167"/>
      <c r="I252" s="173"/>
      <c r="J252" s="168" t="str">
        <f>IFERROR(MIN('MP Calculations'!$E$30/I252,1),"-")</f>
        <v>-</v>
      </c>
      <c r="K252" s="12"/>
      <c r="L252" s="159"/>
      <c r="M252" s="159"/>
      <c r="N252" s="159"/>
      <c r="O252" s="185" t="str">
        <f t="shared" si="10"/>
        <v>-</v>
      </c>
      <c r="P252" s="215" t="str">
        <f t="shared" si="12"/>
        <v>-</v>
      </c>
      <c r="Q252" s="215" cm="1">
        <f t="array" ref="Q252">IF(P252="-",0,P252/(1+'General inputs'!$H$32)^IFERROR(INDEX('MP Calculations'!$C$40:$C$130,MATCH(F252,'MP Calculations'!$D$40:$D$130,0),0),-1))</f>
        <v>0</v>
      </c>
    </row>
    <row r="253" spans="3:17" x14ac:dyDescent="0.25">
      <c r="C253" s="159"/>
      <c r="D253" s="165"/>
      <c r="E253" s="161"/>
      <c r="F253" s="172" t="str">
        <f t="shared" si="11"/>
        <v>-</v>
      </c>
      <c r="G253" s="68"/>
      <c r="H253" s="167"/>
      <c r="I253" s="173"/>
      <c r="J253" s="168" t="str">
        <f>IFERROR(MIN('MP Calculations'!$E$30/I253,1),"-")</f>
        <v>-</v>
      </c>
      <c r="K253" s="12"/>
      <c r="L253" s="159"/>
      <c r="M253" s="159"/>
      <c r="N253" s="159"/>
      <c r="O253" s="185" t="str">
        <f t="shared" si="10"/>
        <v>-</v>
      </c>
      <c r="P253" s="215" t="str">
        <f t="shared" si="12"/>
        <v>-</v>
      </c>
      <c r="Q253" s="215" cm="1">
        <f t="array" ref="Q253">IF(P253="-",0,P253/(1+'General inputs'!$H$32)^IFERROR(INDEX('MP Calculations'!$C$40:$C$130,MATCH(F253,'MP Calculations'!$D$40:$D$130,0),0),-1))</f>
        <v>0</v>
      </c>
    </row>
    <row r="254" spans="3:17" x14ac:dyDescent="0.25">
      <c r="C254" s="159"/>
      <c r="D254" s="165"/>
      <c r="E254" s="161"/>
      <c r="F254" s="172" t="str">
        <f t="shared" si="11"/>
        <v>-</v>
      </c>
      <c r="G254" s="68"/>
      <c r="H254" s="167"/>
      <c r="I254" s="173"/>
      <c r="J254" s="168" t="str">
        <f>IFERROR(MIN('MP Calculations'!$E$30/I254,1),"-")</f>
        <v>-</v>
      </c>
      <c r="K254" s="12"/>
      <c r="L254" s="159"/>
      <c r="M254" s="159"/>
      <c r="N254" s="159"/>
      <c r="O254" s="185" t="str">
        <f t="shared" si="10"/>
        <v>-</v>
      </c>
      <c r="P254" s="215" t="str">
        <f t="shared" si="12"/>
        <v>-</v>
      </c>
      <c r="Q254" s="215" cm="1">
        <f t="array" ref="Q254">IF(P254="-",0,P254/(1+'General inputs'!$H$32)^IFERROR(INDEX('MP Calculations'!$C$40:$C$130,MATCH(F254,'MP Calculations'!$D$40:$D$130,0),0),-1))</f>
        <v>0</v>
      </c>
    </row>
    <row r="255" spans="3:17" x14ac:dyDescent="0.25">
      <c r="C255" s="159"/>
      <c r="D255" s="165"/>
      <c r="E255" s="161"/>
      <c r="F255" s="172" t="str">
        <f t="shared" si="11"/>
        <v>-</v>
      </c>
      <c r="G255" s="68"/>
      <c r="H255" s="167"/>
      <c r="I255" s="173"/>
      <c r="J255" s="168" t="str">
        <f>IFERROR(MIN('MP Calculations'!$E$30/I255,1),"-")</f>
        <v>-</v>
      </c>
      <c r="K255" s="12"/>
      <c r="L255" s="159"/>
      <c r="M255" s="159"/>
      <c r="N255" s="159"/>
      <c r="O255" s="185" t="str">
        <f t="shared" si="10"/>
        <v>-</v>
      </c>
      <c r="P255" s="215" t="str">
        <f t="shared" si="12"/>
        <v>-</v>
      </c>
      <c r="Q255" s="215" cm="1">
        <f t="array" ref="Q255">IF(P255="-",0,P255/(1+'General inputs'!$H$32)^IFERROR(INDEX('MP Calculations'!$C$40:$C$130,MATCH(F255,'MP Calculations'!$D$40:$D$130,0),0),-1))</f>
        <v>0</v>
      </c>
    </row>
    <row r="256" spans="3:17" x14ac:dyDescent="0.25">
      <c r="C256" s="159"/>
      <c r="D256" s="165"/>
      <c r="E256" s="161"/>
      <c r="F256" s="172" t="str">
        <f t="shared" si="11"/>
        <v>-</v>
      </c>
      <c r="G256" s="68"/>
      <c r="H256" s="167"/>
      <c r="I256" s="173"/>
      <c r="J256" s="168" t="str">
        <f>IFERROR(MIN('MP Calculations'!$E$30/I256,1),"-")</f>
        <v>-</v>
      </c>
      <c r="K256" s="12"/>
      <c r="L256" s="159"/>
      <c r="M256" s="159"/>
      <c r="N256" s="159"/>
      <c r="O256" s="185" t="str">
        <f t="shared" si="10"/>
        <v>-</v>
      </c>
      <c r="P256" s="215" t="str">
        <f t="shared" si="12"/>
        <v>-</v>
      </c>
      <c r="Q256" s="215" cm="1">
        <f t="array" ref="Q256">IF(P256="-",0,P256/(1+'General inputs'!$H$32)^IFERROR(INDEX('MP Calculations'!$C$40:$C$130,MATCH(F256,'MP Calculations'!$D$40:$D$130,0),0),-1))</f>
        <v>0</v>
      </c>
    </row>
    <row r="257" spans="3:17" x14ac:dyDescent="0.25">
      <c r="C257" s="159"/>
      <c r="D257" s="165"/>
      <c r="E257" s="161"/>
      <c r="F257" s="172" t="str">
        <f t="shared" si="11"/>
        <v>-</v>
      </c>
      <c r="G257" s="68"/>
      <c r="H257" s="167"/>
      <c r="I257" s="173"/>
      <c r="J257" s="168" t="str">
        <f>IFERROR(MIN('MP Calculations'!$E$30/I257,1),"-")</f>
        <v>-</v>
      </c>
      <c r="K257" s="12"/>
      <c r="L257" s="159"/>
      <c r="M257" s="159"/>
      <c r="N257" s="159"/>
      <c r="O257" s="185" t="str">
        <f t="shared" ref="O257:O320" si="13">IF(N257="","-",L257*N257)</f>
        <v>-</v>
      </c>
      <c r="P257" s="215" t="str">
        <f t="shared" si="12"/>
        <v>-</v>
      </c>
      <c r="Q257" s="215" cm="1">
        <f t="array" ref="Q257">IF(P257="-",0,P257/(1+'General inputs'!$H$32)^IFERROR(INDEX('MP Calculations'!$C$40:$C$130,MATCH(F257,'MP Calculations'!$D$40:$D$130,0),0),-1))</f>
        <v>0</v>
      </c>
    </row>
    <row r="258" spans="3:17" x14ac:dyDescent="0.25">
      <c r="C258" s="159"/>
      <c r="D258" s="165"/>
      <c r="E258" s="161"/>
      <c r="F258" s="172" t="str">
        <f t="shared" si="11"/>
        <v>-</v>
      </c>
      <c r="G258" s="68"/>
      <c r="H258" s="167"/>
      <c r="I258" s="173"/>
      <c r="J258" s="168" t="str">
        <f>IFERROR(MIN('MP Calculations'!$E$30/I258,1),"-")</f>
        <v>-</v>
      </c>
      <c r="K258" s="12"/>
      <c r="L258" s="159"/>
      <c r="M258" s="159"/>
      <c r="N258" s="159"/>
      <c r="O258" s="185" t="str">
        <f t="shared" si="13"/>
        <v>-</v>
      </c>
      <c r="P258" s="215" t="str">
        <f t="shared" si="12"/>
        <v>-</v>
      </c>
      <c r="Q258" s="215" cm="1">
        <f t="array" ref="Q258">IF(P258="-",0,P258/(1+'General inputs'!$H$32)^IFERROR(INDEX('MP Calculations'!$C$40:$C$130,MATCH(F258,'MP Calculations'!$D$40:$D$130,0),0),-1))</f>
        <v>0</v>
      </c>
    </row>
    <row r="259" spans="3:17" x14ac:dyDescent="0.25">
      <c r="C259" s="159"/>
      <c r="D259" s="165"/>
      <c r="E259" s="161"/>
      <c r="F259" s="172" t="str">
        <f t="shared" si="11"/>
        <v>-</v>
      </c>
      <c r="G259" s="68"/>
      <c r="H259" s="167"/>
      <c r="I259" s="173"/>
      <c r="J259" s="168" t="str">
        <f>IFERROR(MIN('MP Calculations'!$E$30/I259,1),"-")</f>
        <v>-</v>
      </c>
      <c r="K259" s="12"/>
      <c r="L259" s="159"/>
      <c r="M259" s="159"/>
      <c r="N259" s="159"/>
      <c r="O259" s="185" t="str">
        <f t="shared" si="13"/>
        <v>-</v>
      </c>
      <c r="P259" s="215" t="str">
        <f t="shared" si="12"/>
        <v>-</v>
      </c>
      <c r="Q259" s="215" cm="1">
        <f t="array" ref="Q259">IF(P259="-",0,P259/(1+'General inputs'!$H$32)^IFERROR(INDEX('MP Calculations'!$C$40:$C$130,MATCH(F259,'MP Calculations'!$D$40:$D$130,0),0),-1))</f>
        <v>0</v>
      </c>
    </row>
    <row r="260" spans="3:17" x14ac:dyDescent="0.25">
      <c r="C260" s="159"/>
      <c r="D260" s="165"/>
      <c r="E260" s="161"/>
      <c r="F260" s="172" t="str">
        <f t="shared" si="11"/>
        <v>-</v>
      </c>
      <c r="G260" s="68"/>
      <c r="H260" s="167"/>
      <c r="I260" s="173"/>
      <c r="J260" s="168" t="str">
        <f>IFERROR(MIN('MP Calculations'!$E$30/I260,1),"-")</f>
        <v>-</v>
      </c>
      <c r="K260" s="12"/>
      <c r="L260" s="159"/>
      <c r="M260" s="159"/>
      <c r="N260" s="159"/>
      <c r="O260" s="185" t="str">
        <f t="shared" si="13"/>
        <v>-</v>
      </c>
      <c r="P260" s="215" t="str">
        <f t="shared" si="12"/>
        <v>-</v>
      </c>
      <c r="Q260" s="215" cm="1">
        <f t="array" ref="Q260">IF(P260="-",0,P260/(1+'General inputs'!$H$32)^IFERROR(INDEX('MP Calculations'!$C$40:$C$130,MATCH(F260,'MP Calculations'!$D$40:$D$130,0),0),-1))</f>
        <v>0</v>
      </c>
    </row>
    <row r="261" spans="3:17" x14ac:dyDescent="0.25">
      <c r="C261" s="159"/>
      <c r="D261" s="165"/>
      <c r="E261" s="161"/>
      <c r="F261" s="172" t="str">
        <f t="shared" si="11"/>
        <v>-</v>
      </c>
      <c r="G261" s="68"/>
      <c r="H261" s="167"/>
      <c r="I261" s="173"/>
      <c r="J261" s="168" t="str">
        <f>IFERROR(MIN('MP Calculations'!$E$30/I261,1),"-")</f>
        <v>-</v>
      </c>
      <c r="K261" s="12"/>
      <c r="L261" s="159"/>
      <c r="M261" s="159"/>
      <c r="N261" s="159"/>
      <c r="O261" s="185" t="str">
        <f t="shared" si="13"/>
        <v>-</v>
      </c>
      <c r="P261" s="215" t="str">
        <f t="shared" si="12"/>
        <v>-</v>
      </c>
      <c r="Q261" s="215" cm="1">
        <f t="array" ref="Q261">IF(P261="-",0,P261/(1+'General inputs'!$H$32)^IFERROR(INDEX('MP Calculations'!$C$40:$C$130,MATCH(F261,'MP Calculations'!$D$40:$D$130,0),0),-1))</f>
        <v>0</v>
      </c>
    </row>
    <row r="262" spans="3:17" x14ac:dyDescent="0.25">
      <c r="C262" s="159"/>
      <c r="D262" s="165"/>
      <c r="E262" s="161"/>
      <c r="F262" s="172" t="str">
        <f t="shared" si="11"/>
        <v>-</v>
      </c>
      <c r="G262" s="68"/>
      <c r="H262" s="167"/>
      <c r="I262" s="173"/>
      <c r="J262" s="168" t="str">
        <f>IFERROR(MIN('MP Calculations'!$E$30/I262,1),"-")</f>
        <v>-</v>
      </c>
      <c r="K262" s="12"/>
      <c r="L262" s="159"/>
      <c r="M262" s="159"/>
      <c r="N262" s="159"/>
      <c r="O262" s="185" t="str">
        <f t="shared" si="13"/>
        <v>-</v>
      </c>
      <c r="P262" s="215" t="str">
        <f t="shared" si="12"/>
        <v>-</v>
      </c>
      <c r="Q262" s="215" cm="1">
        <f t="array" ref="Q262">IF(P262="-",0,P262/(1+'General inputs'!$H$32)^IFERROR(INDEX('MP Calculations'!$C$40:$C$130,MATCH(F262,'MP Calculations'!$D$40:$D$130,0),0),-1))</f>
        <v>0</v>
      </c>
    </row>
    <row r="263" spans="3:17" x14ac:dyDescent="0.25">
      <c r="C263" s="159"/>
      <c r="D263" s="165"/>
      <c r="E263" s="161"/>
      <c r="F263" s="172" t="str">
        <f t="shared" si="11"/>
        <v>-</v>
      </c>
      <c r="G263" s="68"/>
      <c r="H263" s="167"/>
      <c r="I263" s="173"/>
      <c r="J263" s="168" t="str">
        <f>IFERROR(MIN('MP Calculations'!$E$30/I263,1),"-")</f>
        <v>-</v>
      </c>
      <c r="K263" s="12"/>
      <c r="L263" s="159"/>
      <c r="M263" s="159"/>
      <c r="N263" s="159"/>
      <c r="O263" s="185" t="str">
        <f t="shared" si="13"/>
        <v>-</v>
      </c>
      <c r="P263" s="215" t="str">
        <f t="shared" si="12"/>
        <v>-</v>
      </c>
      <c r="Q263" s="215" cm="1">
        <f t="array" ref="Q263">IF(P263="-",0,P263/(1+'General inputs'!$H$32)^IFERROR(INDEX('MP Calculations'!$C$40:$C$130,MATCH(F263,'MP Calculations'!$D$40:$D$130,0),0),-1))</f>
        <v>0</v>
      </c>
    </row>
    <row r="264" spans="3:17" x14ac:dyDescent="0.25">
      <c r="C264" s="159"/>
      <c r="D264" s="165"/>
      <c r="E264" s="161"/>
      <c r="F264" s="172" t="str">
        <f t="shared" si="11"/>
        <v>-</v>
      </c>
      <c r="G264" s="68"/>
      <c r="H264" s="167"/>
      <c r="I264" s="173"/>
      <c r="J264" s="168" t="str">
        <f>IFERROR(MIN('MP Calculations'!$E$30/I264,1),"-")</f>
        <v>-</v>
      </c>
      <c r="K264" s="12"/>
      <c r="L264" s="159"/>
      <c r="M264" s="159"/>
      <c r="N264" s="159"/>
      <c r="O264" s="185" t="str">
        <f t="shared" si="13"/>
        <v>-</v>
      </c>
      <c r="P264" s="215" t="str">
        <f t="shared" si="12"/>
        <v>-</v>
      </c>
      <c r="Q264" s="215" cm="1">
        <f t="array" ref="Q264">IF(P264="-",0,P264/(1+'General inputs'!$H$32)^IFERROR(INDEX('MP Calculations'!$C$40:$C$130,MATCH(F264,'MP Calculations'!$D$40:$D$130,0),0),-1))</f>
        <v>0</v>
      </c>
    </row>
    <row r="265" spans="3:17" x14ac:dyDescent="0.25">
      <c r="C265" s="159"/>
      <c r="D265" s="165"/>
      <c r="E265" s="161"/>
      <c r="F265" s="172" t="str">
        <f t="shared" si="11"/>
        <v>-</v>
      </c>
      <c r="G265" s="68"/>
      <c r="H265" s="167"/>
      <c r="I265" s="173"/>
      <c r="J265" s="168" t="str">
        <f>IFERROR(MIN('MP Calculations'!$E$30/I265,1),"-")</f>
        <v>-</v>
      </c>
      <c r="K265" s="12"/>
      <c r="L265" s="159"/>
      <c r="M265" s="159"/>
      <c r="N265" s="159"/>
      <c r="O265" s="185" t="str">
        <f t="shared" si="13"/>
        <v>-</v>
      </c>
      <c r="P265" s="215" t="str">
        <f t="shared" si="12"/>
        <v>-</v>
      </c>
      <c r="Q265" s="215" cm="1">
        <f t="array" ref="Q265">IF(P265="-",0,P265/(1+'General inputs'!$H$32)^IFERROR(INDEX('MP Calculations'!$C$40:$C$130,MATCH(F265,'MP Calculations'!$D$40:$D$130,0),0),-1))</f>
        <v>0</v>
      </c>
    </row>
    <row r="266" spans="3:17" x14ac:dyDescent="0.25">
      <c r="C266" s="159"/>
      <c r="D266" s="165"/>
      <c r="E266" s="161"/>
      <c r="F266" s="172" t="str">
        <f t="shared" si="11"/>
        <v>-</v>
      </c>
      <c r="G266" s="68"/>
      <c r="H266" s="167"/>
      <c r="I266" s="173"/>
      <c r="J266" s="168" t="str">
        <f>IFERROR(MIN('MP Calculations'!$E$30/I266,1),"-")</f>
        <v>-</v>
      </c>
      <c r="K266" s="12"/>
      <c r="L266" s="159"/>
      <c r="M266" s="159"/>
      <c r="N266" s="159"/>
      <c r="O266" s="185" t="str">
        <f t="shared" si="13"/>
        <v>-</v>
      </c>
      <c r="P266" s="215" t="str">
        <f t="shared" si="12"/>
        <v>-</v>
      </c>
      <c r="Q266" s="215" cm="1">
        <f t="array" ref="Q266">IF(P266="-",0,P266/(1+'General inputs'!$H$32)^IFERROR(INDEX('MP Calculations'!$C$40:$C$130,MATCH(F266,'MP Calculations'!$D$40:$D$130,0),0),-1))</f>
        <v>0</v>
      </c>
    </row>
    <row r="267" spans="3:17" x14ac:dyDescent="0.25">
      <c r="C267" s="159"/>
      <c r="D267" s="165"/>
      <c r="E267" s="161"/>
      <c r="F267" s="172" t="str">
        <f t="shared" si="11"/>
        <v>-</v>
      </c>
      <c r="G267" s="68"/>
      <c r="H267" s="167"/>
      <c r="I267" s="173"/>
      <c r="J267" s="168" t="str">
        <f>IFERROR(MIN('MP Calculations'!$E$30/I267,1),"-")</f>
        <v>-</v>
      </c>
      <c r="K267" s="12"/>
      <c r="L267" s="159"/>
      <c r="M267" s="159"/>
      <c r="N267" s="159"/>
      <c r="O267" s="185" t="str">
        <f t="shared" si="13"/>
        <v>-</v>
      </c>
      <c r="P267" s="215" t="str">
        <f t="shared" si="12"/>
        <v>-</v>
      </c>
      <c r="Q267" s="215" cm="1">
        <f t="array" ref="Q267">IF(P267="-",0,P267/(1+'General inputs'!$H$32)^IFERROR(INDEX('MP Calculations'!$C$40:$C$130,MATCH(F267,'MP Calculations'!$D$40:$D$130,0),0),-1))</f>
        <v>0</v>
      </c>
    </row>
    <row r="268" spans="3:17" x14ac:dyDescent="0.25">
      <c r="C268" s="159"/>
      <c r="D268" s="165"/>
      <c r="E268" s="161"/>
      <c r="F268" s="172" t="str">
        <f t="shared" si="11"/>
        <v>-</v>
      </c>
      <c r="G268" s="68"/>
      <c r="H268" s="167"/>
      <c r="I268" s="173"/>
      <c r="J268" s="168" t="str">
        <f>IFERROR(MIN('MP Calculations'!$E$30/I268,1),"-")</f>
        <v>-</v>
      </c>
      <c r="K268" s="12"/>
      <c r="L268" s="159"/>
      <c r="M268" s="159"/>
      <c r="N268" s="159"/>
      <c r="O268" s="185" t="str">
        <f t="shared" si="13"/>
        <v>-</v>
      </c>
      <c r="P268" s="215" t="str">
        <f t="shared" si="12"/>
        <v>-</v>
      </c>
      <c r="Q268" s="215" cm="1">
        <f t="array" ref="Q268">IF(P268="-",0,P268/(1+'General inputs'!$H$32)^IFERROR(INDEX('MP Calculations'!$C$40:$C$130,MATCH(F268,'MP Calculations'!$D$40:$D$130,0),0),-1))</f>
        <v>0</v>
      </c>
    </row>
    <row r="269" spans="3:17" x14ac:dyDescent="0.25">
      <c r="C269" s="159"/>
      <c r="D269" s="165"/>
      <c r="E269" s="161"/>
      <c r="F269" s="172" t="str">
        <f t="shared" si="11"/>
        <v>-</v>
      </c>
      <c r="G269" s="68"/>
      <c r="H269" s="167"/>
      <c r="I269" s="173"/>
      <c r="J269" s="168" t="str">
        <f>IFERROR(MIN('MP Calculations'!$E$30/I269,1),"-")</f>
        <v>-</v>
      </c>
      <c r="K269" s="12"/>
      <c r="L269" s="159"/>
      <c r="M269" s="159"/>
      <c r="N269" s="159"/>
      <c r="O269" s="185" t="str">
        <f t="shared" si="13"/>
        <v>-</v>
      </c>
      <c r="P269" s="215" t="str">
        <f t="shared" si="12"/>
        <v>-</v>
      </c>
      <c r="Q269" s="215" cm="1">
        <f t="array" ref="Q269">IF(P269="-",0,P269/(1+'General inputs'!$H$32)^IFERROR(INDEX('MP Calculations'!$C$40:$C$130,MATCH(F269,'MP Calculations'!$D$40:$D$130,0),0),-1))</f>
        <v>0</v>
      </c>
    </row>
    <row r="270" spans="3:17" x14ac:dyDescent="0.25">
      <c r="C270" s="159"/>
      <c r="D270" s="165"/>
      <c r="E270" s="161"/>
      <c r="F270" s="172" t="str">
        <f t="shared" si="11"/>
        <v>-</v>
      </c>
      <c r="G270" s="68"/>
      <c r="H270" s="167"/>
      <c r="I270" s="173"/>
      <c r="J270" s="168" t="str">
        <f>IFERROR(MIN('MP Calculations'!$E$30/I270,1),"-")</f>
        <v>-</v>
      </c>
      <c r="K270" s="12"/>
      <c r="L270" s="159"/>
      <c r="M270" s="159"/>
      <c r="N270" s="159"/>
      <c r="O270" s="185" t="str">
        <f t="shared" si="13"/>
        <v>-</v>
      </c>
      <c r="P270" s="215" t="str">
        <f t="shared" si="12"/>
        <v>-</v>
      </c>
      <c r="Q270" s="215" cm="1">
        <f t="array" ref="Q270">IF(P270="-",0,P270/(1+'General inputs'!$H$32)^IFERROR(INDEX('MP Calculations'!$C$40:$C$130,MATCH(F270,'MP Calculations'!$D$40:$D$130,0),0),-1))</f>
        <v>0</v>
      </c>
    </row>
    <row r="271" spans="3:17" x14ac:dyDescent="0.25">
      <c r="C271" s="159"/>
      <c r="D271" s="165"/>
      <c r="E271" s="161"/>
      <c r="F271" s="172" t="str">
        <f t="shared" si="11"/>
        <v>-</v>
      </c>
      <c r="G271" s="68"/>
      <c r="H271" s="167"/>
      <c r="I271" s="173"/>
      <c r="J271" s="168" t="str">
        <f>IFERROR(MIN('MP Calculations'!$E$30/I271,1),"-")</f>
        <v>-</v>
      </c>
      <c r="K271" s="12"/>
      <c r="L271" s="159"/>
      <c r="M271" s="159"/>
      <c r="N271" s="159"/>
      <c r="O271" s="185" t="str">
        <f t="shared" si="13"/>
        <v>-</v>
      </c>
      <c r="P271" s="215" t="str">
        <f t="shared" si="12"/>
        <v>-</v>
      </c>
      <c r="Q271" s="215" cm="1">
        <f t="array" ref="Q271">IF(P271="-",0,P271/(1+'General inputs'!$H$32)^IFERROR(INDEX('MP Calculations'!$C$40:$C$130,MATCH(F271,'MP Calculations'!$D$40:$D$130,0),0),-1))</f>
        <v>0</v>
      </c>
    </row>
    <row r="272" spans="3:17" x14ac:dyDescent="0.25">
      <c r="C272" s="159"/>
      <c r="D272" s="165"/>
      <c r="E272" s="161"/>
      <c r="F272" s="172" t="str">
        <f t="shared" si="11"/>
        <v>-</v>
      </c>
      <c r="G272" s="68"/>
      <c r="H272" s="167"/>
      <c r="I272" s="173"/>
      <c r="J272" s="168" t="str">
        <f>IFERROR(MIN('MP Calculations'!$E$30/I272,1),"-")</f>
        <v>-</v>
      </c>
      <c r="K272" s="12"/>
      <c r="L272" s="159"/>
      <c r="M272" s="159"/>
      <c r="N272" s="159"/>
      <c r="O272" s="185" t="str">
        <f t="shared" si="13"/>
        <v>-</v>
      </c>
      <c r="P272" s="215" t="str">
        <f t="shared" si="12"/>
        <v>-</v>
      </c>
      <c r="Q272" s="215" cm="1">
        <f t="array" ref="Q272">IF(P272="-",0,P272/(1+'General inputs'!$H$32)^IFERROR(INDEX('MP Calculations'!$C$40:$C$130,MATCH(F272,'MP Calculations'!$D$40:$D$130,0),0),-1))</f>
        <v>0</v>
      </c>
    </row>
    <row r="273" spans="3:17" x14ac:dyDescent="0.25">
      <c r="C273" s="159"/>
      <c r="D273" s="165"/>
      <c r="E273" s="161"/>
      <c r="F273" s="172" t="str">
        <f t="shared" si="11"/>
        <v>-</v>
      </c>
      <c r="G273" s="68"/>
      <c r="H273" s="167"/>
      <c r="I273" s="173"/>
      <c r="J273" s="168" t="str">
        <f>IFERROR(MIN('MP Calculations'!$E$30/I273,1),"-")</f>
        <v>-</v>
      </c>
      <c r="K273" s="12"/>
      <c r="L273" s="159"/>
      <c r="M273" s="159"/>
      <c r="N273" s="159"/>
      <c r="O273" s="185" t="str">
        <f t="shared" si="13"/>
        <v>-</v>
      </c>
      <c r="P273" s="215" t="str">
        <f t="shared" si="12"/>
        <v>-</v>
      </c>
      <c r="Q273" s="215" cm="1">
        <f t="array" ref="Q273">IF(P273="-",0,P273/(1+'General inputs'!$H$32)^IFERROR(INDEX('MP Calculations'!$C$40:$C$130,MATCH(F273,'MP Calculations'!$D$40:$D$130,0),0),-1))</f>
        <v>0</v>
      </c>
    </row>
    <row r="274" spans="3:17" x14ac:dyDescent="0.25">
      <c r="C274" s="159"/>
      <c r="D274" s="165"/>
      <c r="E274" s="161"/>
      <c r="F274" s="172" t="str">
        <f t="shared" si="11"/>
        <v>-</v>
      </c>
      <c r="G274" s="68"/>
      <c r="H274" s="167"/>
      <c r="I274" s="173"/>
      <c r="J274" s="168" t="str">
        <f>IFERROR(MIN('MP Calculations'!$E$30/I274,1),"-")</f>
        <v>-</v>
      </c>
      <c r="K274" s="12"/>
      <c r="L274" s="159"/>
      <c r="M274" s="159"/>
      <c r="N274" s="159"/>
      <c r="O274" s="185" t="str">
        <f t="shared" si="13"/>
        <v>-</v>
      </c>
      <c r="P274" s="215" t="str">
        <f t="shared" si="12"/>
        <v>-</v>
      </c>
      <c r="Q274" s="215" cm="1">
        <f t="array" ref="Q274">IF(P274="-",0,P274/(1+'General inputs'!$H$32)^IFERROR(INDEX('MP Calculations'!$C$40:$C$130,MATCH(F274,'MP Calculations'!$D$40:$D$130,0),0),-1))</f>
        <v>0</v>
      </c>
    </row>
    <row r="275" spans="3:17" x14ac:dyDescent="0.25">
      <c r="C275" s="159"/>
      <c r="D275" s="165"/>
      <c r="E275" s="161"/>
      <c r="F275" s="172" t="str">
        <f t="shared" si="11"/>
        <v>-</v>
      </c>
      <c r="G275" s="68"/>
      <c r="H275" s="167"/>
      <c r="I275" s="173"/>
      <c r="J275" s="168" t="str">
        <f>IFERROR(MIN('MP Calculations'!$E$30/I275,1),"-")</f>
        <v>-</v>
      </c>
      <c r="K275" s="12"/>
      <c r="L275" s="159"/>
      <c r="M275" s="159"/>
      <c r="N275" s="159"/>
      <c r="O275" s="185" t="str">
        <f t="shared" si="13"/>
        <v>-</v>
      </c>
      <c r="P275" s="215" t="str">
        <f t="shared" si="12"/>
        <v>-</v>
      </c>
      <c r="Q275" s="215" cm="1">
        <f t="array" ref="Q275">IF(P275="-",0,P275/(1+'General inputs'!$H$32)^IFERROR(INDEX('MP Calculations'!$C$40:$C$130,MATCH(F275,'MP Calculations'!$D$40:$D$130,0),0),-1))</f>
        <v>0</v>
      </c>
    </row>
    <row r="276" spans="3:17" x14ac:dyDescent="0.25">
      <c r="C276" s="159"/>
      <c r="D276" s="165"/>
      <c r="E276" s="161"/>
      <c r="F276" s="172" t="str">
        <f t="shared" si="11"/>
        <v>-</v>
      </c>
      <c r="G276" s="68"/>
      <c r="H276" s="167"/>
      <c r="I276" s="173"/>
      <c r="J276" s="168" t="str">
        <f>IFERROR(MIN('MP Calculations'!$E$30/I276,1),"-")</f>
        <v>-</v>
      </c>
      <c r="K276" s="12"/>
      <c r="L276" s="159"/>
      <c r="M276" s="159"/>
      <c r="N276" s="159"/>
      <c r="O276" s="185" t="str">
        <f t="shared" si="13"/>
        <v>-</v>
      </c>
      <c r="P276" s="215" t="str">
        <f t="shared" si="12"/>
        <v>-</v>
      </c>
      <c r="Q276" s="215" cm="1">
        <f t="array" ref="Q276">IF(P276="-",0,P276/(1+'General inputs'!$H$32)^IFERROR(INDEX('MP Calculations'!$C$40:$C$130,MATCH(F276,'MP Calculations'!$D$40:$D$130,0),0),-1))</f>
        <v>0</v>
      </c>
    </row>
    <row r="277" spans="3:17" x14ac:dyDescent="0.25">
      <c r="C277" s="159"/>
      <c r="D277" s="165"/>
      <c r="E277" s="161"/>
      <c r="F277" s="172" t="str">
        <f t="shared" si="11"/>
        <v>-</v>
      </c>
      <c r="G277" s="68"/>
      <c r="H277" s="167"/>
      <c r="I277" s="173"/>
      <c r="J277" s="168" t="str">
        <f>IFERROR(MIN('MP Calculations'!$E$30/I277,1),"-")</f>
        <v>-</v>
      </c>
      <c r="K277" s="12"/>
      <c r="L277" s="159"/>
      <c r="M277" s="159"/>
      <c r="N277" s="159"/>
      <c r="O277" s="185" t="str">
        <f t="shared" si="13"/>
        <v>-</v>
      </c>
      <c r="P277" s="215" t="str">
        <f t="shared" si="12"/>
        <v>-</v>
      </c>
      <c r="Q277" s="215" cm="1">
        <f t="array" ref="Q277">IF(P277="-",0,P277/(1+'General inputs'!$H$32)^IFERROR(INDEX('MP Calculations'!$C$40:$C$130,MATCH(F277,'MP Calculations'!$D$40:$D$130,0),0),-1))</f>
        <v>0</v>
      </c>
    </row>
    <row r="278" spans="3:17" x14ac:dyDescent="0.25">
      <c r="C278" s="159"/>
      <c r="D278" s="165"/>
      <c r="E278" s="161"/>
      <c r="F278" s="172" t="str">
        <f t="shared" ref="F278:F341" si="14">IF(E278="","-",IF(OR(E278&lt;$E$15,E278&gt;$E$16),"ERROR - date outside of range",IF(MONTH(E278)&gt;=7,YEAR(E278)&amp;"-"&amp;IF(YEAR(E278)=1999,"00",IF(AND(YEAR(E278)&gt;=2000,YEAR(E278)&lt;2009),"0","")&amp;RIGHT(YEAR(E278),2)+1),RIGHT(YEAR(E278),4)-1&amp;"-"&amp;RIGHT(YEAR(E278),2))))</f>
        <v>-</v>
      </c>
      <c r="G278" s="68"/>
      <c r="H278" s="167"/>
      <c r="I278" s="173"/>
      <c r="J278" s="168" t="str">
        <f>IFERROR(MIN('MP Calculations'!$E$30/I278,1),"-")</f>
        <v>-</v>
      </c>
      <c r="K278" s="12"/>
      <c r="L278" s="159"/>
      <c r="M278" s="159"/>
      <c r="N278" s="159"/>
      <c r="O278" s="185" t="str">
        <f t="shared" si="13"/>
        <v>-</v>
      </c>
      <c r="P278" s="215" t="str">
        <f t="shared" si="12"/>
        <v>-</v>
      </c>
      <c r="Q278" s="215" cm="1">
        <f t="array" ref="Q278">IF(P278="-",0,P278/(1+'General inputs'!$H$32)^IFERROR(INDEX('MP Calculations'!$C$40:$C$130,MATCH(F278,'MP Calculations'!$D$40:$D$130,0),0),-1))</f>
        <v>0</v>
      </c>
    </row>
    <row r="279" spans="3:17" x14ac:dyDescent="0.25">
      <c r="C279" s="159"/>
      <c r="D279" s="165"/>
      <c r="E279" s="161"/>
      <c r="F279" s="172" t="str">
        <f t="shared" si="14"/>
        <v>-</v>
      </c>
      <c r="G279" s="68"/>
      <c r="H279" s="167"/>
      <c r="I279" s="173"/>
      <c r="J279" s="168" t="str">
        <f>IFERROR(MIN('MP Calculations'!$E$30/I279,1),"-")</f>
        <v>-</v>
      </c>
      <c r="K279" s="12"/>
      <c r="L279" s="159"/>
      <c r="M279" s="159"/>
      <c r="N279" s="159"/>
      <c r="O279" s="185" t="str">
        <f t="shared" si="13"/>
        <v>-</v>
      </c>
      <c r="P279" s="215" t="str">
        <f t="shared" ref="P279:P342" si="15">IF(O279="-","-",IF(OR(E279&lt;$E$15,E279&gt;$E$16),0,O279*J279))</f>
        <v>-</v>
      </c>
      <c r="Q279" s="215" cm="1">
        <f t="array" ref="Q279">IF(P279="-",0,P279/(1+'General inputs'!$H$32)^IFERROR(INDEX('MP Calculations'!$C$40:$C$130,MATCH(F279,'MP Calculations'!$D$40:$D$130,0),0),-1))</f>
        <v>0</v>
      </c>
    </row>
    <row r="280" spans="3:17" x14ac:dyDescent="0.25">
      <c r="C280" s="159"/>
      <c r="D280" s="165"/>
      <c r="E280" s="161"/>
      <c r="F280" s="172" t="str">
        <f t="shared" si="14"/>
        <v>-</v>
      </c>
      <c r="G280" s="68"/>
      <c r="H280" s="167"/>
      <c r="I280" s="173"/>
      <c r="J280" s="168" t="str">
        <f>IFERROR(MIN('MP Calculations'!$E$30/I280,1),"-")</f>
        <v>-</v>
      </c>
      <c r="K280" s="12"/>
      <c r="L280" s="159"/>
      <c r="M280" s="159"/>
      <c r="N280" s="159"/>
      <c r="O280" s="185" t="str">
        <f t="shared" si="13"/>
        <v>-</v>
      </c>
      <c r="P280" s="215" t="str">
        <f t="shared" si="15"/>
        <v>-</v>
      </c>
      <c r="Q280" s="215" cm="1">
        <f t="array" ref="Q280">IF(P280="-",0,P280/(1+'General inputs'!$H$32)^IFERROR(INDEX('MP Calculations'!$C$40:$C$130,MATCH(F280,'MP Calculations'!$D$40:$D$130,0),0),-1))</f>
        <v>0</v>
      </c>
    </row>
    <row r="281" spans="3:17" x14ac:dyDescent="0.25">
      <c r="C281" s="159"/>
      <c r="D281" s="165"/>
      <c r="E281" s="161"/>
      <c r="F281" s="172" t="str">
        <f t="shared" si="14"/>
        <v>-</v>
      </c>
      <c r="G281" s="68"/>
      <c r="H281" s="167"/>
      <c r="I281" s="173"/>
      <c r="J281" s="168" t="str">
        <f>IFERROR(MIN('MP Calculations'!$E$30/I281,1),"-")</f>
        <v>-</v>
      </c>
      <c r="K281" s="12"/>
      <c r="L281" s="159"/>
      <c r="M281" s="159"/>
      <c r="N281" s="159"/>
      <c r="O281" s="185" t="str">
        <f t="shared" si="13"/>
        <v>-</v>
      </c>
      <c r="P281" s="215" t="str">
        <f t="shared" si="15"/>
        <v>-</v>
      </c>
      <c r="Q281" s="215" cm="1">
        <f t="array" ref="Q281">IF(P281="-",0,P281/(1+'General inputs'!$H$32)^IFERROR(INDEX('MP Calculations'!$C$40:$C$130,MATCH(F281,'MP Calculations'!$D$40:$D$130,0),0),-1))</f>
        <v>0</v>
      </c>
    </row>
    <row r="282" spans="3:17" x14ac:dyDescent="0.25">
      <c r="C282" s="159"/>
      <c r="D282" s="165"/>
      <c r="E282" s="161"/>
      <c r="F282" s="172" t="str">
        <f t="shared" si="14"/>
        <v>-</v>
      </c>
      <c r="G282" s="68"/>
      <c r="H282" s="167"/>
      <c r="I282" s="173"/>
      <c r="J282" s="168" t="str">
        <f>IFERROR(MIN('MP Calculations'!$E$30/I282,1),"-")</f>
        <v>-</v>
      </c>
      <c r="K282" s="12"/>
      <c r="L282" s="159"/>
      <c r="M282" s="159"/>
      <c r="N282" s="159"/>
      <c r="O282" s="185" t="str">
        <f t="shared" si="13"/>
        <v>-</v>
      </c>
      <c r="P282" s="215" t="str">
        <f t="shared" si="15"/>
        <v>-</v>
      </c>
      <c r="Q282" s="215" cm="1">
        <f t="array" ref="Q282">IF(P282="-",0,P282/(1+'General inputs'!$H$32)^IFERROR(INDEX('MP Calculations'!$C$40:$C$130,MATCH(F282,'MP Calculations'!$D$40:$D$130,0),0),-1))</f>
        <v>0</v>
      </c>
    </row>
    <row r="283" spans="3:17" x14ac:dyDescent="0.25">
      <c r="C283" s="159"/>
      <c r="D283" s="165"/>
      <c r="E283" s="161"/>
      <c r="F283" s="172" t="str">
        <f t="shared" si="14"/>
        <v>-</v>
      </c>
      <c r="G283" s="68"/>
      <c r="H283" s="167"/>
      <c r="I283" s="173"/>
      <c r="J283" s="168" t="str">
        <f>IFERROR(MIN('MP Calculations'!$E$30/I283,1),"-")</f>
        <v>-</v>
      </c>
      <c r="K283" s="12"/>
      <c r="L283" s="159"/>
      <c r="M283" s="159"/>
      <c r="N283" s="159"/>
      <c r="O283" s="185" t="str">
        <f t="shared" si="13"/>
        <v>-</v>
      </c>
      <c r="P283" s="215" t="str">
        <f t="shared" si="15"/>
        <v>-</v>
      </c>
      <c r="Q283" s="215" cm="1">
        <f t="array" ref="Q283">IF(P283="-",0,P283/(1+'General inputs'!$H$32)^IFERROR(INDEX('MP Calculations'!$C$40:$C$130,MATCH(F283,'MP Calculations'!$D$40:$D$130,0),0),-1))</f>
        <v>0</v>
      </c>
    </row>
    <row r="284" spans="3:17" x14ac:dyDescent="0.25">
      <c r="C284" s="159"/>
      <c r="D284" s="165"/>
      <c r="E284" s="161"/>
      <c r="F284" s="172" t="str">
        <f t="shared" si="14"/>
        <v>-</v>
      </c>
      <c r="G284" s="68"/>
      <c r="H284" s="167"/>
      <c r="I284" s="173"/>
      <c r="J284" s="168" t="str">
        <f>IFERROR(MIN('MP Calculations'!$E$30/I284,1),"-")</f>
        <v>-</v>
      </c>
      <c r="K284" s="12"/>
      <c r="L284" s="159"/>
      <c r="M284" s="159"/>
      <c r="N284" s="159"/>
      <c r="O284" s="185" t="str">
        <f t="shared" si="13"/>
        <v>-</v>
      </c>
      <c r="P284" s="215" t="str">
        <f t="shared" si="15"/>
        <v>-</v>
      </c>
      <c r="Q284" s="215" cm="1">
        <f t="array" ref="Q284">IF(P284="-",0,P284/(1+'General inputs'!$H$32)^IFERROR(INDEX('MP Calculations'!$C$40:$C$130,MATCH(F284,'MP Calculations'!$D$40:$D$130,0),0),-1))</f>
        <v>0</v>
      </c>
    </row>
    <row r="285" spans="3:17" x14ac:dyDescent="0.25">
      <c r="C285" s="159"/>
      <c r="D285" s="165"/>
      <c r="E285" s="161"/>
      <c r="F285" s="172" t="str">
        <f t="shared" si="14"/>
        <v>-</v>
      </c>
      <c r="G285" s="68"/>
      <c r="H285" s="167"/>
      <c r="I285" s="173"/>
      <c r="J285" s="168" t="str">
        <f>IFERROR(MIN('MP Calculations'!$E$30/I285,1),"-")</f>
        <v>-</v>
      </c>
      <c r="K285" s="12"/>
      <c r="L285" s="159"/>
      <c r="M285" s="159"/>
      <c r="N285" s="159"/>
      <c r="O285" s="185" t="str">
        <f t="shared" si="13"/>
        <v>-</v>
      </c>
      <c r="P285" s="215" t="str">
        <f t="shared" si="15"/>
        <v>-</v>
      </c>
      <c r="Q285" s="215" cm="1">
        <f t="array" ref="Q285">IF(P285="-",0,P285/(1+'General inputs'!$H$32)^IFERROR(INDEX('MP Calculations'!$C$40:$C$130,MATCH(F285,'MP Calculations'!$D$40:$D$130,0),0),-1))</f>
        <v>0</v>
      </c>
    </row>
    <row r="286" spans="3:17" x14ac:dyDescent="0.25">
      <c r="C286" s="159"/>
      <c r="D286" s="165"/>
      <c r="E286" s="161"/>
      <c r="F286" s="172" t="str">
        <f t="shared" si="14"/>
        <v>-</v>
      </c>
      <c r="G286" s="68"/>
      <c r="H286" s="167"/>
      <c r="I286" s="173"/>
      <c r="J286" s="168" t="str">
        <f>IFERROR(MIN('MP Calculations'!$E$30/I286,1),"-")</f>
        <v>-</v>
      </c>
      <c r="K286" s="12"/>
      <c r="L286" s="159"/>
      <c r="M286" s="159"/>
      <c r="N286" s="159"/>
      <c r="O286" s="185" t="str">
        <f t="shared" si="13"/>
        <v>-</v>
      </c>
      <c r="P286" s="215" t="str">
        <f t="shared" si="15"/>
        <v>-</v>
      </c>
      <c r="Q286" s="215" cm="1">
        <f t="array" ref="Q286">IF(P286="-",0,P286/(1+'General inputs'!$H$32)^IFERROR(INDEX('MP Calculations'!$C$40:$C$130,MATCH(F286,'MP Calculations'!$D$40:$D$130,0),0),-1))</f>
        <v>0</v>
      </c>
    </row>
    <row r="287" spans="3:17" x14ac:dyDescent="0.25">
      <c r="C287" s="159"/>
      <c r="D287" s="165"/>
      <c r="E287" s="161"/>
      <c r="F287" s="172" t="str">
        <f t="shared" si="14"/>
        <v>-</v>
      </c>
      <c r="G287" s="68"/>
      <c r="H287" s="167"/>
      <c r="I287" s="173"/>
      <c r="J287" s="168" t="str">
        <f>IFERROR(MIN('MP Calculations'!$E$30/I287,1),"-")</f>
        <v>-</v>
      </c>
      <c r="K287" s="12"/>
      <c r="L287" s="159"/>
      <c r="M287" s="159"/>
      <c r="N287" s="159"/>
      <c r="O287" s="185" t="str">
        <f t="shared" si="13"/>
        <v>-</v>
      </c>
      <c r="P287" s="215" t="str">
        <f t="shared" si="15"/>
        <v>-</v>
      </c>
      <c r="Q287" s="215" cm="1">
        <f t="array" ref="Q287">IF(P287="-",0,P287/(1+'General inputs'!$H$32)^IFERROR(INDEX('MP Calculations'!$C$40:$C$130,MATCH(F287,'MP Calculations'!$D$40:$D$130,0),0),-1))</f>
        <v>0</v>
      </c>
    </row>
    <row r="288" spans="3:17" x14ac:dyDescent="0.25">
      <c r="C288" s="159"/>
      <c r="D288" s="165"/>
      <c r="E288" s="161"/>
      <c r="F288" s="172" t="str">
        <f t="shared" si="14"/>
        <v>-</v>
      </c>
      <c r="G288" s="68"/>
      <c r="H288" s="167"/>
      <c r="I288" s="173"/>
      <c r="J288" s="168" t="str">
        <f>IFERROR(MIN('MP Calculations'!$E$30/I288,1),"-")</f>
        <v>-</v>
      </c>
      <c r="K288" s="12"/>
      <c r="L288" s="159"/>
      <c r="M288" s="159"/>
      <c r="N288" s="159"/>
      <c r="O288" s="185" t="str">
        <f t="shared" si="13"/>
        <v>-</v>
      </c>
      <c r="P288" s="215" t="str">
        <f t="shared" si="15"/>
        <v>-</v>
      </c>
      <c r="Q288" s="215" cm="1">
        <f t="array" ref="Q288">IF(P288="-",0,P288/(1+'General inputs'!$H$32)^IFERROR(INDEX('MP Calculations'!$C$40:$C$130,MATCH(F288,'MP Calculations'!$D$40:$D$130,0),0),-1))</f>
        <v>0</v>
      </c>
    </row>
    <row r="289" spans="3:17" x14ac:dyDescent="0.25">
      <c r="C289" s="159"/>
      <c r="D289" s="165"/>
      <c r="E289" s="161"/>
      <c r="F289" s="172" t="str">
        <f t="shared" si="14"/>
        <v>-</v>
      </c>
      <c r="G289" s="68"/>
      <c r="H289" s="167"/>
      <c r="I289" s="173"/>
      <c r="J289" s="168" t="str">
        <f>IFERROR(MIN('MP Calculations'!$E$30/I289,1),"-")</f>
        <v>-</v>
      </c>
      <c r="K289" s="12"/>
      <c r="L289" s="159"/>
      <c r="M289" s="159"/>
      <c r="N289" s="159"/>
      <c r="O289" s="185" t="str">
        <f t="shared" si="13"/>
        <v>-</v>
      </c>
      <c r="P289" s="215" t="str">
        <f t="shared" si="15"/>
        <v>-</v>
      </c>
      <c r="Q289" s="215" cm="1">
        <f t="array" ref="Q289">IF(P289="-",0,P289/(1+'General inputs'!$H$32)^IFERROR(INDEX('MP Calculations'!$C$40:$C$130,MATCH(F289,'MP Calculations'!$D$40:$D$130,0),0),-1))</f>
        <v>0</v>
      </c>
    </row>
    <row r="290" spans="3:17" x14ac:dyDescent="0.25">
      <c r="C290" s="159"/>
      <c r="D290" s="165"/>
      <c r="E290" s="161"/>
      <c r="F290" s="172" t="str">
        <f t="shared" si="14"/>
        <v>-</v>
      </c>
      <c r="G290" s="68"/>
      <c r="H290" s="167"/>
      <c r="I290" s="173"/>
      <c r="J290" s="168" t="str">
        <f>IFERROR(MIN('MP Calculations'!$E$30/I290,1),"-")</f>
        <v>-</v>
      </c>
      <c r="K290" s="12"/>
      <c r="L290" s="159"/>
      <c r="M290" s="159"/>
      <c r="N290" s="159"/>
      <c r="O290" s="185" t="str">
        <f t="shared" si="13"/>
        <v>-</v>
      </c>
      <c r="P290" s="215" t="str">
        <f t="shared" si="15"/>
        <v>-</v>
      </c>
      <c r="Q290" s="215" cm="1">
        <f t="array" ref="Q290">IF(P290="-",0,P290/(1+'General inputs'!$H$32)^IFERROR(INDEX('MP Calculations'!$C$40:$C$130,MATCH(F290,'MP Calculations'!$D$40:$D$130,0),0),-1))</f>
        <v>0</v>
      </c>
    </row>
    <row r="291" spans="3:17" x14ac:dyDescent="0.25">
      <c r="C291" s="159"/>
      <c r="D291" s="165"/>
      <c r="E291" s="161"/>
      <c r="F291" s="172" t="str">
        <f t="shared" si="14"/>
        <v>-</v>
      </c>
      <c r="G291" s="68"/>
      <c r="H291" s="167"/>
      <c r="I291" s="173"/>
      <c r="J291" s="168" t="str">
        <f>IFERROR(MIN('MP Calculations'!$E$30/I291,1),"-")</f>
        <v>-</v>
      </c>
      <c r="K291" s="12"/>
      <c r="L291" s="159"/>
      <c r="M291" s="159"/>
      <c r="N291" s="159"/>
      <c r="O291" s="185" t="str">
        <f t="shared" si="13"/>
        <v>-</v>
      </c>
      <c r="P291" s="215" t="str">
        <f t="shared" si="15"/>
        <v>-</v>
      </c>
      <c r="Q291" s="215" cm="1">
        <f t="array" ref="Q291">IF(P291="-",0,P291/(1+'General inputs'!$H$32)^IFERROR(INDEX('MP Calculations'!$C$40:$C$130,MATCH(F291,'MP Calculations'!$D$40:$D$130,0),0),-1))</f>
        <v>0</v>
      </c>
    </row>
    <row r="292" spans="3:17" x14ac:dyDescent="0.25">
      <c r="C292" s="159"/>
      <c r="D292" s="165"/>
      <c r="E292" s="161"/>
      <c r="F292" s="172" t="str">
        <f t="shared" si="14"/>
        <v>-</v>
      </c>
      <c r="G292" s="68"/>
      <c r="H292" s="167"/>
      <c r="I292" s="173"/>
      <c r="J292" s="168" t="str">
        <f>IFERROR(MIN('MP Calculations'!$E$30/I292,1),"-")</f>
        <v>-</v>
      </c>
      <c r="K292" s="12"/>
      <c r="L292" s="159"/>
      <c r="M292" s="159"/>
      <c r="N292" s="159"/>
      <c r="O292" s="185" t="str">
        <f t="shared" si="13"/>
        <v>-</v>
      </c>
      <c r="P292" s="215" t="str">
        <f t="shared" si="15"/>
        <v>-</v>
      </c>
      <c r="Q292" s="215" cm="1">
        <f t="array" ref="Q292">IF(P292="-",0,P292/(1+'General inputs'!$H$32)^IFERROR(INDEX('MP Calculations'!$C$40:$C$130,MATCH(F292,'MP Calculations'!$D$40:$D$130,0),0),-1))</f>
        <v>0</v>
      </c>
    </row>
    <row r="293" spans="3:17" x14ac:dyDescent="0.25">
      <c r="C293" s="159"/>
      <c r="D293" s="165"/>
      <c r="E293" s="161"/>
      <c r="F293" s="172" t="str">
        <f t="shared" si="14"/>
        <v>-</v>
      </c>
      <c r="G293" s="68"/>
      <c r="H293" s="167"/>
      <c r="I293" s="173"/>
      <c r="J293" s="168" t="str">
        <f>IFERROR(MIN('MP Calculations'!$E$30/I293,1),"-")</f>
        <v>-</v>
      </c>
      <c r="K293" s="12"/>
      <c r="L293" s="159"/>
      <c r="M293" s="159"/>
      <c r="N293" s="159"/>
      <c r="O293" s="185" t="str">
        <f t="shared" si="13"/>
        <v>-</v>
      </c>
      <c r="P293" s="215" t="str">
        <f t="shared" si="15"/>
        <v>-</v>
      </c>
      <c r="Q293" s="215" cm="1">
        <f t="array" ref="Q293">IF(P293="-",0,P293/(1+'General inputs'!$H$32)^IFERROR(INDEX('MP Calculations'!$C$40:$C$130,MATCH(F293,'MP Calculations'!$D$40:$D$130,0),0),-1))</f>
        <v>0</v>
      </c>
    </row>
    <row r="294" spans="3:17" x14ac:dyDescent="0.25">
      <c r="C294" s="159"/>
      <c r="D294" s="165"/>
      <c r="E294" s="161"/>
      <c r="F294" s="172" t="str">
        <f t="shared" si="14"/>
        <v>-</v>
      </c>
      <c r="G294" s="68"/>
      <c r="H294" s="167"/>
      <c r="I294" s="173"/>
      <c r="J294" s="168" t="str">
        <f>IFERROR(MIN('MP Calculations'!$E$30/I294,1),"-")</f>
        <v>-</v>
      </c>
      <c r="K294" s="12"/>
      <c r="L294" s="159"/>
      <c r="M294" s="159"/>
      <c r="N294" s="159"/>
      <c r="O294" s="185" t="str">
        <f t="shared" si="13"/>
        <v>-</v>
      </c>
      <c r="P294" s="215" t="str">
        <f t="shared" si="15"/>
        <v>-</v>
      </c>
      <c r="Q294" s="215" cm="1">
        <f t="array" ref="Q294">IF(P294="-",0,P294/(1+'General inputs'!$H$32)^IFERROR(INDEX('MP Calculations'!$C$40:$C$130,MATCH(F294,'MP Calculations'!$D$40:$D$130,0),0),-1))</f>
        <v>0</v>
      </c>
    </row>
    <row r="295" spans="3:17" x14ac:dyDescent="0.25">
      <c r="C295" s="159"/>
      <c r="D295" s="165"/>
      <c r="E295" s="161"/>
      <c r="F295" s="172" t="str">
        <f t="shared" si="14"/>
        <v>-</v>
      </c>
      <c r="G295" s="68"/>
      <c r="H295" s="167"/>
      <c r="I295" s="173"/>
      <c r="J295" s="168" t="str">
        <f>IFERROR(MIN('MP Calculations'!$E$30/I295,1),"-")</f>
        <v>-</v>
      </c>
      <c r="K295" s="12"/>
      <c r="L295" s="159"/>
      <c r="M295" s="159"/>
      <c r="N295" s="159"/>
      <c r="O295" s="185" t="str">
        <f t="shared" si="13"/>
        <v>-</v>
      </c>
      <c r="P295" s="215" t="str">
        <f t="shared" si="15"/>
        <v>-</v>
      </c>
      <c r="Q295" s="215" cm="1">
        <f t="array" ref="Q295">IF(P295="-",0,P295/(1+'General inputs'!$H$32)^IFERROR(INDEX('MP Calculations'!$C$40:$C$130,MATCH(F295,'MP Calculations'!$D$40:$D$130,0),0),-1))</f>
        <v>0</v>
      </c>
    </row>
    <row r="296" spans="3:17" x14ac:dyDescent="0.25">
      <c r="C296" s="159"/>
      <c r="D296" s="165"/>
      <c r="E296" s="161"/>
      <c r="F296" s="172" t="str">
        <f t="shared" si="14"/>
        <v>-</v>
      </c>
      <c r="G296" s="68"/>
      <c r="H296" s="167"/>
      <c r="I296" s="173"/>
      <c r="J296" s="168" t="str">
        <f>IFERROR(MIN('MP Calculations'!$E$30/I296,1),"-")</f>
        <v>-</v>
      </c>
      <c r="K296" s="12"/>
      <c r="L296" s="159"/>
      <c r="M296" s="159"/>
      <c r="N296" s="159"/>
      <c r="O296" s="185" t="str">
        <f t="shared" si="13"/>
        <v>-</v>
      </c>
      <c r="P296" s="215" t="str">
        <f t="shared" si="15"/>
        <v>-</v>
      </c>
      <c r="Q296" s="215" cm="1">
        <f t="array" ref="Q296">IF(P296="-",0,P296/(1+'General inputs'!$H$32)^IFERROR(INDEX('MP Calculations'!$C$40:$C$130,MATCH(F296,'MP Calculations'!$D$40:$D$130,0),0),-1))</f>
        <v>0</v>
      </c>
    </row>
    <row r="297" spans="3:17" x14ac:dyDescent="0.25">
      <c r="C297" s="159"/>
      <c r="D297" s="165"/>
      <c r="E297" s="161"/>
      <c r="F297" s="172" t="str">
        <f t="shared" si="14"/>
        <v>-</v>
      </c>
      <c r="G297" s="68"/>
      <c r="H297" s="167"/>
      <c r="I297" s="173"/>
      <c r="J297" s="168" t="str">
        <f>IFERROR(MIN('MP Calculations'!$E$30/I297,1),"-")</f>
        <v>-</v>
      </c>
      <c r="K297" s="12"/>
      <c r="L297" s="159"/>
      <c r="M297" s="159"/>
      <c r="N297" s="159"/>
      <c r="O297" s="185" t="str">
        <f t="shared" si="13"/>
        <v>-</v>
      </c>
      <c r="P297" s="215" t="str">
        <f t="shared" si="15"/>
        <v>-</v>
      </c>
      <c r="Q297" s="215" cm="1">
        <f t="array" ref="Q297">IF(P297="-",0,P297/(1+'General inputs'!$H$32)^IFERROR(INDEX('MP Calculations'!$C$40:$C$130,MATCH(F297,'MP Calculations'!$D$40:$D$130,0),0),-1))</f>
        <v>0</v>
      </c>
    </row>
    <row r="298" spans="3:17" x14ac:dyDescent="0.25">
      <c r="C298" s="159"/>
      <c r="D298" s="165"/>
      <c r="E298" s="161"/>
      <c r="F298" s="172" t="str">
        <f t="shared" si="14"/>
        <v>-</v>
      </c>
      <c r="G298" s="68"/>
      <c r="H298" s="167"/>
      <c r="I298" s="173"/>
      <c r="J298" s="168" t="str">
        <f>IFERROR(MIN('MP Calculations'!$E$30/I298,1),"-")</f>
        <v>-</v>
      </c>
      <c r="K298" s="12"/>
      <c r="L298" s="159"/>
      <c r="M298" s="159"/>
      <c r="N298" s="159"/>
      <c r="O298" s="185" t="str">
        <f t="shared" si="13"/>
        <v>-</v>
      </c>
      <c r="P298" s="215" t="str">
        <f t="shared" si="15"/>
        <v>-</v>
      </c>
      <c r="Q298" s="215" cm="1">
        <f t="array" ref="Q298">IF(P298="-",0,P298/(1+'General inputs'!$H$32)^IFERROR(INDEX('MP Calculations'!$C$40:$C$130,MATCH(F298,'MP Calculations'!$D$40:$D$130,0),0),-1))</f>
        <v>0</v>
      </c>
    </row>
    <row r="299" spans="3:17" x14ac:dyDescent="0.25">
      <c r="C299" s="159"/>
      <c r="D299" s="165"/>
      <c r="E299" s="161"/>
      <c r="F299" s="172" t="str">
        <f t="shared" si="14"/>
        <v>-</v>
      </c>
      <c r="G299" s="68"/>
      <c r="H299" s="167"/>
      <c r="I299" s="173"/>
      <c r="J299" s="168" t="str">
        <f>IFERROR(MIN('MP Calculations'!$E$30/I299,1),"-")</f>
        <v>-</v>
      </c>
      <c r="K299" s="12"/>
      <c r="L299" s="159"/>
      <c r="M299" s="159"/>
      <c r="N299" s="159"/>
      <c r="O299" s="185" t="str">
        <f t="shared" si="13"/>
        <v>-</v>
      </c>
      <c r="P299" s="215" t="str">
        <f t="shared" si="15"/>
        <v>-</v>
      </c>
      <c r="Q299" s="215" cm="1">
        <f t="array" ref="Q299">IF(P299="-",0,P299/(1+'General inputs'!$H$32)^IFERROR(INDEX('MP Calculations'!$C$40:$C$130,MATCH(F299,'MP Calculations'!$D$40:$D$130,0),0),-1))</f>
        <v>0</v>
      </c>
    </row>
    <row r="300" spans="3:17" x14ac:dyDescent="0.25">
      <c r="C300" s="159"/>
      <c r="D300" s="165"/>
      <c r="E300" s="161"/>
      <c r="F300" s="172" t="str">
        <f t="shared" si="14"/>
        <v>-</v>
      </c>
      <c r="G300" s="68"/>
      <c r="H300" s="167"/>
      <c r="I300" s="173"/>
      <c r="J300" s="168" t="str">
        <f>IFERROR(MIN('MP Calculations'!$E$30/I300,1),"-")</f>
        <v>-</v>
      </c>
      <c r="K300" s="12"/>
      <c r="L300" s="159"/>
      <c r="M300" s="159"/>
      <c r="N300" s="159"/>
      <c r="O300" s="185" t="str">
        <f t="shared" si="13"/>
        <v>-</v>
      </c>
      <c r="P300" s="215" t="str">
        <f t="shared" si="15"/>
        <v>-</v>
      </c>
      <c r="Q300" s="215" cm="1">
        <f t="array" ref="Q300">IF(P300="-",0,P300/(1+'General inputs'!$H$32)^IFERROR(INDEX('MP Calculations'!$C$40:$C$130,MATCH(F300,'MP Calculations'!$D$40:$D$130,0),0),-1))</f>
        <v>0</v>
      </c>
    </row>
    <row r="301" spans="3:17" x14ac:dyDescent="0.25">
      <c r="C301" s="159"/>
      <c r="D301" s="165"/>
      <c r="E301" s="161"/>
      <c r="F301" s="172" t="str">
        <f t="shared" si="14"/>
        <v>-</v>
      </c>
      <c r="G301" s="68"/>
      <c r="H301" s="167"/>
      <c r="I301" s="173"/>
      <c r="J301" s="168" t="str">
        <f>IFERROR(MIN('MP Calculations'!$E$30/I301,1),"-")</f>
        <v>-</v>
      </c>
      <c r="K301" s="12"/>
      <c r="L301" s="159"/>
      <c r="M301" s="159"/>
      <c r="N301" s="159"/>
      <c r="O301" s="185" t="str">
        <f t="shared" si="13"/>
        <v>-</v>
      </c>
      <c r="P301" s="215" t="str">
        <f t="shared" si="15"/>
        <v>-</v>
      </c>
      <c r="Q301" s="215" cm="1">
        <f t="array" ref="Q301">IF(P301="-",0,P301/(1+'General inputs'!$H$32)^IFERROR(INDEX('MP Calculations'!$C$40:$C$130,MATCH(F301,'MP Calculations'!$D$40:$D$130,0),0),-1))</f>
        <v>0</v>
      </c>
    </row>
    <row r="302" spans="3:17" x14ac:dyDescent="0.25">
      <c r="C302" s="159"/>
      <c r="D302" s="165"/>
      <c r="E302" s="161"/>
      <c r="F302" s="172" t="str">
        <f t="shared" si="14"/>
        <v>-</v>
      </c>
      <c r="G302" s="68"/>
      <c r="H302" s="167"/>
      <c r="I302" s="173"/>
      <c r="J302" s="168" t="str">
        <f>IFERROR(MIN('MP Calculations'!$E$30/I302,1),"-")</f>
        <v>-</v>
      </c>
      <c r="K302" s="12"/>
      <c r="L302" s="159"/>
      <c r="M302" s="159"/>
      <c r="N302" s="159"/>
      <c r="O302" s="185" t="str">
        <f t="shared" si="13"/>
        <v>-</v>
      </c>
      <c r="P302" s="215" t="str">
        <f t="shared" si="15"/>
        <v>-</v>
      </c>
      <c r="Q302" s="215" cm="1">
        <f t="array" ref="Q302">IF(P302="-",0,P302/(1+'General inputs'!$H$32)^IFERROR(INDEX('MP Calculations'!$C$40:$C$130,MATCH(F302,'MP Calculations'!$D$40:$D$130,0),0),-1))</f>
        <v>0</v>
      </c>
    </row>
    <row r="303" spans="3:17" x14ac:dyDescent="0.25">
      <c r="C303" s="159"/>
      <c r="D303" s="165"/>
      <c r="E303" s="161"/>
      <c r="F303" s="172" t="str">
        <f t="shared" si="14"/>
        <v>-</v>
      </c>
      <c r="G303" s="68"/>
      <c r="H303" s="167"/>
      <c r="I303" s="173"/>
      <c r="J303" s="168" t="str">
        <f>IFERROR(MIN('MP Calculations'!$E$30/I303,1),"-")</f>
        <v>-</v>
      </c>
      <c r="K303" s="12"/>
      <c r="L303" s="159"/>
      <c r="M303" s="159"/>
      <c r="N303" s="159"/>
      <c r="O303" s="185" t="str">
        <f t="shared" si="13"/>
        <v>-</v>
      </c>
      <c r="P303" s="215" t="str">
        <f t="shared" si="15"/>
        <v>-</v>
      </c>
      <c r="Q303" s="215" cm="1">
        <f t="array" ref="Q303">IF(P303="-",0,P303/(1+'General inputs'!$H$32)^IFERROR(INDEX('MP Calculations'!$C$40:$C$130,MATCH(F303,'MP Calculations'!$D$40:$D$130,0),0),-1))</f>
        <v>0</v>
      </c>
    </row>
    <row r="304" spans="3:17" x14ac:dyDescent="0.25">
      <c r="C304" s="159"/>
      <c r="D304" s="165"/>
      <c r="E304" s="161"/>
      <c r="F304" s="172" t="str">
        <f t="shared" si="14"/>
        <v>-</v>
      </c>
      <c r="G304" s="68"/>
      <c r="H304" s="167"/>
      <c r="I304" s="173"/>
      <c r="J304" s="168" t="str">
        <f>IFERROR(MIN('MP Calculations'!$E$30/I304,1),"-")</f>
        <v>-</v>
      </c>
      <c r="K304" s="12"/>
      <c r="L304" s="159"/>
      <c r="M304" s="159"/>
      <c r="N304" s="159"/>
      <c r="O304" s="185" t="str">
        <f t="shared" si="13"/>
        <v>-</v>
      </c>
      <c r="P304" s="215" t="str">
        <f t="shared" si="15"/>
        <v>-</v>
      </c>
      <c r="Q304" s="215" cm="1">
        <f t="array" ref="Q304">IF(P304="-",0,P304/(1+'General inputs'!$H$32)^IFERROR(INDEX('MP Calculations'!$C$40:$C$130,MATCH(F304,'MP Calculations'!$D$40:$D$130,0),0),-1))</f>
        <v>0</v>
      </c>
    </row>
    <row r="305" spans="3:17" x14ac:dyDescent="0.25">
      <c r="C305" s="159"/>
      <c r="D305" s="165"/>
      <c r="E305" s="161"/>
      <c r="F305" s="172" t="str">
        <f t="shared" si="14"/>
        <v>-</v>
      </c>
      <c r="G305" s="68"/>
      <c r="H305" s="167"/>
      <c r="I305" s="173"/>
      <c r="J305" s="168" t="str">
        <f>IFERROR(MIN('MP Calculations'!$E$30/I305,1),"-")</f>
        <v>-</v>
      </c>
      <c r="K305" s="12"/>
      <c r="L305" s="159"/>
      <c r="M305" s="159"/>
      <c r="N305" s="159"/>
      <c r="O305" s="185" t="str">
        <f t="shared" si="13"/>
        <v>-</v>
      </c>
      <c r="P305" s="215" t="str">
        <f t="shared" si="15"/>
        <v>-</v>
      </c>
      <c r="Q305" s="215" cm="1">
        <f t="array" ref="Q305">IF(P305="-",0,P305/(1+'General inputs'!$H$32)^IFERROR(INDEX('MP Calculations'!$C$40:$C$130,MATCH(F305,'MP Calculations'!$D$40:$D$130,0),0),-1))</f>
        <v>0</v>
      </c>
    </row>
    <row r="306" spans="3:17" x14ac:dyDescent="0.25">
      <c r="C306" s="159"/>
      <c r="D306" s="165"/>
      <c r="E306" s="161"/>
      <c r="F306" s="172" t="str">
        <f t="shared" si="14"/>
        <v>-</v>
      </c>
      <c r="G306" s="68"/>
      <c r="H306" s="167"/>
      <c r="I306" s="173"/>
      <c r="J306" s="168" t="str">
        <f>IFERROR(MIN('MP Calculations'!$E$30/I306,1),"-")</f>
        <v>-</v>
      </c>
      <c r="K306" s="12"/>
      <c r="L306" s="159"/>
      <c r="M306" s="159"/>
      <c r="N306" s="159"/>
      <c r="O306" s="185" t="str">
        <f t="shared" si="13"/>
        <v>-</v>
      </c>
      <c r="P306" s="215" t="str">
        <f t="shared" si="15"/>
        <v>-</v>
      </c>
      <c r="Q306" s="215" cm="1">
        <f t="array" ref="Q306">IF(P306="-",0,P306/(1+'General inputs'!$H$32)^IFERROR(INDEX('MP Calculations'!$C$40:$C$130,MATCH(F306,'MP Calculations'!$D$40:$D$130,0),0),-1))</f>
        <v>0</v>
      </c>
    </row>
    <row r="307" spans="3:17" x14ac:dyDescent="0.25">
      <c r="C307" s="159"/>
      <c r="D307" s="165"/>
      <c r="E307" s="161"/>
      <c r="F307" s="172" t="str">
        <f t="shared" si="14"/>
        <v>-</v>
      </c>
      <c r="G307" s="68"/>
      <c r="H307" s="167"/>
      <c r="I307" s="173"/>
      <c r="J307" s="168" t="str">
        <f>IFERROR(MIN('MP Calculations'!$E$30/I307,1),"-")</f>
        <v>-</v>
      </c>
      <c r="K307" s="12"/>
      <c r="L307" s="159"/>
      <c r="M307" s="159"/>
      <c r="N307" s="159"/>
      <c r="O307" s="185" t="str">
        <f t="shared" si="13"/>
        <v>-</v>
      </c>
      <c r="P307" s="215" t="str">
        <f t="shared" si="15"/>
        <v>-</v>
      </c>
      <c r="Q307" s="215" cm="1">
        <f t="array" ref="Q307">IF(P307="-",0,P307/(1+'General inputs'!$H$32)^IFERROR(INDEX('MP Calculations'!$C$40:$C$130,MATCH(F307,'MP Calculations'!$D$40:$D$130,0),0),-1))</f>
        <v>0</v>
      </c>
    </row>
    <row r="308" spans="3:17" x14ac:dyDescent="0.25">
      <c r="C308" s="159"/>
      <c r="D308" s="165"/>
      <c r="E308" s="161"/>
      <c r="F308" s="172" t="str">
        <f t="shared" si="14"/>
        <v>-</v>
      </c>
      <c r="G308" s="68"/>
      <c r="H308" s="167"/>
      <c r="I308" s="173"/>
      <c r="J308" s="168" t="str">
        <f>IFERROR(MIN('MP Calculations'!$E$30/I308,1),"-")</f>
        <v>-</v>
      </c>
      <c r="K308" s="12"/>
      <c r="L308" s="159"/>
      <c r="M308" s="159"/>
      <c r="N308" s="159"/>
      <c r="O308" s="185" t="str">
        <f t="shared" si="13"/>
        <v>-</v>
      </c>
      <c r="P308" s="215" t="str">
        <f t="shared" si="15"/>
        <v>-</v>
      </c>
      <c r="Q308" s="215" cm="1">
        <f t="array" ref="Q308">IF(P308="-",0,P308/(1+'General inputs'!$H$32)^IFERROR(INDEX('MP Calculations'!$C$40:$C$130,MATCH(F308,'MP Calculations'!$D$40:$D$130,0),0),-1))</f>
        <v>0</v>
      </c>
    </row>
    <row r="309" spans="3:17" x14ac:dyDescent="0.25">
      <c r="C309" s="159"/>
      <c r="D309" s="165"/>
      <c r="E309" s="161"/>
      <c r="F309" s="172" t="str">
        <f t="shared" si="14"/>
        <v>-</v>
      </c>
      <c r="G309" s="68"/>
      <c r="H309" s="167"/>
      <c r="I309" s="173"/>
      <c r="J309" s="168" t="str">
        <f>IFERROR(MIN('MP Calculations'!$E$30/I309,1),"-")</f>
        <v>-</v>
      </c>
      <c r="K309" s="12"/>
      <c r="L309" s="159"/>
      <c r="M309" s="159"/>
      <c r="N309" s="159"/>
      <c r="O309" s="185" t="str">
        <f t="shared" si="13"/>
        <v>-</v>
      </c>
      <c r="P309" s="215" t="str">
        <f t="shared" si="15"/>
        <v>-</v>
      </c>
      <c r="Q309" s="215" cm="1">
        <f t="array" ref="Q309">IF(P309="-",0,P309/(1+'General inputs'!$H$32)^IFERROR(INDEX('MP Calculations'!$C$40:$C$130,MATCH(F309,'MP Calculations'!$D$40:$D$130,0),0),-1))</f>
        <v>0</v>
      </c>
    </row>
    <row r="310" spans="3:17" x14ac:dyDescent="0.25">
      <c r="C310" s="159"/>
      <c r="D310" s="165"/>
      <c r="E310" s="161"/>
      <c r="F310" s="172" t="str">
        <f t="shared" si="14"/>
        <v>-</v>
      </c>
      <c r="G310" s="68"/>
      <c r="H310" s="167"/>
      <c r="I310" s="173"/>
      <c r="J310" s="168" t="str">
        <f>IFERROR(MIN('MP Calculations'!$E$30/I310,1),"-")</f>
        <v>-</v>
      </c>
      <c r="K310" s="12"/>
      <c r="L310" s="159"/>
      <c r="M310" s="159"/>
      <c r="N310" s="159"/>
      <c r="O310" s="185" t="str">
        <f t="shared" si="13"/>
        <v>-</v>
      </c>
      <c r="P310" s="215" t="str">
        <f t="shared" si="15"/>
        <v>-</v>
      </c>
      <c r="Q310" s="215" cm="1">
        <f t="array" ref="Q310">IF(P310="-",0,P310/(1+'General inputs'!$H$32)^IFERROR(INDEX('MP Calculations'!$C$40:$C$130,MATCH(F310,'MP Calculations'!$D$40:$D$130,0),0),-1))</f>
        <v>0</v>
      </c>
    </row>
    <row r="311" spans="3:17" x14ac:dyDescent="0.25">
      <c r="C311" s="159"/>
      <c r="D311" s="165"/>
      <c r="E311" s="161"/>
      <c r="F311" s="172" t="str">
        <f t="shared" si="14"/>
        <v>-</v>
      </c>
      <c r="G311" s="68"/>
      <c r="H311" s="167"/>
      <c r="I311" s="173"/>
      <c r="J311" s="168" t="str">
        <f>IFERROR(MIN('MP Calculations'!$E$30/I311,1),"-")</f>
        <v>-</v>
      </c>
      <c r="K311" s="12"/>
      <c r="L311" s="159"/>
      <c r="M311" s="159"/>
      <c r="N311" s="159"/>
      <c r="O311" s="185" t="str">
        <f t="shared" si="13"/>
        <v>-</v>
      </c>
      <c r="P311" s="215" t="str">
        <f t="shared" si="15"/>
        <v>-</v>
      </c>
      <c r="Q311" s="215" cm="1">
        <f t="array" ref="Q311">IF(P311="-",0,P311/(1+'General inputs'!$H$32)^IFERROR(INDEX('MP Calculations'!$C$40:$C$130,MATCH(F311,'MP Calculations'!$D$40:$D$130,0),0),-1))</f>
        <v>0</v>
      </c>
    </row>
    <row r="312" spans="3:17" x14ac:dyDescent="0.25">
      <c r="C312" s="159"/>
      <c r="D312" s="165"/>
      <c r="E312" s="161"/>
      <c r="F312" s="172" t="str">
        <f t="shared" si="14"/>
        <v>-</v>
      </c>
      <c r="G312" s="68"/>
      <c r="H312" s="167"/>
      <c r="I312" s="173"/>
      <c r="J312" s="168" t="str">
        <f>IFERROR(MIN('MP Calculations'!$E$30/I312,1),"-")</f>
        <v>-</v>
      </c>
      <c r="K312" s="12"/>
      <c r="L312" s="159"/>
      <c r="M312" s="159"/>
      <c r="N312" s="159"/>
      <c r="O312" s="185" t="str">
        <f t="shared" si="13"/>
        <v>-</v>
      </c>
      <c r="P312" s="215" t="str">
        <f t="shared" si="15"/>
        <v>-</v>
      </c>
      <c r="Q312" s="215" cm="1">
        <f t="array" ref="Q312">IF(P312="-",0,P312/(1+'General inputs'!$H$32)^IFERROR(INDEX('MP Calculations'!$C$40:$C$130,MATCH(F312,'MP Calculations'!$D$40:$D$130,0),0),-1))</f>
        <v>0</v>
      </c>
    </row>
    <row r="313" spans="3:17" x14ac:dyDescent="0.25">
      <c r="C313" s="159"/>
      <c r="D313" s="165"/>
      <c r="E313" s="161"/>
      <c r="F313" s="172" t="str">
        <f t="shared" si="14"/>
        <v>-</v>
      </c>
      <c r="G313" s="68"/>
      <c r="H313" s="167"/>
      <c r="I313" s="173"/>
      <c r="J313" s="168" t="str">
        <f>IFERROR(MIN('MP Calculations'!$E$30/I313,1),"-")</f>
        <v>-</v>
      </c>
      <c r="K313" s="12"/>
      <c r="L313" s="159"/>
      <c r="M313" s="159"/>
      <c r="N313" s="159"/>
      <c r="O313" s="185" t="str">
        <f t="shared" si="13"/>
        <v>-</v>
      </c>
      <c r="P313" s="215" t="str">
        <f t="shared" si="15"/>
        <v>-</v>
      </c>
      <c r="Q313" s="215" cm="1">
        <f t="array" ref="Q313">IF(P313="-",0,P313/(1+'General inputs'!$H$32)^IFERROR(INDEX('MP Calculations'!$C$40:$C$130,MATCH(F313,'MP Calculations'!$D$40:$D$130,0),0),-1))</f>
        <v>0</v>
      </c>
    </row>
    <row r="314" spans="3:17" x14ac:dyDescent="0.25">
      <c r="C314" s="159"/>
      <c r="D314" s="165"/>
      <c r="E314" s="161"/>
      <c r="F314" s="172" t="str">
        <f t="shared" si="14"/>
        <v>-</v>
      </c>
      <c r="G314" s="68"/>
      <c r="H314" s="167"/>
      <c r="I314" s="173"/>
      <c r="J314" s="168" t="str">
        <f>IFERROR(MIN('MP Calculations'!$E$30/I314,1),"-")</f>
        <v>-</v>
      </c>
      <c r="K314" s="12"/>
      <c r="L314" s="159"/>
      <c r="M314" s="159"/>
      <c r="N314" s="159"/>
      <c r="O314" s="185" t="str">
        <f t="shared" si="13"/>
        <v>-</v>
      </c>
      <c r="P314" s="215" t="str">
        <f t="shared" si="15"/>
        <v>-</v>
      </c>
      <c r="Q314" s="215" cm="1">
        <f t="array" ref="Q314">IF(P314="-",0,P314/(1+'General inputs'!$H$32)^IFERROR(INDEX('MP Calculations'!$C$40:$C$130,MATCH(F314,'MP Calculations'!$D$40:$D$130,0),0),-1))</f>
        <v>0</v>
      </c>
    </row>
    <row r="315" spans="3:17" x14ac:dyDescent="0.25">
      <c r="C315" s="159"/>
      <c r="D315" s="165"/>
      <c r="E315" s="161"/>
      <c r="F315" s="172" t="str">
        <f t="shared" si="14"/>
        <v>-</v>
      </c>
      <c r="G315" s="68"/>
      <c r="H315" s="167"/>
      <c r="I315" s="173"/>
      <c r="J315" s="168" t="str">
        <f>IFERROR(MIN('MP Calculations'!$E$30/I315,1),"-")</f>
        <v>-</v>
      </c>
      <c r="K315" s="12"/>
      <c r="L315" s="159"/>
      <c r="M315" s="159"/>
      <c r="N315" s="159"/>
      <c r="O315" s="185" t="str">
        <f t="shared" si="13"/>
        <v>-</v>
      </c>
      <c r="P315" s="215" t="str">
        <f t="shared" si="15"/>
        <v>-</v>
      </c>
      <c r="Q315" s="215" cm="1">
        <f t="array" ref="Q315">IF(P315="-",0,P315/(1+'General inputs'!$H$32)^IFERROR(INDEX('MP Calculations'!$C$40:$C$130,MATCH(F315,'MP Calculations'!$D$40:$D$130,0),0),-1))</f>
        <v>0</v>
      </c>
    </row>
    <row r="316" spans="3:17" x14ac:dyDescent="0.25">
      <c r="C316" s="159"/>
      <c r="D316" s="165"/>
      <c r="E316" s="161"/>
      <c r="F316" s="172" t="str">
        <f t="shared" si="14"/>
        <v>-</v>
      </c>
      <c r="G316" s="68"/>
      <c r="H316" s="167"/>
      <c r="I316" s="173"/>
      <c r="J316" s="168" t="str">
        <f>IFERROR(MIN('MP Calculations'!$E$30/I316,1),"-")</f>
        <v>-</v>
      </c>
      <c r="K316" s="12"/>
      <c r="L316" s="159"/>
      <c r="M316" s="159"/>
      <c r="N316" s="159"/>
      <c r="O316" s="185" t="str">
        <f t="shared" si="13"/>
        <v>-</v>
      </c>
      <c r="P316" s="215" t="str">
        <f t="shared" si="15"/>
        <v>-</v>
      </c>
      <c r="Q316" s="215" cm="1">
        <f t="array" ref="Q316">IF(P316="-",0,P316/(1+'General inputs'!$H$32)^IFERROR(INDEX('MP Calculations'!$C$40:$C$130,MATCH(F316,'MP Calculations'!$D$40:$D$130,0),0),-1))</f>
        <v>0</v>
      </c>
    </row>
    <row r="317" spans="3:17" x14ac:dyDescent="0.25">
      <c r="C317" s="159"/>
      <c r="D317" s="165"/>
      <c r="E317" s="161"/>
      <c r="F317" s="172" t="str">
        <f t="shared" si="14"/>
        <v>-</v>
      </c>
      <c r="G317" s="68"/>
      <c r="H317" s="167"/>
      <c r="I317" s="173"/>
      <c r="J317" s="168" t="str">
        <f>IFERROR(MIN('MP Calculations'!$E$30/I317,1),"-")</f>
        <v>-</v>
      </c>
      <c r="K317" s="12"/>
      <c r="L317" s="159"/>
      <c r="M317" s="159"/>
      <c r="N317" s="159"/>
      <c r="O317" s="185" t="str">
        <f t="shared" si="13"/>
        <v>-</v>
      </c>
      <c r="P317" s="215" t="str">
        <f t="shared" si="15"/>
        <v>-</v>
      </c>
      <c r="Q317" s="215" cm="1">
        <f t="array" ref="Q317">IF(P317="-",0,P317/(1+'General inputs'!$H$32)^IFERROR(INDEX('MP Calculations'!$C$40:$C$130,MATCH(F317,'MP Calculations'!$D$40:$D$130,0),0),-1))</f>
        <v>0</v>
      </c>
    </row>
    <row r="318" spans="3:17" x14ac:dyDescent="0.25">
      <c r="C318" s="159"/>
      <c r="D318" s="165"/>
      <c r="E318" s="161"/>
      <c r="F318" s="172" t="str">
        <f t="shared" si="14"/>
        <v>-</v>
      </c>
      <c r="G318" s="68"/>
      <c r="H318" s="167"/>
      <c r="I318" s="173"/>
      <c r="J318" s="168" t="str">
        <f>IFERROR(MIN('MP Calculations'!$E$30/I318,1),"-")</f>
        <v>-</v>
      </c>
      <c r="K318" s="12"/>
      <c r="L318" s="159"/>
      <c r="M318" s="159"/>
      <c r="N318" s="159"/>
      <c r="O318" s="185" t="str">
        <f t="shared" si="13"/>
        <v>-</v>
      </c>
      <c r="P318" s="215" t="str">
        <f t="shared" si="15"/>
        <v>-</v>
      </c>
      <c r="Q318" s="215" cm="1">
        <f t="array" ref="Q318">IF(P318="-",0,P318/(1+'General inputs'!$H$32)^IFERROR(INDEX('MP Calculations'!$C$40:$C$130,MATCH(F318,'MP Calculations'!$D$40:$D$130,0),0),-1))</f>
        <v>0</v>
      </c>
    </row>
    <row r="319" spans="3:17" x14ac:dyDescent="0.25">
      <c r="C319" s="159"/>
      <c r="D319" s="165"/>
      <c r="E319" s="161"/>
      <c r="F319" s="172" t="str">
        <f t="shared" si="14"/>
        <v>-</v>
      </c>
      <c r="G319" s="68"/>
      <c r="H319" s="167"/>
      <c r="I319" s="173"/>
      <c r="J319" s="168" t="str">
        <f>IFERROR(MIN('MP Calculations'!$E$30/I319,1),"-")</f>
        <v>-</v>
      </c>
      <c r="K319" s="12"/>
      <c r="L319" s="159"/>
      <c r="M319" s="159"/>
      <c r="N319" s="159"/>
      <c r="O319" s="185" t="str">
        <f t="shared" si="13"/>
        <v>-</v>
      </c>
      <c r="P319" s="215" t="str">
        <f t="shared" si="15"/>
        <v>-</v>
      </c>
      <c r="Q319" s="215" cm="1">
        <f t="array" ref="Q319">IF(P319="-",0,P319/(1+'General inputs'!$H$32)^IFERROR(INDEX('MP Calculations'!$C$40:$C$130,MATCH(F319,'MP Calculations'!$D$40:$D$130,0),0),-1))</f>
        <v>0</v>
      </c>
    </row>
    <row r="320" spans="3:17" x14ac:dyDescent="0.25">
      <c r="C320" s="159"/>
      <c r="D320" s="165"/>
      <c r="E320" s="161"/>
      <c r="F320" s="172" t="str">
        <f t="shared" si="14"/>
        <v>-</v>
      </c>
      <c r="G320" s="68"/>
      <c r="H320" s="167"/>
      <c r="I320" s="173"/>
      <c r="J320" s="168" t="str">
        <f>IFERROR(MIN('MP Calculations'!$E$30/I320,1),"-")</f>
        <v>-</v>
      </c>
      <c r="K320" s="12"/>
      <c r="L320" s="159"/>
      <c r="M320" s="159"/>
      <c r="N320" s="159"/>
      <c r="O320" s="185" t="str">
        <f t="shared" si="13"/>
        <v>-</v>
      </c>
      <c r="P320" s="215" t="str">
        <f t="shared" si="15"/>
        <v>-</v>
      </c>
      <c r="Q320" s="215" cm="1">
        <f t="array" ref="Q320">IF(P320="-",0,P320/(1+'General inputs'!$H$32)^IFERROR(INDEX('MP Calculations'!$C$40:$C$130,MATCH(F320,'MP Calculations'!$D$40:$D$130,0),0),-1))</f>
        <v>0</v>
      </c>
    </row>
    <row r="321" spans="3:17" x14ac:dyDescent="0.25">
      <c r="C321" s="159"/>
      <c r="D321" s="165"/>
      <c r="E321" s="161"/>
      <c r="F321" s="172" t="str">
        <f t="shared" si="14"/>
        <v>-</v>
      </c>
      <c r="G321" s="68"/>
      <c r="H321" s="167"/>
      <c r="I321" s="173"/>
      <c r="J321" s="168" t="str">
        <f>IFERROR(MIN('MP Calculations'!$E$30/I321,1),"-")</f>
        <v>-</v>
      </c>
      <c r="K321" s="12"/>
      <c r="L321" s="159"/>
      <c r="M321" s="159"/>
      <c r="N321" s="159"/>
      <c r="O321" s="185" t="str">
        <f t="shared" ref="O321:O384" si="16">IF(N321="","-",L321*N321)</f>
        <v>-</v>
      </c>
      <c r="P321" s="215" t="str">
        <f t="shared" si="15"/>
        <v>-</v>
      </c>
      <c r="Q321" s="215" cm="1">
        <f t="array" ref="Q321">IF(P321="-",0,P321/(1+'General inputs'!$H$32)^IFERROR(INDEX('MP Calculations'!$C$40:$C$130,MATCH(F321,'MP Calculations'!$D$40:$D$130,0),0),-1))</f>
        <v>0</v>
      </c>
    </row>
    <row r="322" spans="3:17" x14ac:dyDescent="0.25">
      <c r="C322" s="159"/>
      <c r="D322" s="165"/>
      <c r="E322" s="161"/>
      <c r="F322" s="172" t="str">
        <f t="shared" si="14"/>
        <v>-</v>
      </c>
      <c r="G322" s="68"/>
      <c r="H322" s="167"/>
      <c r="I322" s="173"/>
      <c r="J322" s="168" t="str">
        <f>IFERROR(MIN('MP Calculations'!$E$30/I322,1),"-")</f>
        <v>-</v>
      </c>
      <c r="K322" s="12"/>
      <c r="L322" s="159"/>
      <c r="M322" s="159"/>
      <c r="N322" s="159"/>
      <c r="O322" s="185" t="str">
        <f t="shared" si="16"/>
        <v>-</v>
      </c>
      <c r="P322" s="215" t="str">
        <f t="shared" si="15"/>
        <v>-</v>
      </c>
      <c r="Q322" s="215" cm="1">
        <f t="array" ref="Q322">IF(P322="-",0,P322/(1+'General inputs'!$H$32)^IFERROR(INDEX('MP Calculations'!$C$40:$C$130,MATCH(F322,'MP Calculations'!$D$40:$D$130,0),0),-1))</f>
        <v>0</v>
      </c>
    </row>
    <row r="323" spans="3:17" x14ac:dyDescent="0.25">
      <c r="C323" s="159"/>
      <c r="D323" s="165"/>
      <c r="E323" s="161"/>
      <c r="F323" s="172" t="str">
        <f t="shared" si="14"/>
        <v>-</v>
      </c>
      <c r="G323" s="68"/>
      <c r="H323" s="167"/>
      <c r="I323" s="173"/>
      <c r="J323" s="168" t="str">
        <f>IFERROR(MIN('MP Calculations'!$E$30/I323,1),"-")</f>
        <v>-</v>
      </c>
      <c r="K323" s="12"/>
      <c r="L323" s="159"/>
      <c r="M323" s="159"/>
      <c r="N323" s="159"/>
      <c r="O323" s="185" t="str">
        <f t="shared" si="16"/>
        <v>-</v>
      </c>
      <c r="P323" s="215" t="str">
        <f t="shared" si="15"/>
        <v>-</v>
      </c>
      <c r="Q323" s="215" cm="1">
        <f t="array" ref="Q323">IF(P323="-",0,P323/(1+'General inputs'!$H$32)^IFERROR(INDEX('MP Calculations'!$C$40:$C$130,MATCH(F323,'MP Calculations'!$D$40:$D$130,0),0),-1))</f>
        <v>0</v>
      </c>
    </row>
    <row r="324" spans="3:17" x14ac:dyDescent="0.25">
      <c r="C324" s="159"/>
      <c r="D324" s="165"/>
      <c r="E324" s="161"/>
      <c r="F324" s="172" t="str">
        <f t="shared" si="14"/>
        <v>-</v>
      </c>
      <c r="G324" s="68"/>
      <c r="H324" s="167"/>
      <c r="I324" s="173"/>
      <c r="J324" s="168" t="str">
        <f>IFERROR(MIN('MP Calculations'!$E$30/I324,1),"-")</f>
        <v>-</v>
      </c>
      <c r="K324" s="12"/>
      <c r="L324" s="159"/>
      <c r="M324" s="159"/>
      <c r="N324" s="159"/>
      <c r="O324" s="185" t="str">
        <f t="shared" si="16"/>
        <v>-</v>
      </c>
      <c r="P324" s="215" t="str">
        <f t="shared" si="15"/>
        <v>-</v>
      </c>
      <c r="Q324" s="215" cm="1">
        <f t="array" ref="Q324">IF(P324="-",0,P324/(1+'General inputs'!$H$32)^IFERROR(INDEX('MP Calculations'!$C$40:$C$130,MATCH(F324,'MP Calculations'!$D$40:$D$130,0),0),-1))</f>
        <v>0</v>
      </c>
    </row>
    <row r="325" spans="3:17" x14ac:dyDescent="0.25">
      <c r="C325" s="159"/>
      <c r="D325" s="165"/>
      <c r="E325" s="161"/>
      <c r="F325" s="172" t="str">
        <f t="shared" si="14"/>
        <v>-</v>
      </c>
      <c r="G325" s="68"/>
      <c r="H325" s="167"/>
      <c r="I325" s="173"/>
      <c r="J325" s="168" t="str">
        <f>IFERROR(MIN('MP Calculations'!$E$30/I325,1),"-")</f>
        <v>-</v>
      </c>
      <c r="K325" s="12"/>
      <c r="L325" s="159"/>
      <c r="M325" s="159"/>
      <c r="N325" s="159"/>
      <c r="O325" s="185" t="str">
        <f t="shared" si="16"/>
        <v>-</v>
      </c>
      <c r="P325" s="215" t="str">
        <f t="shared" si="15"/>
        <v>-</v>
      </c>
      <c r="Q325" s="215" cm="1">
        <f t="array" ref="Q325">IF(P325="-",0,P325/(1+'General inputs'!$H$32)^IFERROR(INDEX('MP Calculations'!$C$40:$C$130,MATCH(F325,'MP Calculations'!$D$40:$D$130,0),0),-1))</f>
        <v>0</v>
      </c>
    </row>
    <row r="326" spans="3:17" x14ac:dyDescent="0.25">
      <c r="C326" s="159"/>
      <c r="D326" s="165"/>
      <c r="E326" s="161"/>
      <c r="F326" s="172" t="str">
        <f t="shared" si="14"/>
        <v>-</v>
      </c>
      <c r="G326" s="68"/>
      <c r="H326" s="167"/>
      <c r="I326" s="173"/>
      <c r="J326" s="168" t="str">
        <f>IFERROR(MIN('MP Calculations'!$E$30/I326,1),"-")</f>
        <v>-</v>
      </c>
      <c r="K326" s="12"/>
      <c r="L326" s="159"/>
      <c r="M326" s="159"/>
      <c r="N326" s="159"/>
      <c r="O326" s="185" t="str">
        <f t="shared" si="16"/>
        <v>-</v>
      </c>
      <c r="P326" s="215" t="str">
        <f t="shared" si="15"/>
        <v>-</v>
      </c>
      <c r="Q326" s="215" cm="1">
        <f t="array" ref="Q326">IF(P326="-",0,P326/(1+'General inputs'!$H$32)^IFERROR(INDEX('MP Calculations'!$C$40:$C$130,MATCH(F326,'MP Calculations'!$D$40:$D$130,0),0),-1))</f>
        <v>0</v>
      </c>
    </row>
    <row r="327" spans="3:17" x14ac:dyDescent="0.25">
      <c r="C327" s="159"/>
      <c r="D327" s="165"/>
      <c r="E327" s="161"/>
      <c r="F327" s="172" t="str">
        <f t="shared" si="14"/>
        <v>-</v>
      </c>
      <c r="G327" s="68"/>
      <c r="H327" s="167"/>
      <c r="I327" s="173"/>
      <c r="J327" s="168" t="str">
        <f>IFERROR(MIN('MP Calculations'!$E$30/I327,1),"-")</f>
        <v>-</v>
      </c>
      <c r="K327" s="12"/>
      <c r="L327" s="159"/>
      <c r="M327" s="159"/>
      <c r="N327" s="159"/>
      <c r="O327" s="185" t="str">
        <f t="shared" si="16"/>
        <v>-</v>
      </c>
      <c r="P327" s="215" t="str">
        <f t="shared" si="15"/>
        <v>-</v>
      </c>
      <c r="Q327" s="215" cm="1">
        <f t="array" ref="Q327">IF(P327="-",0,P327/(1+'General inputs'!$H$32)^IFERROR(INDEX('MP Calculations'!$C$40:$C$130,MATCH(F327,'MP Calculations'!$D$40:$D$130,0),0),-1))</f>
        <v>0</v>
      </c>
    </row>
    <row r="328" spans="3:17" x14ac:dyDescent="0.25">
      <c r="C328" s="159"/>
      <c r="D328" s="165"/>
      <c r="E328" s="161"/>
      <c r="F328" s="172" t="str">
        <f t="shared" si="14"/>
        <v>-</v>
      </c>
      <c r="G328" s="68"/>
      <c r="H328" s="167"/>
      <c r="I328" s="173"/>
      <c r="J328" s="168" t="str">
        <f>IFERROR(MIN('MP Calculations'!$E$30/I328,1),"-")</f>
        <v>-</v>
      </c>
      <c r="K328" s="12"/>
      <c r="L328" s="159"/>
      <c r="M328" s="159"/>
      <c r="N328" s="159"/>
      <c r="O328" s="185" t="str">
        <f t="shared" si="16"/>
        <v>-</v>
      </c>
      <c r="P328" s="215" t="str">
        <f t="shared" si="15"/>
        <v>-</v>
      </c>
      <c r="Q328" s="215" cm="1">
        <f t="array" ref="Q328">IF(P328="-",0,P328/(1+'General inputs'!$H$32)^IFERROR(INDEX('MP Calculations'!$C$40:$C$130,MATCH(F328,'MP Calculations'!$D$40:$D$130,0),0),-1))</f>
        <v>0</v>
      </c>
    </row>
    <row r="329" spans="3:17" x14ac:dyDescent="0.25">
      <c r="C329" s="159"/>
      <c r="D329" s="165"/>
      <c r="E329" s="161"/>
      <c r="F329" s="172" t="str">
        <f t="shared" si="14"/>
        <v>-</v>
      </c>
      <c r="G329" s="68"/>
      <c r="H329" s="167"/>
      <c r="I329" s="173"/>
      <c r="J329" s="168" t="str">
        <f>IFERROR(MIN('MP Calculations'!$E$30/I329,1),"-")</f>
        <v>-</v>
      </c>
      <c r="K329" s="12"/>
      <c r="L329" s="159"/>
      <c r="M329" s="159"/>
      <c r="N329" s="159"/>
      <c r="O329" s="185" t="str">
        <f t="shared" si="16"/>
        <v>-</v>
      </c>
      <c r="P329" s="215" t="str">
        <f t="shared" si="15"/>
        <v>-</v>
      </c>
      <c r="Q329" s="215" cm="1">
        <f t="array" ref="Q329">IF(P329="-",0,P329/(1+'General inputs'!$H$32)^IFERROR(INDEX('MP Calculations'!$C$40:$C$130,MATCH(F329,'MP Calculations'!$D$40:$D$130,0),0),-1))</f>
        <v>0</v>
      </c>
    </row>
    <row r="330" spans="3:17" x14ac:dyDescent="0.25">
      <c r="C330" s="159"/>
      <c r="D330" s="165"/>
      <c r="E330" s="161"/>
      <c r="F330" s="172" t="str">
        <f t="shared" si="14"/>
        <v>-</v>
      </c>
      <c r="G330" s="68"/>
      <c r="H330" s="167"/>
      <c r="I330" s="173"/>
      <c r="J330" s="168" t="str">
        <f>IFERROR(MIN('MP Calculations'!$E$30/I330,1),"-")</f>
        <v>-</v>
      </c>
      <c r="K330" s="12"/>
      <c r="L330" s="159"/>
      <c r="M330" s="159"/>
      <c r="N330" s="159"/>
      <c r="O330" s="185" t="str">
        <f t="shared" si="16"/>
        <v>-</v>
      </c>
      <c r="P330" s="215" t="str">
        <f t="shared" si="15"/>
        <v>-</v>
      </c>
      <c r="Q330" s="215" cm="1">
        <f t="array" ref="Q330">IF(P330="-",0,P330/(1+'General inputs'!$H$32)^IFERROR(INDEX('MP Calculations'!$C$40:$C$130,MATCH(F330,'MP Calculations'!$D$40:$D$130,0),0),-1))</f>
        <v>0</v>
      </c>
    </row>
    <row r="331" spans="3:17" x14ac:dyDescent="0.25">
      <c r="C331" s="159"/>
      <c r="D331" s="165"/>
      <c r="E331" s="161"/>
      <c r="F331" s="172" t="str">
        <f t="shared" si="14"/>
        <v>-</v>
      </c>
      <c r="G331" s="68"/>
      <c r="H331" s="167"/>
      <c r="I331" s="173"/>
      <c r="J331" s="168" t="str">
        <f>IFERROR(MIN('MP Calculations'!$E$30/I331,1),"-")</f>
        <v>-</v>
      </c>
      <c r="K331" s="12"/>
      <c r="L331" s="159"/>
      <c r="M331" s="159"/>
      <c r="N331" s="159"/>
      <c r="O331" s="185" t="str">
        <f t="shared" si="16"/>
        <v>-</v>
      </c>
      <c r="P331" s="215" t="str">
        <f t="shared" si="15"/>
        <v>-</v>
      </c>
      <c r="Q331" s="215" cm="1">
        <f t="array" ref="Q331">IF(P331="-",0,P331/(1+'General inputs'!$H$32)^IFERROR(INDEX('MP Calculations'!$C$40:$C$130,MATCH(F331,'MP Calculations'!$D$40:$D$130,0),0),-1))</f>
        <v>0</v>
      </c>
    </row>
    <row r="332" spans="3:17" x14ac:dyDescent="0.25">
      <c r="C332" s="159"/>
      <c r="D332" s="165"/>
      <c r="E332" s="161"/>
      <c r="F332" s="172" t="str">
        <f t="shared" si="14"/>
        <v>-</v>
      </c>
      <c r="G332" s="68"/>
      <c r="H332" s="167"/>
      <c r="I332" s="173"/>
      <c r="J332" s="168" t="str">
        <f>IFERROR(MIN('MP Calculations'!$E$30/I332,1),"-")</f>
        <v>-</v>
      </c>
      <c r="K332" s="12"/>
      <c r="L332" s="159"/>
      <c r="M332" s="159"/>
      <c r="N332" s="159"/>
      <c r="O332" s="185" t="str">
        <f t="shared" si="16"/>
        <v>-</v>
      </c>
      <c r="P332" s="215" t="str">
        <f t="shared" si="15"/>
        <v>-</v>
      </c>
      <c r="Q332" s="215" cm="1">
        <f t="array" ref="Q332">IF(P332="-",0,P332/(1+'General inputs'!$H$32)^IFERROR(INDEX('MP Calculations'!$C$40:$C$130,MATCH(F332,'MP Calculations'!$D$40:$D$130,0),0),-1))</f>
        <v>0</v>
      </c>
    </row>
    <row r="333" spans="3:17" x14ac:dyDescent="0.25">
      <c r="C333" s="159"/>
      <c r="D333" s="165"/>
      <c r="E333" s="161"/>
      <c r="F333" s="172" t="str">
        <f t="shared" si="14"/>
        <v>-</v>
      </c>
      <c r="G333" s="68"/>
      <c r="H333" s="167"/>
      <c r="I333" s="173"/>
      <c r="J333" s="168" t="str">
        <f>IFERROR(MIN('MP Calculations'!$E$30/I333,1),"-")</f>
        <v>-</v>
      </c>
      <c r="K333" s="12"/>
      <c r="L333" s="159"/>
      <c r="M333" s="159"/>
      <c r="N333" s="159"/>
      <c r="O333" s="185" t="str">
        <f t="shared" si="16"/>
        <v>-</v>
      </c>
      <c r="P333" s="215" t="str">
        <f t="shared" si="15"/>
        <v>-</v>
      </c>
      <c r="Q333" s="215" cm="1">
        <f t="array" ref="Q333">IF(P333="-",0,P333/(1+'General inputs'!$H$32)^IFERROR(INDEX('MP Calculations'!$C$40:$C$130,MATCH(F333,'MP Calculations'!$D$40:$D$130,0),0),-1))</f>
        <v>0</v>
      </c>
    </row>
    <row r="334" spans="3:17" x14ac:dyDescent="0.25">
      <c r="C334" s="159"/>
      <c r="D334" s="165"/>
      <c r="E334" s="161"/>
      <c r="F334" s="172" t="str">
        <f t="shared" si="14"/>
        <v>-</v>
      </c>
      <c r="G334" s="68"/>
      <c r="H334" s="167"/>
      <c r="I334" s="173"/>
      <c r="J334" s="168" t="str">
        <f>IFERROR(MIN('MP Calculations'!$E$30/I334,1),"-")</f>
        <v>-</v>
      </c>
      <c r="K334" s="12"/>
      <c r="L334" s="159"/>
      <c r="M334" s="159"/>
      <c r="N334" s="159"/>
      <c r="O334" s="185" t="str">
        <f t="shared" si="16"/>
        <v>-</v>
      </c>
      <c r="P334" s="215" t="str">
        <f t="shared" si="15"/>
        <v>-</v>
      </c>
      <c r="Q334" s="215" cm="1">
        <f t="array" ref="Q334">IF(P334="-",0,P334/(1+'General inputs'!$H$32)^IFERROR(INDEX('MP Calculations'!$C$40:$C$130,MATCH(F334,'MP Calculations'!$D$40:$D$130,0),0),-1))</f>
        <v>0</v>
      </c>
    </row>
    <row r="335" spans="3:17" x14ac:dyDescent="0.25">
      <c r="C335" s="159"/>
      <c r="D335" s="165"/>
      <c r="E335" s="161"/>
      <c r="F335" s="172" t="str">
        <f t="shared" si="14"/>
        <v>-</v>
      </c>
      <c r="G335" s="68"/>
      <c r="H335" s="167"/>
      <c r="I335" s="173"/>
      <c r="J335" s="168" t="str">
        <f>IFERROR(MIN('MP Calculations'!$E$30/I335,1),"-")</f>
        <v>-</v>
      </c>
      <c r="K335" s="12"/>
      <c r="L335" s="159"/>
      <c r="M335" s="159"/>
      <c r="N335" s="159"/>
      <c r="O335" s="185" t="str">
        <f t="shared" si="16"/>
        <v>-</v>
      </c>
      <c r="P335" s="215" t="str">
        <f t="shared" si="15"/>
        <v>-</v>
      </c>
      <c r="Q335" s="215" cm="1">
        <f t="array" ref="Q335">IF(P335="-",0,P335/(1+'General inputs'!$H$32)^IFERROR(INDEX('MP Calculations'!$C$40:$C$130,MATCH(F335,'MP Calculations'!$D$40:$D$130,0),0),-1))</f>
        <v>0</v>
      </c>
    </row>
    <row r="336" spans="3:17" x14ac:dyDescent="0.25">
      <c r="C336" s="159"/>
      <c r="D336" s="165"/>
      <c r="E336" s="161"/>
      <c r="F336" s="172" t="str">
        <f t="shared" si="14"/>
        <v>-</v>
      </c>
      <c r="G336" s="68"/>
      <c r="H336" s="167"/>
      <c r="I336" s="173"/>
      <c r="J336" s="168" t="str">
        <f>IFERROR(MIN('MP Calculations'!$E$30/I336,1),"-")</f>
        <v>-</v>
      </c>
      <c r="K336" s="12"/>
      <c r="L336" s="159"/>
      <c r="M336" s="159"/>
      <c r="N336" s="159"/>
      <c r="O336" s="185" t="str">
        <f t="shared" si="16"/>
        <v>-</v>
      </c>
      <c r="P336" s="215" t="str">
        <f t="shared" si="15"/>
        <v>-</v>
      </c>
      <c r="Q336" s="215" cm="1">
        <f t="array" ref="Q336">IF(P336="-",0,P336/(1+'General inputs'!$H$32)^IFERROR(INDEX('MP Calculations'!$C$40:$C$130,MATCH(F336,'MP Calculations'!$D$40:$D$130,0),0),-1))</f>
        <v>0</v>
      </c>
    </row>
    <row r="337" spans="3:17" x14ac:dyDescent="0.25">
      <c r="C337" s="159"/>
      <c r="D337" s="165"/>
      <c r="E337" s="161"/>
      <c r="F337" s="172" t="str">
        <f t="shared" si="14"/>
        <v>-</v>
      </c>
      <c r="G337" s="68"/>
      <c r="H337" s="167"/>
      <c r="I337" s="173"/>
      <c r="J337" s="168" t="str">
        <f>IFERROR(MIN('MP Calculations'!$E$30/I337,1),"-")</f>
        <v>-</v>
      </c>
      <c r="K337" s="12"/>
      <c r="L337" s="159"/>
      <c r="M337" s="159"/>
      <c r="N337" s="159"/>
      <c r="O337" s="185" t="str">
        <f t="shared" si="16"/>
        <v>-</v>
      </c>
      <c r="P337" s="215" t="str">
        <f t="shared" si="15"/>
        <v>-</v>
      </c>
      <c r="Q337" s="215" cm="1">
        <f t="array" ref="Q337">IF(P337="-",0,P337/(1+'General inputs'!$H$32)^IFERROR(INDEX('MP Calculations'!$C$40:$C$130,MATCH(F337,'MP Calculations'!$D$40:$D$130,0),0),-1))</f>
        <v>0</v>
      </c>
    </row>
    <row r="338" spans="3:17" x14ac:dyDescent="0.25">
      <c r="C338" s="159"/>
      <c r="D338" s="165"/>
      <c r="E338" s="161"/>
      <c r="F338" s="172" t="str">
        <f t="shared" si="14"/>
        <v>-</v>
      </c>
      <c r="G338" s="68"/>
      <c r="H338" s="167"/>
      <c r="I338" s="173"/>
      <c r="J338" s="168" t="str">
        <f>IFERROR(MIN('MP Calculations'!$E$30/I338,1),"-")</f>
        <v>-</v>
      </c>
      <c r="K338" s="12"/>
      <c r="L338" s="159"/>
      <c r="M338" s="159"/>
      <c r="N338" s="159"/>
      <c r="O338" s="185" t="str">
        <f t="shared" si="16"/>
        <v>-</v>
      </c>
      <c r="P338" s="215" t="str">
        <f t="shared" si="15"/>
        <v>-</v>
      </c>
      <c r="Q338" s="215" cm="1">
        <f t="array" ref="Q338">IF(P338="-",0,P338/(1+'General inputs'!$H$32)^IFERROR(INDEX('MP Calculations'!$C$40:$C$130,MATCH(F338,'MP Calculations'!$D$40:$D$130,0),0),-1))</f>
        <v>0</v>
      </c>
    </row>
    <row r="339" spans="3:17" x14ac:dyDescent="0.25">
      <c r="C339" s="159"/>
      <c r="D339" s="165"/>
      <c r="E339" s="161"/>
      <c r="F339" s="172" t="str">
        <f t="shared" si="14"/>
        <v>-</v>
      </c>
      <c r="G339" s="68"/>
      <c r="H339" s="167"/>
      <c r="I339" s="173"/>
      <c r="J339" s="168" t="str">
        <f>IFERROR(MIN('MP Calculations'!$E$30/I339,1),"-")</f>
        <v>-</v>
      </c>
      <c r="K339" s="12"/>
      <c r="L339" s="159"/>
      <c r="M339" s="159"/>
      <c r="N339" s="159"/>
      <c r="O339" s="185" t="str">
        <f t="shared" si="16"/>
        <v>-</v>
      </c>
      <c r="P339" s="215" t="str">
        <f t="shared" si="15"/>
        <v>-</v>
      </c>
      <c r="Q339" s="215" cm="1">
        <f t="array" ref="Q339">IF(P339="-",0,P339/(1+'General inputs'!$H$32)^IFERROR(INDEX('MP Calculations'!$C$40:$C$130,MATCH(F339,'MP Calculations'!$D$40:$D$130,0),0),-1))</f>
        <v>0</v>
      </c>
    </row>
    <row r="340" spans="3:17" x14ac:dyDescent="0.25">
      <c r="C340" s="159"/>
      <c r="D340" s="165"/>
      <c r="E340" s="161"/>
      <c r="F340" s="172" t="str">
        <f t="shared" si="14"/>
        <v>-</v>
      </c>
      <c r="G340" s="68"/>
      <c r="H340" s="167"/>
      <c r="I340" s="173"/>
      <c r="J340" s="168" t="str">
        <f>IFERROR(MIN('MP Calculations'!$E$30/I340,1),"-")</f>
        <v>-</v>
      </c>
      <c r="K340" s="12"/>
      <c r="L340" s="159"/>
      <c r="M340" s="159"/>
      <c r="N340" s="159"/>
      <c r="O340" s="185" t="str">
        <f t="shared" si="16"/>
        <v>-</v>
      </c>
      <c r="P340" s="215" t="str">
        <f t="shared" si="15"/>
        <v>-</v>
      </c>
      <c r="Q340" s="215" cm="1">
        <f t="array" ref="Q340">IF(P340="-",0,P340/(1+'General inputs'!$H$32)^IFERROR(INDEX('MP Calculations'!$C$40:$C$130,MATCH(F340,'MP Calculations'!$D$40:$D$130,0),0),-1))</f>
        <v>0</v>
      </c>
    </row>
    <row r="341" spans="3:17" x14ac:dyDescent="0.25">
      <c r="C341" s="159"/>
      <c r="D341" s="165"/>
      <c r="E341" s="161"/>
      <c r="F341" s="172" t="str">
        <f t="shared" si="14"/>
        <v>-</v>
      </c>
      <c r="G341" s="68"/>
      <c r="H341" s="167"/>
      <c r="I341" s="173"/>
      <c r="J341" s="168" t="str">
        <f>IFERROR(MIN('MP Calculations'!$E$30/I341,1),"-")</f>
        <v>-</v>
      </c>
      <c r="K341" s="12"/>
      <c r="L341" s="159"/>
      <c r="M341" s="159"/>
      <c r="N341" s="159"/>
      <c r="O341" s="185" t="str">
        <f t="shared" si="16"/>
        <v>-</v>
      </c>
      <c r="P341" s="215" t="str">
        <f t="shared" si="15"/>
        <v>-</v>
      </c>
      <c r="Q341" s="215" cm="1">
        <f t="array" ref="Q341">IF(P341="-",0,P341/(1+'General inputs'!$H$32)^IFERROR(INDEX('MP Calculations'!$C$40:$C$130,MATCH(F341,'MP Calculations'!$D$40:$D$130,0),0),-1))</f>
        <v>0</v>
      </c>
    </row>
    <row r="342" spans="3:17" x14ac:dyDescent="0.25">
      <c r="C342" s="159"/>
      <c r="D342" s="165"/>
      <c r="E342" s="161"/>
      <c r="F342" s="172" t="str">
        <f t="shared" ref="F342:F405" si="17">IF(E342="","-",IF(OR(E342&lt;$E$15,E342&gt;$E$16),"ERROR - date outside of range",IF(MONTH(E342)&gt;=7,YEAR(E342)&amp;"-"&amp;IF(YEAR(E342)=1999,"00",IF(AND(YEAR(E342)&gt;=2000,YEAR(E342)&lt;2009),"0","")&amp;RIGHT(YEAR(E342),2)+1),RIGHT(YEAR(E342),4)-1&amp;"-"&amp;RIGHT(YEAR(E342),2))))</f>
        <v>-</v>
      </c>
      <c r="G342" s="68"/>
      <c r="H342" s="167"/>
      <c r="I342" s="173"/>
      <c r="J342" s="168" t="str">
        <f>IFERROR(MIN('MP Calculations'!$E$30/I342,1),"-")</f>
        <v>-</v>
      </c>
      <c r="K342" s="12"/>
      <c r="L342" s="159"/>
      <c r="M342" s="159"/>
      <c r="N342" s="159"/>
      <c r="O342" s="185" t="str">
        <f t="shared" si="16"/>
        <v>-</v>
      </c>
      <c r="P342" s="215" t="str">
        <f t="shared" si="15"/>
        <v>-</v>
      </c>
      <c r="Q342" s="215" cm="1">
        <f t="array" ref="Q342">IF(P342="-",0,P342/(1+'General inputs'!$H$32)^IFERROR(INDEX('MP Calculations'!$C$40:$C$130,MATCH(F342,'MP Calculations'!$D$40:$D$130,0),0),-1))</f>
        <v>0</v>
      </c>
    </row>
    <row r="343" spans="3:17" x14ac:dyDescent="0.25">
      <c r="C343" s="159"/>
      <c r="D343" s="165"/>
      <c r="E343" s="161"/>
      <c r="F343" s="172" t="str">
        <f t="shared" si="17"/>
        <v>-</v>
      </c>
      <c r="G343" s="68"/>
      <c r="H343" s="167"/>
      <c r="I343" s="173"/>
      <c r="J343" s="168" t="str">
        <f>IFERROR(MIN('MP Calculations'!$E$30/I343,1),"-")</f>
        <v>-</v>
      </c>
      <c r="K343" s="12"/>
      <c r="L343" s="159"/>
      <c r="M343" s="159"/>
      <c r="N343" s="159"/>
      <c r="O343" s="185" t="str">
        <f t="shared" si="16"/>
        <v>-</v>
      </c>
      <c r="P343" s="215" t="str">
        <f t="shared" ref="P343:P406" si="18">IF(O343="-","-",IF(OR(E343&lt;$E$15,E343&gt;$E$16),0,O343*J343))</f>
        <v>-</v>
      </c>
      <c r="Q343" s="215" cm="1">
        <f t="array" ref="Q343">IF(P343="-",0,P343/(1+'General inputs'!$H$32)^IFERROR(INDEX('MP Calculations'!$C$40:$C$130,MATCH(F343,'MP Calculations'!$D$40:$D$130,0),0),-1))</f>
        <v>0</v>
      </c>
    </row>
    <row r="344" spans="3:17" x14ac:dyDescent="0.25">
      <c r="C344" s="159"/>
      <c r="D344" s="165"/>
      <c r="E344" s="161"/>
      <c r="F344" s="172" t="str">
        <f t="shared" si="17"/>
        <v>-</v>
      </c>
      <c r="G344" s="68"/>
      <c r="H344" s="167"/>
      <c r="I344" s="173"/>
      <c r="J344" s="168" t="str">
        <f>IFERROR(MIN('MP Calculations'!$E$30/I344,1),"-")</f>
        <v>-</v>
      </c>
      <c r="K344" s="12"/>
      <c r="L344" s="159"/>
      <c r="M344" s="159"/>
      <c r="N344" s="159"/>
      <c r="O344" s="185" t="str">
        <f t="shared" si="16"/>
        <v>-</v>
      </c>
      <c r="P344" s="215" t="str">
        <f t="shared" si="18"/>
        <v>-</v>
      </c>
      <c r="Q344" s="215" cm="1">
        <f t="array" ref="Q344">IF(P344="-",0,P344/(1+'General inputs'!$H$32)^IFERROR(INDEX('MP Calculations'!$C$40:$C$130,MATCH(F344,'MP Calculations'!$D$40:$D$130,0),0),-1))</f>
        <v>0</v>
      </c>
    </row>
    <row r="345" spans="3:17" x14ac:dyDescent="0.25">
      <c r="C345" s="159"/>
      <c r="D345" s="165"/>
      <c r="E345" s="161"/>
      <c r="F345" s="172" t="str">
        <f t="shared" si="17"/>
        <v>-</v>
      </c>
      <c r="G345" s="68"/>
      <c r="H345" s="167"/>
      <c r="I345" s="173"/>
      <c r="J345" s="168" t="str">
        <f>IFERROR(MIN('MP Calculations'!$E$30/I345,1),"-")</f>
        <v>-</v>
      </c>
      <c r="K345" s="12"/>
      <c r="L345" s="159"/>
      <c r="M345" s="159"/>
      <c r="N345" s="159"/>
      <c r="O345" s="185" t="str">
        <f t="shared" si="16"/>
        <v>-</v>
      </c>
      <c r="P345" s="215" t="str">
        <f t="shared" si="18"/>
        <v>-</v>
      </c>
      <c r="Q345" s="215" cm="1">
        <f t="array" ref="Q345">IF(P345="-",0,P345/(1+'General inputs'!$H$32)^IFERROR(INDEX('MP Calculations'!$C$40:$C$130,MATCH(F345,'MP Calculations'!$D$40:$D$130,0),0),-1))</f>
        <v>0</v>
      </c>
    </row>
    <row r="346" spans="3:17" x14ac:dyDescent="0.25">
      <c r="C346" s="159"/>
      <c r="D346" s="165"/>
      <c r="E346" s="161"/>
      <c r="F346" s="172" t="str">
        <f t="shared" si="17"/>
        <v>-</v>
      </c>
      <c r="G346" s="68"/>
      <c r="H346" s="167"/>
      <c r="I346" s="173"/>
      <c r="J346" s="168" t="str">
        <f>IFERROR(MIN('MP Calculations'!$E$30/I346,1),"-")</f>
        <v>-</v>
      </c>
      <c r="K346" s="12"/>
      <c r="L346" s="159"/>
      <c r="M346" s="159"/>
      <c r="N346" s="159"/>
      <c r="O346" s="185" t="str">
        <f t="shared" si="16"/>
        <v>-</v>
      </c>
      <c r="P346" s="215" t="str">
        <f t="shared" si="18"/>
        <v>-</v>
      </c>
      <c r="Q346" s="215" cm="1">
        <f t="array" ref="Q346">IF(P346="-",0,P346/(1+'General inputs'!$H$32)^IFERROR(INDEX('MP Calculations'!$C$40:$C$130,MATCH(F346,'MP Calculations'!$D$40:$D$130,0),0),-1))</f>
        <v>0</v>
      </c>
    </row>
    <row r="347" spans="3:17" x14ac:dyDescent="0.25">
      <c r="C347" s="159"/>
      <c r="D347" s="165"/>
      <c r="E347" s="161"/>
      <c r="F347" s="172" t="str">
        <f t="shared" si="17"/>
        <v>-</v>
      </c>
      <c r="G347" s="68"/>
      <c r="H347" s="167"/>
      <c r="I347" s="173"/>
      <c r="J347" s="168" t="str">
        <f>IFERROR(MIN('MP Calculations'!$E$30/I347,1),"-")</f>
        <v>-</v>
      </c>
      <c r="K347" s="12"/>
      <c r="L347" s="159"/>
      <c r="M347" s="159"/>
      <c r="N347" s="159"/>
      <c r="O347" s="185" t="str">
        <f t="shared" si="16"/>
        <v>-</v>
      </c>
      <c r="P347" s="215" t="str">
        <f t="shared" si="18"/>
        <v>-</v>
      </c>
      <c r="Q347" s="215" cm="1">
        <f t="array" ref="Q347">IF(P347="-",0,P347/(1+'General inputs'!$H$32)^IFERROR(INDEX('MP Calculations'!$C$40:$C$130,MATCH(F347,'MP Calculations'!$D$40:$D$130,0),0),-1))</f>
        <v>0</v>
      </c>
    </row>
    <row r="348" spans="3:17" x14ac:dyDescent="0.25">
      <c r="C348" s="159"/>
      <c r="D348" s="165"/>
      <c r="E348" s="161"/>
      <c r="F348" s="172" t="str">
        <f t="shared" si="17"/>
        <v>-</v>
      </c>
      <c r="G348" s="68"/>
      <c r="H348" s="167"/>
      <c r="I348" s="173"/>
      <c r="J348" s="168" t="str">
        <f>IFERROR(MIN('MP Calculations'!$E$30/I348,1),"-")</f>
        <v>-</v>
      </c>
      <c r="K348" s="12"/>
      <c r="L348" s="159"/>
      <c r="M348" s="159"/>
      <c r="N348" s="159"/>
      <c r="O348" s="185" t="str">
        <f t="shared" si="16"/>
        <v>-</v>
      </c>
      <c r="P348" s="215" t="str">
        <f t="shared" si="18"/>
        <v>-</v>
      </c>
      <c r="Q348" s="215" cm="1">
        <f t="array" ref="Q348">IF(P348="-",0,P348/(1+'General inputs'!$H$32)^IFERROR(INDEX('MP Calculations'!$C$40:$C$130,MATCH(F348,'MP Calculations'!$D$40:$D$130,0),0),-1))</f>
        <v>0</v>
      </c>
    </row>
    <row r="349" spans="3:17" x14ac:dyDescent="0.25">
      <c r="C349" s="159"/>
      <c r="D349" s="165"/>
      <c r="E349" s="161"/>
      <c r="F349" s="172" t="str">
        <f t="shared" si="17"/>
        <v>-</v>
      </c>
      <c r="G349" s="68"/>
      <c r="H349" s="167"/>
      <c r="I349" s="173"/>
      <c r="J349" s="168" t="str">
        <f>IFERROR(MIN('MP Calculations'!$E$30/I349,1),"-")</f>
        <v>-</v>
      </c>
      <c r="K349" s="12"/>
      <c r="L349" s="159"/>
      <c r="M349" s="159"/>
      <c r="N349" s="159"/>
      <c r="O349" s="185" t="str">
        <f t="shared" si="16"/>
        <v>-</v>
      </c>
      <c r="P349" s="215" t="str">
        <f t="shared" si="18"/>
        <v>-</v>
      </c>
      <c r="Q349" s="215" cm="1">
        <f t="array" ref="Q349">IF(P349="-",0,P349/(1+'General inputs'!$H$32)^IFERROR(INDEX('MP Calculations'!$C$40:$C$130,MATCH(F349,'MP Calculations'!$D$40:$D$130,0),0),-1))</f>
        <v>0</v>
      </c>
    </row>
    <row r="350" spans="3:17" x14ac:dyDescent="0.25">
      <c r="C350" s="159"/>
      <c r="D350" s="165"/>
      <c r="E350" s="161"/>
      <c r="F350" s="172" t="str">
        <f t="shared" si="17"/>
        <v>-</v>
      </c>
      <c r="G350" s="68"/>
      <c r="H350" s="167"/>
      <c r="I350" s="173"/>
      <c r="J350" s="168" t="str">
        <f>IFERROR(MIN('MP Calculations'!$E$30/I350,1),"-")</f>
        <v>-</v>
      </c>
      <c r="K350" s="12"/>
      <c r="L350" s="159"/>
      <c r="M350" s="159"/>
      <c r="N350" s="159"/>
      <c r="O350" s="185" t="str">
        <f t="shared" si="16"/>
        <v>-</v>
      </c>
      <c r="P350" s="215" t="str">
        <f t="shared" si="18"/>
        <v>-</v>
      </c>
      <c r="Q350" s="215" cm="1">
        <f t="array" ref="Q350">IF(P350="-",0,P350/(1+'General inputs'!$H$32)^IFERROR(INDEX('MP Calculations'!$C$40:$C$130,MATCH(F350,'MP Calculations'!$D$40:$D$130,0),0),-1))</f>
        <v>0</v>
      </c>
    </row>
    <row r="351" spans="3:17" x14ac:dyDescent="0.25">
      <c r="C351" s="159"/>
      <c r="D351" s="165"/>
      <c r="E351" s="161"/>
      <c r="F351" s="172" t="str">
        <f t="shared" si="17"/>
        <v>-</v>
      </c>
      <c r="G351" s="68"/>
      <c r="H351" s="167"/>
      <c r="I351" s="173"/>
      <c r="J351" s="168" t="str">
        <f>IFERROR(MIN('MP Calculations'!$E$30/I351,1),"-")</f>
        <v>-</v>
      </c>
      <c r="K351" s="12"/>
      <c r="L351" s="159"/>
      <c r="M351" s="159"/>
      <c r="N351" s="159"/>
      <c r="O351" s="185" t="str">
        <f t="shared" si="16"/>
        <v>-</v>
      </c>
      <c r="P351" s="215" t="str">
        <f t="shared" si="18"/>
        <v>-</v>
      </c>
      <c r="Q351" s="215" cm="1">
        <f t="array" ref="Q351">IF(P351="-",0,P351/(1+'General inputs'!$H$32)^IFERROR(INDEX('MP Calculations'!$C$40:$C$130,MATCH(F351,'MP Calculations'!$D$40:$D$130,0),0),-1))</f>
        <v>0</v>
      </c>
    </row>
    <row r="352" spans="3:17" x14ac:dyDescent="0.25">
      <c r="C352" s="159"/>
      <c r="D352" s="165"/>
      <c r="E352" s="161"/>
      <c r="F352" s="172" t="str">
        <f t="shared" si="17"/>
        <v>-</v>
      </c>
      <c r="G352" s="68"/>
      <c r="H352" s="167"/>
      <c r="I352" s="173"/>
      <c r="J352" s="168" t="str">
        <f>IFERROR(MIN('MP Calculations'!$E$30/I352,1),"-")</f>
        <v>-</v>
      </c>
      <c r="K352" s="12"/>
      <c r="L352" s="159"/>
      <c r="M352" s="159"/>
      <c r="N352" s="159"/>
      <c r="O352" s="185" t="str">
        <f t="shared" si="16"/>
        <v>-</v>
      </c>
      <c r="P352" s="215" t="str">
        <f t="shared" si="18"/>
        <v>-</v>
      </c>
      <c r="Q352" s="215" cm="1">
        <f t="array" ref="Q352">IF(P352="-",0,P352/(1+'General inputs'!$H$32)^IFERROR(INDEX('MP Calculations'!$C$40:$C$130,MATCH(F352,'MP Calculations'!$D$40:$D$130,0),0),-1))</f>
        <v>0</v>
      </c>
    </row>
    <row r="353" spans="3:17" x14ac:dyDescent="0.25">
      <c r="C353" s="159"/>
      <c r="D353" s="165"/>
      <c r="E353" s="161"/>
      <c r="F353" s="172" t="str">
        <f t="shared" si="17"/>
        <v>-</v>
      </c>
      <c r="G353" s="68"/>
      <c r="H353" s="167"/>
      <c r="I353" s="173"/>
      <c r="J353" s="168" t="str">
        <f>IFERROR(MIN('MP Calculations'!$E$30/I353,1),"-")</f>
        <v>-</v>
      </c>
      <c r="K353" s="12"/>
      <c r="L353" s="159"/>
      <c r="M353" s="159"/>
      <c r="N353" s="159"/>
      <c r="O353" s="185" t="str">
        <f t="shared" si="16"/>
        <v>-</v>
      </c>
      <c r="P353" s="215" t="str">
        <f t="shared" si="18"/>
        <v>-</v>
      </c>
      <c r="Q353" s="215" cm="1">
        <f t="array" ref="Q353">IF(P353="-",0,P353/(1+'General inputs'!$H$32)^IFERROR(INDEX('MP Calculations'!$C$40:$C$130,MATCH(F353,'MP Calculations'!$D$40:$D$130,0),0),-1))</f>
        <v>0</v>
      </c>
    </row>
    <row r="354" spans="3:17" x14ac:dyDescent="0.25">
      <c r="C354" s="159"/>
      <c r="D354" s="165"/>
      <c r="E354" s="161"/>
      <c r="F354" s="172" t="str">
        <f t="shared" si="17"/>
        <v>-</v>
      </c>
      <c r="G354" s="68"/>
      <c r="H354" s="167"/>
      <c r="I354" s="173"/>
      <c r="J354" s="168" t="str">
        <f>IFERROR(MIN('MP Calculations'!$E$30/I354,1),"-")</f>
        <v>-</v>
      </c>
      <c r="K354" s="12"/>
      <c r="L354" s="159"/>
      <c r="M354" s="159"/>
      <c r="N354" s="159"/>
      <c r="O354" s="185" t="str">
        <f t="shared" si="16"/>
        <v>-</v>
      </c>
      <c r="P354" s="215" t="str">
        <f t="shared" si="18"/>
        <v>-</v>
      </c>
      <c r="Q354" s="215" cm="1">
        <f t="array" ref="Q354">IF(P354="-",0,P354/(1+'General inputs'!$H$32)^IFERROR(INDEX('MP Calculations'!$C$40:$C$130,MATCH(F354,'MP Calculations'!$D$40:$D$130,0),0),-1))</f>
        <v>0</v>
      </c>
    </row>
    <row r="355" spans="3:17" x14ac:dyDescent="0.25">
      <c r="C355" s="159"/>
      <c r="D355" s="165"/>
      <c r="E355" s="161"/>
      <c r="F355" s="172" t="str">
        <f t="shared" si="17"/>
        <v>-</v>
      </c>
      <c r="G355" s="68"/>
      <c r="H355" s="167"/>
      <c r="I355" s="173"/>
      <c r="J355" s="168" t="str">
        <f>IFERROR(MIN('MP Calculations'!$E$30/I355,1),"-")</f>
        <v>-</v>
      </c>
      <c r="K355" s="12"/>
      <c r="L355" s="159"/>
      <c r="M355" s="159"/>
      <c r="N355" s="159"/>
      <c r="O355" s="185" t="str">
        <f t="shared" si="16"/>
        <v>-</v>
      </c>
      <c r="P355" s="215" t="str">
        <f t="shared" si="18"/>
        <v>-</v>
      </c>
      <c r="Q355" s="215" cm="1">
        <f t="array" ref="Q355">IF(P355="-",0,P355/(1+'General inputs'!$H$32)^IFERROR(INDEX('MP Calculations'!$C$40:$C$130,MATCH(F355,'MP Calculations'!$D$40:$D$130,0),0),-1))</f>
        <v>0</v>
      </c>
    </row>
    <row r="356" spans="3:17" x14ac:dyDescent="0.25">
      <c r="C356" s="159"/>
      <c r="D356" s="165"/>
      <c r="E356" s="161"/>
      <c r="F356" s="172" t="str">
        <f t="shared" si="17"/>
        <v>-</v>
      </c>
      <c r="G356" s="68"/>
      <c r="H356" s="167"/>
      <c r="I356" s="173"/>
      <c r="J356" s="168" t="str">
        <f>IFERROR(MIN('MP Calculations'!$E$30/I356,1),"-")</f>
        <v>-</v>
      </c>
      <c r="K356" s="12"/>
      <c r="L356" s="159"/>
      <c r="M356" s="159"/>
      <c r="N356" s="159"/>
      <c r="O356" s="185" t="str">
        <f t="shared" si="16"/>
        <v>-</v>
      </c>
      <c r="P356" s="215" t="str">
        <f t="shared" si="18"/>
        <v>-</v>
      </c>
      <c r="Q356" s="215" cm="1">
        <f t="array" ref="Q356">IF(P356="-",0,P356/(1+'General inputs'!$H$32)^IFERROR(INDEX('MP Calculations'!$C$40:$C$130,MATCH(F356,'MP Calculations'!$D$40:$D$130,0),0),-1))</f>
        <v>0</v>
      </c>
    </row>
    <row r="357" spans="3:17" x14ac:dyDescent="0.25">
      <c r="C357" s="159"/>
      <c r="D357" s="165"/>
      <c r="E357" s="161"/>
      <c r="F357" s="172" t="str">
        <f t="shared" si="17"/>
        <v>-</v>
      </c>
      <c r="G357" s="68"/>
      <c r="H357" s="167"/>
      <c r="I357" s="173"/>
      <c r="J357" s="168" t="str">
        <f>IFERROR(MIN('MP Calculations'!$E$30/I357,1),"-")</f>
        <v>-</v>
      </c>
      <c r="K357" s="12"/>
      <c r="L357" s="159"/>
      <c r="M357" s="159"/>
      <c r="N357" s="159"/>
      <c r="O357" s="185" t="str">
        <f t="shared" si="16"/>
        <v>-</v>
      </c>
      <c r="P357" s="215" t="str">
        <f t="shared" si="18"/>
        <v>-</v>
      </c>
      <c r="Q357" s="215" cm="1">
        <f t="array" ref="Q357">IF(P357="-",0,P357/(1+'General inputs'!$H$32)^IFERROR(INDEX('MP Calculations'!$C$40:$C$130,MATCH(F357,'MP Calculations'!$D$40:$D$130,0),0),-1))</f>
        <v>0</v>
      </c>
    </row>
    <row r="358" spans="3:17" x14ac:dyDescent="0.25">
      <c r="C358" s="159"/>
      <c r="D358" s="165"/>
      <c r="E358" s="161"/>
      <c r="F358" s="172" t="str">
        <f t="shared" si="17"/>
        <v>-</v>
      </c>
      <c r="G358" s="68"/>
      <c r="H358" s="167"/>
      <c r="I358" s="173"/>
      <c r="J358" s="168" t="str">
        <f>IFERROR(MIN('MP Calculations'!$E$30/I358,1),"-")</f>
        <v>-</v>
      </c>
      <c r="K358" s="12"/>
      <c r="L358" s="159"/>
      <c r="M358" s="159"/>
      <c r="N358" s="159"/>
      <c r="O358" s="185" t="str">
        <f t="shared" si="16"/>
        <v>-</v>
      </c>
      <c r="P358" s="215" t="str">
        <f t="shared" si="18"/>
        <v>-</v>
      </c>
      <c r="Q358" s="215" cm="1">
        <f t="array" ref="Q358">IF(P358="-",0,P358/(1+'General inputs'!$H$32)^IFERROR(INDEX('MP Calculations'!$C$40:$C$130,MATCH(F358,'MP Calculations'!$D$40:$D$130,0),0),-1))</f>
        <v>0</v>
      </c>
    </row>
    <row r="359" spans="3:17" x14ac:dyDescent="0.25">
      <c r="C359" s="159"/>
      <c r="D359" s="165"/>
      <c r="E359" s="161"/>
      <c r="F359" s="172" t="str">
        <f t="shared" si="17"/>
        <v>-</v>
      </c>
      <c r="G359" s="68"/>
      <c r="H359" s="167"/>
      <c r="I359" s="173"/>
      <c r="J359" s="168" t="str">
        <f>IFERROR(MIN('MP Calculations'!$E$30/I359,1),"-")</f>
        <v>-</v>
      </c>
      <c r="K359" s="12"/>
      <c r="L359" s="159"/>
      <c r="M359" s="159"/>
      <c r="N359" s="159"/>
      <c r="O359" s="185" t="str">
        <f t="shared" si="16"/>
        <v>-</v>
      </c>
      <c r="P359" s="215" t="str">
        <f t="shared" si="18"/>
        <v>-</v>
      </c>
      <c r="Q359" s="215" cm="1">
        <f t="array" ref="Q359">IF(P359="-",0,P359/(1+'General inputs'!$H$32)^IFERROR(INDEX('MP Calculations'!$C$40:$C$130,MATCH(F359,'MP Calculations'!$D$40:$D$130,0),0),-1))</f>
        <v>0</v>
      </c>
    </row>
    <row r="360" spans="3:17" x14ac:dyDescent="0.25">
      <c r="C360" s="159"/>
      <c r="D360" s="165"/>
      <c r="E360" s="161"/>
      <c r="F360" s="172" t="str">
        <f t="shared" si="17"/>
        <v>-</v>
      </c>
      <c r="G360" s="68"/>
      <c r="H360" s="167"/>
      <c r="I360" s="173"/>
      <c r="J360" s="168" t="str">
        <f>IFERROR(MIN('MP Calculations'!$E$30/I360,1),"-")</f>
        <v>-</v>
      </c>
      <c r="K360" s="12"/>
      <c r="L360" s="159"/>
      <c r="M360" s="159"/>
      <c r="N360" s="159"/>
      <c r="O360" s="185" t="str">
        <f t="shared" si="16"/>
        <v>-</v>
      </c>
      <c r="P360" s="215" t="str">
        <f t="shared" si="18"/>
        <v>-</v>
      </c>
      <c r="Q360" s="215" cm="1">
        <f t="array" ref="Q360">IF(P360="-",0,P360/(1+'General inputs'!$H$32)^IFERROR(INDEX('MP Calculations'!$C$40:$C$130,MATCH(F360,'MP Calculations'!$D$40:$D$130,0),0),-1))</f>
        <v>0</v>
      </c>
    </row>
    <row r="361" spans="3:17" x14ac:dyDescent="0.25">
      <c r="C361" s="159"/>
      <c r="D361" s="165"/>
      <c r="E361" s="161"/>
      <c r="F361" s="172" t="str">
        <f t="shared" si="17"/>
        <v>-</v>
      </c>
      <c r="G361" s="68"/>
      <c r="H361" s="167"/>
      <c r="I361" s="173"/>
      <c r="J361" s="168" t="str">
        <f>IFERROR(MIN('MP Calculations'!$E$30/I361,1),"-")</f>
        <v>-</v>
      </c>
      <c r="K361" s="12"/>
      <c r="L361" s="159"/>
      <c r="M361" s="159"/>
      <c r="N361" s="159"/>
      <c r="O361" s="185" t="str">
        <f t="shared" si="16"/>
        <v>-</v>
      </c>
      <c r="P361" s="215" t="str">
        <f t="shared" si="18"/>
        <v>-</v>
      </c>
      <c r="Q361" s="215" cm="1">
        <f t="array" ref="Q361">IF(P361="-",0,P361/(1+'General inputs'!$H$32)^IFERROR(INDEX('MP Calculations'!$C$40:$C$130,MATCH(F361,'MP Calculations'!$D$40:$D$130,0),0),-1))</f>
        <v>0</v>
      </c>
    </row>
    <row r="362" spans="3:17" x14ac:dyDescent="0.25">
      <c r="C362" s="159"/>
      <c r="D362" s="165"/>
      <c r="E362" s="161"/>
      <c r="F362" s="172" t="str">
        <f t="shared" si="17"/>
        <v>-</v>
      </c>
      <c r="G362" s="68"/>
      <c r="H362" s="167"/>
      <c r="I362" s="173"/>
      <c r="J362" s="168" t="str">
        <f>IFERROR(MIN('MP Calculations'!$E$30/I362,1),"-")</f>
        <v>-</v>
      </c>
      <c r="K362" s="12"/>
      <c r="L362" s="159"/>
      <c r="M362" s="159"/>
      <c r="N362" s="159"/>
      <c r="O362" s="185" t="str">
        <f t="shared" si="16"/>
        <v>-</v>
      </c>
      <c r="P362" s="215" t="str">
        <f t="shared" si="18"/>
        <v>-</v>
      </c>
      <c r="Q362" s="215" cm="1">
        <f t="array" ref="Q362">IF(P362="-",0,P362/(1+'General inputs'!$H$32)^IFERROR(INDEX('MP Calculations'!$C$40:$C$130,MATCH(F362,'MP Calculations'!$D$40:$D$130,0),0),-1))</f>
        <v>0</v>
      </c>
    </row>
    <row r="363" spans="3:17" x14ac:dyDescent="0.25">
      <c r="C363" s="159"/>
      <c r="D363" s="165"/>
      <c r="E363" s="161"/>
      <c r="F363" s="172" t="str">
        <f t="shared" si="17"/>
        <v>-</v>
      </c>
      <c r="G363" s="68"/>
      <c r="H363" s="167"/>
      <c r="I363" s="173"/>
      <c r="J363" s="168" t="str">
        <f>IFERROR(MIN('MP Calculations'!$E$30/I363,1),"-")</f>
        <v>-</v>
      </c>
      <c r="K363" s="12"/>
      <c r="L363" s="159"/>
      <c r="M363" s="159"/>
      <c r="N363" s="159"/>
      <c r="O363" s="185" t="str">
        <f t="shared" si="16"/>
        <v>-</v>
      </c>
      <c r="P363" s="215" t="str">
        <f t="shared" si="18"/>
        <v>-</v>
      </c>
      <c r="Q363" s="215" cm="1">
        <f t="array" ref="Q363">IF(P363="-",0,P363/(1+'General inputs'!$H$32)^IFERROR(INDEX('MP Calculations'!$C$40:$C$130,MATCH(F363,'MP Calculations'!$D$40:$D$130,0),0),-1))</f>
        <v>0</v>
      </c>
    </row>
    <row r="364" spans="3:17" x14ac:dyDescent="0.25">
      <c r="C364" s="159"/>
      <c r="D364" s="165"/>
      <c r="E364" s="161"/>
      <c r="F364" s="172" t="str">
        <f t="shared" si="17"/>
        <v>-</v>
      </c>
      <c r="G364" s="68"/>
      <c r="H364" s="167"/>
      <c r="I364" s="173"/>
      <c r="J364" s="168" t="str">
        <f>IFERROR(MIN('MP Calculations'!$E$30/I364,1),"-")</f>
        <v>-</v>
      </c>
      <c r="K364" s="12"/>
      <c r="L364" s="159"/>
      <c r="M364" s="159"/>
      <c r="N364" s="159"/>
      <c r="O364" s="185" t="str">
        <f t="shared" si="16"/>
        <v>-</v>
      </c>
      <c r="P364" s="215" t="str">
        <f t="shared" si="18"/>
        <v>-</v>
      </c>
      <c r="Q364" s="215" cm="1">
        <f t="array" ref="Q364">IF(P364="-",0,P364/(1+'General inputs'!$H$32)^IFERROR(INDEX('MP Calculations'!$C$40:$C$130,MATCH(F364,'MP Calculations'!$D$40:$D$130,0),0),-1))</f>
        <v>0</v>
      </c>
    </row>
    <row r="365" spans="3:17" x14ac:dyDescent="0.25">
      <c r="C365" s="159"/>
      <c r="D365" s="165"/>
      <c r="E365" s="161"/>
      <c r="F365" s="172" t="str">
        <f t="shared" si="17"/>
        <v>-</v>
      </c>
      <c r="G365" s="68"/>
      <c r="H365" s="167"/>
      <c r="I365" s="173"/>
      <c r="J365" s="168" t="str">
        <f>IFERROR(MIN('MP Calculations'!$E$30/I365,1),"-")</f>
        <v>-</v>
      </c>
      <c r="K365" s="12"/>
      <c r="L365" s="159"/>
      <c r="M365" s="159"/>
      <c r="N365" s="159"/>
      <c r="O365" s="185" t="str">
        <f t="shared" si="16"/>
        <v>-</v>
      </c>
      <c r="P365" s="215" t="str">
        <f t="shared" si="18"/>
        <v>-</v>
      </c>
      <c r="Q365" s="215" cm="1">
        <f t="array" ref="Q365">IF(P365="-",0,P365/(1+'General inputs'!$H$32)^IFERROR(INDEX('MP Calculations'!$C$40:$C$130,MATCH(F365,'MP Calculations'!$D$40:$D$130,0),0),-1))</f>
        <v>0</v>
      </c>
    </row>
    <row r="366" spans="3:17" x14ac:dyDescent="0.25">
      <c r="C366" s="159"/>
      <c r="D366" s="165"/>
      <c r="E366" s="161"/>
      <c r="F366" s="172" t="str">
        <f t="shared" si="17"/>
        <v>-</v>
      </c>
      <c r="G366" s="68"/>
      <c r="H366" s="167"/>
      <c r="I366" s="173"/>
      <c r="J366" s="168" t="str">
        <f>IFERROR(MIN('MP Calculations'!$E$30/I366,1),"-")</f>
        <v>-</v>
      </c>
      <c r="K366" s="12"/>
      <c r="L366" s="159"/>
      <c r="M366" s="159"/>
      <c r="N366" s="159"/>
      <c r="O366" s="185" t="str">
        <f t="shared" si="16"/>
        <v>-</v>
      </c>
      <c r="P366" s="215" t="str">
        <f t="shared" si="18"/>
        <v>-</v>
      </c>
      <c r="Q366" s="215" cm="1">
        <f t="array" ref="Q366">IF(P366="-",0,P366/(1+'General inputs'!$H$32)^IFERROR(INDEX('MP Calculations'!$C$40:$C$130,MATCH(F366,'MP Calculations'!$D$40:$D$130,0),0),-1))</f>
        <v>0</v>
      </c>
    </row>
    <row r="367" spans="3:17" x14ac:dyDescent="0.25">
      <c r="C367" s="159"/>
      <c r="D367" s="165"/>
      <c r="E367" s="161"/>
      <c r="F367" s="172" t="str">
        <f t="shared" si="17"/>
        <v>-</v>
      </c>
      <c r="G367" s="68"/>
      <c r="H367" s="167"/>
      <c r="I367" s="173"/>
      <c r="J367" s="168" t="str">
        <f>IFERROR(MIN('MP Calculations'!$E$30/I367,1),"-")</f>
        <v>-</v>
      </c>
      <c r="K367" s="12"/>
      <c r="L367" s="159"/>
      <c r="M367" s="159"/>
      <c r="N367" s="159"/>
      <c r="O367" s="185" t="str">
        <f t="shared" si="16"/>
        <v>-</v>
      </c>
      <c r="P367" s="215" t="str">
        <f t="shared" si="18"/>
        <v>-</v>
      </c>
      <c r="Q367" s="215" cm="1">
        <f t="array" ref="Q367">IF(P367="-",0,P367/(1+'General inputs'!$H$32)^IFERROR(INDEX('MP Calculations'!$C$40:$C$130,MATCH(F367,'MP Calculations'!$D$40:$D$130,0),0),-1))</f>
        <v>0</v>
      </c>
    </row>
    <row r="368" spans="3:17" x14ac:dyDescent="0.25">
      <c r="C368" s="159"/>
      <c r="D368" s="165"/>
      <c r="E368" s="161"/>
      <c r="F368" s="172" t="str">
        <f t="shared" si="17"/>
        <v>-</v>
      </c>
      <c r="G368" s="68"/>
      <c r="H368" s="167"/>
      <c r="I368" s="173"/>
      <c r="J368" s="168" t="str">
        <f>IFERROR(MIN('MP Calculations'!$E$30/I368,1),"-")</f>
        <v>-</v>
      </c>
      <c r="K368" s="12"/>
      <c r="L368" s="159"/>
      <c r="M368" s="159"/>
      <c r="N368" s="159"/>
      <c r="O368" s="185" t="str">
        <f t="shared" si="16"/>
        <v>-</v>
      </c>
      <c r="P368" s="215" t="str">
        <f t="shared" si="18"/>
        <v>-</v>
      </c>
      <c r="Q368" s="215" cm="1">
        <f t="array" ref="Q368">IF(P368="-",0,P368/(1+'General inputs'!$H$32)^IFERROR(INDEX('MP Calculations'!$C$40:$C$130,MATCH(F368,'MP Calculations'!$D$40:$D$130,0),0),-1))</f>
        <v>0</v>
      </c>
    </row>
    <row r="369" spans="3:17" x14ac:dyDescent="0.25">
      <c r="C369" s="159"/>
      <c r="D369" s="165"/>
      <c r="E369" s="161"/>
      <c r="F369" s="172" t="str">
        <f t="shared" si="17"/>
        <v>-</v>
      </c>
      <c r="G369" s="68"/>
      <c r="H369" s="167"/>
      <c r="I369" s="173"/>
      <c r="J369" s="168" t="str">
        <f>IFERROR(MIN('MP Calculations'!$E$30/I369,1),"-")</f>
        <v>-</v>
      </c>
      <c r="K369" s="12"/>
      <c r="L369" s="159"/>
      <c r="M369" s="159"/>
      <c r="N369" s="159"/>
      <c r="O369" s="185" t="str">
        <f t="shared" si="16"/>
        <v>-</v>
      </c>
      <c r="P369" s="215" t="str">
        <f t="shared" si="18"/>
        <v>-</v>
      </c>
      <c r="Q369" s="215" cm="1">
        <f t="array" ref="Q369">IF(P369="-",0,P369/(1+'General inputs'!$H$32)^IFERROR(INDEX('MP Calculations'!$C$40:$C$130,MATCH(F369,'MP Calculations'!$D$40:$D$130,0),0),-1))</f>
        <v>0</v>
      </c>
    </row>
    <row r="370" spans="3:17" x14ac:dyDescent="0.25">
      <c r="C370" s="159"/>
      <c r="D370" s="165"/>
      <c r="E370" s="161"/>
      <c r="F370" s="172" t="str">
        <f t="shared" si="17"/>
        <v>-</v>
      </c>
      <c r="G370" s="68"/>
      <c r="H370" s="167"/>
      <c r="I370" s="173"/>
      <c r="J370" s="168" t="str">
        <f>IFERROR(MIN('MP Calculations'!$E$30/I370,1),"-")</f>
        <v>-</v>
      </c>
      <c r="K370" s="12"/>
      <c r="L370" s="159"/>
      <c r="M370" s="159"/>
      <c r="N370" s="159"/>
      <c r="O370" s="185" t="str">
        <f t="shared" si="16"/>
        <v>-</v>
      </c>
      <c r="P370" s="215" t="str">
        <f t="shared" si="18"/>
        <v>-</v>
      </c>
      <c r="Q370" s="215" cm="1">
        <f t="array" ref="Q370">IF(P370="-",0,P370/(1+'General inputs'!$H$32)^IFERROR(INDEX('MP Calculations'!$C$40:$C$130,MATCH(F370,'MP Calculations'!$D$40:$D$130,0),0),-1))</f>
        <v>0</v>
      </c>
    </row>
    <row r="371" spans="3:17" x14ac:dyDescent="0.25">
      <c r="C371" s="159"/>
      <c r="D371" s="165"/>
      <c r="E371" s="161"/>
      <c r="F371" s="172" t="str">
        <f t="shared" si="17"/>
        <v>-</v>
      </c>
      <c r="G371" s="68"/>
      <c r="H371" s="167"/>
      <c r="I371" s="173"/>
      <c r="J371" s="168" t="str">
        <f>IFERROR(MIN('MP Calculations'!$E$30/I371,1),"-")</f>
        <v>-</v>
      </c>
      <c r="K371" s="12"/>
      <c r="L371" s="159"/>
      <c r="M371" s="159"/>
      <c r="N371" s="159"/>
      <c r="O371" s="185" t="str">
        <f t="shared" si="16"/>
        <v>-</v>
      </c>
      <c r="P371" s="215" t="str">
        <f t="shared" si="18"/>
        <v>-</v>
      </c>
      <c r="Q371" s="215" cm="1">
        <f t="array" ref="Q371">IF(P371="-",0,P371/(1+'General inputs'!$H$32)^IFERROR(INDEX('MP Calculations'!$C$40:$C$130,MATCH(F371,'MP Calculations'!$D$40:$D$130,0),0),-1))</f>
        <v>0</v>
      </c>
    </row>
    <row r="372" spans="3:17" x14ac:dyDescent="0.25">
      <c r="C372" s="159"/>
      <c r="D372" s="165"/>
      <c r="E372" s="161"/>
      <c r="F372" s="172" t="str">
        <f t="shared" si="17"/>
        <v>-</v>
      </c>
      <c r="G372" s="68"/>
      <c r="H372" s="167"/>
      <c r="I372" s="173"/>
      <c r="J372" s="168" t="str">
        <f>IFERROR(MIN('MP Calculations'!$E$30/I372,1),"-")</f>
        <v>-</v>
      </c>
      <c r="K372" s="12"/>
      <c r="L372" s="159"/>
      <c r="M372" s="159"/>
      <c r="N372" s="159"/>
      <c r="O372" s="185" t="str">
        <f t="shared" si="16"/>
        <v>-</v>
      </c>
      <c r="P372" s="215" t="str">
        <f t="shared" si="18"/>
        <v>-</v>
      </c>
      <c r="Q372" s="215" cm="1">
        <f t="array" ref="Q372">IF(P372="-",0,P372/(1+'General inputs'!$H$32)^IFERROR(INDEX('MP Calculations'!$C$40:$C$130,MATCH(F372,'MP Calculations'!$D$40:$D$130,0),0),-1))</f>
        <v>0</v>
      </c>
    </row>
    <row r="373" spans="3:17" x14ac:dyDescent="0.25">
      <c r="C373" s="159"/>
      <c r="D373" s="165"/>
      <c r="E373" s="161"/>
      <c r="F373" s="172" t="str">
        <f t="shared" si="17"/>
        <v>-</v>
      </c>
      <c r="G373" s="68"/>
      <c r="H373" s="167"/>
      <c r="I373" s="173"/>
      <c r="J373" s="168" t="str">
        <f>IFERROR(MIN('MP Calculations'!$E$30/I373,1),"-")</f>
        <v>-</v>
      </c>
      <c r="K373" s="12"/>
      <c r="L373" s="159"/>
      <c r="M373" s="159"/>
      <c r="N373" s="159"/>
      <c r="O373" s="185" t="str">
        <f t="shared" si="16"/>
        <v>-</v>
      </c>
      <c r="P373" s="215" t="str">
        <f t="shared" si="18"/>
        <v>-</v>
      </c>
      <c r="Q373" s="215" cm="1">
        <f t="array" ref="Q373">IF(P373="-",0,P373/(1+'General inputs'!$H$32)^IFERROR(INDEX('MP Calculations'!$C$40:$C$130,MATCH(F373,'MP Calculations'!$D$40:$D$130,0),0),-1))</f>
        <v>0</v>
      </c>
    </row>
    <row r="374" spans="3:17" x14ac:dyDescent="0.25">
      <c r="C374" s="159"/>
      <c r="D374" s="165"/>
      <c r="E374" s="161"/>
      <c r="F374" s="172" t="str">
        <f t="shared" si="17"/>
        <v>-</v>
      </c>
      <c r="G374" s="68"/>
      <c r="H374" s="167"/>
      <c r="I374" s="173"/>
      <c r="J374" s="168" t="str">
        <f>IFERROR(MIN('MP Calculations'!$E$30/I374,1),"-")</f>
        <v>-</v>
      </c>
      <c r="K374" s="12"/>
      <c r="L374" s="159"/>
      <c r="M374" s="159"/>
      <c r="N374" s="159"/>
      <c r="O374" s="185" t="str">
        <f t="shared" si="16"/>
        <v>-</v>
      </c>
      <c r="P374" s="215" t="str">
        <f t="shared" si="18"/>
        <v>-</v>
      </c>
      <c r="Q374" s="215" cm="1">
        <f t="array" ref="Q374">IF(P374="-",0,P374/(1+'General inputs'!$H$32)^IFERROR(INDEX('MP Calculations'!$C$40:$C$130,MATCH(F374,'MP Calculations'!$D$40:$D$130,0),0),-1))</f>
        <v>0</v>
      </c>
    </row>
    <row r="375" spans="3:17" x14ac:dyDescent="0.25">
      <c r="C375" s="159"/>
      <c r="D375" s="165"/>
      <c r="E375" s="161"/>
      <c r="F375" s="172" t="str">
        <f t="shared" si="17"/>
        <v>-</v>
      </c>
      <c r="G375" s="68"/>
      <c r="H375" s="167"/>
      <c r="I375" s="173"/>
      <c r="J375" s="168" t="str">
        <f>IFERROR(MIN('MP Calculations'!$E$30/I375,1),"-")</f>
        <v>-</v>
      </c>
      <c r="K375" s="12"/>
      <c r="L375" s="159"/>
      <c r="M375" s="159"/>
      <c r="N375" s="159"/>
      <c r="O375" s="185" t="str">
        <f t="shared" si="16"/>
        <v>-</v>
      </c>
      <c r="P375" s="215" t="str">
        <f t="shared" si="18"/>
        <v>-</v>
      </c>
      <c r="Q375" s="215" cm="1">
        <f t="array" ref="Q375">IF(P375="-",0,P375/(1+'General inputs'!$H$32)^IFERROR(INDEX('MP Calculations'!$C$40:$C$130,MATCH(F375,'MP Calculations'!$D$40:$D$130,0),0),-1))</f>
        <v>0</v>
      </c>
    </row>
    <row r="376" spans="3:17" x14ac:dyDescent="0.25">
      <c r="C376" s="159"/>
      <c r="D376" s="165"/>
      <c r="E376" s="161"/>
      <c r="F376" s="172" t="str">
        <f t="shared" si="17"/>
        <v>-</v>
      </c>
      <c r="G376" s="68"/>
      <c r="H376" s="167"/>
      <c r="I376" s="173"/>
      <c r="J376" s="168" t="str">
        <f>IFERROR(MIN('MP Calculations'!$E$30/I376,1),"-")</f>
        <v>-</v>
      </c>
      <c r="K376" s="12"/>
      <c r="L376" s="159"/>
      <c r="M376" s="159"/>
      <c r="N376" s="159"/>
      <c r="O376" s="185" t="str">
        <f t="shared" si="16"/>
        <v>-</v>
      </c>
      <c r="P376" s="215" t="str">
        <f t="shared" si="18"/>
        <v>-</v>
      </c>
      <c r="Q376" s="215" cm="1">
        <f t="array" ref="Q376">IF(P376="-",0,P376/(1+'General inputs'!$H$32)^IFERROR(INDEX('MP Calculations'!$C$40:$C$130,MATCH(F376,'MP Calculations'!$D$40:$D$130,0),0),-1))</f>
        <v>0</v>
      </c>
    </row>
    <row r="377" spans="3:17" x14ac:dyDescent="0.25">
      <c r="C377" s="159"/>
      <c r="D377" s="165"/>
      <c r="E377" s="161"/>
      <c r="F377" s="172" t="str">
        <f t="shared" si="17"/>
        <v>-</v>
      </c>
      <c r="G377" s="68"/>
      <c r="H377" s="167"/>
      <c r="I377" s="173"/>
      <c r="J377" s="168" t="str">
        <f>IFERROR(MIN('MP Calculations'!$E$30/I377,1),"-")</f>
        <v>-</v>
      </c>
      <c r="K377" s="12"/>
      <c r="L377" s="159"/>
      <c r="M377" s="159"/>
      <c r="N377" s="159"/>
      <c r="O377" s="185" t="str">
        <f t="shared" si="16"/>
        <v>-</v>
      </c>
      <c r="P377" s="215" t="str">
        <f t="shared" si="18"/>
        <v>-</v>
      </c>
      <c r="Q377" s="215" cm="1">
        <f t="array" ref="Q377">IF(P377="-",0,P377/(1+'General inputs'!$H$32)^IFERROR(INDEX('MP Calculations'!$C$40:$C$130,MATCH(F377,'MP Calculations'!$D$40:$D$130,0),0),-1))</f>
        <v>0</v>
      </c>
    </row>
    <row r="378" spans="3:17" x14ac:dyDescent="0.25">
      <c r="C378" s="159"/>
      <c r="D378" s="165"/>
      <c r="E378" s="161"/>
      <c r="F378" s="172" t="str">
        <f t="shared" si="17"/>
        <v>-</v>
      </c>
      <c r="G378" s="68"/>
      <c r="H378" s="167"/>
      <c r="I378" s="173"/>
      <c r="J378" s="168" t="str">
        <f>IFERROR(MIN('MP Calculations'!$E$30/I378,1),"-")</f>
        <v>-</v>
      </c>
      <c r="K378" s="12"/>
      <c r="L378" s="159"/>
      <c r="M378" s="159"/>
      <c r="N378" s="159"/>
      <c r="O378" s="185" t="str">
        <f t="shared" si="16"/>
        <v>-</v>
      </c>
      <c r="P378" s="215" t="str">
        <f t="shared" si="18"/>
        <v>-</v>
      </c>
      <c r="Q378" s="215" cm="1">
        <f t="array" ref="Q378">IF(P378="-",0,P378/(1+'General inputs'!$H$32)^IFERROR(INDEX('MP Calculations'!$C$40:$C$130,MATCH(F378,'MP Calculations'!$D$40:$D$130,0),0),-1))</f>
        <v>0</v>
      </c>
    </row>
    <row r="379" spans="3:17" x14ac:dyDescent="0.25">
      <c r="C379" s="159"/>
      <c r="D379" s="165"/>
      <c r="E379" s="161"/>
      <c r="F379" s="172" t="str">
        <f t="shared" si="17"/>
        <v>-</v>
      </c>
      <c r="G379" s="68"/>
      <c r="H379" s="167"/>
      <c r="I379" s="173"/>
      <c r="J379" s="168" t="str">
        <f>IFERROR(MIN('MP Calculations'!$E$30/I379,1),"-")</f>
        <v>-</v>
      </c>
      <c r="K379" s="12"/>
      <c r="L379" s="159"/>
      <c r="M379" s="159"/>
      <c r="N379" s="159"/>
      <c r="O379" s="185" t="str">
        <f t="shared" si="16"/>
        <v>-</v>
      </c>
      <c r="P379" s="215" t="str">
        <f t="shared" si="18"/>
        <v>-</v>
      </c>
      <c r="Q379" s="215" cm="1">
        <f t="array" ref="Q379">IF(P379="-",0,P379/(1+'General inputs'!$H$32)^IFERROR(INDEX('MP Calculations'!$C$40:$C$130,MATCH(F379,'MP Calculations'!$D$40:$D$130,0),0),-1))</f>
        <v>0</v>
      </c>
    </row>
    <row r="380" spans="3:17" x14ac:dyDescent="0.25">
      <c r="C380" s="159"/>
      <c r="D380" s="165"/>
      <c r="E380" s="161"/>
      <c r="F380" s="172" t="str">
        <f t="shared" si="17"/>
        <v>-</v>
      </c>
      <c r="G380" s="68"/>
      <c r="H380" s="167"/>
      <c r="I380" s="173"/>
      <c r="J380" s="168" t="str">
        <f>IFERROR(MIN('MP Calculations'!$E$30/I380,1),"-")</f>
        <v>-</v>
      </c>
      <c r="K380" s="12"/>
      <c r="L380" s="159"/>
      <c r="M380" s="159"/>
      <c r="N380" s="159"/>
      <c r="O380" s="185" t="str">
        <f t="shared" si="16"/>
        <v>-</v>
      </c>
      <c r="P380" s="215" t="str">
        <f t="shared" si="18"/>
        <v>-</v>
      </c>
      <c r="Q380" s="215" cm="1">
        <f t="array" ref="Q380">IF(P380="-",0,P380/(1+'General inputs'!$H$32)^IFERROR(INDEX('MP Calculations'!$C$40:$C$130,MATCH(F380,'MP Calculations'!$D$40:$D$130,0),0),-1))</f>
        <v>0</v>
      </c>
    </row>
    <row r="381" spans="3:17" x14ac:dyDescent="0.25">
      <c r="C381" s="159"/>
      <c r="D381" s="165"/>
      <c r="E381" s="161"/>
      <c r="F381" s="172" t="str">
        <f t="shared" si="17"/>
        <v>-</v>
      </c>
      <c r="G381" s="68"/>
      <c r="H381" s="167"/>
      <c r="I381" s="173"/>
      <c r="J381" s="168" t="str">
        <f>IFERROR(MIN('MP Calculations'!$E$30/I381,1),"-")</f>
        <v>-</v>
      </c>
      <c r="K381" s="12"/>
      <c r="L381" s="159"/>
      <c r="M381" s="159"/>
      <c r="N381" s="159"/>
      <c r="O381" s="185" t="str">
        <f t="shared" si="16"/>
        <v>-</v>
      </c>
      <c r="P381" s="215" t="str">
        <f t="shared" si="18"/>
        <v>-</v>
      </c>
      <c r="Q381" s="215" cm="1">
        <f t="array" ref="Q381">IF(P381="-",0,P381/(1+'General inputs'!$H$32)^IFERROR(INDEX('MP Calculations'!$C$40:$C$130,MATCH(F381,'MP Calculations'!$D$40:$D$130,0),0),-1))</f>
        <v>0</v>
      </c>
    </row>
    <row r="382" spans="3:17" x14ac:dyDescent="0.25">
      <c r="C382" s="159"/>
      <c r="D382" s="165"/>
      <c r="E382" s="161"/>
      <c r="F382" s="172" t="str">
        <f t="shared" si="17"/>
        <v>-</v>
      </c>
      <c r="G382" s="68"/>
      <c r="H382" s="167"/>
      <c r="I382" s="173"/>
      <c r="J382" s="168" t="str">
        <f>IFERROR(MIN('MP Calculations'!$E$30/I382,1),"-")</f>
        <v>-</v>
      </c>
      <c r="K382" s="12"/>
      <c r="L382" s="159"/>
      <c r="M382" s="159"/>
      <c r="N382" s="159"/>
      <c r="O382" s="185" t="str">
        <f t="shared" si="16"/>
        <v>-</v>
      </c>
      <c r="P382" s="215" t="str">
        <f t="shared" si="18"/>
        <v>-</v>
      </c>
      <c r="Q382" s="215" cm="1">
        <f t="array" ref="Q382">IF(P382="-",0,P382/(1+'General inputs'!$H$32)^IFERROR(INDEX('MP Calculations'!$C$40:$C$130,MATCH(F382,'MP Calculations'!$D$40:$D$130,0),0),-1))</f>
        <v>0</v>
      </c>
    </row>
    <row r="383" spans="3:17" x14ac:dyDescent="0.25">
      <c r="C383" s="159"/>
      <c r="D383" s="165"/>
      <c r="E383" s="161"/>
      <c r="F383" s="172" t="str">
        <f t="shared" si="17"/>
        <v>-</v>
      </c>
      <c r="G383" s="68"/>
      <c r="H383" s="167"/>
      <c r="I383" s="173"/>
      <c r="J383" s="168" t="str">
        <f>IFERROR(MIN('MP Calculations'!$E$30/I383,1),"-")</f>
        <v>-</v>
      </c>
      <c r="K383" s="12"/>
      <c r="L383" s="159"/>
      <c r="M383" s="159"/>
      <c r="N383" s="159"/>
      <c r="O383" s="185" t="str">
        <f t="shared" si="16"/>
        <v>-</v>
      </c>
      <c r="P383" s="215" t="str">
        <f t="shared" si="18"/>
        <v>-</v>
      </c>
      <c r="Q383" s="215" cm="1">
        <f t="array" ref="Q383">IF(P383="-",0,P383/(1+'General inputs'!$H$32)^IFERROR(INDEX('MP Calculations'!$C$40:$C$130,MATCH(F383,'MP Calculations'!$D$40:$D$130,0),0),-1))</f>
        <v>0</v>
      </c>
    </row>
    <row r="384" spans="3:17" x14ac:dyDescent="0.25">
      <c r="C384" s="159"/>
      <c r="D384" s="165"/>
      <c r="E384" s="161"/>
      <c r="F384" s="172" t="str">
        <f t="shared" si="17"/>
        <v>-</v>
      </c>
      <c r="G384" s="68"/>
      <c r="H384" s="167"/>
      <c r="I384" s="173"/>
      <c r="J384" s="168" t="str">
        <f>IFERROR(MIN('MP Calculations'!$E$30/I384,1),"-")</f>
        <v>-</v>
      </c>
      <c r="K384" s="12"/>
      <c r="L384" s="159"/>
      <c r="M384" s="159"/>
      <c r="N384" s="159"/>
      <c r="O384" s="185" t="str">
        <f t="shared" si="16"/>
        <v>-</v>
      </c>
      <c r="P384" s="215" t="str">
        <f t="shared" si="18"/>
        <v>-</v>
      </c>
      <c r="Q384" s="215" cm="1">
        <f t="array" ref="Q384">IF(P384="-",0,P384/(1+'General inputs'!$H$32)^IFERROR(INDEX('MP Calculations'!$C$40:$C$130,MATCH(F384,'MP Calculations'!$D$40:$D$130,0),0),-1))</f>
        <v>0</v>
      </c>
    </row>
    <row r="385" spans="3:17" x14ac:dyDescent="0.25">
      <c r="C385" s="159"/>
      <c r="D385" s="165"/>
      <c r="E385" s="161"/>
      <c r="F385" s="172" t="str">
        <f t="shared" si="17"/>
        <v>-</v>
      </c>
      <c r="G385" s="68"/>
      <c r="H385" s="167"/>
      <c r="I385" s="173"/>
      <c r="J385" s="168" t="str">
        <f>IFERROR(MIN('MP Calculations'!$E$30/I385,1),"-")</f>
        <v>-</v>
      </c>
      <c r="K385" s="12"/>
      <c r="L385" s="159"/>
      <c r="M385" s="159"/>
      <c r="N385" s="159"/>
      <c r="O385" s="185" t="str">
        <f t="shared" ref="O385:O541" si="19">IF(N385="","-",L385*N385)</f>
        <v>-</v>
      </c>
      <c r="P385" s="215" t="str">
        <f t="shared" si="18"/>
        <v>-</v>
      </c>
      <c r="Q385" s="215" cm="1">
        <f t="array" ref="Q385">IF(P385="-",0,P385/(1+'General inputs'!$H$32)^IFERROR(INDEX('MP Calculations'!$C$40:$C$130,MATCH(F385,'MP Calculations'!$D$40:$D$130,0),0),-1))</f>
        <v>0</v>
      </c>
    </row>
    <row r="386" spans="3:17" x14ac:dyDescent="0.25">
      <c r="C386" s="159"/>
      <c r="D386" s="165"/>
      <c r="E386" s="161"/>
      <c r="F386" s="172" t="str">
        <f t="shared" si="17"/>
        <v>-</v>
      </c>
      <c r="G386" s="68"/>
      <c r="H386" s="167"/>
      <c r="I386" s="173"/>
      <c r="J386" s="168" t="str">
        <f>IFERROR(MIN('MP Calculations'!$E$30/I386,1),"-")</f>
        <v>-</v>
      </c>
      <c r="K386" s="12"/>
      <c r="L386" s="159"/>
      <c r="M386" s="159"/>
      <c r="N386" s="159"/>
      <c r="O386" s="185" t="str">
        <f t="shared" si="19"/>
        <v>-</v>
      </c>
      <c r="P386" s="215" t="str">
        <f t="shared" si="18"/>
        <v>-</v>
      </c>
      <c r="Q386" s="215" cm="1">
        <f t="array" ref="Q386">IF(P386="-",0,P386/(1+'General inputs'!$H$32)^IFERROR(INDEX('MP Calculations'!$C$40:$C$130,MATCH(F386,'MP Calculations'!$D$40:$D$130,0),0),-1))</f>
        <v>0</v>
      </c>
    </row>
    <row r="387" spans="3:17" x14ac:dyDescent="0.25">
      <c r="C387" s="159"/>
      <c r="D387" s="165"/>
      <c r="E387" s="161"/>
      <c r="F387" s="172" t="str">
        <f t="shared" si="17"/>
        <v>-</v>
      </c>
      <c r="G387" s="68"/>
      <c r="H387" s="167"/>
      <c r="I387" s="173"/>
      <c r="J387" s="168" t="str">
        <f>IFERROR(MIN('MP Calculations'!$E$30/I387,1),"-")</f>
        <v>-</v>
      </c>
      <c r="K387" s="12"/>
      <c r="L387" s="159"/>
      <c r="M387" s="159"/>
      <c r="N387" s="159"/>
      <c r="O387" s="185" t="str">
        <f t="shared" si="19"/>
        <v>-</v>
      </c>
      <c r="P387" s="215" t="str">
        <f t="shared" si="18"/>
        <v>-</v>
      </c>
      <c r="Q387" s="215" cm="1">
        <f t="array" ref="Q387">IF(P387="-",0,P387/(1+'General inputs'!$H$32)^IFERROR(INDEX('MP Calculations'!$C$40:$C$130,MATCH(F387,'MP Calculations'!$D$40:$D$130,0),0),-1))</f>
        <v>0</v>
      </c>
    </row>
    <row r="388" spans="3:17" x14ac:dyDescent="0.25">
      <c r="C388" s="159"/>
      <c r="D388" s="165"/>
      <c r="E388" s="161"/>
      <c r="F388" s="172" t="str">
        <f t="shared" si="17"/>
        <v>-</v>
      </c>
      <c r="G388" s="68"/>
      <c r="H388" s="167"/>
      <c r="I388" s="173"/>
      <c r="J388" s="168" t="str">
        <f>IFERROR(MIN('MP Calculations'!$E$30/I388,1),"-")</f>
        <v>-</v>
      </c>
      <c r="K388" s="12"/>
      <c r="L388" s="159"/>
      <c r="M388" s="159"/>
      <c r="N388" s="159"/>
      <c r="O388" s="185" t="str">
        <f t="shared" si="19"/>
        <v>-</v>
      </c>
      <c r="P388" s="215" t="str">
        <f t="shared" si="18"/>
        <v>-</v>
      </c>
      <c r="Q388" s="215" cm="1">
        <f t="array" ref="Q388">IF(P388="-",0,P388/(1+'General inputs'!$H$32)^IFERROR(INDEX('MP Calculations'!$C$40:$C$130,MATCH(F388,'MP Calculations'!$D$40:$D$130,0),0),-1))</f>
        <v>0</v>
      </c>
    </row>
    <row r="389" spans="3:17" x14ac:dyDescent="0.25">
      <c r="C389" s="159"/>
      <c r="D389" s="165"/>
      <c r="E389" s="161"/>
      <c r="F389" s="172" t="str">
        <f t="shared" si="17"/>
        <v>-</v>
      </c>
      <c r="G389" s="68"/>
      <c r="H389" s="167"/>
      <c r="I389" s="173"/>
      <c r="J389" s="168" t="str">
        <f>IFERROR(MIN('MP Calculations'!$E$30/I389,1),"-")</f>
        <v>-</v>
      </c>
      <c r="K389" s="12"/>
      <c r="L389" s="159"/>
      <c r="M389" s="159"/>
      <c r="N389" s="159"/>
      <c r="O389" s="185" t="str">
        <f t="shared" si="19"/>
        <v>-</v>
      </c>
      <c r="P389" s="215" t="str">
        <f t="shared" si="18"/>
        <v>-</v>
      </c>
      <c r="Q389" s="215" cm="1">
        <f t="array" ref="Q389">IF(P389="-",0,P389/(1+'General inputs'!$H$32)^IFERROR(INDEX('MP Calculations'!$C$40:$C$130,MATCH(F389,'MP Calculations'!$D$40:$D$130,0),0),-1))</f>
        <v>0</v>
      </c>
    </row>
    <row r="390" spans="3:17" x14ac:dyDescent="0.25">
      <c r="C390" s="159"/>
      <c r="D390" s="165"/>
      <c r="E390" s="161"/>
      <c r="F390" s="172" t="str">
        <f t="shared" si="17"/>
        <v>-</v>
      </c>
      <c r="G390" s="68"/>
      <c r="H390" s="167"/>
      <c r="I390" s="173"/>
      <c r="J390" s="168" t="str">
        <f>IFERROR(MIN('MP Calculations'!$E$30/I390,1),"-")</f>
        <v>-</v>
      </c>
      <c r="K390" s="12"/>
      <c r="L390" s="159"/>
      <c r="M390" s="159"/>
      <c r="N390" s="159"/>
      <c r="O390" s="185" t="str">
        <f t="shared" si="19"/>
        <v>-</v>
      </c>
      <c r="P390" s="215" t="str">
        <f t="shared" si="18"/>
        <v>-</v>
      </c>
      <c r="Q390" s="215" cm="1">
        <f t="array" ref="Q390">IF(P390="-",0,P390/(1+'General inputs'!$H$32)^IFERROR(INDEX('MP Calculations'!$C$40:$C$130,MATCH(F390,'MP Calculations'!$D$40:$D$130,0),0),-1))</f>
        <v>0</v>
      </c>
    </row>
    <row r="391" spans="3:17" x14ac:dyDescent="0.25">
      <c r="C391" s="159"/>
      <c r="D391" s="165"/>
      <c r="E391" s="161"/>
      <c r="F391" s="172" t="str">
        <f t="shared" si="17"/>
        <v>-</v>
      </c>
      <c r="G391" s="68"/>
      <c r="H391" s="167"/>
      <c r="I391" s="173"/>
      <c r="J391" s="168" t="str">
        <f>IFERROR(MIN('MP Calculations'!$E$30/I391,1),"-")</f>
        <v>-</v>
      </c>
      <c r="K391" s="12"/>
      <c r="L391" s="159"/>
      <c r="M391" s="159"/>
      <c r="N391" s="159"/>
      <c r="O391" s="185" t="str">
        <f t="shared" si="19"/>
        <v>-</v>
      </c>
      <c r="P391" s="215" t="str">
        <f t="shared" si="18"/>
        <v>-</v>
      </c>
      <c r="Q391" s="215" cm="1">
        <f t="array" ref="Q391">IF(P391="-",0,P391/(1+'General inputs'!$H$32)^IFERROR(INDEX('MP Calculations'!$C$40:$C$130,MATCH(F391,'MP Calculations'!$D$40:$D$130,0),0),-1))</f>
        <v>0</v>
      </c>
    </row>
    <row r="392" spans="3:17" x14ac:dyDescent="0.25">
      <c r="C392" s="159"/>
      <c r="D392" s="165"/>
      <c r="E392" s="161"/>
      <c r="F392" s="172" t="str">
        <f t="shared" si="17"/>
        <v>-</v>
      </c>
      <c r="G392" s="68"/>
      <c r="H392" s="167"/>
      <c r="I392" s="173"/>
      <c r="J392" s="168" t="str">
        <f>IFERROR(MIN('MP Calculations'!$E$30/I392,1),"-")</f>
        <v>-</v>
      </c>
      <c r="K392" s="12"/>
      <c r="L392" s="159"/>
      <c r="M392" s="159"/>
      <c r="N392" s="159"/>
      <c r="O392" s="185" t="str">
        <f t="shared" si="19"/>
        <v>-</v>
      </c>
      <c r="P392" s="215" t="str">
        <f t="shared" si="18"/>
        <v>-</v>
      </c>
      <c r="Q392" s="215" cm="1">
        <f t="array" ref="Q392">IF(P392="-",0,P392/(1+'General inputs'!$H$32)^IFERROR(INDEX('MP Calculations'!$C$40:$C$130,MATCH(F392,'MP Calculations'!$D$40:$D$130,0),0),-1))</f>
        <v>0</v>
      </c>
    </row>
    <row r="393" spans="3:17" x14ac:dyDescent="0.25">
      <c r="C393" s="159"/>
      <c r="D393" s="165"/>
      <c r="E393" s="161"/>
      <c r="F393" s="172" t="str">
        <f t="shared" si="17"/>
        <v>-</v>
      </c>
      <c r="G393" s="68"/>
      <c r="H393" s="167"/>
      <c r="I393" s="173"/>
      <c r="J393" s="168" t="str">
        <f>IFERROR(MIN('MP Calculations'!$E$30/I393,1),"-")</f>
        <v>-</v>
      </c>
      <c r="K393" s="12"/>
      <c r="L393" s="159"/>
      <c r="M393" s="159"/>
      <c r="N393" s="159"/>
      <c r="O393" s="185" t="str">
        <f t="shared" si="19"/>
        <v>-</v>
      </c>
      <c r="P393" s="215" t="str">
        <f t="shared" si="18"/>
        <v>-</v>
      </c>
      <c r="Q393" s="215" cm="1">
        <f t="array" ref="Q393">IF(P393="-",0,P393/(1+'General inputs'!$H$32)^IFERROR(INDEX('MP Calculations'!$C$40:$C$130,MATCH(F393,'MP Calculations'!$D$40:$D$130,0),0),-1))</f>
        <v>0</v>
      </c>
    </row>
    <row r="394" spans="3:17" x14ac:dyDescent="0.25">
      <c r="C394" s="159"/>
      <c r="D394" s="165"/>
      <c r="E394" s="161"/>
      <c r="F394" s="172" t="str">
        <f t="shared" si="17"/>
        <v>-</v>
      </c>
      <c r="G394" s="68"/>
      <c r="H394" s="167"/>
      <c r="I394" s="173"/>
      <c r="J394" s="168" t="str">
        <f>IFERROR(MIN('MP Calculations'!$E$30/I394,1),"-")</f>
        <v>-</v>
      </c>
      <c r="K394" s="12"/>
      <c r="L394" s="159"/>
      <c r="M394" s="159"/>
      <c r="N394" s="159"/>
      <c r="O394" s="185" t="str">
        <f t="shared" si="19"/>
        <v>-</v>
      </c>
      <c r="P394" s="215" t="str">
        <f t="shared" si="18"/>
        <v>-</v>
      </c>
      <c r="Q394" s="215" cm="1">
        <f t="array" ref="Q394">IF(P394="-",0,P394/(1+'General inputs'!$H$32)^IFERROR(INDEX('MP Calculations'!$C$40:$C$130,MATCH(F394,'MP Calculations'!$D$40:$D$130,0),0),-1))</f>
        <v>0</v>
      </c>
    </row>
    <row r="395" spans="3:17" x14ac:dyDescent="0.25">
      <c r="C395" s="159"/>
      <c r="D395" s="165"/>
      <c r="E395" s="161"/>
      <c r="F395" s="172" t="str">
        <f t="shared" si="17"/>
        <v>-</v>
      </c>
      <c r="G395" s="68"/>
      <c r="H395" s="167"/>
      <c r="I395" s="173"/>
      <c r="J395" s="168" t="str">
        <f>IFERROR(MIN('MP Calculations'!$E$30/I395,1),"-")</f>
        <v>-</v>
      </c>
      <c r="K395" s="12"/>
      <c r="L395" s="159"/>
      <c r="M395" s="159"/>
      <c r="N395" s="159"/>
      <c r="O395" s="185" t="str">
        <f t="shared" si="19"/>
        <v>-</v>
      </c>
      <c r="P395" s="215" t="str">
        <f t="shared" si="18"/>
        <v>-</v>
      </c>
      <c r="Q395" s="215" cm="1">
        <f t="array" ref="Q395">IF(P395="-",0,P395/(1+'General inputs'!$H$32)^IFERROR(INDEX('MP Calculations'!$C$40:$C$130,MATCH(F395,'MP Calculations'!$D$40:$D$130,0),0),-1))</f>
        <v>0</v>
      </c>
    </row>
    <row r="396" spans="3:17" x14ac:dyDescent="0.25">
      <c r="C396" s="159"/>
      <c r="D396" s="165"/>
      <c r="E396" s="161"/>
      <c r="F396" s="172" t="str">
        <f t="shared" si="17"/>
        <v>-</v>
      </c>
      <c r="G396" s="68"/>
      <c r="H396" s="167"/>
      <c r="I396" s="173"/>
      <c r="J396" s="168" t="str">
        <f>IFERROR(MIN('MP Calculations'!$E$30/I396,1),"-")</f>
        <v>-</v>
      </c>
      <c r="K396" s="12"/>
      <c r="L396" s="159"/>
      <c r="M396" s="159"/>
      <c r="N396" s="159"/>
      <c r="O396" s="185" t="str">
        <f t="shared" si="19"/>
        <v>-</v>
      </c>
      <c r="P396" s="215" t="str">
        <f t="shared" si="18"/>
        <v>-</v>
      </c>
      <c r="Q396" s="215" cm="1">
        <f t="array" ref="Q396">IF(P396="-",0,P396/(1+'General inputs'!$H$32)^IFERROR(INDEX('MP Calculations'!$C$40:$C$130,MATCH(F396,'MP Calculations'!$D$40:$D$130,0),0),-1))</f>
        <v>0</v>
      </c>
    </row>
    <row r="397" spans="3:17" x14ac:dyDescent="0.25">
      <c r="C397" s="159"/>
      <c r="D397" s="165"/>
      <c r="E397" s="161"/>
      <c r="F397" s="172" t="str">
        <f t="shared" si="17"/>
        <v>-</v>
      </c>
      <c r="G397" s="68"/>
      <c r="H397" s="167"/>
      <c r="I397" s="173"/>
      <c r="J397" s="168" t="str">
        <f>IFERROR(MIN('MP Calculations'!$E$30/I397,1),"-")</f>
        <v>-</v>
      </c>
      <c r="K397" s="12"/>
      <c r="L397" s="159"/>
      <c r="M397" s="159"/>
      <c r="N397" s="159"/>
      <c r="O397" s="185" t="str">
        <f t="shared" si="19"/>
        <v>-</v>
      </c>
      <c r="P397" s="215" t="str">
        <f t="shared" si="18"/>
        <v>-</v>
      </c>
      <c r="Q397" s="215" cm="1">
        <f t="array" ref="Q397">IF(P397="-",0,P397/(1+'General inputs'!$H$32)^IFERROR(INDEX('MP Calculations'!$C$40:$C$130,MATCH(F397,'MP Calculations'!$D$40:$D$130,0),0),-1))</f>
        <v>0</v>
      </c>
    </row>
    <row r="398" spans="3:17" x14ac:dyDescent="0.25">
      <c r="C398" s="159"/>
      <c r="D398" s="165"/>
      <c r="E398" s="161"/>
      <c r="F398" s="172" t="str">
        <f t="shared" si="17"/>
        <v>-</v>
      </c>
      <c r="G398" s="68"/>
      <c r="H398" s="167"/>
      <c r="I398" s="173"/>
      <c r="J398" s="168" t="str">
        <f>IFERROR(MIN('MP Calculations'!$E$30/I398,1),"-")</f>
        <v>-</v>
      </c>
      <c r="K398" s="12"/>
      <c r="L398" s="159"/>
      <c r="M398" s="159"/>
      <c r="N398" s="159"/>
      <c r="O398" s="185" t="str">
        <f t="shared" si="19"/>
        <v>-</v>
      </c>
      <c r="P398" s="215" t="str">
        <f t="shared" si="18"/>
        <v>-</v>
      </c>
      <c r="Q398" s="215" cm="1">
        <f t="array" ref="Q398">IF(P398="-",0,P398/(1+'General inputs'!$H$32)^IFERROR(INDEX('MP Calculations'!$C$40:$C$130,MATCH(F398,'MP Calculations'!$D$40:$D$130,0),0),-1))</f>
        <v>0</v>
      </c>
    </row>
    <row r="399" spans="3:17" x14ac:dyDescent="0.25">
      <c r="C399" s="159"/>
      <c r="D399" s="165"/>
      <c r="E399" s="161"/>
      <c r="F399" s="172" t="str">
        <f t="shared" si="17"/>
        <v>-</v>
      </c>
      <c r="G399" s="68"/>
      <c r="H399" s="167"/>
      <c r="I399" s="173"/>
      <c r="J399" s="168" t="str">
        <f>IFERROR(MIN('MP Calculations'!$E$30/I399,1),"-")</f>
        <v>-</v>
      </c>
      <c r="K399" s="12"/>
      <c r="L399" s="159"/>
      <c r="M399" s="159"/>
      <c r="N399" s="159"/>
      <c r="O399" s="185" t="str">
        <f t="shared" si="19"/>
        <v>-</v>
      </c>
      <c r="P399" s="215" t="str">
        <f t="shared" si="18"/>
        <v>-</v>
      </c>
      <c r="Q399" s="215" cm="1">
        <f t="array" ref="Q399">IF(P399="-",0,P399/(1+'General inputs'!$H$32)^IFERROR(INDEX('MP Calculations'!$C$40:$C$130,MATCH(F399,'MP Calculations'!$D$40:$D$130,0),0),-1))</f>
        <v>0</v>
      </c>
    </row>
    <row r="400" spans="3:17" x14ac:dyDescent="0.25">
      <c r="C400" s="159"/>
      <c r="D400" s="165"/>
      <c r="E400" s="161"/>
      <c r="F400" s="172" t="str">
        <f t="shared" si="17"/>
        <v>-</v>
      </c>
      <c r="G400" s="68"/>
      <c r="H400" s="167"/>
      <c r="I400" s="173"/>
      <c r="J400" s="168" t="str">
        <f>IFERROR(MIN('MP Calculations'!$E$30/I400,1),"-")</f>
        <v>-</v>
      </c>
      <c r="K400" s="12"/>
      <c r="L400" s="159"/>
      <c r="M400" s="159"/>
      <c r="N400" s="159"/>
      <c r="O400" s="185" t="str">
        <f t="shared" si="19"/>
        <v>-</v>
      </c>
      <c r="P400" s="215" t="str">
        <f t="shared" si="18"/>
        <v>-</v>
      </c>
      <c r="Q400" s="215" cm="1">
        <f t="array" ref="Q400">IF(P400="-",0,P400/(1+'General inputs'!$H$32)^IFERROR(INDEX('MP Calculations'!$C$40:$C$130,MATCH(F400,'MP Calculations'!$D$40:$D$130,0),0),-1))</f>
        <v>0</v>
      </c>
    </row>
    <row r="401" spans="3:17" x14ac:dyDescent="0.25">
      <c r="C401" s="159"/>
      <c r="D401" s="165"/>
      <c r="E401" s="161"/>
      <c r="F401" s="172" t="str">
        <f t="shared" si="17"/>
        <v>-</v>
      </c>
      <c r="G401" s="68"/>
      <c r="H401" s="167"/>
      <c r="I401" s="173"/>
      <c r="J401" s="168" t="str">
        <f>IFERROR(MIN('MP Calculations'!$E$30/I401,1),"-")</f>
        <v>-</v>
      </c>
      <c r="K401" s="12"/>
      <c r="L401" s="159"/>
      <c r="M401" s="159"/>
      <c r="N401" s="159"/>
      <c r="O401" s="185" t="str">
        <f t="shared" si="19"/>
        <v>-</v>
      </c>
      <c r="P401" s="215" t="str">
        <f t="shared" si="18"/>
        <v>-</v>
      </c>
      <c r="Q401" s="215" cm="1">
        <f t="array" ref="Q401">IF(P401="-",0,P401/(1+'General inputs'!$H$32)^IFERROR(INDEX('MP Calculations'!$C$40:$C$130,MATCH(F401,'MP Calculations'!$D$40:$D$130,0),0),-1))</f>
        <v>0</v>
      </c>
    </row>
    <row r="402" spans="3:17" x14ac:dyDescent="0.25">
      <c r="C402" s="159"/>
      <c r="D402" s="165"/>
      <c r="E402" s="161"/>
      <c r="F402" s="172" t="str">
        <f t="shared" si="17"/>
        <v>-</v>
      </c>
      <c r="G402" s="68"/>
      <c r="H402" s="167"/>
      <c r="I402" s="173"/>
      <c r="J402" s="168" t="str">
        <f>IFERROR(MIN('MP Calculations'!$E$30/I402,1),"-")</f>
        <v>-</v>
      </c>
      <c r="K402" s="12"/>
      <c r="L402" s="159"/>
      <c r="M402" s="159"/>
      <c r="N402" s="159"/>
      <c r="O402" s="185" t="str">
        <f t="shared" si="19"/>
        <v>-</v>
      </c>
      <c r="P402" s="215" t="str">
        <f t="shared" si="18"/>
        <v>-</v>
      </c>
      <c r="Q402" s="215" cm="1">
        <f t="array" ref="Q402">IF(P402="-",0,P402/(1+'General inputs'!$H$32)^IFERROR(INDEX('MP Calculations'!$C$40:$C$130,MATCH(F402,'MP Calculations'!$D$40:$D$130,0),0),-1))</f>
        <v>0</v>
      </c>
    </row>
    <row r="403" spans="3:17" x14ac:dyDescent="0.25">
      <c r="C403" s="159"/>
      <c r="D403" s="165"/>
      <c r="E403" s="161"/>
      <c r="F403" s="172" t="str">
        <f t="shared" si="17"/>
        <v>-</v>
      </c>
      <c r="G403" s="68"/>
      <c r="H403" s="167"/>
      <c r="I403" s="173"/>
      <c r="J403" s="168" t="str">
        <f>IFERROR(MIN('MP Calculations'!$E$30/I403,1),"-")</f>
        <v>-</v>
      </c>
      <c r="K403" s="12"/>
      <c r="L403" s="159"/>
      <c r="M403" s="159"/>
      <c r="N403" s="159"/>
      <c r="O403" s="185" t="str">
        <f t="shared" si="19"/>
        <v>-</v>
      </c>
      <c r="P403" s="215" t="str">
        <f t="shared" si="18"/>
        <v>-</v>
      </c>
      <c r="Q403" s="215" cm="1">
        <f t="array" ref="Q403">IF(P403="-",0,P403/(1+'General inputs'!$H$32)^IFERROR(INDEX('MP Calculations'!$C$40:$C$130,MATCH(F403,'MP Calculations'!$D$40:$D$130,0),0),-1))</f>
        <v>0</v>
      </c>
    </row>
    <row r="404" spans="3:17" x14ac:dyDescent="0.25">
      <c r="C404" s="159"/>
      <c r="D404" s="165"/>
      <c r="E404" s="161"/>
      <c r="F404" s="172" t="str">
        <f t="shared" si="17"/>
        <v>-</v>
      </c>
      <c r="G404" s="68"/>
      <c r="H404" s="167"/>
      <c r="I404" s="173"/>
      <c r="J404" s="168" t="str">
        <f>IFERROR(MIN('MP Calculations'!$E$30/I404,1),"-")</f>
        <v>-</v>
      </c>
      <c r="K404" s="12"/>
      <c r="L404" s="159"/>
      <c r="M404" s="159"/>
      <c r="N404" s="159"/>
      <c r="O404" s="185" t="str">
        <f t="shared" si="19"/>
        <v>-</v>
      </c>
      <c r="P404" s="215" t="str">
        <f t="shared" si="18"/>
        <v>-</v>
      </c>
      <c r="Q404" s="215" cm="1">
        <f t="array" ref="Q404">IF(P404="-",0,P404/(1+'General inputs'!$H$32)^IFERROR(INDEX('MP Calculations'!$C$40:$C$130,MATCH(F404,'MP Calculations'!$D$40:$D$130,0),0),-1))</f>
        <v>0</v>
      </c>
    </row>
    <row r="405" spans="3:17" x14ac:dyDescent="0.25">
      <c r="C405" s="159"/>
      <c r="D405" s="165"/>
      <c r="E405" s="161"/>
      <c r="F405" s="172" t="str">
        <f t="shared" si="17"/>
        <v>-</v>
      </c>
      <c r="G405" s="68"/>
      <c r="H405" s="167"/>
      <c r="I405" s="173"/>
      <c r="J405" s="168" t="str">
        <f>IFERROR(MIN('MP Calculations'!$E$30/I405,1),"-")</f>
        <v>-</v>
      </c>
      <c r="K405" s="12"/>
      <c r="L405" s="159"/>
      <c r="M405" s="159"/>
      <c r="N405" s="159"/>
      <c r="O405" s="185" t="str">
        <f t="shared" si="19"/>
        <v>-</v>
      </c>
      <c r="P405" s="215" t="str">
        <f t="shared" si="18"/>
        <v>-</v>
      </c>
      <c r="Q405" s="215" cm="1">
        <f t="array" ref="Q405">IF(P405="-",0,P405/(1+'General inputs'!$H$32)^IFERROR(INDEX('MP Calculations'!$C$40:$C$130,MATCH(F405,'MP Calculations'!$D$40:$D$130,0),0),-1))</f>
        <v>0</v>
      </c>
    </row>
    <row r="406" spans="3:17" x14ac:dyDescent="0.25">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5" t="str">
        <f t="shared" si="19"/>
        <v>-</v>
      </c>
      <c r="P406" s="215" t="str">
        <f t="shared" si="18"/>
        <v>-</v>
      </c>
      <c r="Q406" s="215" cm="1">
        <f t="array" ref="Q406">IF(P406="-",0,P406/(1+'General inputs'!$H$32)^IFERROR(INDEX('MP Calculations'!$C$40:$C$130,MATCH(F406,'MP Calculations'!$D$40:$D$130,0),0),-1))</f>
        <v>0</v>
      </c>
    </row>
    <row r="407" spans="3:17" x14ac:dyDescent="0.25">
      <c r="C407" s="159"/>
      <c r="D407" s="165"/>
      <c r="E407" s="161"/>
      <c r="F407" s="172" t="str">
        <f t="shared" si="20"/>
        <v>-</v>
      </c>
      <c r="G407" s="68"/>
      <c r="H407" s="167"/>
      <c r="I407" s="173"/>
      <c r="J407" s="168" t="str">
        <f>IFERROR(MIN('MP Calculations'!$E$30/I407,1),"-")</f>
        <v>-</v>
      </c>
      <c r="K407" s="12"/>
      <c r="L407" s="159"/>
      <c r="M407" s="159"/>
      <c r="N407" s="159"/>
      <c r="O407" s="185" t="str">
        <f t="shared" si="19"/>
        <v>-</v>
      </c>
      <c r="P407" s="215" t="str">
        <f t="shared" ref="P407:P470" si="21">IF(O407="-","-",IF(OR(E407&lt;$E$15,E407&gt;$E$16),0,O407*J407))</f>
        <v>-</v>
      </c>
      <c r="Q407" s="215" cm="1">
        <f t="array" ref="Q407">IF(P407="-",0,P407/(1+'General inputs'!$H$32)^IFERROR(INDEX('MP Calculations'!$C$40:$C$130,MATCH(F407,'MP Calculations'!$D$40:$D$130,0),0),-1))</f>
        <v>0</v>
      </c>
    </row>
    <row r="408" spans="3:17" x14ac:dyDescent="0.25">
      <c r="C408" s="159"/>
      <c r="D408" s="165"/>
      <c r="E408" s="161"/>
      <c r="F408" s="172" t="str">
        <f t="shared" si="20"/>
        <v>-</v>
      </c>
      <c r="G408" s="68"/>
      <c r="H408" s="167"/>
      <c r="I408" s="173"/>
      <c r="J408" s="168" t="str">
        <f>IFERROR(MIN('MP Calculations'!$E$30/I408,1),"-")</f>
        <v>-</v>
      </c>
      <c r="K408" s="12"/>
      <c r="L408" s="159"/>
      <c r="M408" s="159"/>
      <c r="N408" s="159"/>
      <c r="O408" s="185" t="str">
        <f t="shared" ref="O408:O409" si="22">IF(N408="","-",L408*N408)</f>
        <v>-</v>
      </c>
      <c r="P408" s="215" t="str">
        <f t="shared" si="21"/>
        <v>-</v>
      </c>
      <c r="Q408" s="215" cm="1">
        <f t="array" ref="Q408">IF(P408="-",0,P408/(1+'General inputs'!$H$32)^IFERROR(INDEX('MP Calculations'!$C$40:$C$130,MATCH(F408,'MP Calculations'!$D$40:$D$130,0),0),-1))</f>
        <v>0</v>
      </c>
    </row>
    <row r="409" spans="3:17" x14ac:dyDescent="0.25">
      <c r="C409" s="159"/>
      <c r="D409" s="165"/>
      <c r="E409" s="161"/>
      <c r="F409" s="172" t="str">
        <f t="shared" si="20"/>
        <v>-</v>
      </c>
      <c r="G409" s="68"/>
      <c r="H409" s="167"/>
      <c r="I409" s="173"/>
      <c r="J409" s="168" t="str">
        <f>IFERROR(MIN('MP Calculations'!$E$30/I409,1),"-")</f>
        <v>-</v>
      </c>
      <c r="K409" s="12"/>
      <c r="L409" s="159"/>
      <c r="M409" s="159"/>
      <c r="N409" s="159"/>
      <c r="O409" s="185" t="str">
        <f t="shared" si="22"/>
        <v>-</v>
      </c>
      <c r="P409" s="215" t="str">
        <f t="shared" si="21"/>
        <v>-</v>
      </c>
      <c r="Q409" s="215" cm="1">
        <f t="array" ref="Q409">IF(P409="-",0,P409/(1+'General inputs'!$H$32)^IFERROR(INDEX('MP Calculations'!$C$40:$C$130,MATCH(F409,'MP Calculations'!$D$40:$D$130,0),0),-1))</f>
        <v>0</v>
      </c>
    </row>
    <row r="410" spans="3:17" x14ac:dyDescent="0.25">
      <c r="C410" s="159"/>
      <c r="D410" s="165"/>
      <c r="E410" s="161"/>
      <c r="F410" s="172" t="str">
        <f t="shared" si="20"/>
        <v>-</v>
      </c>
      <c r="G410" s="68"/>
      <c r="H410" s="167"/>
      <c r="I410" s="173"/>
      <c r="J410" s="168" t="str">
        <f>IFERROR(MIN('MP Calculations'!$E$30/I410,1),"-")</f>
        <v>-</v>
      </c>
      <c r="K410" s="12"/>
      <c r="L410" s="159"/>
      <c r="M410" s="159"/>
      <c r="N410" s="159"/>
      <c r="O410" s="185" t="str">
        <f t="shared" ref="O410:O472" si="23">IF(N410="","-",L410*N410)</f>
        <v>-</v>
      </c>
      <c r="P410" s="215" t="str">
        <f t="shared" si="21"/>
        <v>-</v>
      </c>
      <c r="Q410" s="215" cm="1">
        <f t="array" ref="Q410">IF(P410="-",0,P410/(1+'General inputs'!$H$32)^IFERROR(INDEX('MP Calculations'!$C$40:$C$130,MATCH(F410,'MP Calculations'!$D$40:$D$130,0),0),-1))</f>
        <v>0</v>
      </c>
    </row>
    <row r="411" spans="3:17" x14ac:dyDescent="0.25">
      <c r="C411" s="159"/>
      <c r="D411" s="165"/>
      <c r="E411" s="161"/>
      <c r="F411" s="172" t="str">
        <f t="shared" si="20"/>
        <v>-</v>
      </c>
      <c r="G411" s="68"/>
      <c r="H411" s="167"/>
      <c r="I411" s="173"/>
      <c r="J411" s="168" t="str">
        <f>IFERROR(MIN('MP Calculations'!$E$30/I411,1),"-")</f>
        <v>-</v>
      </c>
      <c r="K411" s="12"/>
      <c r="L411" s="159"/>
      <c r="M411" s="159"/>
      <c r="N411" s="159"/>
      <c r="O411" s="185" t="str">
        <f t="shared" si="23"/>
        <v>-</v>
      </c>
      <c r="P411" s="215" t="str">
        <f t="shared" si="21"/>
        <v>-</v>
      </c>
      <c r="Q411" s="215" cm="1">
        <f t="array" ref="Q411">IF(P411="-",0,P411/(1+'General inputs'!$H$32)^IFERROR(INDEX('MP Calculations'!$C$40:$C$130,MATCH(F411,'MP Calculations'!$D$40:$D$130,0),0),-1))</f>
        <v>0</v>
      </c>
    </row>
    <row r="412" spans="3:17" x14ac:dyDescent="0.25">
      <c r="C412" s="159"/>
      <c r="D412" s="165"/>
      <c r="E412" s="161"/>
      <c r="F412" s="172" t="str">
        <f t="shared" si="20"/>
        <v>-</v>
      </c>
      <c r="G412" s="68"/>
      <c r="H412" s="167"/>
      <c r="I412" s="173"/>
      <c r="J412" s="168" t="str">
        <f>IFERROR(MIN('MP Calculations'!$E$30/I412,1),"-")</f>
        <v>-</v>
      </c>
      <c r="K412" s="12"/>
      <c r="L412" s="159"/>
      <c r="M412" s="159"/>
      <c r="N412" s="159"/>
      <c r="O412" s="185" t="str">
        <f t="shared" si="23"/>
        <v>-</v>
      </c>
      <c r="P412" s="215" t="str">
        <f t="shared" si="21"/>
        <v>-</v>
      </c>
      <c r="Q412" s="215" cm="1">
        <f t="array" ref="Q412">IF(P412="-",0,P412/(1+'General inputs'!$H$32)^IFERROR(INDEX('MP Calculations'!$C$40:$C$130,MATCH(F412,'MP Calculations'!$D$40:$D$130,0),0),-1))</f>
        <v>0</v>
      </c>
    </row>
    <row r="413" spans="3:17" x14ac:dyDescent="0.25">
      <c r="C413" s="159"/>
      <c r="D413" s="165"/>
      <c r="E413" s="161"/>
      <c r="F413" s="172" t="str">
        <f t="shared" si="20"/>
        <v>-</v>
      </c>
      <c r="G413" s="68"/>
      <c r="H413" s="167"/>
      <c r="I413" s="173"/>
      <c r="J413" s="168" t="str">
        <f>IFERROR(MIN('MP Calculations'!$E$30/I413,1),"-")</f>
        <v>-</v>
      </c>
      <c r="K413" s="12"/>
      <c r="L413" s="159"/>
      <c r="M413" s="159"/>
      <c r="N413" s="159"/>
      <c r="O413" s="185" t="str">
        <f t="shared" si="23"/>
        <v>-</v>
      </c>
      <c r="P413" s="215" t="str">
        <f t="shared" si="21"/>
        <v>-</v>
      </c>
      <c r="Q413" s="215" cm="1">
        <f t="array" ref="Q413">IF(P413="-",0,P413/(1+'General inputs'!$H$32)^IFERROR(INDEX('MP Calculations'!$C$40:$C$130,MATCH(F413,'MP Calculations'!$D$40:$D$130,0),0),-1))</f>
        <v>0</v>
      </c>
    </row>
    <row r="414" spans="3:17" x14ac:dyDescent="0.25">
      <c r="C414" s="159"/>
      <c r="D414" s="165"/>
      <c r="E414" s="161"/>
      <c r="F414" s="172" t="str">
        <f t="shared" si="20"/>
        <v>-</v>
      </c>
      <c r="G414" s="68"/>
      <c r="H414" s="167"/>
      <c r="I414" s="173"/>
      <c r="J414" s="168" t="str">
        <f>IFERROR(MIN('MP Calculations'!$E$30/I414,1),"-")</f>
        <v>-</v>
      </c>
      <c r="K414" s="12"/>
      <c r="L414" s="159"/>
      <c r="M414" s="159"/>
      <c r="N414" s="159"/>
      <c r="O414" s="185" t="str">
        <f t="shared" si="23"/>
        <v>-</v>
      </c>
      <c r="P414" s="215" t="str">
        <f t="shared" si="21"/>
        <v>-</v>
      </c>
      <c r="Q414" s="215" cm="1">
        <f t="array" ref="Q414">IF(P414="-",0,P414/(1+'General inputs'!$H$32)^IFERROR(INDEX('MP Calculations'!$C$40:$C$130,MATCH(F414,'MP Calculations'!$D$40:$D$130,0),0),-1))</f>
        <v>0</v>
      </c>
    </row>
    <row r="415" spans="3:17" x14ac:dyDescent="0.25">
      <c r="C415" s="159"/>
      <c r="D415" s="165"/>
      <c r="E415" s="161"/>
      <c r="F415" s="172" t="str">
        <f t="shared" si="20"/>
        <v>-</v>
      </c>
      <c r="G415" s="68"/>
      <c r="H415" s="167"/>
      <c r="I415" s="173"/>
      <c r="J415" s="168" t="str">
        <f>IFERROR(MIN('MP Calculations'!$E$30/I415,1),"-")</f>
        <v>-</v>
      </c>
      <c r="K415" s="12"/>
      <c r="L415" s="159"/>
      <c r="M415" s="159"/>
      <c r="N415" s="159"/>
      <c r="O415" s="185" t="str">
        <f t="shared" si="23"/>
        <v>-</v>
      </c>
      <c r="P415" s="215" t="str">
        <f t="shared" si="21"/>
        <v>-</v>
      </c>
      <c r="Q415" s="215" cm="1">
        <f t="array" ref="Q415">IF(P415="-",0,P415/(1+'General inputs'!$H$32)^IFERROR(INDEX('MP Calculations'!$C$40:$C$130,MATCH(F415,'MP Calculations'!$D$40:$D$130,0),0),-1))</f>
        <v>0</v>
      </c>
    </row>
    <row r="416" spans="3:17" x14ac:dyDescent="0.25">
      <c r="C416" s="159"/>
      <c r="D416" s="165"/>
      <c r="E416" s="161"/>
      <c r="F416" s="172" t="str">
        <f t="shared" si="20"/>
        <v>-</v>
      </c>
      <c r="G416" s="68"/>
      <c r="H416" s="167"/>
      <c r="I416" s="173"/>
      <c r="J416" s="168" t="str">
        <f>IFERROR(MIN('MP Calculations'!$E$30/I416,1),"-")</f>
        <v>-</v>
      </c>
      <c r="K416" s="12"/>
      <c r="L416" s="159"/>
      <c r="M416" s="159"/>
      <c r="N416" s="159"/>
      <c r="O416" s="185" t="str">
        <f t="shared" si="23"/>
        <v>-</v>
      </c>
      <c r="P416" s="215" t="str">
        <f t="shared" si="21"/>
        <v>-</v>
      </c>
      <c r="Q416" s="215" cm="1">
        <f t="array" ref="Q416">IF(P416="-",0,P416/(1+'General inputs'!$H$32)^IFERROR(INDEX('MP Calculations'!$C$40:$C$130,MATCH(F416,'MP Calculations'!$D$40:$D$130,0),0),-1))</f>
        <v>0</v>
      </c>
    </row>
    <row r="417" spans="3:17" x14ac:dyDescent="0.25">
      <c r="C417" s="159"/>
      <c r="D417" s="165"/>
      <c r="E417" s="161"/>
      <c r="F417" s="172" t="str">
        <f t="shared" si="20"/>
        <v>-</v>
      </c>
      <c r="G417" s="68"/>
      <c r="H417" s="167"/>
      <c r="I417" s="173"/>
      <c r="J417" s="168" t="str">
        <f>IFERROR(MIN('MP Calculations'!$E$30/I417,1),"-")</f>
        <v>-</v>
      </c>
      <c r="K417" s="12"/>
      <c r="L417" s="159"/>
      <c r="M417" s="159"/>
      <c r="N417" s="159"/>
      <c r="O417" s="185" t="str">
        <f t="shared" si="23"/>
        <v>-</v>
      </c>
      <c r="P417" s="215" t="str">
        <f t="shared" si="21"/>
        <v>-</v>
      </c>
      <c r="Q417" s="215" cm="1">
        <f t="array" ref="Q417">IF(P417="-",0,P417/(1+'General inputs'!$H$32)^IFERROR(INDEX('MP Calculations'!$C$40:$C$130,MATCH(F417,'MP Calculations'!$D$40:$D$130,0),0),-1))</f>
        <v>0</v>
      </c>
    </row>
    <row r="418" spans="3:17" x14ac:dyDescent="0.25">
      <c r="C418" s="159"/>
      <c r="D418" s="165"/>
      <c r="E418" s="161"/>
      <c r="F418" s="172" t="str">
        <f t="shared" si="20"/>
        <v>-</v>
      </c>
      <c r="G418" s="68"/>
      <c r="H418" s="167"/>
      <c r="I418" s="173"/>
      <c r="J418" s="168" t="str">
        <f>IFERROR(MIN('MP Calculations'!$E$30/I418,1),"-")</f>
        <v>-</v>
      </c>
      <c r="K418" s="12"/>
      <c r="L418" s="159"/>
      <c r="M418" s="159"/>
      <c r="N418" s="159"/>
      <c r="O418" s="185" t="str">
        <f t="shared" si="23"/>
        <v>-</v>
      </c>
      <c r="P418" s="215" t="str">
        <f t="shared" si="21"/>
        <v>-</v>
      </c>
      <c r="Q418" s="215" cm="1">
        <f t="array" ref="Q418">IF(P418="-",0,P418/(1+'General inputs'!$H$32)^IFERROR(INDEX('MP Calculations'!$C$40:$C$130,MATCH(F418,'MP Calculations'!$D$40:$D$130,0),0),-1))</f>
        <v>0</v>
      </c>
    </row>
    <row r="419" spans="3:17" x14ac:dyDescent="0.25">
      <c r="C419" s="159"/>
      <c r="D419" s="165"/>
      <c r="E419" s="161"/>
      <c r="F419" s="172" t="str">
        <f t="shared" si="20"/>
        <v>-</v>
      </c>
      <c r="G419" s="68"/>
      <c r="H419" s="167"/>
      <c r="I419" s="173"/>
      <c r="J419" s="168" t="str">
        <f>IFERROR(MIN('MP Calculations'!$E$30/I419,1),"-")</f>
        <v>-</v>
      </c>
      <c r="K419" s="12"/>
      <c r="L419" s="159"/>
      <c r="M419" s="159"/>
      <c r="N419" s="159"/>
      <c r="O419" s="185" t="str">
        <f t="shared" si="23"/>
        <v>-</v>
      </c>
      <c r="P419" s="215" t="str">
        <f t="shared" si="21"/>
        <v>-</v>
      </c>
      <c r="Q419" s="215" cm="1">
        <f t="array" ref="Q419">IF(P419="-",0,P419/(1+'General inputs'!$H$32)^IFERROR(INDEX('MP Calculations'!$C$40:$C$130,MATCH(F419,'MP Calculations'!$D$40:$D$130,0),0),-1))</f>
        <v>0</v>
      </c>
    </row>
    <row r="420" spans="3:17" x14ac:dyDescent="0.25">
      <c r="C420" s="159"/>
      <c r="D420" s="165"/>
      <c r="E420" s="161"/>
      <c r="F420" s="172" t="str">
        <f t="shared" si="20"/>
        <v>-</v>
      </c>
      <c r="G420" s="68"/>
      <c r="H420" s="167"/>
      <c r="I420" s="173"/>
      <c r="J420" s="168" t="str">
        <f>IFERROR(MIN('MP Calculations'!$E$30/I420,1),"-")</f>
        <v>-</v>
      </c>
      <c r="K420" s="12"/>
      <c r="L420" s="159"/>
      <c r="M420" s="159"/>
      <c r="N420" s="159"/>
      <c r="O420" s="185" t="str">
        <f t="shared" si="23"/>
        <v>-</v>
      </c>
      <c r="P420" s="215" t="str">
        <f t="shared" si="21"/>
        <v>-</v>
      </c>
      <c r="Q420" s="215" cm="1">
        <f t="array" ref="Q420">IF(P420="-",0,P420/(1+'General inputs'!$H$32)^IFERROR(INDEX('MP Calculations'!$C$40:$C$130,MATCH(F420,'MP Calculations'!$D$40:$D$130,0),0),-1))</f>
        <v>0</v>
      </c>
    </row>
    <row r="421" spans="3:17" x14ac:dyDescent="0.25">
      <c r="C421" s="159"/>
      <c r="D421" s="165"/>
      <c r="E421" s="161"/>
      <c r="F421" s="172" t="str">
        <f t="shared" si="20"/>
        <v>-</v>
      </c>
      <c r="G421" s="68"/>
      <c r="H421" s="167"/>
      <c r="I421" s="173"/>
      <c r="J421" s="168" t="str">
        <f>IFERROR(MIN('MP Calculations'!$E$30/I421,1),"-")</f>
        <v>-</v>
      </c>
      <c r="K421" s="12"/>
      <c r="L421" s="159"/>
      <c r="M421" s="159"/>
      <c r="N421" s="159"/>
      <c r="O421" s="185" t="str">
        <f t="shared" si="23"/>
        <v>-</v>
      </c>
      <c r="P421" s="215" t="str">
        <f t="shared" si="21"/>
        <v>-</v>
      </c>
      <c r="Q421" s="215" cm="1">
        <f t="array" ref="Q421">IF(P421="-",0,P421/(1+'General inputs'!$H$32)^IFERROR(INDEX('MP Calculations'!$C$40:$C$130,MATCH(F421,'MP Calculations'!$D$40:$D$130,0),0),-1))</f>
        <v>0</v>
      </c>
    </row>
    <row r="422" spans="3:17" x14ac:dyDescent="0.25">
      <c r="C422" s="159"/>
      <c r="D422" s="165"/>
      <c r="E422" s="161"/>
      <c r="F422" s="172" t="str">
        <f t="shared" si="20"/>
        <v>-</v>
      </c>
      <c r="G422" s="68"/>
      <c r="H422" s="167"/>
      <c r="I422" s="173"/>
      <c r="J422" s="168" t="str">
        <f>IFERROR(MIN('MP Calculations'!$E$30/I422,1),"-")</f>
        <v>-</v>
      </c>
      <c r="K422" s="12"/>
      <c r="L422" s="159"/>
      <c r="M422" s="159"/>
      <c r="N422" s="159"/>
      <c r="O422" s="185" t="str">
        <f t="shared" si="23"/>
        <v>-</v>
      </c>
      <c r="P422" s="215" t="str">
        <f t="shared" si="21"/>
        <v>-</v>
      </c>
      <c r="Q422" s="215" cm="1">
        <f t="array" ref="Q422">IF(P422="-",0,P422/(1+'General inputs'!$H$32)^IFERROR(INDEX('MP Calculations'!$C$40:$C$130,MATCH(F422,'MP Calculations'!$D$40:$D$130,0),0),-1))</f>
        <v>0</v>
      </c>
    </row>
    <row r="423" spans="3:17" x14ac:dyDescent="0.25">
      <c r="C423" s="159"/>
      <c r="D423" s="165"/>
      <c r="E423" s="161"/>
      <c r="F423" s="172" t="str">
        <f t="shared" si="20"/>
        <v>-</v>
      </c>
      <c r="G423" s="68"/>
      <c r="H423" s="167"/>
      <c r="I423" s="173"/>
      <c r="J423" s="168" t="str">
        <f>IFERROR(MIN('MP Calculations'!$E$30/I423,1),"-")</f>
        <v>-</v>
      </c>
      <c r="K423" s="12"/>
      <c r="L423" s="159"/>
      <c r="M423" s="159"/>
      <c r="N423" s="159"/>
      <c r="O423" s="185" t="str">
        <f t="shared" si="23"/>
        <v>-</v>
      </c>
      <c r="P423" s="215" t="str">
        <f t="shared" si="21"/>
        <v>-</v>
      </c>
      <c r="Q423" s="215" cm="1">
        <f t="array" ref="Q423">IF(P423="-",0,P423/(1+'General inputs'!$H$32)^IFERROR(INDEX('MP Calculations'!$C$40:$C$130,MATCH(F423,'MP Calculations'!$D$40:$D$130,0),0),-1))</f>
        <v>0</v>
      </c>
    </row>
    <row r="424" spans="3:17" x14ac:dyDescent="0.25">
      <c r="C424" s="159"/>
      <c r="D424" s="165"/>
      <c r="E424" s="161"/>
      <c r="F424" s="172" t="str">
        <f t="shared" si="20"/>
        <v>-</v>
      </c>
      <c r="G424" s="68"/>
      <c r="H424" s="167"/>
      <c r="I424" s="173"/>
      <c r="J424" s="168" t="str">
        <f>IFERROR(MIN('MP Calculations'!$E$30/I424,1),"-")</f>
        <v>-</v>
      </c>
      <c r="K424" s="12"/>
      <c r="L424" s="159"/>
      <c r="M424" s="159"/>
      <c r="N424" s="159"/>
      <c r="O424" s="185" t="str">
        <f t="shared" si="23"/>
        <v>-</v>
      </c>
      <c r="P424" s="215" t="str">
        <f t="shared" si="21"/>
        <v>-</v>
      </c>
      <c r="Q424" s="215" cm="1">
        <f t="array" ref="Q424">IF(P424="-",0,P424/(1+'General inputs'!$H$32)^IFERROR(INDEX('MP Calculations'!$C$40:$C$130,MATCH(F424,'MP Calculations'!$D$40:$D$130,0),0),-1))</f>
        <v>0</v>
      </c>
    </row>
    <row r="425" spans="3:17" x14ac:dyDescent="0.25">
      <c r="C425" s="159"/>
      <c r="D425" s="165"/>
      <c r="E425" s="161"/>
      <c r="F425" s="172" t="str">
        <f t="shared" si="20"/>
        <v>-</v>
      </c>
      <c r="G425" s="68"/>
      <c r="H425" s="167"/>
      <c r="I425" s="173"/>
      <c r="J425" s="168" t="str">
        <f>IFERROR(MIN('MP Calculations'!$E$30/I425,1),"-")</f>
        <v>-</v>
      </c>
      <c r="K425" s="12"/>
      <c r="L425" s="159"/>
      <c r="M425" s="159"/>
      <c r="N425" s="159"/>
      <c r="O425" s="185" t="str">
        <f t="shared" si="23"/>
        <v>-</v>
      </c>
      <c r="P425" s="215" t="str">
        <f t="shared" si="21"/>
        <v>-</v>
      </c>
      <c r="Q425" s="215" cm="1">
        <f t="array" ref="Q425">IF(P425="-",0,P425/(1+'General inputs'!$H$32)^IFERROR(INDEX('MP Calculations'!$C$40:$C$130,MATCH(F425,'MP Calculations'!$D$40:$D$130,0),0),-1))</f>
        <v>0</v>
      </c>
    </row>
    <row r="426" spans="3:17" x14ac:dyDescent="0.25">
      <c r="C426" s="159"/>
      <c r="D426" s="165"/>
      <c r="E426" s="161"/>
      <c r="F426" s="172" t="str">
        <f t="shared" si="20"/>
        <v>-</v>
      </c>
      <c r="G426" s="68"/>
      <c r="H426" s="167"/>
      <c r="I426" s="173"/>
      <c r="J426" s="168" t="str">
        <f>IFERROR(MIN('MP Calculations'!$E$30/I426,1),"-")</f>
        <v>-</v>
      </c>
      <c r="K426" s="12"/>
      <c r="L426" s="159"/>
      <c r="M426" s="159"/>
      <c r="N426" s="159"/>
      <c r="O426" s="185" t="str">
        <f t="shared" si="23"/>
        <v>-</v>
      </c>
      <c r="P426" s="215" t="str">
        <f t="shared" si="21"/>
        <v>-</v>
      </c>
      <c r="Q426" s="215" cm="1">
        <f t="array" ref="Q426">IF(P426="-",0,P426/(1+'General inputs'!$H$32)^IFERROR(INDEX('MP Calculations'!$C$40:$C$130,MATCH(F426,'MP Calculations'!$D$40:$D$130,0),0),-1))</f>
        <v>0</v>
      </c>
    </row>
    <row r="427" spans="3:17" x14ac:dyDescent="0.25">
      <c r="C427" s="159"/>
      <c r="D427" s="165"/>
      <c r="E427" s="161"/>
      <c r="F427" s="172" t="str">
        <f t="shared" si="20"/>
        <v>-</v>
      </c>
      <c r="G427" s="68"/>
      <c r="H427" s="167"/>
      <c r="I427" s="173"/>
      <c r="J427" s="168" t="str">
        <f>IFERROR(MIN('MP Calculations'!$E$30/I427,1),"-")</f>
        <v>-</v>
      </c>
      <c r="K427" s="12"/>
      <c r="L427" s="159"/>
      <c r="M427" s="159"/>
      <c r="N427" s="159"/>
      <c r="O427" s="185" t="str">
        <f t="shared" si="23"/>
        <v>-</v>
      </c>
      <c r="P427" s="215" t="str">
        <f t="shared" si="21"/>
        <v>-</v>
      </c>
      <c r="Q427" s="215" cm="1">
        <f t="array" ref="Q427">IF(P427="-",0,P427/(1+'General inputs'!$H$32)^IFERROR(INDEX('MP Calculations'!$C$40:$C$130,MATCH(F427,'MP Calculations'!$D$40:$D$130,0),0),-1))</f>
        <v>0</v>
      </c>
    </row>
    <row r="428" spans="3:17" x14ac:dyDescent="0.25">
      <c r="C428" s="159"/>
      <c r="D428" s="165"/>
      <c r="E428" s="161"/>
      <c r="F428" s="172" t="str">
        <f t="shared" si="20"/>
        <v>-</v>
      </c>
      <c r="G428" s="68"/>
      <c r="H428" s="167"/>
      <c r="I428" s="173"/>
      <c r="J428" s="168" t="str">
        <f>IFERROR(MIN('MP Calculations'!$E$30/I428,1),"-")</f>
        <v>-</v>
      </c>
      <c r="K428" s="12"/>
      <c r="L428" s="159"/>
      <c r="M428" s="159"/>
      <c r="N428" s="159"/>
      <c r="O428" s="185" t="str">
        <f t="shared" si="23"/>
        <v>-</v>
      </c>
      <c r="P428" s="215" t="str">
        <f t="shared" si="21"/>
        <v>-</v>
      </c>
      <c r="Q428" s="215" cm="1">
        <f t="array" ref="Q428">IF(P428="-",0,P428/(1+'General inputs'!$H$32)^IFERROR(INDEX('MP Calculations'!$C$40:$C$130,MATCH(F428,'MP Calculations'!$D$40:$D$130,0),0),-1))</f>
        <v>0</v>
      </c>
    </row>
    <row r="429" spans="3:17" x14ac:dyDescent="0.25">
      <c r="C429" s="159"/>
      <c r="D429" s="165"/>
      <c r="E429" s="161"/>
      <c r="F429" s="172" t="str">
        <f t="shared" si="20"/>
        <v>-</v>
      </c>
      <c r="G429" s="68"/>
      <c r="H429" s="167"/>
      <c r="I429" s="173"/>
      <c r="J429" s="168" t="str">
        <f>IFERROR(MIN('MP Calculations'!$E$30/I429,1),"-")</f>
        <v>-</v>
      </c>
      <c r="K429" s="12"/>
      <c r="L429" s="159"/>
      <c r="M429" s="159"/>
      <c r="N429" s="159"/>
      <c r="O429" s="185" t="str">
        <f t="shared" si="23"/>
        <v>-</v>
      </c>
      <c r="P429" s="215" t="str">
        <f t="shared" si="21"/>
        <v>-</v>
      </c>
      <c r="Q429" s="215" cm="1">
        <f t="array" ref="Q429">IF(P429="-",0,P429/(1+'General inputs'!$H$32)^IFERROR(INDEX('MP Calculations'!$C$40:$C$130,MATCH(F429,'MP Calculations'!$D$40:$D$130,0),0),-1))</f>
        <v>0</v>
      </c>
    </row>
    <row r="430" spans="3:17" x14ac:dyDescent="0.25">
      <c r="C430" s="159"/>
      <c r="D430" s="165"/>
      <c r="E430" s="161"/>
      <c r="F430" s="172" t="str">
        <f t="shared" si="20"/>
        <v>-</v>
      </c>
      <c r="G430" s="68"/>
      <c r="H430" s="167"/>
      <c r="I430" s="173"/>
      <c r="J430" s="168" t="str">
        <f>IFERROR(MIN('MP Calculations'!$E$30/I430,1),"-")</f>
        <v>-</v>
      </c>
      <c r="K430" s="12"/>
      <c r="L430" s="159"/>
      <c r="M430" s="159"/>
      <c r="N430" s="159"/>
      <c r="O430" s="185" t="str">
        <f t="shared" si="23"/>
        <v>-</v>
      </c>
      <c r="P430" s="215" t="str">
        <f t="shared" si="21"/>
        <v>-</v>
      </c>
      <c r="Q430" s="215" cm="1">
        <f t="array" ref="Q430">IF(P430="-",0,P430/(1+'General inputs'!$H$32)^IFERROR(INDEX('MP Calculations'!$C$40:$C$130,MATCH(F430,'MP Calculations'!$D$40:$D$130,0),0),-1))</f>
        <v>0</v>
      </c>
    </row>
    <row r="431" spans="3:17" x14ac:dyDescent="0.25">
      <c r="C431" s="159"/>
      <c r="D431" s="165"/>
      <c r="E431" s="161"/>
      <c r="F431" s="172" t="str">
        <f t="shared" si="20"/>
        <v>-</v>
      </c>
      <c r="G431" s="68"/>
      <c r="H431" s="167"/>
      <c r="I431" s="173"/>
      <c r="J431" s="168" t="str">
        <f>IFERROR(MIN('MP Calculations'!$E$30/I431,1),"-")</f>
        <v>-</v>
      </c>
      <c r="K431" s="12"/>
      <c r="L431" s="159"/>
      <c r="M431" s="159"/>
      <c r="N431" s="159"/>
      <c r="O431" s="185" t="str">
        <f t="shared" si="23"/>
        <v>-</v>
      </c>
      <c r="P431" s="215" t="str">
        <f t="shared" si="21"/>
        <v>-</v>
      </c>
      <c r="Q431" s="215" cm="1">
        <f t="array" ref="Q431">IF(P431="-",0,P431/(1+'General inputs'!$H$32)^IFERROR(INDEX('MP Calculations'!$C$40:$C$130,MATCH(F431,'MP Calculations'!$D$40:$D$130,0),0),-1))</f>
        <v>0</v>
      </c>
    </row>
    <row r="432" spans="3:17" x14ac:dyDescent="0.25">
      <c r="C432" s="159"/>
      <c r="D432" s="165"/>
      <c r="E432" s="161"/>
      <c r="F432" s="172" t="str">
        <f t="shared" si="20"/>
        <v>-</v>
      </c>
      <c r="G432" s="68"/>
      <c r="H432" s="167"/>
      <c r="I432" s="173"/>
      <c r="J432" s="168" t="str">
        <f>IFERROR(MIN('MP Calculations'!$E$30/I432,1),"-")</f>
        <v>-</v>
      </c>
      <c r="K432" s="12"/>
      <c r="L432" s="159"/>
      <c r="M432" s="159"/>
      <c r="N432" s="159"/>
      <c r="O432" s="185" t="str">
        <f t="shared" si="23"/>
        <v>-</v>
      </c>
      <c r="P432" s="215" t="str">
        <f t="shared" si="21"/>
        <v>-</v>
      </c>
      <c r="Q432" s="215" cm="1">
        <f t="array" ref="Q432">IF(P432="-",0,P432/(1+'General inputs'!$H$32)^IFERROR(INDEX('MP Calculations'!$C$40:$C$130,MATCH(F432,'MP Calculations'!$D$40:$D$130,0),0),-1))</f>
        <v>0</v>
      </c>
    </row>
    <row r="433" spans="3:17" x14ac:dyDescent="0.25">
      <c r="C433" s="159"/>
      <c r="D433" s="165"/>
      <c r="E433" s="161"/>
      <c r="F433" s="172" t="str">
        <f t="shared" si="20"/>
        <v>-</v>
      </c>
      <c r="G433" s="68"/>
      <c r="H433" s="167"/>
      <c r="I433" s="173"/>
      <c r="J433" s="168" t="str">
        <f>IFERROR(MIN('MP Calculations'!$E$30/I433,1),"-")</f>
        <v>-</v>
      </c>
      <c r="K433" s="12"/>
      <c r="L433" s="159"/>
      <c r="M433" s="159"/>
      <c r="N433" s="159"/>
      <c r="O433" s="185" t="str">
        <f t="shared" si="23"/>
        <v>-</v>
      </c>
      <c r="P433" s="215" t="str">
        <f t="shared" si="21"/>
        <v>-</v>
      </c>
      <c r="Q433" s="215" cm="1">
        <f t="array" ref="Q433">IF(P433="-",0,P433/(1+'General inputs'!$H$32)^IFERROR(INDEX('MP Calculations'!$C$40:$C$130,MATCH(F433,'MP Calculations'!$D$40:$D$130,0),0),-1))</f>
        <v>0</v>
      </c>
    </row>
    <row r="434" spans="3:17" x14ac:dyDescent="0.25">
      <c r="C434" s="159"/>
      <c r="D434" s="165"/>
      <c r="E434" s="161"/>
      <c r="F434" s="172" t="str">
        <f t="shared" si="20"/>
        <v>-</v>
      </c>
      <c r="G434" s="68"/>
      <c r="H434" s="167"/>
      <c r="I434" s="173"/>
      <c r="J434" s="168" t="str">
        <f>IFERROR(MIN('MP Calculations'!$E$30/I434,1),"-")</f>
        <v>-</v>
      </c>
      <c r="K434" s="12"/>
      <c r="L434" s="159"/>
      <c r="M434" s="159"/>
      <c r="N434" s="159"/>
      <c r="O434" s="185" t="str">
        <f t="shared" si="23"/>
        <v>-</v>
      </c>
      <c r="P434" s="215" t="str">
        <f t="shared" si="21"/>
        <v>-</v>
      </c>
      <c r="Q434" s="215" cm="1">
        <f t="array" ref="Q434">IF(P434="-",0,P434/(1+'General inputs'!$H$32)^IFERROR(INDEX('MP Calculations'!$C$40:$C$130,MATCH(F434,'MP Calculations'!$D$40:$D$130,0),0),-1))</f>
        <v>0</v>
      </c>
    </row>
    <row r="435" spans="3:17" x14ac:dyDescent="0.25">
      <c r="C435" s="159"/>
      <c r="D435" s="165"/>
      <c r="E435" s="161"/>
      <c r="F435" s="172" t="str">
        <f t="shared" si="20"/>
        <v>-</v>
      </c>
      <c r="G435" s="68"/>
      <c r="H435" s="167"/>
      <c r="I435" s="173"/>
      <c r="J435" s="168" t="str">
        <f>IFERROR(MIN('MP Calculations'!$E$30/I435,1),"-")</f>
        <v>-</v>
      </c>
      <c r="K435" s="12"/>
      <c r="L435" s="159"/>
      <c r="M435" s="159"/>
      <c r="N435" s="159"/>
      <c r="O435" s="185" t="str">
        <f t="shared" si="23"/>
        <v>-</v>
      </c>
      <c r="P435" s="215" t="str">
        <f t="shared" si="21"/>
        <v>-</v>
      </c>
      <c r="Q435" s="215" cm="1">
        <f t="array" ref="Q435">IF(P435="-",0,P435/(1+'General inputs'!$H$32)^IFERROR(INDEX('MP Calculations'!$C$40:$C$130,MATCH(F435,'MP Calculations'!$D$40:$D$130,0),0),-1))</f>
        <v>0</v>
      </c>
    </row>
    <row r="436" spans="3:17" x14ac:dyDescent="0.25">
      <c r="C436" s="159"/>
      <c r="D436" s="165"/>
      <c r="E436" s="161"/>
      <c r="F436" s="172" t="str">
        <f t="shared" si="20"/>
        <v>-</v>
      </c>
      <c r="G436" s="68"/>
      <c r="H436" s="167"/>
      <c r="I436" s="173"/>
      <c r="J436" s="168" t="str">
        <f>IFERROR(MIN('MP Calculations'!$E$30/I436,1),"-")</f>
        <v>-</v>
      </c>
      <c r="K436" s="12"/>
      <c r="L436" s="159"/>
      <c r="M436" s="159"/>
      <c r="N436" s="159"/>
      <c r="O436" s="185" t="str">
        <f t="shared" si="23"/>
        <v>-</v>
      </c>
      <c r="P436" s="215" t="str">
        <f t="shared" si="21"/>
        <v>-</v>
      </c>
      <c r="Q436" s="215" cm="1">
        <f t="array" ref="Q436">IF(P436="-",0,P436/(1+'General inputs'!$H$32)^IFERROR(INDEX('MP Calculations'!$C$40:$C$130,MATCH(F436,'MP Calculations'!$D$40:$D$130,0),0),-1))</f>
        <v>0</v>
      </c>
    </row>
    <row r="437" spans="3:17" x14ac:dyDescent="0.25">
      <c r="C437" s="159"/>
      <c r="D437" s="165"/>
      <c r="E437" s="161"/>
      <c r="F437" s="172" t="str">
        <f t="shared" si="20"/>
        <v>-</v>
      </c>
      <c r="G437" s="68"/>
      <c r="H437" s="167"/>
      <c r="I437" s="173"/>
      <c r="J437" s="168" t="str">
        <f>IFERROR(MIN('MP Calculations'!$E$30/I437,1),"-")</f>
        <v>-</v>
      </c>
      <c r="K437" s="12"/>
      <c r="L437" s="159"/>
      <c r="M437" s="159"/>
      <c r="N437" s="159"/>
      <c r="O437" s="185" t="str">
        <f t="shared" si="23"/>
        <v>-</v>
      </c>
      <c r="P437" s="215" t="str">
        <f t="shared" si="21"/>
        <v>-</v>
      </c>
      <c r="Q437" s="215" cm="1">
        <f t="array" ref="Q437">IF(P437="-",0,P437/(1+'General inputs'!$H$32)^IFERROR(INDEX('MP Calculations'!$C$40:$C$130,MATCH(F437,'MP Calculations'!$D$40:$D$130,0),0),-1))</f>
        <v>0</v>
      </c>
    </row>
    <row r="438" spans="3:17" x14ac:dyDescent="0.25">
      <c r="C438" s="159"/>
      <c r="D438" s="165"/>
      <c r="E438" s="161"/>
      <c r="F438" s="172" t="str">
        <f t="shared" si="20"/>
        <v>-</v>
      </c>
      <c r="G438" s="68"/>
      <c r="H438" s="167"/>
      <c r="I438" s="173"/>
      <c r="J438" s="168" t="str">
        <f>IFERROR(MIN('MP Calculations'!$E$30/I438,1),"-")</f>
        <v>-</v>
      </c>
      <c r="K438" s="12"/>
      <c r="L438" s="159"/>
      <c r="M438" s="159"/>
      <c r="N438" s="159"/>
      <c r="O438" s="185" t="str">
        <f t="shared" si="23"/>
        <v>-</v>
      </c>
      <c r="P438" s="215" t="str">
        <f t="shared" si="21"/>
        <v>-</v>
      </c>
      <c r="Q438" s="215" cm="1">
        <f t="array" ref="Q438">IF(P438="-",0,P438/(1+'General inputs'!$H$32)^IFERROR(INDEX('MP Calculations'!$C$40:$C$130,MATCH(F438,'MP Calculations'!$D$40:$D$130,0),0),-1))</f>
        <v>0</v>
      </c>
    </row>
    <row r="439" spans="3:17" x14ac:dyDescent="0.25">
      <c r="C439" s="159"/>
      <c r="D439" s="165"/>
      <c r="E439" s="161"/>
      <c r="F439" s="172" t="str">
        <f t="shared" si="20"/>
        <v>-</v>
      </c>
      <c r="G439" s="68"/>
      <c r="H439" s="167"/>
      <c r="I439" s="173"/>
      <c r="J439" s="168" t="str">
        <f>IFERROR(MIN('MP Calculations'!$E$30/I439,1),"-")</f>
        <v>-</v>
      </c>
      <c r="K439" s="12"/>
      <c r="L439" s="159"/>
      <c r="M439" s="159"/>
      <c r="N439" s="159"/>
      <c r="O439" s="185" t="str">
        <f t="shared" si="23"/>
        <v>-</v>
      </c>
      <c r="P439" s="215" t="str">
        <f t="shared" si="21"/>
        <v>-</v>
      </c>
      <c r="Q439" s="215" cm="1">
        <f t="array" ref="Q439">IF(P439="-",0,P439/(1+'General inputs'!$H$32)^IFERROR(INDEX('MP Calculations'!$C$40:$C$130,MATCH(F439,'MP Calculations'!$D$40:$D$130,0),0),-1))</f>
        <v>0</v>
      </c>
    </row>
    <row r="440" spans="3:17" x14ac:dyDescent="0.25">
      <c r="C440" s="159"/>
      <c r="D440" s="165"/>
      <c r="E440" s="161"/>
      <c r="F440" s="172" t="str">
        <f t="shared" si="20"/>
        <v>-</v>
      </c>
      <c r="G440" s="68"/>
      <c r="H440" s="167"/>
      <c r="I440" s="173"/>
      <c r="J440" s="168" t="str">
        <f>IFERROR(MIN('MP Calculations'!$E$30/I440,1),"-")</f>
        <v>-</v>
      </c>
      <c r="K440" s="12"/>
      <c r="L440" s="159"/>
      <c r="M440" s="159"/>
      <c r="N440" s="159"/>
      <c r="O440" s="185" t="str">
        <f t="shared" si="23"/>
        <v>-</v>
      </c>
      <c r="P440" s="215" t="str">
        <f t="shared" si="21"/>
        <v>-</v>
      </c>
      <c r="Q440" s="215" cm="1">
        <f t="array" ref="Q440">IF(P440="-",0,P440/(1+'General inputs'!$H$32)^IFERROR(INDEX('MP Calculations'!$C$40:$C$130,MATCH(F440,'MP Calculations'!$D$40:$D$130,0),0),-1))</f>
        <v>0</v>
      </c>
    </row>
    <row r="441" spans="3:17" x14ac:dyDescent="0.25">
      <c r="C441" s="159"/>
      <c r="D441" s="165"/>
      <c r="E441" s="161"/>
      <c r="F441" s="172" t="str">
        <f t="shared" si="20"/>
        <v>-</v>
      </c>
      <c r="G441" s="68"/>
      <c r="H441" s="167"/>
      <c r="I441" s="173"/>
      <c r="J441" s="168" t="str">
        <f>IFERROR(MIN('MP Calculations'!$E$30/I441,1),"-")</f>
        <v>-</v>
      </c>
      <c r="K441" s="12"/>
      <c r="L441" s="159"/>
      <c r="M441" s="159"/>
      <c r="N441" s="159"/>
      <c r="O441" s="185" t="str">
        <f t="shared" si="23"/>
        <v>-</v>
      </c>
      <c r="P441" s="215" t="str">
        <f t="shared" si="21"/>
        <v>-</v>
      </c>
      <c r="Q441" s="215" cm="1">
        <f t="array" ref="Q441">IF(P441="-",0,P441/(1+'General inputs'!$H$32)^IFERROR(INDEX('MP Calculations'!$C$40:$C$130,MATCH(F441,'MP Calculations'!$D$40:$D$130,0),0),-1))</f>
        <v>0</v>
      </c>
    </row>
    <row r="442" spans="3:17" x14ac:dyDescent="0.25">
      <c r="C442" s="159"/>
      <c r="D442" s="165"/>
      <c r="E442" s="161"/>
      <c r="F442" s="172" t="str">
        <f t="shared" si="20"/>
        <v>-</v>
      </c>
      <c r="G442" s="68"/>
      <c r="H442" s="167"/>
      <c r="I442" s="173"/>
      <c r="J442" s="168" t="str">
        <f>IFERROR(MIN('MP Calculations'!$E$30/I442,1),"-")</f>
        <v>-</v>
      </c>
      <c r="K442" s="12"/>
      <c r="L442" s="159"/>
      <c r="M442" s="159"/>
      <c r="N442" s="159"/>
      <c r="O442" s="185" t="str">
        <f t="shared" si="23"/>
        <v>-</v>
      </c>
      <c r="P442" s="215" t="str">
        <f t="shared" si="21"/>
        <v>-</v>
      </c>
      <c r="Q442" s="215" cm="1">
        <f t="array" ref="Q442">IF(P442="-",0,P442/(1+'General inputs'!$H$32)^IFERROR(INDEX('MP Calculations'!$C$40:$C$130,MATCH(F442,'MP Calculations'!$D$40:$D$130,0),0),-1))</f>
        <v>0</v>
      </c>
    </row>
    <row r="443" spans="3:17" x14ac:dyDescent="0.25">
      <c r="C443" s="159"/>
      <c r="D443" s="165"/>
      <c r="E443" s="161"/>
      <c r="F443" s="172" t="str">
        <f t="shared" si="20"/>
        <v>-</v>
      </c>
      <c r="G443" s="68"/>
      <c r="H443" s="167"/>
      <c r="I443" s="173"/>
      <c r="J443" s="168" t="str">
        <f>IFERROR(MIN('MP Calculations'!$E$30/I443,1),"-")</f>
        <v>-</v>
      </c>
      <c r="K443" s="12"/>
      <c r="L443" s="159"/>
      <c r="M443" s="159"/>
      <c r="N443" s="159"/>
      <c r="O443" s="185" t="str">
        <f t="shared" si="23"/>
        <v>-</v>
      </c>
      <c r="P443" s="215" t="str">
        <f t="shared" si="21"/>
        <v>-</v>
      </c>
      <c r="Q443" s="215" cm="1">
        <f t="array" ref="Q443">IF(P443="-",0,P443/(1+'General inputs'!$H$32)^IFERROR(INDEX('MP Calculations'!$C$40:$C$130,MATCH(F443,'MP Calculations'!$D$40:$D$130,0),0),-1))</f>
        <v>0</v>
      </c>
    </row>
    <row r="444" spans="3:17" x14ac:dyDescent="0.25">
      <c r="C444" s="159"/>
      <c r="D444" s="165"/>
      <c r="E444" s="161"/>
      <c r="F444" s="172" t="str">
        <f t="shared" si="20"/>
        <v>-</v>
      </c>
      <c r="G444" s="68"/>
      <c r="H444" s="167"/>
      <c r="I444" s="173"/>
      <c r="J444" s="168" t="str">
        <f>IFERROR(MIN('MP Calculations'!$E$30/I444,1),"-")</f>
        <v>-</v>
      </c>
      <c r="K444" s="12"/>
      <c r="L444" s="159"/>
      <c r="M444" s="159"/>
      <c r="N444" s="159"/>
      <c r="O444" s="185" t="str">
        <f t="shared" si="23"/>
        <v>-</v>
      </c>
      <c r="P444" s="215" t="str">
        <f t="shared" si="21"/>
        <v>-</v>
      </c>
      <c r="Q444" s="215" cm="1">
        <f t="array" ref="Q444">IF(P444="-",0,P444/(1+'General inputs'!$H$32)^IFERROR(INDEX('MP Calculations'!$C$40:$C$130,MATCH(F444,'MP Calculations'!$D$40:$D$130,0),0),-1))</f>
        <v>0</v>
      </c>
    </row>
    <row r="445" spans="3:17" x14ac:dyDescent="0.25">
      <c r="C445" s="159"/>
      <c r="D445" s="165"/>
      <c r="E445" s="161"/>
      <c r="F445" s="172" t="str">
        <f t="shared" si="20"/>
        <v>-</v>
      </c>
      <c r="G445" s="68"/>
      <c r="H445" s="167"/>
      <c r="I445" s="173"/>
      <c r="J445" s="168" t="str">
        <f>IFERROR(MIN('MP Calculations'!$E$30/I445,1),"-")</f>
        <v>-</v>
      </c>
      <c r="K445" s="12"/>
      <c r="L445" s="159"/>
      <c r="M445" s="159"/>
      <c r="N445" s="159"/>
      <c r="O445" s="185" t="str">
        <f t="shared" si="23"/>
        <v>-</v>
      </c>
      <c r="P445" s="215" t="str">
        <f t="shared" si="21"/>
        <v>-</v>
      </c>
      <c r="Q445" s="215" cm="1">
        <f t="array" ref="Q445">IF(P445="-",0,P445/(1+'General inputs'!$H$32)^IFERROR(INDEX('MP Calculations'!$C$40:$C$130,MATCH(F445,'MP Calculations'!$D$40:$D$130,0),0),-1))</f>
        <v>0</v>
      </c>
    </row>
    <row r="446" spans="3:17" x14ac:dyDescent="0.25">
      <c r="C446" s="159"/>
      <c r="D446" s="165"/>
      <c r="E446" s="161"/>
      <c r="F446" s="172" t="str">
        <f t="shared" si="20"/>
        <v>-</v>
      </c>
      <c r="G446" s="68"/>
      <c r="H446" s="167"/>
      <c r="I446" s="173"/>
      <c r="J446" s="168" t="str">
        <f>IFERROR(MIN('MP Calculations'!$E$30/I446,1),"-")</f>
        <v>-</v>
      </c>
      <c r="K446" s="12"/>
      <c r="L446" s="159"/>
      <c r="M446" s="159"/>
      <c r="N446" s="159"/>
      <c r="O446" s="185" t="str">
        <f t="shared" si="23"/>
        <v>-</v>
      </c>
      <c r="P446" s="215" t="str">
        <f t="shared" si="21"/>
        <v>-</v>
      </c>
      <c r="Q446" s="215" cm="1">
        <f t="array" ref="Q446">IF(P446="-",0,P446/(1+'General inputs'!$H$32)^IFERROR(INDEX('MP Calculations'!$C$40:$C$130,MATCH(F446,'MP Calculations'!$D$40:$D$130,0),0),-1))</f>
        <v>0</v>
      </c>
    </row>
    <row r="447" spans="3:17" x14ac:dyDescent="0.25">
      <c r="C447" s="159"/>
      <c r="D447" s="165"/>
      <c r="E447" s="161"/>
      <c r="F447" s="172" t="str">
        <f t="shared" si="20"/>
        <v>-</v>
      </c>
      <c r="G447" s="68"/>
      <c r="H447" s="167"/>
      <c r="I447" s="173"/>
      <c r="J447" s="168" t="str">
        <f>IFERROR(MIN('MP Calculations'!$E$30/I447,1),"-")</f>
        <v>-</v>
      </c>
      <c r="K447" s="12"/>
      <c r="L447" s="159"/>
      <c r="M447" s="159"/>
      <c r="N447" s="159"/>
      <c r="O447" s="185" t="str">
        <f t="shared" si="23"/>
        <v>-</v>
      </c>
      <c r="P447" s="215" t="str">
        <f t="shared" si="21"/>
        <v>-</v>
      </c>
      <c r="Q447" s="215" cm="1">
        <f t="array" ref="Q447">IF(P447="-",0,P447/(1+'General inputs'!$H$32)^IFERROR(INDEX('MP Calculations'!$C$40:$C$130,MATCH(F447,'MP Calculations'!$D$40:$D$130,0),0),-1))</f>
        <v>0</v>
      </c>
    </row>
    <row r="448" spans="3:17" x14ac:dyDescent="0.25">
      <c r="C448" s="159"/>
      <c r="D448" s="165"/>
      <c r="E448" s="161"/>
      <c r="F448" s="172" t="str">
        <f t="shared" si="20"/>
        <v>-</v>
      </c>
      <c r="G448" s="68"/>
      <c r="H448" s="167"/>
      <c r="I448" s="173"/>
      <c r="J448" s="168" t="str">
        <f>IFERROR(MIN('MP Calculations'!$E$30/I448,1),"-")</f>
        <v>-</v>
      </c>
      <c r="K448" s="12"/>
      <c r="L448" s="159"/>
      <c r="M448" s="159"/>
      <c r="N448" s="159"/>
      <c r="O448" s="185" t="str">
        <f t="shared" si="23"/>
        <v>-</v>
      </c>
      <c r="P448" s="215" t="str">
        <f t="shared" si="21"/>
        <v>-</v>
      </c>
      <c r="Q448" s="215" cm="1">
        <f t="array" ref="Q448">IF(P448="-",0,P448/(1+'General inputs'!$H$32)^IFERROR(INDEX('MP Calculations'!$C$40:$C$130,MATCH(F448,'MP Calculations'!$D$40:$D$130,0),0),-1))</f>
        <v>0</v>
      </c>
    </row>
    <row r="449" spans="3:17" x14ac:dyDescent="0.25">
      <c r="C449" s="159"/>
      <c r="D449" s="165"/>
      <c r="E449" s="161"/>
      <c r="F449" s="172" t="str">
        <f t="shared" si="20"/>
        <v>-</v>
      </c>
      <c r="G449" s="68"/>
      <c r="H449" s="167"/>
      <c r="I449" s="173"/>
      <c r="J449" s="168" t="str">
        <f>IFERROR(MIN('MP Calculations'!$E$30/I449,1),"-")</f>
        <v>-</v>
      </c>
      <c r="K449" s="12"/>
      <c r="L449" s="159"/>
      <c r="M449" s="159"/>
      <c r="N449" s="159"/>
      <c r="O449" s="185" t="str">
        <f t="shared" si="23"/>
        <v>-</v>
      </c>
      <c r="P449" s="215" t="str">
        <f t="shared" si="21"/>
        <v>-</v>
      </c>
      <c r="Q449" s="215" cm="1">
        <f t="array" ref="Q449">IF(P449="-",0,P449/(1+'General inputs'!$H$32)^IFERROR(INDEX('MP Calculations'!$C$40:$C$130,MATCH(F449,'MP Calculations'!$D$40:$D$130,0),0),-1))</f>
        <v>0</v>
      </c>
    </row>
    <row r="450" spans="3:17" x14ac:dyDescent="0.25">
      <c r="C450" s="159"/>
      <c r="D450" s="165"/>
      <c r="E450" s="161"/>
      <c r="F450" s="172" t="str">
        <f t="shared" si="20"/>
        <v>-</v>
      </c>
      <c r="G450" s="68"/>
      <c r="H450" s="167"/>
      <c r="I450" s="173"/>
      <c r="J450" s="168" t="str">
        <f>IFERROR(MIN('MP Calculations'!$E$30/I450,1),"-")</f>
        <v>-</v>
      </c>
      <c r="K450" s="12"/>
      <c r="L450" s="159"/>
      <c r="M450" s="159"/>
      <c r="N450" s="159"/>
      <c r="O450" s="185" t="str">
        <f t="shared" si="23"/>
        <v>-</v>
      </c>
      <c r="P450" s="215" t="str">
        <f t="shared" si="21"/>
        <v>-</v>
      </c>
      <c r="Q450" s="215" cm="1">
        <f t="array" ref="Q450">IF(P450="-",0,P450/(1+'General inputs'!$H$32)^IFERROR(INDEX('MP Calculations'!$C$40:$C$130,MATCH(F450,'MP Calculations'!$D$40:$D$130,0),0),-1))</f>
        <v>0</v>
      </c>
    </row>
    <row r="451" spans="3:17" x14ac:dyDescent="0.25">
      <c r="C451" s="159"/>
      <c r="D451" s="165"/>
      <c r="E451" s="161"/>
      <c r="F451" s="172" t="str">
        <f t="shared" si="20"/>
        <v>-</v>
      </c>
      <c r="G451" s="68"/>
      <c r="H451" s="167"/>
      <c r="I451" s="173"/>
      <c r="J451" s="168" t="str">
        <f>IFERROR(MIN('MP Calculations'!$E$30/I451,1),"-")</f>
        <v>-</v>
      </c>
      <c r="K451" s="12"/>
      <c r="L451" s="159"/>
      <c r="M451" s="159"/>
      <c r="N451" s="159"/>
      <c r="O451" s="185" t="str">
        <f t="shared" si="23"/>
        <v>-</v>
      </c>
      <c r="P451" s="215" t="str">
        <f t="shared" si="21"/>
        <v>-</v>
      </c>
      <c r="Q451" s="215" cm="1">
        <f t="array" ref="Q451">IF(P451="-",0,P451/(1+'General inputs'!$H$32)^IFERROR(INDEX('MP Calculations'!$C$40:$C$130,MATCH(F451,'MP Calculations'!$D$40:$D$130,0),0),-1))</f>
        <v>0</v>
      </c>
    </row>
    <row r="452" spans="3:17" x14ac:dyDescent="0.25">
      <c r="C452" s="159"/>
      <c r="D452" s="165"/>
      <c r="E452" s="161"/>
      <c r="F452" s="172" t="str">
        <f t="shared" si="20"/>
        <v>-</v>
      </c>
      <c r="G452" s="68"/>
      <c r="H452" s="167"/>
      <c r="I452" s="173"/>
      <c r="J452" s="168" t="str">
        <f>IFERROR(MIN('MP Calculations'!$E$30/I452,1),"-")</f>
        <v>-</v>
      </c>
      <c r="K452" s="12"/>
      <c r="L452" s="159"/>
      <c r="M452" s="159"/>
      <c r="N452" s="159"/>
      <c r="O452" s="185" t="str">
        <f t="shared" si="23"/>
        <v>-</v>
      </c>
      <c r="P452" s="215" t="str">
        <f t="shared" si="21"/>
        <v>-</v>
      </c>
      <c r="Q452" s="215" cm="1">
        <f t="array" ref="Q452">IF(P452="-",0,P452/(1+'General inputs'!$H$32)^IFERROR(INDEX('MP Calculations'!$C$40:$C$130,MATCH(F452,'MP Calculations'!$D$40:$D$130,0),0),-1))</f>
        <v>0</v>
      </c>
    </row>
    <row r="453" spans="3:17" x14ac:dyDescent="0.25">
      <c r="C453" s="159"/>
      <c r="D453" s="165"/>
      <c r="E453" s="161"/>
      <c r="F453" s="172" t="str">
        <f t="shared" si="20"/>
        <v>-</v>
      </c>
      <c r="G453" s="68"/>
      <c r="H453" s="167"/>
      <c r="I453" s="173"/>
      <c r="J453" s="168" t="str">
        <f>IFERROR(MIN('MP Calculations'!$E$30/I453,1),"-")</f>
        <v>-</v>
      </c>
      <c r="K453" s="12"/>
      <c r="L453" s="159"/>
      <c r="M453" s="159"/>
      <c r="N453" s="159"/>
      <c r="O453" s="185" t="str">
        <f t="shared" si="23"/>
        <v>-</v>
      </c>
      <c r="P453" s="215" t="str">
        <f t="shared" si="21"/>
        <v>-</v>
      </c>
      <c r="Q453" s="215" cm="1">
        <f t="array" ref="Q453">IF(P453="-",0,P453/(1+'General inputs'!$H$32)^IFERROR(INDEX('MP Calculations'!$C$40:$C$130,MATCH(F453,'MP Calculations'!$D$40:$D$130,0),0),-1))</f>
        <v>0</v>
      </c>
    </row>
    <row r="454" spans="3:17" x14ac:dyDescent="0.25">
      <c r="C454" s="159"/>
      <c r="D454" s="165"/>
      <c r="E454" s="161"/>
      <c r="F454" s="172" t="str">
        <f t="shared" si="20"/>
        <v>-</v>
      </c>
      <c r="G454" s="68"/>
      <c r="H454" s="167"/>
      <c r="I454" s="173"/>
      <c r="J454" s="168" t="str">
        <f>IFERROR(MIN('MP Calculations'!$E$30/I454,1),"-")</f>
        <v>-</v>
      </c>
      <c r="K454" s="12"/>
      <c r="L454" s="159"/>
      <c r="M454" s="159"/>
      <c r="N454" s="159"/>
      <c r="O454" s="185" t="str">
        <f t="shared" si="23"/>
        <v>-</v>
      </c>
      <c r="P454" s="215" t="str">
        <f t="shared" si="21"/>
        <v>-</v>
      </c>
      <c r="Q454" s="215" cm="1">
        <f t="array" ref="Q454">IF(P454="-",0,P454/(1+'General inputs'!$H$32)^IFERROR(INDEX('MP Calculations'!$C$40:$C$130,MATCH(F454,'MP Calculations'!$D$40:$D$130,0),0),-1))</f>
        <v>0</v>
      </c>
    </row>
    <row r="455" spans="3:17" x14ac:dyDescent="0.25">
      <c r="C455" s="159"/>
      <c r="D455" s="165"/>
      <c r="E455" s="161"/>
      <c r="F455" s="172" t="str">
        <f t="shared" si="20"/>
        <v>-</v>
      </c>
      <c r="G455" s="68"/>
      <c r="H455" s="167"/>
      <c r="I455" s="173"/>
      <c r="J455" s="168" t="str">
        <f>IFERROR(MIN('MP Calculations'!$E$30/I455,1),"-")</f>
        <v>-</v>
      </c>
      <c r="K455" s="12"/>
      <c r="L455" s="159"/>
      <c r="M455" s="159"/>
      <c r="N455" s="159"/>
      <c r="O455" s="185" t="str">
        <f t="shared" si="23"/>
        <v>-</v>
      </c>
      <c r="P455" s="215" t="str">
        <f t="shared" si="21"/>
        <v>-</v>
      </c>
      <c r="Q455" s="215" cm="1">
        <f t="array" ref="Q455">IF(P455="-",0,P455/(1+'General inputs'!$H$32)^IFERROR(INDEX('MP Calculations'!$C$40:$C$130,MATCH(F455,'MP Calculations'!$D$40:$D$130,0),0),-1))</f>
        <v>0</v>
      </c>
    </row>
    <row r="456" spans="3:17" x14ac:dyDescent="0.25">
      <c r="C456" s="159"/>
      <c r="D456" s="165"/>
      <c r="E456" s="161"/>
      <c r="F456" s="172" t="str">
        <f t="shared" si="20"/>
        <v>-</v>
      </c>
      <c r="G456" s="68"/>
      <c r="H456" s="167"/>
      <c r="I456" s="173"/>
      <c r="J456" s="168" t="str">
        <f>IFERROR(MIN('MP Calculations'!$E$30/I456,1),"-")</f>
        <v>-</v>
      </c>
      <c r="K456" s="12"/>
      <c r="L456" s="159"/>
      <c r="M456" s="159"/>
      <c r="N456" s="159"/>
      <c r="O456" s="185" t="str">
        <f t="shared" si="23"/>
        <v>-</v>
      </c>
      <c r="P456" s="215" t="str">
        <f t="shared" si="21"/>
        <v>-</v>
      </c>
      <c r="Q456" s="215" cm="1">
        <f t="array" ref="Q456">IF(P456="-",0,P456/(1+'General inputs'!$H$32)^IFERROR(INDEX('MP Calculations'!$C$40:$C$130,MATCH(F456,'MP Calculations'!$D$40:$D$130,0),0),-1))</f>
        <v>0</v>
      </c>
    </row>
    <row r="457" spans="3:17" x14ac:dyDescent="0.25">
      <c r="C457" s="159"/>
      <c r="D457" s="165"/>
      <c r="E457" s="161"/>
      <c r="F457" s="172" t="str">
        <f t="shared" si="20"/>
        <v>-</v>
      </c>
      <c r="G457" s="68"/>
      <c r="H457" s="167"/>
      <c r="I457" s="173"/>
      <c r="J457" s="168" t="str">
        <f>IFERROR(MIN('MP Calculations'!$E$30/I457,1),"-")</f>
        <v>-</v>
      </c>
      <c r="K457" s="12"/>
      <c r="L457" s="159"/>
      <c r="M457" s="159"/>
      <c r="N457" s="159"/>
      <c r="O457" s="185" t="str">
        <f t="shared" si="23"/>
        <v>-</v>
      </c>
      <c r="P457" s="215" t="str">
        <f t="shared" si="21"/>
        <v>-</v>
      </c>
      <c r="Q457" s="215" cm="1">
        <f t="array" ref="Q457">IF(P457="-",0,P457/(1+'General inputs'!$H$32)^IFERROR(INDEX('MP Calculations'!$C$40:$C$130,MATCH(F457,'MP Calculations'!$D$40:$D$130,0),0),-1))</f>
        <v>0</v>
      </c>
    </row>
    <row r="458" spans="3:17" x14ac:dyDescent="0.25">
      <c r="C458" s="159"/>
      <c r="D458" s="165"/>
      <c r="E458" s="161"/>
      <c r="F458" s="172" t="str">
        <f t="shared" si="20"/>
        <v>-</v>
      </c>
      <c r="G458" s="68"/>
      <c r="H458" s="167"/>
      <c r="I458" s="173"/>
      <c r="J458" s="168" t="str">
        <f>IFERROR(MIN('MP Calculations'!$E$30/I458,1),"-")</f>
        <v>-</v>
      </c>
      <c r="K458" s="12"/>
      <c r="L458" s="159"/>
      <c r="M458" s="159"/>
      <c r="N458" s="159"/>
      <c r="O458" s="185" t="str">
        <f t="shared" si="23"/>
        <v>-</v>
      </c>
      <c r="P458" s="215" t="str">
        <f t="shared" si="21"/>
        <v>-</v>
      </c>
      <c r="Q458" s="215" cm="1">
        <f t="array" ref="Q458">IF(P458="-",0,P458/(1+'General inputs'!$H$32)^IFERROR(INDEX('MP Calculations'!$C$40:$C$130,MATCH(F458,'MP Calculations'!$D$40:$D$130,0),0),-1))</f>
        <v>0</v>
      </c>
    </row>
    <row r="459" spans="3:17" x14ac:dyDescent="0.25">
      <c r="C459" s="159"/>
      <c r="D459" s="165"/>
      <c r="E459" s="161"/>
      <c r="F459" s="172" t="str">
        <f t="shared" si="20"/>
        <v>-</v>
      </c>
      <c r="G459" s="68"/>
      <c r="H459" s="167"/>
      <c r="I459" s="173"/>
      <c r="J459" s="168" t="str">
        <f>IFERROR(MIN('MP Calculations'!$E$30/I459,1),"-")</f>
        <v>-</v>
      </c>
      <c r="K459" s="12"/>
      <c r="L459" s="159"/>
      <c r="M459" s="159"/>
      <c r="N459" s="159"/>
      <c r="O459" s="185" t="str">
        <f t="shared" si="23"/>
        <v>-</v>
      </c>
      <c r="P459" s="215" t="str">
        <f t="shared" si="21"/>
        <v>-</v>
      </c>
      <c r="Q459" s="215" cm="1">
        <f t="array" ref="Q459">IF(P459="-",0,P459/(1+'General inputs'!$H$32)^IFERROR(INDEX('MP Calculations'!$C$40:$C$130,MATCH(F459,'MP Calculations'!$D$40:$D$130,0),0),-1))</f>
        <v>0</v>
      </c>
    </row>
    <row r="460" spans="3:17" x14ac:dyDescent="0.25">
      <c r="C460" s="159"/>
      <c r="D460" s="165"/>
      <c r="E460" s="161"/>
      <c r="F460" s="172" t="str">
        <f t="shared" si="20"/>
        <v>-</v>
      </c>
      <c r="G460" s="68"/>
      <c r="H460" s="167"/>
      <c r="I460" s="173"/>
      <c r="J460" s="168" t="str">
        <f>IFERROR(MIN('MP Calculations'!$E$30/I460,1),"-")</f>
        <v>-</v>
      </c>
      <c r="K460" s="12"/>
      <c r="L460" s="159"/>
      <c r="M460" s="159"/>
      <c r="N460" s="159"/>
      <c r="O460" s="185" t="str">
        <f t="shared" si="23"/>
        <v>-</v>
      </c>
      <c r="P460" s="215" t="str">
        <f t="shared" si="21"/>
        <v>-</v>
      </c>
      <c r="Q460" s="215" cm="1">
        <f t="array" ref="Q460">IF(P460="-",0,P460/(1+'General inputs'!$H$32)^IFERROR(INDEX('MP Calculations'!$C$40:$C$130,MATCH(F460,'MP Calculations'!$D$40:$D$130,0),0),-1))</f>
        <v>0</v>
      </c>
    </row>
    <row r="461" spans="3:17" x14ac:dyDescent="0.25">
      <c r="C461" s="159"/>
      <c r="D461" s="165"/>
      <c r="E461" s="161"/>
      <c r="F461" s="172" t="str">
        <f t="shared" si="20"/>
        <v>-</v>
      </c>
      <c r="G461" s="68"/>
      <c r="H461" s="167"/>
      <c r="I461" s="173"/>
      <c r="J461" s="168" t="str">
        <f>IFERROR(MIN('MP Calculations'!$E$30/I461,1),"-")</f>
        <v>-</v>
      </c>
      <c r="K461" s="12"/>
      <c r="L461" s="159"/>
      <c r="M461" s="159"/>
      <c r="N461" s="159"/>
      <c r="O461" s="185" t="str">
        <f t="shared" si="23"/>
        <v>-</v>
      </c>
      <c r="P461" s="215" t="str">
        <f t="shared" si="21"/>
        <v>-</v>
      </c>
      <c r="Q461" s="215" cm="1">
        <f t="array" ref="Q461">IF(P461="-",0,P461/(1+'General inputs'!$H$32)^IFERROR(INDEX('MP Calculations'!$C$40:$C$130,MATCH(F461,'MP Calculations'!$D$40:$D$130,0),0),-1))</f>
        <v>0</v>
      </c>
    </row>
    <row r="462" spans="3:17" x14ac:dyDescent="0.25">
      <c r="C462" s="159"/>
      <c r="D462" s="165"/>
      <c r="E462" s="161"/>
      <c r="F462" s="172" t="str">
        <f t="shared" si="20"/>
        <v>-</v>
      </c>
      <c r="G462" s="68"/>
      <c r="H462" s="167"/>
      <c r="I462" s="173"/>
      <c r="J462" s="168" t="str">
        <f>IFERROR(MIN('MP Calculations'!$E$30/I462,1),"-")</f>
        <v>-</v>
      </c>
      <c r="K462" s="12"/>
      <c r="L462" s="159"/>
      <c r="M462" s="159"/>
      <c r="N462" s="159"/>
      <c r="O462" s="185" t="str">
        <f t="shared" si="23"/>
        <v>-</v>
      </c>
      <c r="P462" s="215" t="str">
        <f t="shared" si="21"/>
        <v>-</v>
      </c>
      <c r="Q462" s="215" cm="1">
        <f t="array" ref="Q462">IF(P462="-",0,P462/(1+'General inputs'!$H$32)^IFERROR(INDEX('MP Calculations'!$C$40:$C$130,MATCH(F462,'MP Calculations'!$D$40:$D$130,0),0),-1))</f>
        <v>0</v>
      </c>
    </row>
    <row r="463" spans="3:17" x14ac:dyDescent="0.25">
      <c r="C463" s="159"/>
      <c r="D463" s="165"/>
      <c r="E463" s="161"/>
      <c r="F463" s="172" t="str">
        <f t="shared" si="20"/>
        <v>-</v>
      </c>
      <c r="G463" s="68"/>
      <c r="H463" s="167"/>
      <c r="I463" s="173"/>
      <c r="J463" s="168" t="str">
        <f>IFERROR(MIN('MP Calculations'!$E$30/I463,1),"-")</f>
        <v>-</v>
      </c>
      <c r="K463" s="12"/>
      <c r="L463" s="159"/>
      <c r="M463" s="159"/>
      <c r="N463" s="159"/>
      <c r="O463" s="185" t="str">
        <f t="shared" si="23"/>
        <v>-</v>
      </c>
      <c r="P463" s="215" t="str">
        <f t="shared" si="21"/>
        <v>-</v>
      </c>
      <c r="Q463" s="215" cm="1">
        <f t="array" ref="Q463">IF(P463="-",0,P463/(1+'General inputs'!$H$32)^IFERROR(INDEX('MP Calculations'!$C$40:$C$130,MATCH(F463,'MP Calculations'!$D$40:$D$130,0),0),-1))</f>
        <v>0</v>
      </c>
    </row>
    <row r="464" spans="3:17" x14ac:dyDescent="0.25">
      <c r="C464" s="159"/>
      <c r="D464" s="165"/>
      <c r="E464" s="161"/>
      <c r="F464" s="172" t="str">
        <f t="shared" si="20"/>
        <v>-</v>
      </c>
      <c r="G464" s="68"/>
      <c r="H464" s="167"/>
      <c r="I464" s="173"/>
      <c r="J464" s="168" t="str">
        <f>IFERROR(MIN('MP Calculations'!$E$30/I464,1),"-")</f>
        <v>-</v>
      </c>
      <c r="K464" s="12"/>
      <c r="L464" s="159"/>
      <c r="M464" s="159"/>
      <c r="N464" s="159"/>
      <c r="O464" s="185" t="str">
        <f t="shared" si="23"/>
        <v>-</v>
      </c>
      <c r="P464" s="215" t="str">
        <f t="shared" si="21"/>
        <v>-</v>
      </c>
      <c r="Q464" s="215" cm="1">
        <f t="array" ref="Q464">IF(P464="-",0,P464/(1+'General inputs'!$H$32)^IFERROR(INDEX('MP Calculations'!$C$40:$C$130,MATCH(F464,'MP Calculations'!$D$40:$D$130,0),0),-1))</f>
        <v>0</v>
      </c>
    </row>
    <row r="465" spans="3:17" x14ac:dyDescent="0.25">
      <c r="C465" s="159"/>
      <c r="D465" s="165"/>
      <c r="E465" s="161"/>
      <c r="F465" s="172" t="str">
        <f t="shared" si="20"/>
        <v>-</v>
      </c>
      <c r="G465" s="68"/>
      <c r="H465" s="167"/>
      <c r="I465" s="173"/>
      <c r="J465" s="168" t="str">
        <f>IFERROR(MIN('MP Calculations'!$E$30/I465,1),"-")</f>
        <v>-</v>
      </c>
      <c r="K465" s="12"/>
      <c r="L465" s="159"/>
      <c r="M465" s="159"/>
      <c r="N465" s="159"/>
      <c r="O465" s="185" t="str">
        <f t="shared" si="23"/>
        <v>-</v>
      </c>
      <c r="P465" s="215" t="str">
        <f t="shared" si="21"/>
        <v>-</v>
      </c>
      <c r="Q465" s="215" cm="1">
        <f t="array" ref="Q465">IF(P465="-",0,P465/(1+'General inputs'!$H$32)^IFERROR(INDEX('MP Calculations'!$C$40:$C$130,MATCH(F465,'MP Calculations'!$D$40:$D$130,0),0),-1))</f>
        <v>0</v>
      </c>
    </row>
    <row r="466" spans="3:17" x14ac:dyDescent="0.25">
      <c r="C466" s="159"/>
      <c r="D466" s="165"/>
      <c r="E466" s="161"/>
      <c r="F466" s="172" t="str">
        <f t="shared" si="20"/>
        <v>-</v>
      </c>
      <c r="G466" s="68"/>
      <c r="H466" s="167"/>
      <c r="I466" s="173"/>
      <c r="J466" s="168" t="str">
        <f>IFERROR(MIN('MP Calculations'!$E$30/I466,1),"-")</f>
        <v>-</v>
      </c>
      <c r="K466" s="12"/>
      <c r="L466" s="159"/>
      <c r="M466" s="159"/>
      <c r="N466" s="159"/>
      <c r="O466" s="185" t="str">
        <f t="shared" si="23"/>
        <v>-</v>
      </c>
      <c r="P466" s="215" t="str">
        <f t="shared" si="21"/>
        <v>-</v>
      </c>
      <c r="Q466" s="215" cm="1">
        <f t="array" ref="Q466">IF(P466="-",0,P466/(1+'General inputs'!$H$32)^IFERROR(INDEX('MP Calculations'!$C$40:$C$130,MATCH(F466,'MP Calculations'!$D$40:$D$130,0),0),-1))</f>
        <v>0</v>
      </c>
    </row>
    <row r="467" spans="3:17" x14ac:dyDescent="0.25">
      <c r="C467" s="159"/>
      <c r="D467" s="165"/>
      <c r="E467" s="161"/>
      <c r="F467" s="172" t="str">
        <f t="shared" si="20"/>
        <v>-</v>
      </c>
      <c r="G467" s="68"/>
      <c r="H467" s="167"/>
      <c r="I467" s="173"/>
      <c r="J467" s="168" t="str">
        <f>IFERROR(MIN('MP Calculations'!$E$30/I467,1),"-")</f>
        <v>-</v>
      </c>
      <c r="K467" s="12"/>
      <c r="L467" s="159"/>
      <c r="M467" s="159"/>
      <c r="N467" s="159"/>
      <c r="O467" s="185" t="str">
        <f t="shared" si="23"/>
        <v>-</v>
      </c>
      <c r="P467" s="215" t="str">
        <f t="shared" si="21"/>
        <v>-</v>
      </c>
      <c r="Q467" s="215" cm="1">
        <f t="array" ref="Q467">IF(P467="-",0,P467/(1+'General inputs'!$H$32)^IFERROR(INDEX('MP Calculations'!$C$40:$C$130,MATCH(F467,'MP Calculations'!$D$40:$D$130,0),0),-1))</f>
        <v>0</v>
      </c>
    </row>
    <row r="468" spans="3:17" x14ac:dyDescent="0.25">
      <c r="C468" s="159"/>
      <c r="D468" s="165"/>
      <c r="E468" s="161"/>
      <c r="F468" s="172" t="str">
        <f t="shared" si="20"/>
        <v>-</v>
      </c>
      <c r="G468" s="68"/>
      <c r="H468" s="167"/>
      <c r="I468" s="173"/>
      <c r="J468" s="168" t="str">
        <f>IFERROR(MIN('MP Calculations'!$E$30/I468,1),"-")</f>
        <v>-</v>
      </c>
      <c r="K468" s="12"/>
      <c r="L468" s="159"/>
      <c r="M468" s="159"/>
      <c r="N468" s="159"/>
      <c r="O468" s="185" t="str">
        <f t="shared" si="23"/>
        <v>-</v>
      </c>
      <c r="P468" s="215" t="str">
        <f t="shared" si="21"/>
        <v>-</v>
      </c>
      <c r="Q468" s="215" cm="1">
        <f t="array" ref="Q468">IF(P468="-",0,P468/(1+'General inputs'!$H$32)^IFERROR(INDEX('MP Calculations'!$C$40:$C$130,MATCH(F468,'MP Calculations'!$D$40:$D$130,0),0),-1))</f>
        <v>0</v>
      </c>
    </row>
    <row r="469" spans="3:17" x14ac:dyDescent="0.25">
      <c r="C469" s="159"/>
      <c r="D469" s="165"/>
      <c r="E469" s="161"/>
      <c r="F469" s="172" t="str">
        <f t="shared" si="20"/>
        <v>-</v>
      </c>
      <c r="G469" s="68"/>
      <c r="H469" s="167"/>
      <c r="I469" s="173"/>
      <c r="J469" s="168" t="str">
        <f>IFERROR(MIN('MP Calculations'!$E$30/I469,1),"-")</f>
        <v>-</v>
      </c>
      <c r="K469" s="12"/>
      <c r="L469" s="159"/>
      <c r="M469" s="159"/>
      <c r="N469" s="159"/>
      <c r="O469" s="185" t="str">
        <f t="shared" si="23"/>
        <v>-</v>
      </c>
      <c r="P469" s="215" t="str">
        <f t="shared" si="21"/>
        <v>-</v>
      </c>
      <c r="Q469" s="215" cm="1">
        <f t="array" ref="Q469">IF(P469="-",0,P469/(1+'General inputs'!$H$32)^IFERROR(INDEX('MP Calculations'!$C$40:$C$130,MATCH(F469,'MP Calculations'!$D$40:$D$130,0),0),-1))</f>
        <v>0</v>
      </c>
    </row>
    <row r="470" spans="3:17" x14ac:dyDescent="0.25">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5" t="str">
        <f t="shared" si="23"/>
        <v>-</v>
      </c>
      <c r="P470" s="215" t="str">
        <f t="shared" si="21"/>
        <v>-</v>
      </c>
      <c r="Q470" s="215" cm="1">
        <f t="array" ref="Q470">IF(P470="-",0,P470/(1+'General inputs'!$H$32)^IFERROR(INDEX('MP Calculations'!$C$40:$C$130,MATCH(F470,'MP Calculations'!$D$40:$D$130,0),0),-1))</f>
        <v>0</v>
      </c>
    </row>
    <row r="471" spans="3:17" x14ac:dyDescent="0.25">
      <c r="C471" s="159"/>
      <c r="D471" s="165"/>
      <c r="E471" s="161"/>
      <c r="F471" s="172" t="str">
        <f t="shared" si="24"/>
        <v>-</v>
      </c>
      <c r="G471" s="68"/>
      <c r="H471" s="167"/>
      <c r="I471" s="173"/>
      <c r="J471" s="168" t="str">
        <f>IFERROR(MIN('MP Calculations'!$E$30/I471,1),"-")</f>
        <v>-</v>
      </c>
      <c r="K471" s="12"/>
      <c r="L471" s="159"/>
      <c r="M471" s="159"/>
      <c r="N471" s="159"/>
      <c r="O471" s="185" t="str">
        <f t="shared" si="23"/>
        <v>-</v>
      </c>
      <c r="P471" s="215" t="str">
        <f t="shared" ref="P471:P534" si="25">IF(O471="-","-",IF(OR(E471&lt;$E$15,E471&gt;$E$16),0,O471*J471))</f>
        <v>-</v>
      </c>
      <c r="Q471" s="215" cm="1">
        <f t="array" ref="Q471">IF(P471="-",0,P471/(1+'General inputs'!$H$32)^IFERROR(INDEX('MP Calculations'!$C$40:$C$130,MATCH(F471,'MP Calculations'!$D$40:$D$130,0),0),-1))</f>
        <v>0</v>
      </c>
    </row>
    <row r="472" spans="3:17" x14ac:dyDescent="0.25">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x14ac:dyDescent="0.25">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x14ac:dyDescent="0.25">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x14ac:dyDescent="0.25">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x14ac:dyDescent="0.25">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x14ac:dyDescent="0.25">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x14ac:dyDescent="0.25">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x14ac:dyDescent="0.25">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x14ac:dyDescent="0.25">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x14ac:dyDescent="0.25">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x14ac:dyDescent="0.25">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x14ac:dyDescent="0.25">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x14ac:dyDescent="0.25">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x14ac:dyDescent="0.25">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x14ac:dyDescent="0.25">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x14ac:dyDescent="0.25">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x14ac:dyDescent="0.25">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x14ac:dyDescent="0.25">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x14ac:dyDescent="0.25">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x14ac:dyDescent="0.25">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x14ac:dyDescent="0.25">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x14ac:dyDescent="0.25">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x14ac:dyDescent="0.25">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x14ac:dyDescent="0.25">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x14ac:dyDescent="0.25">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x14ac:dyDescent="0.25">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x14ac:dyDescent="0.25">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x14ac:dyDescent="0.25">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x14ac:dyDescent="0.25">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x14ac:dyDescent="0.25">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x14ac:dyDescent="0.25">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x14ac:dyDescent="0.25">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x14ac:dyDescent="0.25">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x14ac:dyDescent="0.25">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x14ac:dyDescent="0.25">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x14ac:dyDescent="0.25">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x14ac:dyDescent="0.25">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x14ac:dyDescent="0.25">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x14ac:dyDescent="0.25">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x14ac:dyDescent="0.25">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x14ac:dyDescent="0.25">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x14ac:dyDescent="0.25">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x14ac:dyDescent="0.25">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x14ac:dyDescent="0.25">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x14ac:dyDescent="0.25">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x14ac:dyDescent="0.25">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x14ac:dyDescent="0.25">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x14ac:dyDescent="0.25">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x14ac:dyDescent="0.25">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x14ac:dyDescent="0.25">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x14ac:dyDescent="0.25">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x14ac:dyDescent="0.25">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x14ac:dyDescent="0.25">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x14ac:dyDescent="0.25">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x14ac:dyDescent="0.25">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x14ac:dyDescent="0.25">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x14ac:dyDescent="0.25">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x14ac:dyDescent="0.25">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x14ac:dyDescent="0.25">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x14ac:dyDescent="0.25">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x14ac:dyDescent="0.25">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x14ac:dyDescent="0.25">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x14ac:dyDescent="0.25">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x14ac:dyDescent="0.25">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x14ac:dyDescent="0.25">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x14ac:dyDescent="0.25">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x14ac:dyDescent="0.25">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x14ac:dyDescent="0.25">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x14ac:dyDescent="0.25">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x14ac:dyDescent="0.25">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x14ac:dyDescent="0.25">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x14ac:dyDescent="0.25">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x14ac:dyDescent="0.25">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x14ac:dyDescent="0.25">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x14ac:dyDescent="0.25">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x14ac:dyDescent="0.25">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x14ac:dyDescent="0.25">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x14ac:dyDescent="0.25">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x14ac:dyDescent="0.25">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x14ac:dyDescent="0.25">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x14ac:dyDescent="0.25">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x14ac:dyDescent="0.25">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x14ac:dyDescent="0.25">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x14ac:dyDescent="0.25">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x14ac:dyDescent="0.25">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x14ac:dyDescent="0.25">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x14ac:dyDescent="0.25">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x14ac:dyDescent="0.25">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x14ac:dyDescent="0.25">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x14ac:dyDescent="0.25">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x14ac:dyDescent="0.25">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x14ac:dyDescent="0.25">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x14ac:dyDescent="0.25">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x14ac:dyDescent="0.25">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x14ac:dyDescent="0.25">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x14ac:dyDescent="0.25">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x14ac:dyDescent="0.25">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x14ac:dyDescent="0.25">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x14ac:dyDescent="0.25">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x14ac:dyDescent="0.25">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x14ac:dyDescent="0.25">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x14ac:dyDescent="0.25">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x14ac:dyDescent="0.25">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x14ac:dyDescent="0.25">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x14ac:dyDescent="0.25">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x14ac:dyDescent="0.25">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x14ac:dyDescent="0.25">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x14ac:dyDescent="0.25">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x14ac:dyDescent="0.25">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x14ac:dyDescent="0.25">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x14ac:dyDescent="0.25">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x14ac:dyDescent="0.25">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x14ac:dyDescent="0.25">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x14ac:dyDescent="0.25">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x14ac:dyDescent="0.25">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x14ac:dyDescent="0.25">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x14ac:dyDescent="0.25">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x14ac:dyDescent="0.25">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x14ac:dyDescent="0.25">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x14ac:dyDescent="0.25">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x14ac:dyDescent="0.25">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x14ac:dyDescent="0.25">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x14ac:dyDescent="0.25">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x14ac:dyDescent="0.25">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x14ac:dyDescent="0.25">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x14ac:dyDescent="0.25">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5">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5">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5">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5">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5">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5">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5">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5">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5">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5">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5">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5">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5">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5">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5">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5">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5">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5">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5">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5">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5">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5">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5">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5">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5">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5">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5">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5">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5">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5">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5">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5">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5">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5">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5">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5">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5">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5">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5">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5">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5">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5">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5">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5">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5">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5">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5">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5">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5">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5">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5">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5">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5">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5">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5">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5">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5">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5">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5">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5">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5">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5">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5">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5">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5">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5">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5">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5">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5">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5">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5">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5">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5">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5">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5">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5">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5">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5">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5">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5">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5">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5">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5">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5">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5">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5">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5">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5">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5">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5">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5">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5">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5">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5">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5">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5">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5">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5">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5">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5">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5">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5">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5">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5">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5">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5">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5">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5">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5">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5">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5">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5">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5">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5">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5">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5">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5">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5">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5">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5">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5">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5">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5">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5">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5">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5">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5">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5">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5">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5">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5">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5">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5">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5">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5">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5">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5">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5">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5">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5">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5">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5">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5">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5">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5">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5">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5">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5">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5">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5">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5">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5">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5">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5">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5">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5">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5">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5">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5">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5">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5">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5">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5">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5">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5">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5">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5">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5">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5">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5">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5">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5">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5">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5">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5">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5">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5">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5">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5">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5">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5">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5">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5">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5">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5">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5">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5">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5">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5">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5">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5">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5">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5">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5">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5">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5">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5">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5">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5">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5">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5">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5">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5">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5">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5">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5">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5">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5">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5">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5">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5">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5">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5">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5">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5">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5">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5">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5">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5">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5">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5">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5">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5">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5">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5">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5">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5">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5">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5">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5">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5">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5">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5">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5">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5">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5">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5">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5">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5">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5">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5">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5">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5">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5">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5">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5">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5">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5">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5">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5">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5">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5">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5">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5">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5">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5">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5">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5">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5">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5">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5">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5">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5">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5">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5">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5">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5">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5">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5">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5">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5">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5">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5">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5">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5">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5">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5">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5">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5">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5">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5">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5">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5">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5">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5">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5">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5">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5">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5">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5">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5">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5">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5">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5">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5">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5">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5">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5">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5">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5">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5">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5">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5">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5">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5">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5">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5">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5">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5">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5">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5">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5">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5">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5">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5">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5">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5">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5">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5">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5">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5">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5">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5">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5">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5">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5">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5">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5">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5">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5">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5">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5">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5">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5">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5">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5">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5">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5">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5">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5">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5">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5">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5">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5">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5">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5">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5">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5">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5">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5">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5">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5">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5">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5">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5">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5">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5">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5">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5">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5">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5">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5">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5">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5">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5">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5">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5">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5">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5">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5">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5">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5">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5">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5">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5">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5">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5">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5">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5">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5">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5">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5">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5">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5">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5">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5">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5">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5">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5">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5">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5">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5">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5">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5">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5">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5">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5">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5">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5">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5">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5">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5">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5">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5">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5">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5">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5">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5">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5">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5">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5">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5">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5">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5">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5">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5">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5">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5">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5">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5">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5">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5">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5">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5">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5">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5">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5">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5">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5">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5">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5">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5">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5">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5">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5">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5">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5">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5">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5">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5">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5">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5">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5">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5">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5">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5">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5">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5">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5">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5">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5">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5">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5">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5">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5">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5">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5">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5">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5">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5">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5">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5">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5">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5">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5">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5">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5">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5">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5">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5">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5">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5">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5">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5">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5">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5">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5">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5">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5">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5">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5">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5">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5">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5">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5">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5">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5">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5">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5">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5">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5">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5">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5">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5">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5">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5">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5">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5">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5">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5">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5">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5">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5">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5">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5">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5">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5">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5">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5">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5">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5">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5">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5">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5">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5">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5">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5">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5">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5">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5">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5">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5">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5">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5">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5">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5">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5">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5">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5">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5">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5">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5">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5">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5">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5">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5">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5">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5">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5">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5">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5">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5">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5">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5">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5">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5">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5">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5">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5">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5">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5">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5">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5">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5">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5">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5">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5">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5">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5">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5">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5">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5">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5">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5">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5">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5">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5">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5">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5">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5">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5">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5">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5">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5">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5">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5">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5">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5">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5">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5">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5">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5">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5">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5">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5">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5">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5">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5">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5">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5">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5">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5">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5">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5">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5">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5">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5">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5">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5">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5">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5">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5">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5">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5">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5">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5">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5">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5">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5">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5">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5">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5">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5">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5">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5">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5">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5">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5">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5">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5">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5">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5">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5">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5">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5">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5">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5">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5">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5">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5">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5">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5">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5">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5">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5">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5">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5">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5">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5">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5">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5">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5">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5">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5">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5">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5">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5">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5">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5">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5">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5">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5">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5">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5">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5">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5">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5">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5">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5">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5">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5">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5">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5">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5">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5">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5">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5">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5">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5">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5">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5">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5">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5">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5">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5">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5">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5">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5">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5">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5">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5">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5">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5">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5">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5">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5">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5">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5">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5">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5">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5">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5">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5">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5">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5">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5">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5">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5">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5">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5">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5">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5">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5">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5">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5">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5">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5">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5">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5">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5">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5">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5">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5">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5">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5">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5">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5">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5">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5">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5">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5">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5">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5">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5">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5">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5">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5">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5">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5">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5">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5">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5">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5">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5">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5">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5">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5">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5">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5">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5">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5">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5">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5">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5">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5">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5">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5">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5">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5">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5">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5">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5">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5">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5">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5">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5">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5">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5">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5">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5">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5">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5">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5">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5">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5">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5">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5">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5">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5">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5">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5">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5">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5">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5">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5">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5">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5">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5">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5">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5">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5">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5">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5">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5">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5">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5">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5">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5">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5">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5">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5">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5">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5">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5">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5">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5">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5">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5">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5">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5">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5">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5">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5">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5">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5">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5">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5">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5">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5">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5">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5">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5">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5">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5">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5">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5">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5">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5">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5">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5">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5">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5">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5">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5">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5">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5">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5">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5">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5">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5">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5">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5">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5">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5">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5">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5">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5">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5">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5">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5">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5">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5">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5">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5">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5">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5">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5">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5">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5">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5">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5">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5">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5">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5">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5">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5">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5">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5">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5">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5">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5">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5">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5">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5">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5">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5">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5">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5">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5">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5">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5">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5">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5">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5">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5">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5">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5">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5">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5">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5">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5">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5">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5">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5">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5">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5">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5">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5">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5">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5">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5">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5">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5">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5">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5">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5">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5">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5">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5">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5">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5">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5">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5">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5">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5">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5">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5">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5">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5">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5">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5">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5">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5">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5">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5">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5">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5">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5">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5">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5">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5">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5">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5">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5">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5">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5">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5">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5">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5">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5">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5">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5">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5">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5">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5">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5">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5">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5">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5">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5">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5">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5">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5">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5">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5">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5">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5">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5">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5">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5">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5">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5">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5">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5">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5">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5">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5">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5">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5">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5">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5">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5">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5">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5">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5">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5">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5">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5">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5">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5">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5">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5">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5">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5">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5">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5">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5">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5">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5">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5">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5">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5">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5">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5">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5">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5">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5">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5">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5">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5">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5">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5">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5">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5">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5">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5">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5">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5">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5">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5">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5">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5">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5">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5">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5">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5">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5">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5">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5">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5">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5">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5">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5">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5">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5">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5">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5">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5">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5">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5">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5">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5">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5">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5">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5">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5">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5">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5">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5">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5">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5">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5">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5">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5">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5">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5">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5">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5">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5">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5">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5">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5">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5">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5">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5">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5">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5">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5">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5">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5">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5">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5">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5">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5">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5">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5">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5">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5">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5">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5">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5">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5">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5">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5">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5">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5">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5">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5">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5">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5">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5">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5">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5">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5">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5">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5">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5">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5">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5">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5">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5">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5">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5">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5">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5">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5">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5">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5">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5">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5">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5">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5">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5">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5">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5">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5">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5">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5">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5">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5">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5">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5">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5">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5">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5">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5">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5">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5">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5">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5">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5">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5">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5">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5">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5">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5">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5">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5">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5">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5">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5">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5">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5">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5">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5">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5">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5">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5">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5">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5">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5">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5">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5">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5">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5">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5">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5">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5">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5">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5">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5">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5">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5">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5">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5">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5">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5">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5">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5">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5">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5">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5">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5">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5">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5">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5">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5">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5">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5">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5">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5">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5">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5">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5">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5">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5">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5">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5">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5">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5">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5">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5">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5">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5">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5">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5">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5">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5">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5">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5">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5">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5">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5">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5">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5">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5">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5">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5">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5">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5">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5">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5">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5">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5">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5">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5">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5">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5">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5">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5">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5">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5">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5">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5">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5">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5">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5">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5">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5">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5">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5">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5">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5">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5">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5">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5">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5">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5">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5">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5">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5">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5">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5">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5">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5">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5">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5">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5">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5">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5">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5">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5">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5">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5">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5">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5">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5">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5">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5">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5">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5">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5">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5">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5">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5">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5">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5">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5">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5">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5">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5">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5">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5">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5">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5">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5">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5">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5">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5">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5">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5">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5">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5">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5">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5">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5">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5">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5">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5">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5">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5">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5">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5">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5">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5">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5">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5">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5">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5">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5">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5">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5">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5">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5">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5">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5">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5">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5">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5">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5">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5">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5">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5">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5">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5">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5">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5">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5">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5">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5">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5">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5">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5">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5">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5">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5">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5">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5">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5">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5">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5">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5">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5">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5">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5">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5">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5">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5">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5">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5">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5">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5">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5">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5">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5">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5">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5">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5">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5">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5">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5">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5">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5">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5">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5">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5">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5">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5">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5">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5">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5">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5">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5">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5">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5">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5">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5">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5">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5">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5">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5">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5">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5">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5">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5">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5">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5">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5">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5">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5">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5">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5">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5">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5">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5">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5">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5">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5">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5">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5">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5">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5">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5">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5">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5">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5">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5">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5">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5">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5">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5">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5">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5">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5">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5">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5">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5">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5">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5">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5">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5">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5">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5">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5">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5">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5">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5">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5">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5">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5">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5">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5">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5">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5">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5">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5">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5">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5">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5">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5">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5">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5">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5">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5">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5">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5">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5">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5">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5">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5">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5">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5">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5">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5">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5">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5">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5">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5">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5">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5">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5">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5">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5">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5">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5">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5">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5">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5">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5">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5">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5">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5">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5">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5">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5">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5">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5">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5">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5">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5">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5">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5">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5">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5">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5">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5">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5">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5">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5">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5">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5">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5">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5">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5">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5">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5">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5">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5">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5">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5">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5">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5">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5">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5">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5">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5">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5">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5">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5">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5">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5">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5">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5">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5">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5">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5">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5">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5">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5">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5">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5">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5">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5">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5">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5">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5">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5">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5">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5">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5">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5">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5">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5">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5">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5">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5">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5">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5">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5">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5">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5">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5">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5">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5">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5">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5">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5">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5">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5">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5">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5">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5">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5">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5">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5">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5">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5">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5">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5">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5">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5">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5">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5">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5">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5">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5">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5">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5">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5">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5">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5">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5">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5">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5">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5">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5">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5">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5">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5">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5">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5">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5">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5">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5">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5">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5">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5">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5">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5">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5">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5">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5">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5">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5">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5">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5">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5">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5">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5">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5">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5">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5">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5">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5">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5">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5">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5">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5">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5">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5">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5">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5">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5">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5">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5">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5">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5">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5">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5">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5">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5">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5">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5">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5">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5">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5">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5">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5">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5">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5">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5">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5">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5">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5">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5">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5">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5">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5">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5">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5">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5">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5">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5">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5">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5">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5">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5">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5">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5">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5">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5">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5">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5">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5">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5">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5">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5">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5">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5">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5">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5">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5">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5">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5">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5">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5">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5">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5">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5">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5">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5">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5">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5">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5">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5">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5">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5">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5">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5">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5">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5">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5">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5">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5">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5">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5">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5">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5">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5">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5">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5">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5">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5">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5">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5">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5">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5">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5">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5">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5">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5">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5">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5">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5">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5">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5">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5">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5">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5">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5">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5">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5">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5">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5">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5">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5">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5">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5">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5">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5">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5">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5">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5">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5">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5">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5">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5">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5">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5">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5">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5">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5">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5">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5">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5">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5">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5">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5">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5">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5">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5">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5">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5">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5">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5">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5">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5">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5">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5">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5">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5">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5">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5">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5">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5">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5">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5">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5">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5">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5">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5">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5">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5">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5">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5">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5">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5">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5">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5">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5">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5">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5">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5">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5">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5">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5">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5">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5">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5">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5">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5">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5">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5">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5">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5">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5">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5">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5">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5">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5">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5">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5">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5">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5">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5">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5">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5">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5">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5">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5">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5">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5">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5">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5">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5">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5">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5">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5">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5">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5">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5">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5">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5">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5">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5">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5">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5">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5">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5">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5">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5">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5">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5">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5">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5">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5">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5">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5">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5">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5">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5">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5">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5">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5">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5">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5">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5">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5">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5">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5">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5">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5">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5">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5">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5">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5">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5">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5">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5">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5">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5">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5">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5">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5">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5">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5">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5">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5">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5">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5">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5">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5">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5">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5">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5">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5">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5">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5">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5">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5">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5">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5">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5">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5">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5">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5">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5">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5">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5">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5">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5">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5">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5">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5">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5">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5">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5">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5">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5">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5">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5">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5">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5">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5">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5">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5">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5">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5">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5">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5">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5">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5">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5">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5">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5">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5">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5">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5">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5">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5">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5">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5">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5">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5">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5">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5">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5">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5">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5">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5">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5">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5">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5">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5">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5">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5">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5">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5">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5">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5">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5">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5">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5">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5">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5">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5">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5">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5">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5">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5">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5">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5">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5">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5">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5">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5">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5">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5">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5">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5">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5">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5">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5">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5">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5">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5">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5">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5">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5">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5">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5">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5">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5">
      <c r="D2530" s="94"/>
      <c r="O2530" s="6" t="s">
        <v>19</v>
      </c>
      <c r="P2530" s="235">
        <f>SUM(P22:P2529)</f>
        <v>23567936.507698212</v>
      </c>
      <c r="Q2530" s="236">
        <f>SUM(Q22:Q2529)</f>
        <v>37841435.587453417</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F36" sqref="F36"/>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x14ac:dyDescent="0.25">
      <c r="E1" s="27"/>
    </row>
    <row r="2" spans="3:6" x14ac:dyDescent="0.25">
      <c r="E2" s="27"/>
      <c r="F2" s="27"/>
    </row>
    <row r="3" spans="3:6" ht="20" x14ac:dyDescent="0.4">
      <c r="C3" s="50" t="s">
        <v>203</v>
      </c>
    </row>
    <row r="6" spans="3:6" ht="12" customHeight="1" x14ac:dyDescent="0.25">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5">
      <c r="C7" s="104" t="str">
        <f ca="1">"Hyperlink to the '"&amp;MID(CELL("filename",'Asset exclusions'!A1),FIND("]",CELL("filename",'Asset exclusions'!A1))+1,255)&amp;"' worksheet:"</f>
        <v>Hyperlink to the 'Asset exclusions' worksheet:</v>
      </c>
      <c r="E7" s="134" t="s">
        <v>187</v>
      </c>
    </row>
    <row r="8" spans="3:6" x14ac:dyDescent="0.25">
      <c r="C8" s="104"/>
      <c r="E8" s="134"/>
    </row>
    <row r="9" spans="3:6" x14ac:dyDescent="0.25">
      <c r="C9" s="104" t="s">
        <v>242</v>
      </c>
      <c r="E9" s="134"/>
    </row>
    <row r="10" spans="3:6" x14ac:dyDescent="0.25">
      <c r="C10" s="104" t="s">
        <v>245</v>
      </c>
      <c r="E10" s="134"/>
    </row>
    <row r="11" spans="3:6" x14ac:dyDescent="0.25">
      <c r="C11" s="104" t="s">
        <v>244</v>
      </c>
      <c r="E11" s="134"/>
    </row>
    <row r="12" spans="3:6" x14ac:dyDescent="0.25">
      <c r="C12" s="104" t="s">
        <v>243</v>
      </c>
      <c r="E12" s="134"/>
    </row>
    <row r="14" spans="3:6" x14ac:dyDescent="0.25">
      <c r="C14" s="6" t="s">
        <v>54</v>
      </c>
    </row>
    <row r="15" spans="3:6" x14ac:dyDescent="0.25">
      <c r="C15" s="57" t="s">
        <v>58</v>
      </c>
      <c r="E15" s="232">
        <f>'General inputs'!$H$18+1-365</f>
        <v>44378</v>
      </c>
      <c r="F15" s="57" t="s">
        <v>482</v>
      </c>
    </row>
    <row r="16" spans="3:6" x14ac:dyDescent="0.25">
      <c r="C16" s="57"/>
      <c r="F16" s="242" t="s">
        <v>483</v>
      </c>
    </row>
    <row r="17" spans="3:18" x14ac:dyDescent="0.25">
      <c r="F17" s="242" t="s">
        <v>484</v>
      </c>
    </row>
    <row r="18" spans="3:18" ht="15.5" x14ac:dyDescent="0.35">
      <c r="C18" s="2" t="s">
        <v>209</v>
      </c>
      <c r="I18" s="188"/>
    </row>
    <row r="20" spans="3:18" x14ac:dyDescent="0.25">
      <c r="C20" s="6" t="s">
        <v>16</v>
      </c>
      <c r="H20" s="6" t="s">
        <v>17</v>
      </c>
      <c r="L20" s="6" t="s">
        <v>18</v>
      </c>
      <c r="M20" s="6"/>
    </row>
    <row r="21" spans="3:18" ht="46" x14ac:dyDescent="0.25">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5">
      <c r="C22" s="158"/>
      <c r="D22" s="165"/>
      <c r="E22" s="161"/>
      <c r="F22" s="164" t="str">
        <f>IF(E22="","-",IF(E22&lt;$E$15,"ERROR - date outside of range",IF(MONTH(E22)&gt;=7,YEAR(E22)&amp;"-"&amp;RIGHT(YEAR(E22),2)+1,YEAR(E22)-1&amp;"-"&amp;RIGHT(YEAR(E22),2))))</f>
        <v>-</v>
      </c>
      <c r="G22" s="68"/>
      <c r="H22" s="167"/>
      <c r="I22" s="192"/>
      <c r="J22" s="189"/>
      <c r="K22" s="12"/>
      <c r="L22" s="158"/>
      <c r="M22" s="158"/>
      <c r="N22" s="173"/>
      <c r="O22" s="226" t="str">
        <f>IF(N22="","-",L22*N22)</f>
        <v>-</v>
      </c>
      <c r="P22" s="227" t="str">
        <f>IF(O22="-","-",IF(E22&lt;$E$15,0,O22*J22))</f>
        <v>-</v>
      </c>
      <c r="Q22" s="215" cm="1">
        <f t="array" ref="Q22">IF(P22="-",0,P22/(1+'General inputs'!$H$32)^IFERROR(INDEX('MP Calculations'!$C$40:$C$130,MATCH(F22,'MP Calculations'!$D$40:$D$130,0),0),-1))</f>
        <v>0</v>
      </c>
    </row>
    <row r="23" spans="3:18" x14ac:dyDescent="0.25">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8" t="str">
        <f t="shared" ref="O23:O28" si="1">IF(N23="","-",L23*N23)</f>
        <v>-</v>
      </c>
      <c r="P23" s="229" t="str">
        <f t="shared" ref="P23:P28" si="2">IF(O23="-","-",IF(E23&lt;$E$15,0,O23*J23))</f>
        <v>-</v>
      </c>
      <c r="Q23" s="215" cm="1">
        <f t="array" ref="Q23">IF(P23="-",0,P23/(1+'General inputs'!$H$32)^IFERROR(INDEX('MP Calculations'!$C$40:$C$130,MATCH(F23,'MP Calculations'!$D$40:$D$130,0),0),-1))</f>
        <v>0</v>
      </c>
      <c r="R23" s="84"/>
    </row>
    <row r="24" spans="3:18" x14ac:dyDescent="0.25">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x14ac:dyDescent="0.25">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x14ac:dyDescent="0.25">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5">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5">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5">
      <c r="O29" s="6" t="s">
        <v>19</v>
      </c>
      <c r="P29" s="220">
        <f>SUM(P22:P28)</f>
        <v>0</v>
      </c>
      <c r="Q29" s="220">
        <f>SUM(Q22:Q28)</f>
        <v>0</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U48" sqref="AU48"/>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x14ac:dyDescent="0.4">
      <c r="C3" s="50" t="s">
        <v>117</v>
      </c>
    </row>
    <row r="6" spans="3:40" x14ac:dyDescent="0.25">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39" t="s">
        <v>273</v>
      </c>
      <c r="G8" s="39"/>
      <c r="H8" s="40"/>
      <c r="I8" s="39" t="s">
        <v>20</v>
      </c>
      <c r="J8" s="39"/>
      <c r="K8" s="40"/>
      <c r="L8" s="250" t="s">
        <v>93</v>
      </c>
      <c r="M8" s="251"/>
      <c r="N8" s="40"/>
      <c r="O8" s="250" t="s">
        <v>95</v>
      </c>
      <c r="P8" s="251"/>
      <c r="Q8" s="40"/>
      <c r="R8" s="250" t="s">
        <v>94</v>
      </c>
      <c r="S8" s="251"/>
      <c r="T8" s="40"/>
      <c r="U8" s="250" t="s">
        <v>119</v>
      </c>
      <c r="V8" s="251"/>
      <c r="W8" s="40"/>
      <c r="X8" s="250" t="s">
        <v>120</v>
      </c>
      <c r="Y8" s="251"/>
      <c r="Z8" s="40"/>
      <c r="AA8" s="250" t="s">
        <v>121</v>
      </c>
      <c r="AB8" s="251"/>
      <c r="AC8" s="40"/>
      <c r="AD8" s="250" t="s">
        <v>122</v>
      </c>
      <c r="AE8" s="251"/>
      <c r="AF8" s="40"/>
      <c r="AG8" s="250" t="s">
        <v>123</v>
      </c>
      <c r="AH8" s="251"/>
    </row>
    <row r="9" spans="3:40" x14ac:dyDescent="0.25">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x14ac:dyDescent="0.2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5">
      <c r="C12" s="26" t="str">
        <f>'MP Calculations'!D40</f>
        <v>1995-96</v>
      </c>
      <c r="D12" s="176">
        <f>IF(LEFT($C12,4)*1&lt;LEFT('General inputs'!$I$16,4)+'General inputs'!$H$38,SUM(G12,J12,M12,P12,S12,V12,Y12,AB12,AE12,AH12),"")</f>
        <v>17.931578159344781</v>
      </c>
      <c r="F12" s="41">
        <v>17.931578159344781</v>
      </c>
      <c r="G12" s="176">
        <f>F12*$G$9/$F$6</f>
        <v>17.931578159344781</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5">
      <c r="C13" s="26" t="str">
        <f>'MP Calculations'!D41</f>
        <v>1996-97</v>
      </c>
      <c r="D13" s="177">
        <f>IF(LEFT($C13,4)*1&lt;LEFT('General inputs'!$I$16,4)+'General inputs'!$H$38,SUM(G13,J13,M13,P13,S13,V13,Y13,AB13,AE13,AH13),"")</f>
        <v>37.352983558480332</v>
      </c>
      <c r="F13" s="32">
        <v>37.352983558480332</v>
      </c>
      <c r="G13" s="177">
        <f t="shared" ref="G13:G43" si="9">F13*$G$9/$F$6</f>
        <v>37.352983558480332</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5">
      <c r="C14" s="26" t="str">
        <f>'MP Calculations'!D42</f>
        <v>1997-98</v>
      </c>
      <c r="D14" s="177">
        <f>IF(LEFT($C14,4)*1&lt;LEFT('General inputs'!$I$16,4)+'General inputs'!$H$38,SUM(G14,J14,M14,P14,S14,V14,Y14,AB14,AE14,AH14),"")</f>
        <v>38.904701201466992</v>
      </c>
      <c r="F14" s="32">
        <v>38.904701201466992</v>
      </c>
      <c r="G14" s="177">
        <f t="shared" si="9"/>
        <v>38.904701201466992</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5">
      <c r="C15" s="26" t="str">
        <f>'MP Calculations'!D43</f>
        <v>1998-99</v>
      </c>
      <c r="D15" s="177">
        <f>IF(LEFT($C15,4)*1&lt;LEFT('General inputs'!$I$16,4)+'General inputs'!$H$38,SUM(G15,J15,M15,P15,S15,V15,Y15,AB15,AE15,AH15),"")</f>
        <v>40.520880298778138</v>
      </c>
      <c r="F15" s="32">
        <v>40.520880298778138</v>
      </c>
      <c r="G15" s="177">
        <f t="shared" si="9"/>
        <v>40.520880298778138</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5">
      <c r="C16" s="26" t="str">
        <f>'MP Calculations'!D44</f>
        <v>1999-00</v>
      </c>
      <c r="D16" s="177">
        <f>IF(LEFT($C16,4)*1&lt;LEFT('General inputs'!$I$16,4)+'General inputs'!$H$38,SUM(G16,J16,M16,P16,S16,V16,Y16,AB16,AE16,AH16),"")</f>
        <v>42.204198708149761</v>
      </c>
      <c r="F16" s="32">
        <v>42.204198708149761</v>
      </c>
      <c r="G16" s="177">
        <f t="shared" si="9"/>
        <v>42.204198708149761</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5">
      <c r="C17" s="26" t="str">
        <f>'MP Calculations'!D45</f>
        <v>2000-01</v>
      </c>
      <c r="D17" s="177">
        <f>IF(LEFT($C17,4)*1&lt;LEFT('General inputs'!$I$16,4)+'General inputs'!$H$38,SUM(G17,J17,M17,P17,S17,V17,Y17,AB17,AE17,AH17),"")</f>
        <v>43.957445530884115</v>
      </c>
      <c r="F17" s="32">
        <v>43.957445530884115</v>
      </c>
      <c r="G17" s="177">
        <f t="shared" si="9"/>
        <v>43.957445530884115</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5">
      <c r="C18" s="26" t="str">
        <f>'MP Calculations'!D46</f>
        <v>2001-02</v>
      </c>
      <c r="D18" s="177">
        <f>IF(LEFT($C18,4)*1&lt;LEFT('General inputs'!$I$16,4)+'General inputs'!$H$38,SUM(G18,J18,M18,P18,S18,V18,Y18,AB18,AE18,AH18),"")</f>
        <v>45.783525733128045</v>
      </c>
      <c r="F18" s="32">
        <v>45.783525733128045</v>
      </c>
      <c r="G18" s="177">
        <f t="shared" si="9"/>
        <v>45.783525733128045</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5">
      <c r="C19" s="26" t="str">
        <f>'MP Calculations'!D47</f>
        <v>2002-03</v>
      </c>
      <c r="D19" s="177">
        <f>IF(LEFT($C19,4)*1&lt;LEFT('General inputs'!$I$16,4)+'General inputs'!$H$38,SUM(G19,J19,M19,P19,S19,V19,Y19,AB19,AE19,AH19),"")</f>
        <v>47.685464959133476</v>
      </c>
      <c r="F19" s="32">
        <v>47.685464959133469</v>
      </c>
      <c r="G19" s="177">
        <f t="shared" si="9"/>
        <v>47.685464959133476</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5">
      <c r="C20" s="26" t="str">
        <f>'MP Calculations'!D48</f>
        <v>2003-04</v>
      </c>
      <c r="D20" s="177">
        <f>IF(LEFT($C20,4)*1&lt;LEFT('General inputs'!$I$16,4)+'General inputs'!$H$38,SUM(G20,J20,M20,P20,S20,V20,Y20,AB20,AE20,AH20),"")</f>
        <v>49.666414544465852</v>
      </c>
      <c r="F20" s="32">
        <v>49.666414544465852</v>
      </c>
      <c r="G20" s="177">
        <f t="shared" si="9"/>
        <v>49.666414544465852</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5">
      <c r="C21" s="26" t="str">
        <f>'MP Calculations'!D49</f>
        <v>2004-05</v>
      </c>
      <c r="D21" s="177">
        <f>IF(LEFT($C21,4)*1&lt;LEFT('General inputs'!$I$16,4)+'General inputs'!$H$38,SUM(G21,J21,M21,P21,S21,V21,Y21,AB21,AE21,AH21),"")</f>
        <v>51.729656737472162</v>
      </c>
      <c r="F21" s="32">
        <v>51.729656737472169</v>
      </c>
      <c r="G21" s="177">
        <f t="shared" si="9"/>
        <v>51.729656737472162</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5">
      <c r="C22" s="26" t="str">
        <f>'MP Calculations'!D50</f>
        <v>2005-06</v>
      </c>
      <c r="D22" s="177">
        <f>IF(LEFT($C22,4)*1&lt;LEFT('General inputs'!$I$16,4)+'General inputs'!$H$38,SUM(G22,J22,M22,P22,S22,V22,Y22,AB22,AE22,AH22),"")</f>
        <v>53.878610137660189</v>
      </c>
      <c r="F22" s="32">
        <v>53.878610137660189</v>
      </c>
      <c r="G22" s="177">
        <f t="shared" si="9"/>
        <v>53.878610137660189</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5">
      <c r="C23" s="26" t="str">
        <f>'MP Calculations'!D51</f>
        <v>2006-07</v>
      </c>
      <c r="D23" s="177">
        <f>IF(LEFT($C23,4)*1&lt;LEFT('General inputs'!$I$16,4)+'General inputs'!$H$38,SUM(G23,J23,M23,P23,S23,V23,Y23,AB23,AE23,AH23),"")</f>
        <v>56.116835359998731</v>
      </c>
      <c r="F23" s="32">
        <v>56.116835359998731</v>
      </c>
      <c r="G23" s="177">
        <f t="shared" si="9"/>
        <v>56.116835359998731</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5">
      <c r="C24" s="26" t="str">
        <f>'MP Calculations'!D52</f>
        <v>2007-08</v>
      </c>
      <c r="D24" s="177">
        <f>IF(LEFT($C24,4)*1&lt;LEFT('General inputs'!$I$16,4)+'General inputs'!$H$38,SUM(G24,J24,M24,P24,S24,V24,Y24,AB24,AE24,AH24),"")</f>
        <v>58.448040934523988</v>
      </c>
      <c r="F24" s="32">
        <v>58.448040934523988</v>
      </c>
      <c r="G24" s="177">
        <f t="shared" si="9"/>
        <v>58.448040934523988</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5">
      <c r="C25" s="26" t="str">
        <f>'MP Calculations'!D53</f>
        <v>2008-09</v>
      </c>
      <c r="D25" s="177">
        <f>IF(LEFT($C25,4)*1&lt;LEFT('General inputs'!$I$16,4)+'General inputs'!$H$38,SUM(G25,J25,M25,P25,S25,V25,Y25,AB25,AE25,AH25),"")</f>
        <v>60.876089451025791</v>
      </c>
      <c r="F25" s="32">
        <v>60.876089451025791</v>
      </c>
      <c r="G25" s="177">
        <f t="shared" si="9"/>
        <v>60.876089451025791</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5">
      <c r="C26" s="26" t="str">
        <f>'MP Calculations'!D54</f>
        <v>2009-10</v>
      </c>
      <c r="D26" s="177">
        <f>IF(LEFT($C26,4)*1&lt;LEFT('General inputs'!$I$16,4)+'General inputs'!$H$38,SUM(G26,J26,M26,P26,S26,V26,Y26,AB26,AE26,AH26),"")</f>
        <v>63.405003959000624</v>
      </c>
      <c r="F26" s="32">
        <v>63.405003959000624</v>
      </c>
      <c r="G26" s="177">
        <f t="shared" si="9"/>
        <v>63.405003959000624</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5">
      <c r="C27" s="26" t="str">
        <f>'MP Calculations'!D55</f>
        <v>2010-11</v>
      </c>
      <c r="D27" s="177">
        <f>IF(LEFT($C27,4)*1&lt;LEFT('General inputs'!$I$16,4)+'General inputs'!$H$38,SUM(G27,J27,M27,P27,S27,V27,Y27,AB27,AE27,AH27),"")</f>
        <v>66.038974633465159</v>
      </c>
      <c r="F27" s="32">
        <v>66.038974633465159</v>
      </c>
      <c r="G27" s="177">
        <f t="shared" si="9"/>
        <v>66.038974633465159</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5">
      <c r="C28" s="26" t="str">
        <f>'MP Calculations'!D56</f>
        <v>2011-12</v>
      </c>
      <c r="D28" s="177">
        <f>IF(LEFT($C28,4)*1&lt;LEFT('General inputs'!$I$16,4)+'General inputs'!$H$38,SUM(G28,J28,M28,P28,S28,V28,Y28,AB28,AE28,AH28),"")</f>
        <v>68.782365717688435</v>
      </c>
      <c r="F28" s="32">
        <v>68.782365717688435</v>
      </c>
      <c r="G28" s="177">
        <f t="shared" si="9"/>
        <v>68.782365717688435</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5">
      <c r="C29" s="26" t="str">
        <f>'MP Calculations'!D57</f>
        <v>2012-13</v>
      </c>
      <c r="D29" s="177">
        <f>IF(LEFT($C29,4)*1&lt;LEFT('General inputs'!$I$16,4)+'General inputs'!$H$38,SUM(G29,J29,M29,P29,S29,V29,Y29,AB29,AE29,AH29),"")</f>
        <v>71.639722754332752</v>
      </c>
      <c r="F29" s="32">
        <v>71.639722754332752</v>
      </c>
      <c r="G29" s="177">
        <f t="shared" si="9"/>
        <v>71.639722754332752</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5">
      <c r="C30" s="26" t="str">
        <f>'MP Calculations'!D58</f>
        <v>2013-14</v>
      </c>
      <c r="D30" s="177">
        <f>IF(LEFT($C30,4)*1&lt;LEFT('General inputs'!$I$16,4)+'General inputs'!$H$38,SUM(G30,J30,M30,P30,S30,V30,Y30,AB30,AE30,AH30),"")</f>
        <v>74.615780116993392</v>
      </c>
      <c r="F30" s="32">
        <v>74.615780116993392</v>
      </c>
      <c r="G30" s="177">
        <f t="shared" si="9"/>
        <v>74.615780116993392</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5">
      <c r="C31" s="26" t="str">
        <f>'MP Calculations'!D59</f>
        <v>2014-15</v>
      </c>
      <c r="D31" s="177">
        <f>IF(LEFT($C31,4)*1&lt;LEFT('General inputs'!$I$16,4)+'General inputs'!$H$38,SUM(G31,J31,M31,P31,S31,V31,Y31,AB31,AE31,AH31),"")</f>
        <v>77.715468854613391</v>
      </c>
      <c r="F31" s="32">
        <v>77.715468854613391</v>
      </c>
      <c r="G31" s="177">
        <f t="shared" si="9"/>
        <v>77.715468854613391</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5">
      <c r="C32" s="26" t="str">
        <f>'MP Calculations'!D60</f>
        <v>2015-16</v>
      </c>
      <c r="D32" s="177">
        <f>IF(LEFT($C32,4)*1&lt;LEFT('General inputs'!$I$16,4)+'General inputs'!$H$38,SUM(G32,J32,M32,P32,S32,V32,Y32,AB32,AE32,AH32),"")</f>
        <v>80.943924861771848</v>
      </c>
      <c r="F32" s="32">
        <v>80.943924861771848</v>
      </c>
      <c r="G32" s="177">
        <f t="shared" si="9"/>
        <v>80.943924861771848</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5">
      <c r="C33" s="26" t="str">
        <f>'MP Calculations'!D61</f>
        <v>2016-17</v>
      </c>
      <c r="D33" s="177">
        <f>IF(LEFT($C33,4)*1&lt;LEFT('General inputs'!$I$16,4)+'General inputs'!$H$38,SUM(G33,J33,M33,P33,S33,V33,Y33,AB33,AE33,AH33),"")</f>
        <v>84.306497388379739</v>
      </c>
      <c r="F33" s="32">
        <v>84.306497388379739</v>
      </c>
      <c r="G33" s="177">
        <f t="shared" si="9"/>
        <v>84.306497388379739</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5">
      <c r="C34" s="26" t="str">
        <f>'MP Calculations'!D62</f>
        <v>2017-18</v>
      </c>
      <c r="D34" s="177">
        <f>IF(LEFT($C34,4)*1&lt;LEFT('General inputs'!$I$16,4)+'General inputs'!$H$38,SUM(G34,J34,M34,P34,S34,V34,Y34,AB34,AE34,AH34),"")</f>
        <v>87.808757902887919</v>
      </c>
      <c r="F34" s="32">
        <v>87.808757902887919</v>
      </c>
      <c r="G34" s="177">
        <f t="shared" si="9"/>
        <v>87.808757902887919</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5">
      <c r="C35" s="26" t="str">
        <f>'MP Calculations'!D63</f>
        <v>2018-19</v>
      </c>
      <c r="D35" s="177">
        <f>IF(LEFT($C35,4)*1&lt;LEFT('General inputs'!$I$16,4)+'General inputs'!$H$38,SUM(G35,J35,M35,P35,S35,V35,Y35,AB35,AE35,AH35),"")</f>
        <v>91.456509323689275</v>
      </c>
      <c r="F35" s="32">
        <v>91.456509323689261</v>
      </c>
      <c r="G35" s="177">
        <f t="shared" si="9"/>
        <v>91.456509323689275</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5">
      <c r="C36" s="26" t="str">
        <f>'MP Calculations'!D64</f>
        <v>2019-20</v>
      </c>
      <c r="D36" s="177">
        <f>IF(LEFT($C36,4)*1&lt;LEFT('General inputs'!$I$16,4)+'General inputs'!$H$38,SUM(G36,J36,M36,P36,S36,V36,Y36,AB36,AE36,AH36),"")</f>
        <v>95.255795634014248</v>
      </c>
      <c r="F36" s="32">
        <v>95.255795634014248</v>
      </c>
      <c r="G36" s="177">
        <f t="shared" si="9"/>
        <v>95.255795634014248</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5">
      <c r="C37" s="26" t="str">
        <f>'MP Calculations'!D65</f>
        <v>2020-21</v>
      </c>
      <c r="D37" s="177">
        <f>IF(LEFT($C37,4)*1&lt;LEFT('General inputs'!$I$16,4)+'General inputs'!$H$38,SUM(G37,J37,M37,P37,S37,V37,Y37,AB37,AE37,AH37),"")</f>
        <v>99.212911896242062</v>
      </c>
      <c r="F37" s="32">
        <v>99.212911896242076</v>
      </c>
      <c r="G37" s="177">
        <f t="shared" si="9"/>
        <v>99.212911896242062</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5">
      <c r="C38" s="26" t="str">
        <f>'MP Calculations'!D66</f>
        <v>2021-22</v>
      </c>
      <c r="D38" s="177">
        <f>IF(LEFT($C38,4)*1&lt;LEFT('General inputs'!$I$16,4)+'General inputs'!$H$38,SUM(G38,J38,M38,P38,S38,V38,Y38,AB38,AE38,AH38),"")</f>
        <v>103.334414682236</v>
      </c>
      <c r="F38" s="32">
        <v>103.334414682236</v>
      </c>
      <c r="G38" s="177">
        <f t="shared" si="9"/>
        <v>103.334414682236</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5">
      <c r="C39" s="26" t="str">
        <f>'MP Calculations'!D67</f>
        <v>2022-23</v>
      </c>
      <c r="D39" s="177">
        <f>IF(LEFT($C39,4)*1&lt;LEFT('General inputs'!$I$16,4)+'General inputs'!$H$38,SUM(G39,J39,M39,P39,S39,V39,Y39,AB39,AE39,AH39),"")</f>
        <v>107.62713293696561</v>
      </c>
      <c r="F39" s="32">
        <v>107.62713293696561</v>
      </c>
      <c r="G39" s="177">
        <f t="shared" si="9"/>
        <v>107.62713293696561</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5">
      <c r="C40" s="26" t="str">
        <f>'MP Calculations'!D68</f>
        <v>2023-24</v>
      </c>
      <c r="D40" s="177">
        <f>IF(LEFT($C40,4)*1&lt;LEFT('General inputs'!$I$16,4)+'General inputs'!$H$38,SUM(G40,J40,M40,P40,S40,V40,Y40,AB40,AE40,AH40),"")</f>
        <v>112.09817929343262</v>
      </c>
      <c r="F40" s="32">
        <v>112.09817929343262</v>
      </c>
      <c r="G40" s="177">
        <f t="shared" si="9"/>
        <v>112.09817929343262</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5">
      <c r="C41" s="26" t="str">
        <f>'MP Calculations'!D69</f>
        <v>2024-25</v>
      </c>
      <c r="D41" s="177">
        <f>IF(LEFT($C41,4)*1&lt;LEFT('General inputs'!$I$16,4)+'General inputs'!$H$38,SUM(G41,J41,M41,P41,S41,V41,Y41,AB41,AE41,AH41),"")</f>
        <v>116.75496185764041</v>
      </c>
      <c r="F41" s="32">
        <v>116.75496185764041</v>
      </c>
      <c r="G41" s="177">
        <f t="shared" si="9"/>
        <v>116.75496185764041</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5">
      <c r="C42" s="26" t="str">
        <f>'MP Calculations'!D70</f>
        <v>2025-26</v>
      </c>
      <c r="D42" s="177">
        <f>IF(LEFT($C42,4)*1&lt;LEFT('General inputs'!$I$16,4)+'General inputs'!$H$38,SUM(G42,J42,M42,P42,S42,V42,Y42,AB42,AE42,AH42),"")</f>
        <v>121.60519648313083</v>
      </c>
      <c r="F42" s="32">
        <v>121.60519648313084</v>
      </c>
      <c r="G42" s="177">
        <f t="shared" si="9"/>
        <v>121.60519648313083</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5">
      <c r="C43" s="26" t="str">
        <f>'MP Calculations'!D71</f>
        <v>2026-27</v>
      </c>
      <c r="D43" s="177">
        <f>IF(LEFT($C43,4)*1&lt;LEFT('General inputs'!$I$16,4)+'General inputs'!$H$38,SUM(G43,J43,M43,P43,S43,V43,Y43,AB43,AE43,AH43),"")</f>
        <v>126.65691955543298</v>
      </c>
      <c r="F43" s="32">
        <v>126.65691955543298</v>
      </c>
      <c r="G43" s="177">
        <f t="shared" si="9"/>
        <v>126.65691955543298</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5">
      <c r="C44" s="26" t="str">
        <f>'MP Calculations'!D72</f>
        <v>2027-28</v>
      </c>
      <c r="D44" s="177">
        <f>IF(LEFT($C44,4)*1&lt;LEFT('General inputs'!$I$16,4)+'General inputs'!$H$38,SUM(G44,J44,M44,P44,S44,V44,Y44,AB44,AE44,AH44),"")</f>
        <v>131.91850130760486</v>
      </c>
      <c r="F44" s="32">
        <v>131.91850130760486</v>
      </c>
      <c r="G44" s="177">
        <f t="shared" ref="G44:G75" si="11">F44*$G$9/$F$6</f>
        <v>131.91850130760486</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5">
      <c r="C45" s="26" t="str">
        <f>'MP Calculations'!D73</f>
        <v>2028-29</v>
      </c>
      <c r="D45" s="177">
        <f>IF(LEFT($C45,4)*1&lt;LEFT('General inputs'!$I$16,4)+'General inputs'!$H$38,SUM(G45,J45,M45,P45,S45,V45,Y45,AB45,AE45,AH45),"")</f>
        <v>137.39865968892536</v>
      </c>
      <c r="F45" s="32">
        <v>137.39865968892536</v>
      </c>
      <c r="G45" s="177">
        <f t="shared" si="11"/>
        <v>137.39865968892536</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5">
      <c r="C46" s="26" t="str">
        <f>'MP Calculations'!D74</f>
        <v>2029-30</v>
      </c>
      <c r="D46" s="177">
        <f>IF(LEFT($C46,4)*1&lt;LEFT('General inputs'!$I$16,4)+'General inputs'!$H$38,SUM(G46,J46,M46,P46,S46,V46,Y46,AB46,AE46,AH46),"")</f>
        <v>143.10647480972239</v>
      </c>
      <c r="F46" s="32">
        <v>143.10647480972239</v>
      </c>
      <c r="G46" s="177">
        <f t="shared" si="11"/>
        <v>143.10647480972239</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5">
      <c r="C47" s="26" t="str">
        <f>'MP Calculations'!D75</f>
        <v>2030-31</v>
      </c>
      <c r="D47" s="177">
        <f>IF(LEFT($C47,4)*1&lt;LEFT('General inputs'!$I$16,4)+'General inputs'!$H$38,SUM(G47,J47,M47,P47,S47,V47,Y47,AB47,AE47,AH47),"")</f>
        <v>149.05140398626827</v>
      </c>
      <c r="F47" s="32">
        <v>149.05140398626827</v>
      </c>
      <c r="G47" s="177">
        <f t="shared" si="11"/>
        <v>149.05140398626827</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5">
      <c r="C48" s="26" t="str">
        <f>'MP Calculations'!D76</f>
        <v>2031-32</v>
      </c>
      <c r="D48" s="177">
        <f>IF(LEFT($C48,4)*1&lt;LEFT('General inputs'!$I$16,4)+'General inputs'!$H$38,SUM(G48,J48,M48,P48,S48,V48,Y48,AB48,AE48,AH48),"")</f>
        <v>155.24329741066549</v>
      </c>
      <c r="F48" s="32">
        <v>155.24329741066549</v>
      </c>
      <c r="G48" s="177">
        <f t="shared" si="11"/>
        <v>155.24329741066549</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5">
      <c r="C49" s="26" t="str">
        <f>'MP Calculations'!D77</f>
        <v>2032-33</v>
      </c>
      <c r="D49" s="177">
        <f>IF(LEFT($C49,4)*1&lt;LEFT('General inputs'!$I$16,4)+'General inputs'!$H$38,SUM(G49,J49,M49,P49,S49,V49,Y49,AB49,AE49,AH49),"")</f>
        <v>161.69241447169952</v>
      </c>
      <c r="F49" s="32">
        <v>161.69241447169952</v>
      </c>
      <c r="G49" s="177">
        <f t="shared" si="11"/>
        <v>161.69241447169952</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5">
      <c r="C50" s="26" t="str">
        <f>'MP Calculations'!D78</f>
        <v>2033-34</v>
      </c>
      <c r="D50" s="177">
        <f>IF(LEFT($C50,4)*1&lt;LEFT('General inputs'!$I$16,4)+'General inputs'!$H$38,SUM(G50,J50,M50,P50,S50,V50,Y50,AB50,AE50,AH50),"")</f>
        <v>168.40944075368316</v>
      </c>
      <c r="F50" s="32">
        <v>168.40944075368316</v>
      </c>
      <c r="G50" s="177">
        <f t="shared" si="11"/>
        <v>168.40944075368316</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5">
      <c r="C51" s="26" t="str">
        <f>'MP Calculations'!D79</f>
        <v>2034-35</v>
      </c>
      <c r="D51" s="177">
        <f>IF(LEFT($C51,4)*1&lt;LEFT('General inputs'!$I$16,4)+'General inputs'!$H$38,SUM(G51,J51,M51,P51,S51,V51,Y51,AB51,AE51,AH51),"")</f>
        <v>175.40550574147255</v>
      </c>
      <c r="F51" s="32">
        <v>175.40550574147255</v>
      </c>
      <c r="G51" s="177">
        <f t="shared" si="11"/>
        <v>175.40550574147255</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5">
      <c r="C52" s="26" t="str">
        <f>'MP Calculations'!D80</f>
        <v>2035-36</v>
      </c>
      <c r="D52" s="177">
        <f>IF(LEFT($C52,4)*1&lt;LEFT('General inputs'!$I$16,4)+'General inputs'!$H$38,SUM(G52,J52,M52,P52,S52,V52,Y52,AB52,AE52,AH52),"")</f>
        <v>182.69220126098389</v>
      </c>
      <c r="F52" s="32">
        <v>182.69220126098389</v>
      </c>
      <c r="G52" s="177">
        <f t="shared" si="11"/>
        <v>182.69220126098389</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5">
      <c r="C53" s="26" t="str">
        <f>'MP Calculations'!D81</f>
        <v>2036-37</v>
      </c>
      <c r="D53" s="177">
        <f>IF(LEFT($C53,4)*1&lt;LEFT('General inputs'!$I$16,4)+'General inputs'!$H$38,SUM(G53,J53,M53,P53,S53,V53,Y53,AB53,AE53,AH53),"")</f>
        <v>190.28160068576835</v>
      </c>
      <c r="F53" s="32">
        <v>190.28160068576835</v>
      </c>
      <c r="G53" s="177">
        <f t="shared" si="11"/>
        <v>190.28160068576835</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5">
      <c r="C54" s="26" t="str">
        <f>'MP Calculations'!D82</f>
        <v>2037-38</v>
      </c>
      <c r="D54" s="177">
        <f>IF(LEFT($C54,4)*1&lt;LEFT('General inputs'!$I$16,4)+'General inputs'!$H$38,SUM(G54,J54,M54,P54,S54,V54,Y54,AB54,AE54,AH54),"")</f>
        <v>198.1862789414572</v>
      </c>
      <c r="F54" s="32">
        <v>198.1862789414572</v>
      </c>
      <c r="G54" s="177">
        <f t="shared" si="11"/>
        <v>198.1862789414572</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5">
      <c r="C55" s="26" t="str">
        <f>'MP Calculations'!D83</f>
        <v>2038-39</v>
      </c>
      <c r="D55" s="177">
        <f>IF(LEFT($C55,4)*1&lt;LEFT('General inputs'!$I$16,4)+'General inputs'!$H$38,SUM(G55,J55,M55,P55,S55,V55,Y55,AB55,AE55,AH55),"")</f>
        <v>206.41933334124224</v>
      </c>
      <c r="F55" s="32">
        <v>206.41933334124224</v>
      </c>
      <c r="G55" s="177">
        <f t="shared" si="11"/>
        <v>206.41933334124224</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5">
      <c r="C56" s="26" t="str">
        <f>'MP Calculations'!D84</f>
        <v>2039-40</v>
      </c>
      <c r="D56" s="177">
        <f>IF(LEFT($C56,4)*1&lt;LEFT('General inputs'!$I$16,4)+'General inputs'!$H$38,SUM(G56,J56,M56,P56,S56,V56,Y56,AB56,AE56,AH56),"")</f>
        <v>214.99440528690414</v>
      </c>
      <c r="F56" s="32">
        <v>214.99440528690411</v>
      </c>
      <c r="G56" s="177">
        <f t="shared" si="11"/>
        <v>214.99440528690414</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5">
      <c r="C57" s="26" t="str">
        <f>'MP Calculations'!D85</f>
        <v>2040-41</v>
      </c>
      <c r="D57" s="177">
        <f>IF(LEFT($C57,4)*1&lt;LEFT('General inputs'!$I$16,4)+'General inputs'!$H$38,SUM(G57,J57,M57,P57,S57,V57,Y57,AB57,AE57,AH57),"")</f>
        <v>223.9257028713337</v>
      </c>
      <c r="F57" s="32">
        <v>223.92570287133367</v>
      </c>
      <c r="G57" s="177">
        <f t="shared" si="11"/>
        <v>223.9257028713337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5">
      <c r="C58" s="26" t="str">
        <f>'MP Calculations'!D86</f>
        <v>2041-42</v>
      </c>
      <c r="D58" s="177">
        <f>IF(LEFT($C58,4)*1&lt;LEFT('General inputs'!$I$16,4)+'General inputs'!$H$38,SUM(G58,J58,M58,P58,S58,V58,Y58,AB58,AE58,AH58),"")</f>
        <v>233.22802442001375</v>
      </c>
      <c r="F58" s="32">
        <v>233.22802442001375</v>
      </c>
      <c r="G58" s="177">
        <f t="shared" si="11"/>
        <v>233.22802442001375</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5">
      <c r="C59" s="26" t="str">
        <f>'MP Calculations'!D87</f>
        <v>2042-43</v>
      </c>
      <c r="D59" s="177">
        <f>IF(LEFT($C59,4)*1&lt;LEFT('General inputs'!$I$16,4)+'General inputs'!$H$38,SUM(G59,J59,M59,P59,S59,V59,Y59,AB59,AE59,AH59),"")</f>
        <v>242.91678301046974</v>
      </c>
      <c r="F59" s="32">
        <v>242.91678301046977</v>
      </c>
      <c r="G59" s="177">
        <f t="shared" si="11"/>
        <v>242.91678301046974</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5">
      <c r="C60" s="26" t="str">
        <f>'MP Calculations'!D88</f>
        <v>2043-44</v>
      </c>
      <c r="D60" s="177">
        <f>IF(LEFT($C60,4)*1&lt;LEFT('General inputs'!$I$16,4)+'General inputs'!$H$38,SUM(G60,J60,M60,P60,S60,V60,Y60,AB60,AE60,AH60),"")</f>
        <v>253.00803201029066</v>
      </c>
      <c r="F60" s="32">
        <v>253.00803201029066</v>
      </c>
      <c r="G60" s="177">
        <f t="shared" si="11"/>
        <v>253.00803201029066</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5">
      <c r="C61" s="26" t="str">
        <f>'MP Calculations'!D89</f>
        <v>2044-45</v>
      </c>
      <c r="D61" s="177">
        <f>IF(LEFT($C61,4)*1&lt;LEFT('General inputs'!$I$16,4)+'General inputs'!$H$38,SUM(G61,J61,M61,P61,S61,V61,Y61,AB61,AE61,AH61),"")</f>
        <v>263.5184916760636</v>
      </c>
      <c r="F61" s="32">
        <v>263.5184916760636</v>
      </c>
      <c r="G61" s="177">
        <f t="shared" si="11"/>
        <v>263.5184916760636</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5">
      <c r="C62" s="26" t="str">
        <f>'MP Calculations'!D90</f>
        <v>2045-46</v>
      </c>
      <c r="D62" s="177">
        <f>IF(LEFT($C62,4)*1&lt;LEFT('General inputs'!$I$16,4)+'General inputs'!$H$38,SUM(G62,J62,M62,P62,S62,V62,Y62,AB62,AE62,AH62),"")</f>
        <v>274.4655768572693</v>
      </c>
      <c r="F62" s="32">
        <v>274.4655768572693</v>
      </c>
      <c r="G62" s="177">
        <f t="shared" si="11"/>
        <v>274.4655768572693</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5">
      <c r="C63" s="26" t="str">
        <f>'MP Calculations'!D91</f>
        <v>2046-47</v>
      </c>
      <c r="D63" s="177">
        <f>IF(LEFT($C63,4)*1&lt;LEFT('General inputs'!$I$16,4)+'General inputs'!$H$38,SUM(G63,J63,M63,P63,S63,V63,Y63,AB63,AE63,AH63),"")</f>
        <v>285.86742585107459</v>
      </c>
      <c r="F63" s="32">
        <v>285.86742585107459</v>
      </c>
      <c r="G63" s="177">
        <f t="shared" si="11"/>
        <v>285.86742585107459</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5">
      <c r="C64" s="26" t="str">
        <f>'MP Calculations'!D92</f>
        <v>2047-48</v>
      </c>
      <c r="D64" s="177">
        <f>IF(LEFT($C64,4)*1&lt;LEFT('General inputs'!$I$16,4)+'General inputs'!$H$38,SUM(G64,J64,M64,P64,S64,V64,Y64,AB64,AE64,AH64),"")</f>
        <v>297.74293045577906</v>
      </c>
      <c r="F64" s="32">
        <v>297.74293045577906</v>
      </c>
      <c r="G64" s="177">
        <f t="shared" si="11"/>
        <v>297.74293045577906</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5">
      <c r="C65" s="26" t="str">
        <f>'MP Calculations'!D93</f>
        <v>2048-49</v>
      </c>
      <c r="D65" s="177">
        <f>IF(LEFT($C65,4)*1&lt;LEFT('General inputs'!$I$16,4)+'General inputs'!$H$38,SUM(G65,J65,M65,P65,S65,V65,Y65,AB65,AE65,AH65),"")</f>
        <v>310.11176727277507</v>
      </c>
      <c r="F65" s="32">
        <v>310.11176727277507</v>
      </c>
      <c r="G65" s="177">
        <f t="shared" si="11"/>
        <v>310.11176727277507</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5">
      <c r="C66" s="26" t="str">
        <f>'MP Calculations'!D94</f>
        <v>2049-50</v>
      </c>
      <c r="D66" s="177">
        <f>IF(LEFT($C66,4)*1&lt;LEFT('General inputs'!$I$16,4)+'General inputs'!$H$38,SUM(G66,J66,M66,P66,S66,V66,Y66,AB66,AE66,AH66),"")</f>
        <v>322.99443030881866</v>
      </c>
      <c r="F66" s="32">
        <v>322.99443030881866</v>
      </c>
      <c r="G66" s="177">
        <f t="shared" si="11"/>
        <v>322.99443030881866</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5">
      <c r="C67" s="26" t="str">
        <f>'MP Calculations'!D95</f>
        <v>2050-51</v>
      </c>
      <c r="D67" s="177">
        <f>IF(LEFT($C67,4)*1&lt;LEFT('General inputs'!$I$16,4)+'General inputs'!$H$38,SUM(G67,J67,M67,P67,S67,V67,Y67,AB67,AE67,AH67),"")</f>
        <v>336.41226493270915</v>
      </c>
      <c r="F67" s="32">
        <v>336.41226493270915</v>
      </c>
      <c r="G67" s="177">
        <f t="shared" si="11"/>
        <v>336.41226493270915</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5">
      <c r="C68" s="26" t="str">
        <f>'MP Calculations'!D96</f>
        <v>2051-52</v>
      </c>
      <c r="D68" s="177">
        <f>IF(LEFT($C68,4)*1&lt;LEFT('General inputs'!$I$16,4)+'General inputs'!$H$38,SUM(G68,J68,M68,P68,S68,V68,Y68,AB68,AE68,AH68),"")</f>
        <v>350.38750324254033</v>
      </c>
      <c r="F68" s="32">
        <v>350.38750324254033</v>
      </c>
      <c r="G68" s="177">
        <f t="shared" si="11"/>
        <v>350.38750324254033</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5">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5">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5">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5">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5">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5">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5">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5">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5">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5">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5">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5">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5">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5">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5">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5">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5">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5">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5">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5">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5">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5">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5">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5">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5">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5">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5">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5">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5">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5">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5">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5">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5">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5">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5">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22" zoomScaleNormal="100" workbookViewId="0">
      <selection activeCell="G40" sqref="G40:Z69"/>
    </sheetView>
  </sheetViews>
  <sheetFormatPr defaultRowHeight="11.5" x14ac:dyDescent="0.25"/>
  <cols>
    <col min="1" max="2" width="2.69921875" customWidth="1"/>
    <col min="3" max="3" width="5.69921875" customWidth="1"/>
    <col min="7" max="7" width="9.09765625" customWidth="1"/>
  </cols>
  <sheetData>
    <row r="3" spans="3:7" ht="20" x14ac:dyDescent="0.4">
      <c r="C3" s="99" t="s">
        <v>110</v>
      </c>
    </row>
    <row r="6" spans="3:7" x14ac:dyDescent="0.25">
      <c r="C6" t="s">
        <v>194</v>
      </c>
      <c r="G6" s="155" t="s">
        <v>268</v>
      </c>
    </row>
    <row r="8" spans="3:7" ht="13.5" x14ac:dyDescent="0.35">
      <c r="C8" t="s">
        <v>67</v>
      </c>
    </row>
    <row r="10" spans="3:7" x14ac:dyDescent="0.25">
      <c r="C10" t="s">
        <v>60</v>
      </c>
    </row>
    <row r="12" spans="3:7" ht="13.5" x14ac:dyDescent="0.35">
      <c r="C12" s="26" t="s">
        <v>62</v>
      </c>
      <c r="D12" s="149" t="s">
        <v>197</v>
      </c>
    </row>
    <row r="13" spans="3:7" ht="13.5" x14ac:dyDescent="0.35">
      <c r="C13" s="26" t="s">
        <v>63</v>
      </c>
      <c r="D13" s="149" t="s">
        <v>198</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5">
      <c r="C19" s="26"/>
    </row>
    <row r="20" spans="1:31" ht="13.5" x14ac:dyDescent="0.35">
      <c r="C20" t="s">
        <v>81</v>
      </c>
      <c r="G20" t="s">
        <v>82</v>
      </c>
      <c r="H20" s="132" t="str">
        <f>'General inputs'!I16</f>
        <v>2022-23</v>
      </c>
      <c r="J20" t="s">
        <v>83</v>
      </c>
      <c r="K20" s="133" t="str">
        <f>LEFT(H20,4)+'General inputs'!$H$38-1&amp;"-"&amp;RIGHT(H20,2)+'General inputs'!$H$38-1</f>
        <v>2051-52</v>
      </c>
    </row>
    <row r="21" spans="1:31" x14ac:dyDescent="0.25">
      <c r="C21" s="26"/>
    </row>
    <row r="22" spans="1:31" x14ac:dyDescent="0.25">
      <c r="C22" s="65" t="s">
        <v>130</v>
      </c>
    </row>
    <row r="23" spans="1:31" x14ac:dyDescent="0.25">
      <c r="C23" s="65"/>
      <c r="D23" s="65" t="s">
        <v>131</v>
      </c>
    </row>
    <row r="24" spans="1:31" x14ac:dyDescent="0.25">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5">
      <c r="C25" s="65"/>
      <c r="D25" s="65" t="s">
        <v>246</v>
      </c>
    </row>
    <row r="26" spans="1:31" x14ac:dyDescent="0.25">
      <c r="C26" s="65"/>
      <c r="D26" s="157" t="s">
        <v>248</v>
      </c>
    </row>
    <row r="27" spans="1:31" x14ac:dyDescent="0.25">
      <c r="C27" s="65"/>
      <c r="D27" s="157" t="s">
        <v>247</v>
      </c>
    </row>
    <row r="28" spans="1:31" x14ac:dyDescent="0.25">
      <c r="C28" s="65"/>
      <c r="D28" s="65" t="s">
        <v>249</v>
      </c>
    </row>
    <row r="29" spans="1:31" x14ac:dyDescent="0.25">
      <c r="C29" s="65"/>
      <c r="D29" s="157" t="s">
        <v>250</v>
      </c>
    </row>
    <row r="30" spans="1:31" x14ac:dyDescent="0.25">
      <c r="C30" s="65"/>
      <c r="D30" s="157" t="s">
        <v>251</v>
      </c>
    </row>
    <row r="32" spans="1:31" x14ac:dyDescent="0.25">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5">
      <c r="D34" t="s">
        <v>275</v>
      </c>
    </row>
    <row r="37" spans="3:26" ht="34.5" x14ac:dyDescent="0.25">
      <c r="E37" s="238" t="s">
        <v>459</v>
      </c>
      <c r="G37" s="252" t="s">
        <v>460</v>
      </c>
      <c r="H37" s="252"/>
      <c r="I37" s="252"/>
      <c r="J37" s="252"/>
      <c r="K37" s="252"/>
      <c r="L37" s="252"/>
      <c r="M37" s="252"/>
      <c r="N37" s="252"/>
      <c r="O37" s="252"/>
      <c r="P37" s="252"/>
      <c r="Q37" s="252"/>
      <c r="R37" s="252"/>
      <c r="S37" s="252"/>
      <c r="T37" s="252"/>
      <c r="U37" s="252"/>
      <c r="V37" s="252"/>
      <c r="W37" s="252"/>
      <c r="X37" s="252"/>
      <c r="Y37" s="252"/>
      <c r="Z37" s="252"/>
    </row>
    <row r="38" spans="3:26" ht="23" x14ac:dyDescent="0.25">
      <c r="E38" s="239" t="s">
        <v>461</v>
      </c>
      <c r="G38" s="239" t="s">
        <v>462</v>
      </c>
      <c r="H38" s="239" t="s">
        <v>463</v>
      </c>
      <c r="I38" s="239" t="s">
        <v>279</v>
      </c>
      <c r="J38" s="239" t="s">
        <v>464</v>
      </c>
      <c r="K38" s="239" t="s">
        <v>465</v>
      </c>
      <c r="L38" s="239" t="s">
        <v>466</v>
      </c>
      <c r="M38" s="239" t="s">
        <v>467</v>
      </c>
      <c r="N38" s="239" t="s">
        <v>468</v>
      </c>
      <c r="O38" s="239" t="s">
        <v>469</v>
      </c>
      <c r="P38" s="239" t="s">
        <v>470</v>
      </c>
      <c r="Q38" s="239" t="s">
        <v>471</v>
      </c>
      <c r="R38" s="239" t="s">
        <v>472</v>
      </c>
      <c r="S38" s="239" t="s">
        <v>473</v>
      </c>
      <c r="T38" s="239" t="s">
        <v>474</v>
      </c>
      <c r="U38" s="239" t="s">
        <v>475</v>
      </c>
      <c r="V38" s="239" t="s">
        <v>476</v>
      </c>
      <c r="W38" s="239" t="s">
        <v>477</v>
      </c>
      <c r="X38" s="239" t="s">
        <v>478</v>
      </c>
      <c r="Y38" s="239" t="s">
        <v>479</v>
      </c>
      <c r="Z38" s="239" t="s">
        <v>480</v>
      </c>
    </row>
    <row r="40" spans="3:26" x14ac:dyDescent="0.25">
      <c r="C40">
        <v>2023</v>
      </c>
      <c r="E40">
        <v>694.43</v>
      </c>
      <c r="G40" s="240">
        <v>248.97</v>
      </c>
      <c r="H40" s="240">
        <v>261.66000000000003</v>
      </c>
      <c r="I40" s="240">
        <v>830.18</v>
      </c>
      <c r="J40" s="240">
        <v>201.6</v>
      </c>
      <c r="K40" s="240">
        <v>492.01</v>
      </c>
      <c r="L40" s="240">
        <v>1153.69</v>
      </c>
      <c r="M40" s="240">
        <v>316.24</v>
      </c>
      <c r="N40" s="240">
        <v>1342.61</v>
      </c>
      <c r="O40" s="240">
        <v>255.87</v>
      </c>
      <c r="P40" s="240">
        <v>443.02</v>
      </c>
      <c r="Q40" s="240">
        <v>1275.32</v>
      </c>
      <c r="R40" s="240">
        <v>495.08</v>
      </c>
      <c r="S40" s="240">
        <v>520.58000000000004</v>
      </c>
      <c r="T40" s="240">
        <v>314.37</v>
      </c>
      <c r="U40" s="240">
        <v>902.44</v>
      </c>
      <c r="V40" s="240">
        <v>464.42</v>
      </c>
      <c r="W40" s="240">
        <v>341.59</v>
      </c>
      <c r="X40" s="240">
        <v>661.91</v>
      </c>
      <c r="Y40" s="240">
        <v>216.95</v>
      </c>
      <c r="Z40" s="240">
        <v>0</v>
      </c>
    </row>
    <row r="41" spans="3:26" x14ac:dyDescent="0.25">
      <c r="C41">
        <v>2024</v>
      </c>
      <c r="E41">
        <v>694.43</v>
      </c>
      <c r="G41" s="240">
        <v>240.88</v>
      </c>
      <c r="H41" s="240">
        <v>251.56</v>
      </c>
      <c r="I41" s="240">
        <v>739.66</v>
      </c>
      <c r="J41" s="240">
        <v>194.31</v>
      </c>
      <c r="K41" s="240">
        <v>476.49</v>
      </c>
      <c r="L41" s="240">
        <v>1041.42</v>
      </c>
      <c r="M41" s="240">
        <v>298.08999999999997</v>
      </c>
      <c r="N41" s="240">
        <v>1279.71</v>
      </c>
      <c r="O41" s="240">
        <v>241.09</v>
      </c>
      <c r="P41" s="240">
        <v>412.76</v>
      </c>
      <c r="Q41" s="240">
        <v>1180.73</v>
      </c>
      <c r="R41" s="240">
        <v>467.05</v>
      </c>
      <c r="S41" s="240">
        <v>511.52</v>
      </c>
      <c r="T41" s="240">
        <v>299.58999999999997</v>
      </c>
      <c r="U41" s="240">
        <v>844.22</v>
      </c>
      <c r="V41" s="240">
        <v>442.2</v>
      </c>
      <c r="W41" s="240">
        <v>320.52</v>
      </c>
      <c r="X41" s="240">
        <v>636.79</v>
      </c>
      <c r="Y41" s="240">
        <v>248.96</v>
      </c>
      <c r="Z41" s="240">
        <v>0</v>
      </c>
    </row>
    <row r="42" spans="3:26" x14ac:dyDescent="0.25">
      <c r="C42">
        <v>2025</v>
      </c>
      <c r="E42">
        <v>694.43</v>
      </c>
      <c r="G42" s="240">
        <v>241.82</v>
      </c>
      <c r="H42" s="240">
        <v>252.58</v>
      </c>
      <c r="I42" s="240">
        <v>729.09</v>
      </c>
      <c r="J42" s="240">
        <v>195.1</v>
      </c>
      <c r="K42" s="240">
        <v>482.42</v>
      </c>
      <c r="L42" s="240">
        <v>1224.27</v>
      </c>
      <c r="M42" s="240">
        <v>293.10000000000002</v>
      </c>
      <c r="N42" s="240">
        <v>1268.1600000000001</v>
      </c>
      <c r="O42" s="240">
        <v>245.54</v>
      </c>
      <c r="P42" s="240">
        <v>396.31</v>
      </c>
      <c r="Q42" s="240">
        <v>1115.25</v>
      </c>
      <c r="R42" s="240">
        <v>1964.98</v>
      </c>
      <c r="S42" s="240">
        <v>490.43</v>
      </c>
      <c r="T42" s="240">
        <v>297.77999999999997</v>
      </c>
      <c r="U42" s="240">
        <v>818.34</v>
      </c>
      <c r="V42" s="240">
        <v>445.65</v>
      </c>
      <c r="W42" s="240">
        <v>319.43</v>
      </c>
      <c r="X42" s="240">
        <v>629.76</v>
      </c>
      <c r="Y42" s="240">
        <v>202.05</v>
      </c>
      <c r="Z42" s="240">
        <v>0</v>
      </c>
    </row>
    <row r="43" spans="3:26" x14ac:dyDescent="0.25">
      <c r="C43">
        <v>2026</v>
      </c>
      <c r="E43">
        <v>694.43</v>
      </c>
      <c r="G43" s="240">
        <v>234.8</v>
      </c>
      <c r="H43" s="240">
        <v>245.11</v>
      </c>
      <c r="I43" s="240">
        <v>723.71</v>
      </c>
      <c r="J43" s="240">
        <v>189.04</v>
      </c>
      <c r="K43" s="240">
        <v>492.73</v>
      </c>
      <c r="L43" s="240">
        <v>1117.6300000000001</v>
      </c>
      <c r="M43" s="240">
        <v>278.99</v>
      </c>
      <c r="N43" s="240">
        <v>1215.69</v>
      </c>
      <c r="O43" s="240">
        <v>231.46</v>
      </c>
      <c r="P43" s="240">
        <v>372.92</v>
      </c>
      <c r="Q43" s="240">
        <v>1041.6400000000001</v>
      </c>
      <c r="R43" s="240">
        <v>435.05</v>
      </c>
      <c r="S43" s="240">
        <v>470.93</v>
      </c>
      <c r="T43" s="240">
        <v>286.38</v>
      </c>
      <c r="U43" s="240">
        <v>768.33</v>
      </c>
      <c r="V43" s="240">
        <v>428.4</v>
      </c>
      <c r="W43" s="240">
        <v>305.16000000000003</v>
      </c>
      <c r="X43" s="240">
        <v>606.47</v>
      </c>
      <c r="Y43" s="240">
        <v>214.14</v>
      </c>
      <c r="Z43" s="240">
        <v>0</v>
      </c>
    </row>
    <row r="44" spans="3:26" x14ac:dyDescent="0.25">
      <c r="C44">
        <v>2027</v>
      </c>
      <c r="E44">
        <v>694.43</v>
      </c>
      <c r="G44" s="240">
        <v>232.77</v>
      </c>
      <c r="H44" s="240">
        <v>244.28</v>
      </c>
      <c r="I44" s="240">
        <v>657</v>
      </c>
      <c r="J44" s="240">
        <v>186.95</v>
      </c>
      <c r="K44" s="240">
        <v>477.71</v>
      </c>
      <c r="L44" s="240">
        <v>829.04</v>
      </c>
      <c r="M44" s="240">
        <v>270.87</v>
      </c>
      <c r="N44" s="240">
        <v>1139.18</v>
      </c>
      <c r="O44" s="240">
        <v>231.35</v>
      </c>
      <c r="P44" s="240">
        <v>361.78</v>
      </c>
      <c r="Q44" s="240">
        <v>990.33</v>
      </c>
      <c r="R44" s="240">
        <v>1817.48</v>
      </c>
      <c r="S44" s="240">
        <v>476.56</v>
      </c>
      <c r="T44" s="240">
        <v>280.52999999999997</v>
      </c>
      <c r="U44" s="240">
        <v>734.54</v>
      </c>
      <c r="V44" s="240">
        <v>415.26</v>
      </c>
      <c r="W44" s="240">
        <v>310.45</v>
      </c>
      <c r="X44" s="240">
        <v>588.65</v>
      </c>
      <c r="Y44" s="240">
        <v>192.21</v>
      </c>
      <c r="Z44" s="240">
        <v>0</v>
      </c>
    </row>
    <row r="45" spans="3:26" x14ac:dyDescent="0.25">
      <c r="C45">
        <v>2028</v>
      </c>
      <c r="E45">
        <v>694.43</v>
      </c>
      <c r="G45" s="240">
        <v>231.19</v>
      </c>
      <c r="H45" s="240">
        <v>242.07</v>
      </c>
      <c r="I45" s="240">
        <v>657.16</v>
      </c>
      <c r="J45" s="240">
        <v>185.89</v>
      </c>
      <c r="K45" s="240">
        <v>455.58</v>
      </c>
      <c r="L45" s="240">
        <v>851.71</v>
      </c>
      <c r="M45" s="240">
        <v>266.13</v>
      </c>
      <c r="N45" s="240">
        <v>1165.93</v>
      </c>
      <c r="O45" s="240">
        <v>228.8</v>
      </c>
      <c r="P45" s="240">
        <v>352.48</v>
      </c>
      <c r="Q45" s="240">
        <v>960.64</v>
      </c>
      <c r="R45" s="240">
        <v>407.46</v>
      </c>
      <c r="S45" s="240">
        <v>462</v>
      </c>
      <c r="T45" s="240">
        <v>278.12</v>
      </c>
      <c r="U45" s="240">
        <v>709.09</v>
      </c>
      <c r="V45" s="240">
        <v>406.28</v>
      </c>
      <c r="W45" s="240">
        <v>294.91000000000003</v>
      </c>
      <c r="X45" s="240">
        <v>594.16999999999996</v>
      </c>
      <c r="Y45" s="240">
        <v>206.09</v>
      </c>
      <c r="Z45" s="240">
        <v>-1.44</v>
      </c>
    </row>
    <row r="46" spans="3:26" x14ac:dyDescent="0.25">
      <c r="C46">
        <v>2029</v>
      </c>
      <c r="E46">
        <v>694.43</v>
      </c>
      <c r="G46" s="240">
        <v>231.19</v>
      </c>
      <c r="H46" s="240">
        <v>242.07</v>
      </c>
      <c r="I46" s="240">
        <v>657.16</v>
      </c>
      <c r="J46" s="240">
        <v>185.89</v>
      </c>
      <c r="K46" s="240">
        <v>455.58</v>
      </c>
      <c r="L46" s="240">
        <v>851.71</v>
      </c>
      <c r="M46" s="240">
        <v>266.13</v>
      </c>
      <c r="N46" s="240">
        <v>1165.93</v>
      </c>
      <c r="O46" s="240">
        <v>228.8</v>
      </c>
      <c r="P46" s="240">
        <v>352.48</v>
      </c>
      <c r="Q46" s="240">
        <v>960.64</v>
      </c>
      <c r="R46" s="240">
        <v>407.46</v>
      </c>
      <c r="S46" s="240">
        <v>462</v>
      </c>
      <c r="T46" s="240">
        <v>278.12</v>
      </c>
      <c r="U46" s="240">
        <v>709.09</v>
      </c>
      <c r="V46" s="240">
        <v>406.28</v>
      </c>
      <c r="W46" s="240">
        <v>294.91000000000003</v>
      </c>
      <c r="X46" s="240">
        <v>594.16999999999996</v>
      </c>
      <c r="Y46" s="240">
        <v>206.09</v>
      </c>
      <c r="Z46" s="240">
        <v>-1.5</v>
      </c>
    </row>
    <row r="47" spans="3:26" x14ac:dyDescent="0.25">
      <c r="C47">
        <v>2030</v>
      </c>
      <c r="E47">
        <v>694.43</v>
      </c>
      <c r="G47" s="240">
        <v>231.19</v>
      </c>
      <c r="H47" s="240">
        <v>242.07</v>
      </c>
      <c r="I47" s="240">
        <v>657.16</v>
      </c>
      <c r="J47" s="240">
        <v>185.89</v>
      </c>
      <c r="K47" s="240">
        <v>455.58</v>
      </c>
      <c r="L47" s="240">
        <v>851.71</v>
      </c>
      <c r="M47" s="240">
        <v>266.13</v>
      </c>
      <c r="N47" s="240">
        <v>1165.93</v>
      </c>
      <c r="O47" s="240">
        <v>228.8</v>
      </c>
      <c r="P47" s="240">
        <v>352.48</v>
      </c>
      <c r="Q47" s="240">
        <v>960.64</v>
      </c>
      <c r="R47" s="240">
        <v>407.46</v>
      </c>
      <c r="S47" s="240">
        <v>462</v>
      </c>
      <c r="T47" s="240">
        <v>278.12</v>
      </c>
      <c r="U47" s="240">
        <v>709.09</v>
      </c>
      <c r="V47" s="240">
        <v>406.28</v>
      </c>
      <c r="W47" s="240">
        <v>294.91000000000003</v>
      </c>
      <c r="X47" s="240">
        <v>594.16999999999996</v>
      </c>
      <c r="Y47" s="240">
        <v>206.09</v>
      </c>
      <c r="Z47" s="240">
        <v>-1.56</v>
      </c>
    </row>
    <row r="48" spans="3:26" x14ac:dyDescent="0.25">
      <c r="C48">
        <v>2031</v>
      </c>
      <c r="E48">
        <v>694.43</v>
      </c>
      <c r="G48" s="240">
        <v>231.19</v>
      </c>
      <c r="H48" s="240">
        <v>242.07</v>
      </c>
      <c r="I48" s="240">
        <v>657.16</v>
      </c>
      <c r="J48" s="240">
        <v>185.89</v>
      </c>
      <c r="K48" s="240">
        <v>455.58</v>
      </c>
      <c r="L48" s="240">
        <v>851.71</v>
      </c>
      <c r="M48" s="240">
        <v>266.13</v>
      </c>
      <c r="N48" s="240">
        <v>1165.93</v>
      </c>
      <c r="O48" s="240">
        <v>228.8</v>
      </c>
      <c r="P48" s="240">
        <v>352.48</v>
      </c>
      <c r="Q48" s="240">
        <v>960.64</v>
      </c>
      <c r="R48" s="240">
        <v>407.46</v>
      </c>
      <c r="S48" s="240">
        <v>462</v>
      </c>
      <c r="T48" s="240">
        <v>278.12</v>
      </c>
      <c r="U48" s="240">
        <v>709.09</v>
      </c>
      <c r="V48" s="240">
        <v>406.28</v>
      </c>
      <c r="W48" s="240">
        <v>294.91000000000003</v>
      </c>
      <c r="X48" s="240">
        <v>594.16999999999996</v>
      </c>
      <c r="Y48" s="240">
        <v>206.09</v>
      </c>
      <c r="Z48" s="240">
        <v>-1.53</v>
      </c>
    </row>
    <row r="49" spans="3:26" x14ac:dyDescent="0.25">
      <c r="C49">
        <v>2032</v>
      </c>
      <c r="E49">
        <v>694.43</v>
      </c>
      <c r="G49" s="240">
        <v>231.19</v>
      </c>
      <c r="H49" s="240">
        <v>242.07</v>
      </c>
      <c r="I49" s="240">
        <v>657.16</v>
      </c>
      <c r="J49" s="240">
        <v>185.89</v>
      </c>
      <c r="K49" s="240">
        <v>455.58</v>
      </c>
      <c r="L49" s="240">
        <v>851.71</v>
      </c>
      <c r="M49" s="240">
        <v>266.13</v>
      </c>
      <c r="N49" s="240">
        <v>1165.93</v>
      </c>
      <c r="O49" s="240">
        <v>228.8</v>
      </c>
      <c r="P49" s="240">
        <v>352.48</v>
      </c>
      <c r="Q49" s="240">
        <v>960.64</v>
      </c>
      <c r="R49" s="240">
        <v>407.46</v>
      </c>
      <c r="S49" s="240">
        <v>462</v>
      </c>
      <c r="T49" s="240">
        <v>278.12</v>
      </c>
      <c r="U49" s="240">
        <v>709.09</v>
      </c>
      <c r="V49" s="240">
        <v>406.28</v>
      </c>
      <c r="W49" s="240">
        <v>294.91000000000003</v>
      </c>
      <c r="X49" s="240">
        <v>594.16999999999996</v>
      </c>
      <c r="Y49" s="240">
        <v>206.09</v>
      </c>
      <c r="Z49" s="240">
        <v>-1.51</v>
      </c>
    </row>
    <row r="50" spans="3:26" x14ac:dyDescent="0.25">
      <c r="C50">
        <v>2033</v>
      </c>
      <c r="E50">
        <v>694.43</v>
      </c>
      <c r="G50" s="240">
        <v>231.19</v>
      </c>
      <c r="H50" s="240">
        <v>242.07</v>
      </c>
      <c r="I50" s="240">
        <v>657.16</v>
      </c>
      <c r="J50" s="240">
        <v>185.89</v>
      </c>
      <c r="K50" s="240">
        <v>455.58</v>
      </c>
      <c r="L50" s="240">
        <v>851.71</v>
      </c>
      <c r="M50" s="240">
        <v>266.13</v>
      </c>
      <c r="N50" s="240">
        <v>1165.93</v>
      </c>
      <c r="O50" s="240">
        <v>228.8</v>
      </c>
      <c r="P50" s="240">
        <v>352.48</v>
      </c>
      <c r="Q50" s="240">
        <v>960.64</v>
      </c>
      <c r="R50" s="240">
        <v>407.46</v>
      </c>
      <c r="S50" s="240">
        <v>462</v>
      </c>
      <c r="T50" s="240">
        <v>278.12</v>
      </c>
      <c r="U50" s="240">
        <v>709.09</v>
      </c>
      <c r="V50" s="240">
        <v>406.28</v>
      </c>
      <c r="W50" s="240">
        <v>294.91000000000003</v>
      </c>
      <c r="X50" s="240">
        <v>594.16999999999996</v>
      </c>
      <c r="Y50" s="240">
        <v>206.09</v>
      </c>
      <c r="Z50" s="240">
        <v>-1.55</v>
      </c>
    </row>
    <row r="51" spans="3:26" x14ac:dyDescent="0.25">
      <c r="C51">
        <v>2034</v>
      </c>
      <c r="E51">
        <v>694.43</v>
      </c>
      <c r="G51" s="240">
        <v>231.19</v>
      </c>
      <c r="H51" s="240">
        <v>242.07</v>
      </c>
      <c r="I51" s="240">
        <v>657.16</v>
      </c>
      <c r="J51" s="240">
        <v>185.89</v>
      </c>
      <c r="K51" s="240">
        <v>455.58</v>
      </c>
      <c r="L51" s="240">
        <v>851.71</v>
      </c>
      <c r="M51" s="240">
        <v>266.13</v>
      </c>
      <c r="N51" s="240">
        <v>1165.93</v>
      </c>
      <c r="O51" s="240">
        <v>228.8</v>
      </c>
      <c r="P51" s="240">
        <v>352.48</v>
      </c>
      <c r="Q51" s="240">
        <v>960.64</v>
      </c>
      <c r="R51" s="240">
        <v>407.46</v>
      </c>
      <c r="S51" s="240">
        <v>462</v>
      </c>
      <c r="T51" s="240">
        <v>278.12</v>
      </c>
      <c r="U51" s="240">
        <v>709.09</v>
      </c>
      <c r="V51" s="240">
        <v>406.28</v>
      </c>
      <c r="W51" s="240">
        <v>294.91000000000003</v>
      </c>
      <c r="X51" s="240">
        <v>594.16999999999996</v>
      </c>
      <c r="Y51" s="240">
        <v>206.09</v>
      </c>
      <c r="Z51" s="240">
        <v>-1.58</v>
      </c>
    </row>
    <row r="52" spans="3:26" x14ac:dyDescent="0.25">
      <c r="C52">
        <v>2035</v>
      </c>
      <c r="E52">
        <v>694.43</v>
      </c>
      <c r="G52" s="240">
        <v>231.19</v>
      </c>
      <c r="H52" s="240">
        <v>242.07</v>
      </c>
      <c r="I52" s="240">
        <v>657.16</v>
      </c>
      <c r="J52" s="240">
        <v>185.89</v>
      </c>
      <c r="K52" s="240">
        <v>455.58</v>
      </c>
      <c r="L52" s="240">
        <v>851.71</v>
      </c>
      <c r="M52" s="240">
        <v>266.13</v>
      </c>
      <c r="N52" s="240">
        <v>1165.93</v>
      </c>
      <c r="O52" s="240">
        <v>228.8</v>
      </c>
      <c r="P52" s="240">
        <v>352.48</v>
      </c>
      <c r="Q52" s="240">
        <v>960.64</v>
      </c>
      <c r="R52" s="240">
        <v>407.46</v>
      </c>
      <c r="S52" s="240">
        <v>462</v>
      </c>
      <c r="T52" s="240">
        <v>278.12</v>
      </c>
      <c r="U52" s="240">
        <v>709.09</v>
      </c>
      <c r="V52" s="240">
        <v>406.28</v>
      </c>
      <c r="W52" s="240">
        <v>294.91000000000003</v>
      </c>
      <c r="X52" s="240">
        <v>594.16999999999996</v>
      </c>
      <c r="Y52" s="240">
        <v>206.09</v>
      </c>
      <c r="Z52" s="240">
        <v>-1.64</v>
      </c>
    </row>
    <row r="53" spans="3:26" x14ac:dyDescent="0.25">
      <c r="C53">
        <v>2036</v>
      </c>
      <c r="E53">
        <v>694.43</v>
      </c>
      <c r="G53" s="240">
        <v>231.19</v>
      </c>
      <c r="H53" s="240">
        <v>242.07</v>
      </c>
      <c r="I53" s="240">
        <v>657.16</v>
      </c>
      <c r="J53" s="240">
        <v>185.89</v>
      </c>
      <c r="K53" s="240">
        <v>455.58</v>
      </c>
      <c r="L53" s="240">
        <v>851.71</v>
      </c>
      <c r="M53" s="240">
        <v>266.13</v>
      </c>
      <c r="N53" s="240">
        <v>1165.93</v>
      </c>
      <c r="O53" s="240">
        <v>228.8</v>
      </c>
      <c r="P53" s="240">
        <v>352.48</v>
      </c>
      <c r="Q53" s="240">
        <v>960.64</v>
      </c>
      <c r="R53" s="240">
        <v>407.46</v>
      </c>
      <c r="S53" s="240">
        <v>462</v>
      </c>
      <c r="T53" s="240">
        <v>278.12</v>
      </c>
      <c r="U53" s="240">
        <v>709.09</v>
      </c>
      <c r="V53" s="240">
        <v>406.28</v>
      </c>
      <c r="W53" s="240">
        <v>294.91000000000003</v>
      </c>
      <c r="X53" s="240">
        <v>594.16999999999996</v>
      </c>
      <c r="Y53" s="240">
        <v>206.09</v>
      </c>
      <c r="Z53" s="240">
        <v>-1.65</v>
      </c>
    </row>
    <row r="54" spans="3:26" x14ac:dyDescent="0.25">
      <c r="C54">
        <v>2037</v>
      </c>
      <c r="E54">
        <v>694.43</v>
      </c>
      <c r="G54" s="240">
        <v>231.19</v>
      </c>
      <c r="H54" s="240">
        <v>242.07</v>
      </c>
      <c r="I54" s="240">
        <v>657.16</v>
      </c>
      <c r="J54" s="240">
        <v>185.89</v>
      </c>
      <c r="K54" s="240">
        <v>455.58</v>
      </c>
      <c r="L54" s="240">
        <v>851.71</v>
      </c>
      <c r="M54" s="240">
        <v>266.13</v>
      </c>
      <c r="N54" s="240">
        <v>1165.93</v>
      </c>
      <c r="O54" s="240">
        <v>228.8</v>
      </c>
      <c r="P54" s="240">
        <v>352.48</v>
      </c>
      <c r="Q54" s="240">
        <v>960.64</v>
      </c>
      <c r="R54" s="240">
        <v>407.46</v>
      </c>
      <c r="S54" s="240">
        <v>462</v>
      </c>
      <c r="T54" s="240">
        <v>278.12</v>
      </c>
      <c r="U54" s="240">
        <v>709.09</v>
      </c>
      <c r="V54" s="240">
        <v>406.28</v>
      </c>
      <c r="W54" s="240">
        <v>294.91000000000003</v>
      </c>
      <c r="X54" s="240">
        <v>594.16999999999996</v>
      </c>
      <c r="Y54" s="240">
        <v>206.09</v>
      </c>
      <c r="Z54" s="240">
        <v>-1.66</v>
      </c>
    </row>
    <row r="55" spans="3:26" x14ac:dyDescent="0.25">
      <c r="C55">
        <v>2038</v>
      </c>
      <c r="E55">
        <v>694.43</v>
      </c>
      <c r="G55" s="240">
        <v>231.19</v>
      </c>
      <c r="H55" s="240">
        <v>242.07</v>
      </c>
      <c r="I55" s="240">
        <v>657.16</v>
      </c>
      <c r="J55" s="240">
        <v>185.89</v>
      </c>
      <c r="K55" s="240">
        <v>455.58</v>
      </c>
      <c r="L55" s="240">
        <v>851.71</v>
      </c>
      <c r="M55" s="240">
        <v>266.13</v>
      </c>
      <c r="N55" s="240">
        <v>1165.93</v>
      </c>
      <c r="O55" s="240">
        <v>228.8</v>
      </c>
      <c r="P55" s="240">
        <v>352.48</v>
      </c>
      <c r="Q55" s="240">
        <v>960.64</v>
      </c>
      <c r="R55" s="240">
        <v>407.46</v>
      </c>
      <c r="S55" s="240">
        <v>462</v>
      </c>
      <c r="T55" s="240">
        <v>278.12</v>
      </c>
      <c r="U55" s="240">
        <v>709.09</v>
      </c>
      <c r="V55" s="240">
        <v>406.28</v>
      </c>
      <c r="W55" s="240">
        <v>294.91000000000003</v>
      </c>
      <c r="X55" s="240">
        <v>594.16999999999996</v>
      </c>
      <c r="Y55" s="240">
        <v>206.09</v>
      </c>
      <c r="Z55" s="240">
        <v>-1.66</v>
      </c>
    </row>
    <row r="56" spans="3:26" x14ac:dyDescent="0.25">
      <c r="C56">
        <v>2039</v>
      </c>
      <c r="E56">
        <v>694.43</v>
      </c>
      <c r="G56" s="240">
        <v>231.19</v>
      </c>
      <c r="H56" s="240">
        <v>242.07</v>
      </c>
      <c r="I56" s="240">
        <v>657.16</v>
      </c>
      <c r="J56" s="240">
        <v>185.89</v>
      </c>
      <c r="K56" s="240">
        <v>455.58</v>
      </c>
      <c r="L56" s="240">
        <v>851.71</v>
      </c>
      <c r="M56" s="240">
        <v>266.13</v>
      </c>
      <c r="N56" s="240">
        <v>1165.93</v>
      </c>
      <c r="O56" s="240">
        <v>228.8</v>
      </c>
      <c r="P56" s="240">
        <v>352.48</v>
      </c>
      <c r="Q56" s="240">
        <v>960.64</v>
      </c>
      <c r="R56" s="240">
        <v>407.46</v>
      </c>
      <c r="S56" s="240">
        <v>462</v>
      </c>
      <c r="T56" s="240">
        <v>278.12</v>
      </c>
      <c r="U56" s="240">
        <v>709.09</v>
      </c>
      <c r="V56" s="240">
        <v>406.28</v>
      </c>
      <c r="W56" s="240">
        <v>294.91000000000003</v>
      </c>
      <c r="X56" s="240">
        <v>594.16999999999996</v>
      </c>
      <c r="Y56" s="240">
        <v>206.09</v>
      </c>
      <c r="Z56" s="240">
        <v>-1.66</v>
      </c>
    </row>
    <row r="57" spans="3:26" x14ac:dyDescent="0.25">
      <c r="C57">
        <v>2040</v>
      </c>
      <c r="E57">
        <v>694.43</v>
      </c>
      <c r="G57" s="240">
        <v>231.19</v>
      </c>
      <c r="H57" s="240">
        <v>242.07</v>
      </c>
      <c r="I57" s="240">
        <v>657.16</v>
      </c>
      <c r="J57" s="240">
        <v>185.89</v>
      </c>
      <c r="K57" s="240">
        <v>455.58</v>
      </c>
      <c r="L57" s="240">
        <v>851.71</v>
      </c>
      <c r="M57" s="240">
        <v>266.13</v>
      </c>
      <c r="N57" s="240">
        <v>1165.93</v>
      </c>
      <c r="O57" s="240">
        <v>228.8</v>
      </c>
      <c r="P57" s="240">
        <v>352.48</v>
      </c>
      <c r="Q57" s="240">
        <v>960.64</v>
      </c>
      <c r="R57" s="240">
        <v>407.46</v>
      </c>
      <c r="S57" s="240">
        <v>462</v>
      </c>
      <c r="T57" s="240">
        <v>278.12</v>
      </c>
      <c r="U57" s="240">
        <v>709.09</v>
      </c>
      <c r="V57" s="240">
        <v>406.28</v>
      </c>
      <c r="W57" s="240">
        <v>294.91000000000003</v>
      </c>
      <c r="X57" s="240">
        <v>594.16999999999996</v>
      </c>
      <c r="Y57" s="240">
        <v>206.09</v>
      </c>
      <c r="Z57" s="240">
        <v>-1.66</v>
      </c>
    </row>
    <row r="58" spans="3:26" x14ac:dyDescent="0.25">
      <c r="C58">
        <v>2041</v>
      </c>
      <c r="E58">
        <v>694.43</v>
      </c>
      <c r="G58" s="240">
        <v>231.19</v>
      </c>
      <c r="H58" s="240">
        <v>242.07</v>
      </c>
      <c r="I58" s="240">
        <v>657.16</v>
      </c>
      <c r="J58" s="240">
        <v>185.89</v>
      </c>
      <c r="K58" s="240">
        <v>455.58</v>
      </c>
      <c r="L58" s="240">
        <v>851.71</v>
      </c>
      <c r="M58" s="240">
        <v>266.13</v>
      </c>
      <c r="N58" s="240">
        <v>1165.93</v>
      </c>
      <c r="O58" s="240">
        <v>228.8</v>
      </c>
      <c r="P58" s="240">
        <v>352.48</v>
      </c>
      <c r="Q58" s="240">
        <v>960.64</v>
      </c>
      <c r="R58" s="240">
        <v>407.46</v>
      </c>
      <c r="S58" s="240">
        <v>462</v>
      </c>
      <c r="T58" s="240">
        <v>278.12</v>
      </c>
      <c r="U58" s="240">
        <v>709.09</v>
      </c>
      <c r="V58" s="240">
        <v>406.28</v>
      </c>
      <c r="W58" s="240">
        <v>294.91000000000003</v>
      </c>
      <c r="X58" s="240">
        <v>594.16999999999996</v>
      </c>
      <c r="Y58" s="240">
        <v>206.09</v>
      </c>
      <c r="Z58" s="240">
        <v>-1.65</v>
      </c>
    </row>
    <row r="59" spans="3:26" x14ac:dyDescent="0.25">
      <c r="C59">
        <v>2042</v>
      </c>
      <c r="E59">
        <v>694.43</v>
      </c>
      <c r="G59" s="240">
        <v>231.19</v>
      </c>
      <c r="H59" s="240">
        <v>242.07</v>
      </c>
      <c r="I59" s="240">
        <v>657.16</v>
      </c>
      <c r="J59" s="240">
        <v>185.89</v>
      </c>
      <c r="K59" s="240">
        <v>455.58</v>
      </c>
      <c r="L59" s="240">
        <v>851.71</v>
      </c>
      <c r="M59" s="240">
        <v>266.13</v>
      </c>
      <c r="N59" s="240">
        <v>1165.93</v>
      </c>
      <c r="O59" s="240">
        <v>228.8</v>
      </c>
      <c r="P59" s="240">
        <v>352.48</v>
      </c>
      <c r="Q59" s="240">
        <v>960.64</v>
      </c>
      <c r="R59" s="240">
        <v>407.46</v>
      </c>
      <c r="S59" s="240">
        <v>462</v>
      </c>
      <c r="T59" s="240">
        <v>278.12</v>
      </c>
      <c r="U59" s="240">
        <v>709.09</v>
      </c>
      <c r="V59" s="240">
        <v>406.28</v>
      </c>
      <c r="W59" s="240">
        <v>294.91000000000003</v>
      </c>
      <c r="X59" s="240">
        <v>594.16999999999996</v>
      </c>
      <c r="Y59" s="240">
        <v>206.09</v>
      </c>
      <c r="Z59" s="240">
        <v>-1.64</v>
      </c>
    </row>
    <row r="60" spans="3:26" x14ac:dyDescent="0.25">
      <c r="C60">
        <v>2043</v>
      </c>
      <c r="E60">
        <v>694.43</v>
      </c>
      <c r="G60" s="240">
        <v>231.19</v>
      </c>
      <c r="H60" s="240">
        <v>242.07</v>
      </c>
      <c r="I60" s="240">
        <v>657.16</v>
      </c>
      <c r="J60" s="240">
        <v>185.89</v>
      </c>
      <c r="K60" s="240">
        <v>455.58</v>
      </c>
      <c r="L60" s="240">
        <v>851.71</v>
      </c>
      <c r="M60" s="240">
        <v>266.13</v>
      </c>
      <c r="N60" s="240">
        <v>1165.93</v>
      </c>
      <c r="O60" s="240">
        <v>228.8</v>
      </c>
      <c r="P60" s="240">
        <v>352.48</v>
      </c>
      <c r="Q60" s="240">
        <v>960.64</v>
      </c>
      <c r="R60" s="240">
        <v>407.46</v>
      </c>
      <c r="S60" s="240">
        <v>462</v>
      </c>
      <c r="T60" s="240">
        <v>278.12</v>
      </c>
      <c r="U60" s="240">
        <v>709.09</v>
      </c>
      <c r="V60" s="240">
        <v>406.28</v>
      </c>
      <c r="W60" s="240">
        <v>294.91000000000003</v>
      </c>
      <c r="X60" s="240">
        <v>594.16999999999996</v>
      </c>
      <c r="Y60" s="240">
        <v>206.09</v>
      </c>
      <c r="Z60" s="240">
        <v>-1.63</v>
      </c>
    </row>
    <row r="61" spans="3:26" x14ac:dyDescent="0.25">
      <c r="C61">
        <v>2044</v>
      </c>
      <c r="E61">
        <v>694.43</v>
      </c>
      <c r="G61" s="240">
        <v>231.19</v>
      </c>
      <c r="H61" s="240">
        <v>242.07</v>
      </c>
      <c r="I61" s="240">
        <v>657.16</v>
      </c>
      <c r="J61" s="240">
        <v>185.89</v>
      </c>
      <c r="K61" s="240">
        <v>455.58</v>
      </c>
      <c r="L61" s="240">
        <v>851.71</v>
      </c>
      <c r="M61" s="240">
        <v>266.13</v>
      </c>
      <c r="N61" s="240">
        <v>1165.93</v>
      </c>
      <c r="O61" s="240">
        <v>228.8</v>
      </c>
      <c r="P61" s="240">
        <v>352.48</v>
      </c>
      <c r="Q61" s="240">
        <v>960.64</v>
      </c>
      <c r="R61" s="240">
        <v>407.46</v>
      </c>
      <c r="S61" s="240">
        <v>462</v>
      </c>
      <c r="T61" s="240">
        <v>278.12</v>
      </c>
      <c r="U61" s="240">
        <v>709.09</v>
      </c>
      <c r="V61" s="240">
        <v>406.28</v>
      </c>
      <c r="W61" s="240">
        <v>294.91000000000003</v>
      </c>
      <c r="X61" s="240">
        <v>594.16999999999996</v>
      </c>
      <c r="Y61" s="240">
        <v>206.09</v>
      </c>
      <c r="Z61" s="240">
        <v>-1.62</v>
      </c>
    </row>
    <row r="62" spans="3:26" x14ac:dyDescent="0.25">
      <c r="C62">
        <v>2045</v>
      </c>
      <c r="E62">
        <v>694.43</v>
      </c>
      <c r="G62" s="240">
        <v>231.19</v>
      </c>
      <c r="H62" s="240">
        <v>242.07</v>
      </c>
      <c r="I62" s="240">
        <v>657.16</v>
      </c>
      <c r="J62" s="240">
        <v>185.89</v>
      </c>
      <c r="K62" s="240">
        <v>455.58</v>
      </c>
      <c r="L62" s="240">
        <v>851.71</v>
      </c>
      <c r="M62" s="240">
        <v>266.13</v>
      </c>
      <c r="N62" s="240">
        <v>1165.93</v>
      </c>
      <c r="O62" s="240">
        <v>228.8</v>
      </c>
      <c r="P62" s="240">
        <v>352.48</v>
      </c>
      <c r="Q62" s="240">
        <v>960.64</v>
      </c>
      <c r="R62" s="240">
        <v>407.46</v>
      </c>
      <c r="S62" s="240">
        <v>462</v>
      </c>
      <c r="T62" s="240">
        <v>278.12</v>
      </c>
      <c r="U62" s="240">
        <v>709.09</v>
      </c>
      <c r="V62" s="240">
        <v>406.28</v>
      </c>
      <c r="W62" s="240">
        <v>294.91000000000003</v>
      </c>
      <c r="X62" s="240">
        <v>594.16999999999996</v>
      </c>
      <c r="Y62" s="240">
        <v>206.09</v>
      </c>
      <c r="Z62" s="240">
        <v>-1.61</v>
      </c>
    </row>
    <row r="63" spans="3:26" x14ac:dyDescent="0.25">
      <c r="C63">
        <v>2046</v>
      </c>
      <c r="E63">
        <v>694.43</v>
      </c>
      <c r="G63" s="240">
        <v>231.19</v>
      </c>
      <c r="H63" s="240">
        <v>242.07</v>
      </c>
      <c r="I63" s="240">
        <v>657.16</v>
      </c>
      <c r="J63" s="240">
        <v>185.89</v>
      </c>
      <c r="K63" s="240">
        <v>455.58</v>
      </c>
      <c r="L63" s="240">
        <v>851.71</v>
      </c>
      <c r="M63" s="240">
        <v>266.13</v>
      </c>
      <c r="N63" s="240">
        <v>1165.93</v>
      </c>
      <c r="O63" s="240">
        <v>228.8</v>
      </c>
      <c r="P63" s="240">
        <v>352.48</v>
      </c>
      <c r="Q63" s="240">
        <v>960.64</v>
      </c>
      <c r="R63" s="240">
        <v>407.46</v>
      </c>
      <c r="S63" s="240">
        <v>462</v>
      </c>
      <c r="T63" s="240">
        <v>278.12</v>
      </c>
      <c r="U63" s="240">
        <v>709.09</v>
      </c>
      <c r="V63" s="240">
        <v>406.28</v>
      </c>
      <c r="W63" s="240">
        <v>294.91000000000003</v>
      </c>
      <c r="X63" s="240">
        <v>594.16999999999996</v>
      </c>
      <c r="Y63" s="240">
        <v>206.09</v>
      </c>
      <c r="Z63" s="240">
        <v>-1.59</v>
      </c>
    </row>
    <row r="64" spans="3:26" x14ac:dyDescent="0.25">
      <c r="C64">
        <v>2047</v>
      </c>
      <c r="E64">
        <v>694.43</v>
      </c>
      <c r="G64" s="240">
        <v>231.19</v>
      </c>
      <c r="H64" s="240">
        <v>242.07</v>
      </c>
      <c r="I64" s="240">
        <v>657.16</v>
      </c>
      <c r="J64" s="240">
        <v>185.89</v>
      </c>
      <c r="K64" s="240">
        <v>455.58</v>
      </c>
      <c r="L64" s="240">
        <v>851.71</v>
      </c>
      <c r="M64" s="240">
        <v>266.13</v>
      </c>
      <c r="N64" s="240">
        <v>1165.93</v>
      </c>
      <c r="O64" s="240">
        <v>228.8</v>
      </c>
      <c r="P64" s="240">
        <v>352.48</v>
      </c>
      <c r="Q64" s="240">
        <v>960.64</v>
      </c>
      <c r="R64" s="240">
        <v>407.46</v>
      </c>
      <c r="S64" s="240">
        <v>462</v>
      </c>
      <c r="T64" s="240">
        <v>278.12</v>
      </c>
      <c r="U64" s="240">
        <v>709.09</v>
      </c>
      <c r="V64" s="240">
        <v>406.28</v>
      </c>
      <c r="W64" s="240">
        <v>294.91000000000003</v>
      </c>
      <c r="X64" s="240">
        <v>594.16999999999996</v>
      </c>
      <c r="Y64" s="240">
        <v>206.09</v>
      </c>
      <c r="Z64" s="240">
        <v>-1.56</v>
      </c>
    </row>
    <row r="65" spans="3:26" x14ac:dyDescent="0.25">
      <c r="C65">
        <v>2048</v>
      </c>
      <c r="E65">
        <v>694.43</v>
      </c>
      <c r="G65" s="240">
        <v>231.19</v>
      </c>
      <c r="H65" s="240">
        <v>242.07</v>
      </c>
      <c r="I65" s="240">
        <v>657.16</v>
      </c>
      <c r="J65" s="240">
        <v>185.89</v>
      </c>
      <c r="K65" s="240">
        <v>455.58</v>
      </c>
      <c r="L65" s="240">
        <v>851.71</v>
      </c>
      <c r="M65" s="240">
        <v>266.13</v>
      </c>
      <c r="N65" s="240">
        <v>1165.93</v>
      </c>
      <c r="O65" s="240">
        <v>228.8</v>
      </c>
      <c r="P65" s="240">
        <v>352.48</v>
      </c>
      <c r="Q65" s="240">
        <v>960.64</v>
      </c>
      <c r="R65" s="240">
        <v>407.46</v>
      </c>
      <c r="S65" s="240">
        <v>462</v>
      </c>
      <c r="T65" s="240">
        <v>278.12</v>
      </c>
      <c r="U65" s="240">
        <v>709.09</v>
      </c>
      <c r="V65" s="240">
        <v>406.28</v>
      </c>
      <c r="W65" s="240">
        <v>294.91000000000003</v>
      </c>
      <c r="X65" s="240">
        <v>594.16999999999996</v>
      </c>
      <c r="Y65" s="240">
        <v>206.09</v>
      </c>
      <c r="Z65" s="240">
        <v>-1.53</v>
      </c>
    </row>
    <row r="66" spans="3:26" x14ac:dyDescent="0.25">
      <c r="C66">
        <v>2049</v>
      </c>
      <c r="E66">
        <v>694.43</v>
      </c>
      <c r="G66" s="240">
        <v>231.19</v>
      </c>
      <c r="H66" s="240">
        <v>242.07</v>
      </c>
      <c r="I66" s="240">
        <v>657.16</v>
      </c>
      <c r="J66" s="240">
        <v>185.89</v>
      </c>
      <c r="K66" s="240">
        <v>455.58</v>
      </c>
      <c r="L66" s="240">
        <v>851.71</v>
      </c>
      <c r="M66" s="240">
        <v>266.13</v>
      </c>
      <c r="N66" s="240">
        <v>1165.93</v>
      </c>
      <c r="O66" s="240">
        <v>228.8</v>
      </c>
      <c r="P66" s="240">
        <v>352.48</v>
      </c>
      <c r="Q66" s="240">
        <v>960.64</v>
      </c>
      <c r="R66" s="240">
        <v>407.46</v>
      </c>
      <c r="S66" s="240">
        <v>462</v>
      </c>
      <c r="T66" s="240">
        <v>278.12</v>
      </c>
      <c r="U66" s="240">
        <v>709.09</v>
      </c>
      <c r="V66" s="240">
        <v>406.28</v>
      </c>
      <c r="W66" s="240">
        <v>294.91000000000003</v>
      </c>
      <c r="X66" s="240">
        <v>594.16999999999996</v>
      </c>
      <c r="Y66" s="240">
        <v>206.09</v>
      </c>
      <c r="Z66" s="240">
        <v>-1.5</v>
      </c>
    </row>
    <row r="67" spans="3:26" x14ac:dyDescent="0.25">
      <c r="C67">
        <v>2050</v>
      </c>
      <c r="E67">
        <v>694.43</v>
      </c>
      <c r="G67" s="240">
        <v>231.19</v>
      </c>
      <c r="H67" s="240">
        <v>242.07</v>
      </c>
      <c r="I67" s="240">
        <v>657.16</v>
      </c>
      <c r="J67" s="240">
        <v>185.89</v>
      </c>
      <c r="K67" s="240">
        <v>455.58</v>
      </c>
      <c r="L67" s="240">
        <v>851.71</v>
      </c>
      <c r="M67" s="240">
        <v>266.13</v>
      </c>
      <c r="N67" s="240">
        <v>1165.93</v>
      </c>
      <c r="O67" s="240">
        <v>228.8</v>
      </c>
      <c r="P67" s="240">
        <v>352.48</v>
      </c>
      <c r="Q67" s="240">
        <v>960.64</v>
      </c>
      <c r="R67" s="240">
        <v>407.46</v>
      </c>
      <c r="S67" s="240">
        <v>462</v>
      </c>
      <c r="T67" s="240">
        <v>278.12</v>
      </c>
      <c r="U67" s="240">
        <v>709.09</v>
      </c>
      <c r="V67" s="240">
        <v>406.28</v>
      </c>
      <c r="W67" s="240">
        <v>294.91000000000003</v>
      </c>
      <c r="X67" s="240">
        <v>594.16999999999996</v>
      </c>
      <c r="Y67" s="240">
        <v>206.09</v>
      </c>
      <c r="Z67" s="240">
        <v>-1.47</v>
      </c>
    </row>
    <row r="68" spans="3:26" x14ac:dyDescent="0.25">
      <c r="C68">
        <v>2051</v>
      </c>
      <c r="E68">
        <v>694.43</v>
      </c>
      <c r="G68" s="240">
        <v>231.19</v>
      </c>
      <c r="H68" s="240">
        <v>242.07</v>
      </c>
      <c r="I68" s="240">
        <v>657.16</v>
      </c>
      <c r="J68" s="240">
        <v>185.89</v>
      </c>
      <c r="K68" s="240">
        <v>455.58</v>
      </c>
      <c r="L68" s="240">
        <v>851.71</v>
      </c>
      <c r="M68" s="240">
        <v>266.13</v>
      </c>
      <c r="N68" s="240">
        <v>1165.93</v>
      </c>
      <c r="O68" s="240">
        <v>228.8</v>
      </c>
      <c r="P68" s="240">
        <v>352.48</v>
      </c>
      <c r="Q68" s="240">
        <v>960.64</v>
      </c>
      <c r="R68" s="240">
        <v>407.46</v>
      </c>
      <c r="S68" s="240">
        <v>462</v>
      </c>
      <c r="T68" s="240">
        <v>278.12</v>
      </c>
      <c r="U68" s="240">
        <v>709.09</v>
      </c>
      <c r="V68" s="240">
        <v>406.28</v>
      </c>
      <c r="W68" s="240">
        <v>294.91000000000003</v>
      </c>
      <c r="X68" s="240">
        <v>594.16999999999996</v>
      </c>
      <c r="Y68" s="240">
        <v>206.09</v>
      </c>
      <c r="Z68" s="240">
        <v>-1.43</v>
      </c>
    </row>
    <row r="69" spans="3:26" x14ac:dyDescent="0.25">
      <c r="C69">
        <v>2052</v>
      </c>
      <c r="E69">
        <v>694.43</v>
      </c>
      <c r="G69" s="240">
        <v>231.19</v>
      </c>
      <c r="H69" s="240">
        <v>242.07</v>
      </c>
      <c r="I69" s="240">
        <v>657.16</v>
      </c>
      <c r="J69" s="240">
        <v>185.89</v>
      </c>
      <c r="K69" s="240">
        <v>455.58</v>
      </c>
      <c r="L69" s="240">
        <v>851.71</v>
      </c>
      <c r="M69" s="240">
        <v>266.13</v>
      </c>
      <c r="N69" s="240">
        <v>1165.93</v>
      </c>
      <c r="O69" s="240">
        <v>228.8</v>
      </c>
      <c r="P69" s="240">
        <v>352.48</v>
      </c>
      <c r="Q69" s="240">
        <v>960.64</v>
      </c>
      <c r="R69" s="240">
        <v>407.46</v>
      </c>
      <c r="S69" s="240">
        <v>462</v>
      </c>
      <c r="T69" s="240">
        <v>278.12</v>
      </c>
      <c r="U69" s="240">
        <v>709.09</v>
      </c>
      <c r="V69" s="240">
        <v>406.28</v>
      </c>
      <c r="W69" s="240">
        <v>294.91000000000003</v>
      </c>
      <c r="X69" s="240">
        <v>594.16999999999996</v>
      </c>
      <c r="Y69" s="240">
        <v>206.09</v>
      </c>
      <c r="Z69" s="240">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x14ac:dyDescent="0.25"/>
  <cols>
    <col min="1" max="2" width="2.69921875" customWidth="1"/>
    <col min="13" max="13" width="9.09765625" customWidth="1"/>
    <col min="16" max="16" width="9.09765625" customWidth="1"/>
  </cols>
  <sheetData>
    <row r="3" spans="1:30" ht="20" x14ac:dyDescent="0.4">
      <c r="C3" s="99" t="s">
        <v>109</v>
      </c>
      <c r="M3" s="101"/>
    </row>
    <row r="6" spans="1:30" x14ac:dyDescent="0.25">
      <c r="C6" t="s">
        <v>194</v>
      </c>
      <c r="G6" s="155" t="s">
        <v>268</v>
      </c>
    </row>
    <row r="8" spans="1:30" x14ac:dyDescent="0.25">
      <c r="C8" t="s">
        <v>204</v>
      </c>
    </row>
    <row r="10" spans="1:30" x14ac:dyDescent="0.25">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5">
      <c r="C12" s="66" t="s">
        <v>76</v>
      </c>
    </row>
    <row r="13" spans="1:30" x14ac:dyDescent="0.25">
      <c r="D13" s="150" t="s">
        <v>188</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99" t="s">
        <v>216</v>
      </c>
      <c r="M3" s="101"/>
    </row>
    <row r="6" spans="1:30" x14ac:dyDescent="0.25">
      <c r="C6" t="s">
        <v>194</v>
      </c>
      <c r="G6" s="155" t="s">
        <v>233</v>
      </c>
    </row>
    <row r="8" spans="1:30" x14ac:dyDescent="0.25">
      <c r="C8" t="s">
        <v>217</v>
      </c>
    </row>
    <row r="10" spans="1:30" x14ac:dyDescent="0.25">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5">
      <c r="C12" s="66" t="s">
        <v>76</v>
      </c>
    </row>
    <row r="13" spans="1:30" x14ac:dyDescent="0.25">
      <c r="D13" s="65" t="s">
        <v>234</v>
      </c>
    </row>
    <row r="14" spans="1:30" x14ac:dyDescent="0.25">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5">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5">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x14ac:dyDescent="0.25"/>
  <cols>
    <col min="1" max="2" width="2.69921875" customWidth="1"/>
    <col min="3" max="3" width="5.69921875" customWidth="1"/>
  </cols>
  <sheetData>
    <row r="3" spans="3:7" ht="20" x14ac:dyDescent="0.4">
      <c r="C3" s="50" t="s">
        <v>176</v>
      </c>
    </row>
    <row r="6" spans="3:7" x14ac:dyDescent="0.25">
      <c r="C6" t="s">
        <v>194</v>
      </c>
      <c r="G6" s="155" t="s">
        <v>268</v>
      </c>
    </row>
    <row r="8" spans="3:7" x14ac:dyDescent="0.25">
      <c r="C8" s="6" t="s">
        <v>177</v>
      </c>
      <c r="G8" s="101"/>
    </row>
    <row r="10" spans="3:7" x14ac:dyDescent="0.25">
      <c r="C10" t="s">
        <v>178</v>
      </c>
      <c r="D10" t="s">
        <v>179</v>
      </c>
    </row>
    <row r="12" spans="3:7" x14ac:dyDescent="0.25">
      <c r="C12" t="s">
        <v>180</v>
      </c>
      <c r="D12" t="s">
        <v>181</v>
      </c>
    </row>
    <row r="14" spans="3:7" x14ac:dyDescent="0.25">
      <c r="C14" t="s">
        <v>182</v>
      </c>
      <c r="D14" t="s">
        <v>183</v>
      </c>
    </row>
    <row r="16" spans="3:7" x14ac:dyDescent="0.25">
      <c r="C16" t="s">
        <v>184</v>
      </c>
      <c r="D16" t="s">
        <v>252</v>
      </c>
    </row>
    <row r="18" spans="3:4" x14ac:dyDescent="0.25">
      <c r="C18" t="s">
        <v>185</v>
      </c>
      <c r="D18" t="s">
        <v>261</v>
      </c>
    </row>
    <row r="20" spans="3:4" x14ac:dyDescent="0.25">
      <c r="C20" t="s">
        <v>186</v>
      </c>
      <c r="D20" t="s">
        <v>253</v>
      </c>
    </row>
    <row r="22" spans="3:4" x14ac:dyDescent="0.25">
      <c r="D22" t="s">
        <v>61</v>
      </c>
    </row>
    <row r="24" spans="3:4" x14ac:dyDescent="0.25">
      <c r="C24" s="6" t="s">
        <v>254</v>
      </c>
    </row>
    <row r="26" spans="3:4" x14ac:dyDescent="0.25">
      <c r="C26" t="s">
        <v>262</v>
      </c>
    </row>
    <row r="28" spans="3:4" x14ac:dyDescent="0.25">
      <c r="C28" t="s">
        <v>255</v>
      </c>
      <c r="D28" t="s">
        <v>256</v>
      </c>
    </row>
    <row r="30" spans="3:4" x14ac:dyDescent="0.25">
      <c r="C30" t="s">
        <v>257</v>
      </c>
      <c r="D30" t="s">
        <v>258</v>
      </c>
    </row>
    <row r="32" spans="3:4" x14ac:dyDescent="0.25">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2023-12-01T02:53:32Z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